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showInkAnnotation="0" updateLinks="never" codeName="ThisWorkbook" hidePivotFieldList="1" autoCompressPictures="0"/>
  <mc:AlternateContent xmlns:mc="http://schemas.openxmlformats.org/markup-compatibility/2006">
    <mc:Choice Requires="x15">
      <x15ac:absPath xmlns:x15ac="http://schemas.microsoft.com/office/spreadsheetml/2010/11/ac" url="C:\Users\Keeva Baxter\Downloads\"/>
    </mc:Choice>
  </mc:AlternateContent>
  <xr:revisionPtr revIDLastSave="0" documentId="8_{5F1912E0-5271-4F34-955E-62BBA55118F8}" xr6:coauthVersionLast="47" xr6:coauthVersionMax="47" xr10:uidLastSave="{00000000-0000-0000-0000-000000000000}"/>
  <bookViews>
    <workbookView xWindow="0" yWindow="600" windowWidth="19200" windowHeight="10200" xr2:uid="{133A9AF3-1F42-4A7A-A049-ECD0823F526F}"/>
  </bookViews>
  <sheets>
    <sheet name="Cover" sheetId="248" r:id="rId1"/>
    <sheet name="Control" sheetId="247" r:id="rId2"/>
    <sheet name="Cost-benefit" sheetId="214" r:id="rId3"/>
    <sheet name="Cost-effectiveness" sheetId="216" state="hidden" r:id="rId4"/>
    <sheet name="Contents" sheetId="211" state="hidden" r:id="rId5"/>
    <sheet name="Proposition Summary" sheetId="4" state="hidden" r:id="rId6"/>
    <sheet name="Home Office data - DO NOT EDIT" sheetId="221" state="hidden" r:id="rId7"/>
    <sheet name="Cost_of_crime_Raw_data" sheetId="227" state="hidden" r:id="rId8"/>
    <sheet name="Misc_inputs" sheetId="241" state="hidden" r:id="rId9"/>
    <sheet name="Real cost (DE)" sheetId="228" state="hidden" r:id="rId10"/>
    <sheet name="Real cost (IA)" sheetId="230" state="hidden" r:id="rId11"/>
    <sheet name="Real cost (VPS)" sheetId="231" state="hidden" r:id="rId12"/>
    <sheet name="Real cost (PEH)" sheetId="233" state="hidden" r:id="rId13"/>
    <sheet name="Real cost (LO)" sheetId="234" state="hidden" r:id="rId14"/>
    <sheet name="Real cost (HS)" sheetId="235" state="hidden" r:id="rId15"/>
    <sheet name="Real cost (VS)" sheetId="236" state="hidden" r:id="rId16"/>
    <sheet name="Real cost (PC)" sheetId="239" state="hidden" r:id="rId17"/>
    <sheet name="Real cost (OCJ)" sheetId="240" state="hidden" r:id="rId18"/>
    <sheet name="Behind_the_scenes" sheetId="3" state="hidden" r:id="rId19"/>
    <sheet name="Confidence Grade - DO NOT EDIT" sheetId="8" state="hidden" r:id="rId20"/>
    <sheet name="Costs with economics" sheetId="11" state="hidden" r:id="rId21"/>
    <sheet name="Bearer list" sheetId="2" state="hidden" r:id="rId22"/>
    <sheet name="RJ_pathway" sheetId="244" state="hidden" r:id="rId23"/>
    <sheet name="Economics" sheetId="10" state="hidden" r:id="rId24"/>
    <sheet name="Costs" sheetId="1" state="hidden" r:id="rId25"/>
    <sheet name="Attributable fraction" sheetId="223" state="hidden" r:id="rId26"/>
    <sheet name="Total Costs" sheetId="12" state="hidden" r:id="rId27"/>
    <sheet name="OffendingVsAge" sheetId="249" state="hidden" r:id="rId28"/>
    <sheet name="Reoffending_inputs" sheetId="242" state="hidden" r:id="rId29"/>
    <sheet name="RJ_benefits" sheetId="246" state="hidden" r:id="rId30"/>
    <sheet name="Costs to bearers" sheetId="9" state="hidden" r:id="rId31"/>
    <sheet name="Savings of avoided crimes" sheetId="212" state="hidden" r:id="rId32"/>
    <sheet name="Overall savings and benefits" sheetId="213" state="hidden" r:id="rId33"/>
    <sheet name="Benefits with economics" sheetId="220" state="hidden" r:id="rId34"/>
    <sheet name="Savings and benefits to bearers" sheetId="218" state="hidden" r:id="rId35"/>
  </sheets>
  <definedNames>
    <definedName name="Agencieslist">'Bearer list'!$E$4:INDEX('Bearer list'!$E$4:$E$16, COUNTIF('Bearer list'!$E$4:$E$16, "?*"))</definedName>
    <definedName name="average_age">Reoffending_inputs!$G$353</definedName>
    <definedName name="buildings">'Proposition Summary'!$B$15</definedName>
    <definedName name="Business">'Proposition Summary'!$B$37</definedName>
    <definedName name="ex_rate">'Proposition Summary'!$B$77</definedName>
    <definedName name="Hiring_New_Staff">'Proposition Summary'!$B$20</definedName>
    <definedName name="Hiring2">'Proposition Summary'!$B$26</definedName>
    <definedName name="Maintenance2">'Proposition Summary'!$B$32</definedName>
    <definedName name="Other_offences">'Proposition Summary'!$B$74</definedName>
    <definedName name="Other_Operating">'Proposition Summary'!$B$34</definedName>
    <definedName name="Purchasing">'Proposition Summary'!$B$12</definedName>
    <definedName name="reoffending_inputs">Reoffending_inputs!$F$4:$G$350</definedName>
    <definedName name="Services_admin">'Proposition Summary'!$B$29</definedName>
    <definedName name="Services_for_police">'Proposition Summary'!$B$23</definedName>
    <definedName name="set_up_expences">'Proposition Summary'!$B$13</definedName>
    <definedName name="Social_Costs">'Proposition Summary'!$B$36</definedName>
    <definedName name="Supplies_admin">'Proposition Summary'!$B$28</definedName>
    <definedName name="Supplies_for_police">'Proposition Summary'!$B$22</definedName>
    <definedName name="time">'Proposition Summary'!$B$5</definedName>
    <definedName name="Title">'Proposition Summary'!$B$1</definedName>
    <definedName name="Training">'Proposition Summary'!$B$33</definedName>
    <definedName name="Utility">'Proposition Summary'!$B$31</definedName>
    <definedName name="Volunteers">'Proposition Summary'!$B$21</definedName>
    <definedName name="Volunteers2">'Proposition Summary'!$B$27</definedName>
    <definedName name="Wages">'Proposition Summary'!$B$19</definedName>
    <definedName name="Wages2">'Proposition Summary'!$B$25</definedName>
    <definedName name="Yesno">Behind_the_scenes!$A$2:$A$3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23" i="214" l="1"/>
  <c r="E24" i="214"/>
  <c r="E25" i="214"/>
  <c r="E26" i="214"/>
  <c r="E27" i="214"/>
  <c r="E28" i="214"/>
  <c r="E29" i="214"/>
  <c r="E30" i="214"/>
  <c r="E31" i="214"/>
  <c r="E32" i="214"/>
  <c r="E33" i="214"/>
  <c r="E22" i="214"/>
  <c r="G3" i="214"/>
  <c r="G353" i="242"/>
  <c r="G352" i="242"/>
  <c r="C3" i="216"/>
  <c r="F3" i="214"/>
  <c r="H3" i="214"/>
  <c r="T490" i="242"/>
  <c r="T491" i="242"/>
  <c r="T492" i="242"/>
  <c r="T493" i="242"/>
  <c r="T494" i="242"/>
  <c r="T495" i="242"/>
  <c r="T496" i="242"/>
  <c r="T497" i="242"/>
  <c r="T498" i="242"/>
  <c r="T499" i="242"/>
  <c r="T500" i="242"/>
  <c r="T501" i="242"/>
  <c r="T502" i="242"/>
  <c r="T503" i="242"/>
  <c r="T504" i="242"/>
  <c r="T505" i="242"/>
  <c r="T506" i="242"/>
  <c r="T507" i="242"/>
  <c r="T508" i="242"/>
  <c r="T509" i="242"/>
  <c r="T510" i="242"/>
  <c r="T511" i="242"/>
  <c r="T512" i="242"/>
  <c r="T513" i="242"/>
  <c r="T514" i="242"/>
  <c r="T515" i="242"/>
  <c r="T516" i="242"/>
  <c r="T517" i="242"/>
  <c r="T518" i="242"/>
  <c r="T519" i="242"/>
  <c r="T520" i="242"/>
  <c r="T521" i="242"/>
  <c r="T522" i="242"/>
  <c r="T523" i="242"/>
  <c r="T524" i="242"/>
  <c r="T525" i="242"/>
  <c r="T526" i="242"/>
  <c r="T527" i="242"/>
  <c r="T528" i="242"/>
  <c r="T529" i="242"/>
  <c r="T530" i="242"/>
  <c r="T531" i="242"/>
  <c r="T532" i="242"/>
  <c r="T533" i="242"/>
  <c r="T534" i="242"/>
  <c r="T535" i="242"/>
  <c r="T536" i="242"/>
  <c r="T537" i="242"/>
  <c r="T538" i="242"/>
  <c r="T539" i="242"/>
  <c r="T540" i="242"/>
  <c r="T541" i="242"/>
  <c r="T542" i="242"/>
  <c r="T543" i="242"/>
  <c r="T544" i="242"/>
  <c r="T545" i="242"/>
  <c r="T546" i="242"/>
  <c r="T547" i="242"/>
  <c r="T548" i="242"/>
  <c r="T549" i="242"/>
  <c r="T550" i="242"/>
  <c r="T551" i="242"/>
  <c r="T552" i="242"/>
  <c r="T553" i="242"/>
  <c r="T554" i="242"/>
  <c r="T555" i="242"/>
  <c r="T556" i="242"/>
  <c r="T557" i="242"/>
  <c r="T558" i="242"/>
  <c r="T559" i="242"/>
  <c r="T560" i="242"/>
  <c r="T561" i="242"/>
  <c r="T562" i="242"/>
  <c r="T563" i="242"/>
  <c r="T564" i="242"/>
  <c r="T565" i="242"/>
  <c r="T566" i="242"/>
  <c r="T567" i="242"/>
  <c r="T568" i="242"/>
  <c r="T569" i="242"/>
  <c r="T570" i="242"/>
  <c r="T571" i="242"/>
  <c r="T572" i="242"/>
  <c r="T573" i="242"/>
  <c r="T574" i="242"/>
  <c r="T575" i="242"/>
  <c r="T576" i="242"/>
  <c r="T577" i="242"/>
  <c r="T578" i="242"/>
  <c r="T579" i="242"/>
  <c r="T580" i="242"/>
  <c r="T581" i="242"/>
  <c r="T582" i="242"/>
  <c r="T583" i="242"/>
  <c r="T489" i="242"/>
  <c r="H376" i="242"/>
  <c r="G357" i="242"/>
  <c r="F10" i="244"/>
  <c r="C432" i="242"/>
  <c r="C433" i="242"/>
  <c r="C434" i="242"/>
  <c r="C435" i="242"/>
  <c r="C436" i="242"/>
  <c r="C437" i="242"/>
  <c r="C438" i="242"/>
  <c r="C439" i="242"/>
  <c r="C440" i="242"/>
  <c r="C441" i="242"/>
  <c r="C442" i="242"/>
  <c r="C443" i="242"/>
  <c r="C444" i="242"/>
  <c r="C445" i="242"/>
  <c r="C446" i="242"/>
  <c r="C447" i="242"/>
  <c r="C448" i="242"/>
  <c r="C449" i="242"/>
  <c r="C450" i="242"/>
  <c r="C451" i="242"/>
  <c r="C452" i="242"/>
  <c r="C453" i="242"/>
  <c r="C454" i="242"/>
  <c r="C455" i="242"/>
  <c r="C456" i="242"/>
  <c r="C457" i="242"/>
  <c r="C458" i="242"/>
  <c r="C459" i="242"/>
  <c r="C460" i="242"/>
  <c r="C461" i="242"/>
  <c r="C462" i="242"/>
  <c r="C463" i="242"/>
  <c r="C464" i="242"/>
  <c r="C431" i="242"/>
  <c r="G48" i="247"/>
  <c r="H359" i="242"/>
  <c r="H358" i="242"/>
  <c r="H356" i="242"/>
  <c r="H355" i="242"/>
  <c r="G354" i="242"/>
  <c r="C23" i="241" l="1"/>
  <c r="C22" i="241" s="1"/>
  <c r="C21" i="241" s="1"/>
  <c r="C20" i="241" s="1"/>
  <c r="C19" i="241" s="1"/>
  <c r="C18" i="241" s="1"/>
  <c r="C17" i="241" s="1"/>
  <c r="C16" i="241" s="1"/>
  <c r="C15" i="241" s="1"/>
  <c r="C14" i="241" s="1"/>
  <c r="C13" i="241" s="1"/>
  <c r="C12" i="241" s="1"/>
  <c r="C11" i="241" s="1"/>
  <c r="C10" i="241" s="1"/>
  <c r="C9" i="241" s="1"/>
  <c r="C8" i="241" s="1"/>
  <c r="C7" i="241" s="1"/>
  <c r="C6" i="241" s="1"/>
  <c r="C5" i="241" s="1"/>
  <c r="C4" i="241" s="1"/>
  <c r="A5" i="228"/>
  <c r="A6" i="228"/>
  <c r="A7" i="228"/>
  <c r="A8" i="228"/>
  <c r="A9" i="228"/>
  <c r="A10" i="228"/>
  <c r="A11" i="228"/>
  <c r="A12" i="228"/>
  <c r="A13" i="228"/>
  <c r="A14" i="228"/>
  <c r="A15" i="228"/>
  <c r="A16" i="228"/>
  <c r="F28" i="244"/>
  <c r="E28" i="244" s="1"/>
  <c r="D41" i="244" s="1"/>
  <c r="D43" i="244" l="1"/>
  <c r="F30" i="244"/>
  <c r="E30" i="244" s="1"/>
  <c r="F41" i="244" s="1"/>
  <c r="F31" i="244"/>
  <c r="E31" i="244" s="1"/>
  <c r="F4" i="246" l="1"/>
  <c r="E4" i="246" s="1"/>
  <c r="F12" i="246"/>
  <c r="E12" i="246" s="1"/>
  <c r="F20" i="246"/>
  <c r="E20" i="246" s="1"/>
  <c r="F18" i="246"/>
  <c r="E18" i="246" s="1"/>
  <c r="F19" i="246"/>
  <c r="E19" i="246" s="1"/>
  <c r="F5" i="246"/>
  <c r="E5" i="246" s="1"/>
  <c r="F13" i="246"/>
  <c r="E13" i="246" s="1"/>
  <c r="F3" i="246"/>
  <c r="E3" i="246" s="1"/>
  <c r="F10" i="246"/>
  <c r="E10" i="246" s="1"/>
  <c r="F6" i="246"/>
  <c r="E6" i="246" s="1"/>
  <c r="F14" i="246"/>
  <c r="E14" i="246" s="1"/>
  <c r="F7" i="246"/>
  <c r="E7" i="246" s="1"/>
  <c r="F15" i="246"/>
  <c r="E15" i="246" s="1"/>
  <c r="F8" i="246"/>
  <c r="E8" i="246" s="1"/>
  <c r="F16" i="246"/>
  <c r="E16" i="246" s="1"/>
  <c r="F11" i="246"/>
  <c r="E11" i="246" s="1"/>
  <c r="F9" i="246"/>
  <c r="E9" i="246" s="1"/>
  <c r="F17" i="246"/>
  <c r="E17" i="246" s="1"/>
  <c r="F32" i="244" l="1"/>
  <c r="E32" i="244" s="1"/>
  <c r="F29" i="244" l="1"/>
  <c r="E29" i="244" s="1"/>
  <c r="E43" i="244" l="1"/>
  <c r="E41" i="244"/>
  <c r="G7" i="218"/>
  <c r="H7" i="218"/>
  <c r="F27" i="244"/>
  <c r="E27" i="244" s="1"/>
  <c r="E26" i="244"/>
  <c r="E25" i="244"/>
  <c r="E24" i="244"/>
  <c r="E23" i="244"/>
  <c r="E22" i="244"/>
  <c r="E21" i="244"/>
  <c r="E20" i="244"/>
  <c r="E19" i="244"/>
  <c r="E18" i="244"/>
  <c r="E17" i="244"/>
  <c r="E16" i="244"/>
  <c r="E15" i="244"/>
  <c r="E14" i="244"/>
  <c r="E13" i="244"/>
  <c r="E12" i="244"/>
  <c r="E11" i="244"/>
  <c r="E10" i="244"/>
  <c r="E44" i="244" s="1"/>
  <c r="F9" i="244"/>
  <c r="E9" i="244"/>
  <c r="F8" i="244"/>
  <c r="E8" i="244" s="1"/>
  <c r="F7" i="244"/>
  <c r="E7" i="244" s="1"/>
  <c r="E40" i="244" s="1"/>
  <c r="F6" i="244"/>
  <c r="G39" i="247" s="1"/>
  <c r="E39" i="247" s="1"/>
  <c r="E6" i="244" s="1"/>
  <c r="F5" i="244"/>
  <c r="F4" i="244"/>
  <c r="G37" i="247" s="1"/>
  <c r="E37" i="247" s="1"/>
  <c r="E4" i="244" s="1"/>
  <c r="G38" i="247"/>
  <c r="E38" i="247" s="1"/>
  <c r="E5" i="244" s="1"/>
  <c r="G20" i="213"/>
  <c r="I20" i="213"/>
  <c r="J20" i="213"/>
  <c r="K20" i="213"/>
  <c r="L20" i="213"/>
  <c r="M20" i="213"/>
  <c r="N20" i="213"/>
  <c r="O20" i="213"/>
  <c r="P20" i="213"/>
  <c r="Q20" i="213"/>
  <c r="R20" i="213"/>
  <c r="S20" i="213"/>
  <c r="T20" i="213"/>
  <c r="U20" i="213"/>
  <c r="V20" i="213"/>
  <c r="W20" i="213"/>
  <c r="X20" i="213"/>
  <c r="Y20" i="213"/>
  <c r="Z20" i="213"/>
  <c r="F43" i="244" l="1"/>
  <c r="F40" i="244"/>
  <c r="B20" i="213"/>
  <c r="G35" i="213"/>
  <c r="I35" i="213"/>
  <c r="J35" i="213"/>
  <c r="K35" i="213"/>
  <c r="L35" i="213"/>
  <c r="M35" i="213"/>
  <c r="N35" i="213"/>
  <c r="O35" i="213"/>
  <c r="P35" i="213"/>
  <c r="Q35" i="213"/>
  <c r="R35" i="213"/>
  <c r="S35" i="213"/>
  <c r="T35" i="213"/>
  <c r="U35" i="213"/>
  <c r="V35" i="213"/>
  <c r="W35" i="213"/>
  <c r="X35" i="213"/>
  <c r="Y35" i="213"/>
  <c r="Z35" i="213"/>
  <c r="E52" i="247"/>
  <c r="B21" i="213"/>
  <c r="B23" i="213"/>
  <c r="B25" i="213"/>
  <c r="B27" i="213"/>
  <c r="B28" i="213"/>
  <c r="B29" i="213"/>
  <c r="B36" i="213"/>
  <c r="B38" i="213"/>
  <c r="B40" i="213"/>
  <c r="B41" i="213"/>
  <c r="B22" i="213"/>
  <c r="B24" i="213"/>
  <c r="B26" i="213"/>
  <c r="B30" i="213"/>
  <c r="B35" i="213"/>
  <c r="B37" i="213"/>
  <c r="B39" i="213"/>
  <c r="B33" i="213" l="1"/>
  <c r="G43" i="244"/>
  <c r="H27" i="244"/>
  <c r="B441" i="242" l="1"/>
  <c r="B442" i="242"/>
  <c r="B443" i="242"/>
  <c r="B444" i="242"/>
  <c r="B445" i="242"/>
  <c r="B446" i="242"/>
  <c r="B447" i="242"/>
  <c r="D447" i="242" s="1"/>
  <c r="B448" i="242"/>
  <c r="B449" i="242"/>
  <c r="B450" i="242"/>
  <c r="B451" i="242"/>
  <c r="B452" i="242"/>
  <c r="B453" i="242"/>
  <c r="B454" i="242"/>
  <c r="B455" i="242"/>
  <c r="D455" i="242" s="1"/>
  <c r="B456" i="242"/>
  <c r="B457" i="242"/>
  <c r="B458" i="242"/>
  <c r="B459" i="242"/>
  <c r="B460" i="242"/>
  <c r="B461" i="242"/>
  <c r="B462" i="242"/>
  <c r="B463" i="242"/>
  <c r="D463" i="242" s="1"/>
  <c r="B464" i="242"/>
  <c r="B465" i="242"/>
  <c r="B466" i="242"/>
  <c r="B429" i="242"/>
  <c r="B430" i="242"/>
  <c r="B431" i="242"/>
  <c r="B432" i="242"/>
  <c r="B433" i="242"/>
  <c r="D433" i="242" s="1"/>
  <c r="B434" i="242"/>
  <c r="B435" i="242"/>
  <c r="B436" i="242"/>
  <c r="B437" i="242"/>
  <c r="B438" i="242"/>
  <c r="B439" i="242"/>
  <c r="B440" i="242"/>
  <c r="B428" i="242"/>
  <c r="D428" i="242" s="1"/>
  <c r="D30" i="246"/>
  <c r="E48" i="247"/>
  <c r="E44" i="247"/>
  <c r="E6" i="247"/>
  <c r="E490" i="242"/>
  <c r="E491" i="242"/>
  <c r="E492" i="242"/>
  <c r="E493" i="242"/>
  <c r="E494" i="242"/>
  <c r="E495" i="242"/>
  <c r="E496" i="242"/>
  <c r="E497" i="242"/>
  <c r="E498" i="242"/>
  <c r="E500" i="242"/>
  <c r="E501" i="242"/>
  <c r="E502" i="242"/>
  <c r="E503" i="242"/>
  <c r="E499" i="242"/>
  <c r="E504" i="242"/>
  <c r="E506" i="242"/>
  <c r="E505" i="242"/>
  <c r="E507" i="242"/>
  <c r="E508" i="242"/>
  <c r="E509" i="242"/>
  <c r="E510" i="242"/>
  <c r="E511" i="242"/>
  <c r="E512" i="242"/>
  <c r="E513" i="242"/>
  <c r="E514" i="242"/>
  <c r="E515" i="242"/>
  <c r="E516" i="242"/>
  <c r="E517" i="242"/>
  <c r="E518" i="242"/>
  <c r="E519" i="242"/>
  <c r="E520" i="242"/>
  <c r="E521" i="242"/>
  <c r="E522" i="242"/>
  <c r="E523" i="242"/>
  <c r="E524" i="242"/>
  <c r="E525" i="242"/>
  <c r="E526" i="242"/>
  <c r="E527" i="242"/>
  <c r="E528" i="242"/>
  <c r="E529" i="242"/>
  <c r="E530" i="242"/>
  <c r="E531" i="242"/>
  <c r="E532" i="242"/>
  <c r="E533" i="242"/>
  <c r="E534" i="242"/>
  <c r="E535" i="242"/>
  <c r="E536" i="242"/>
  <c r="E537" i="242"/>
  <c r="E538" i="242"/>
  <c r="E539" i="242"/>
  <c r="E540" i="242"/>
  <c r="E541" i="242"/>
  <c r="E542" i="242"/>
  <c r="E543" i="242"/>
  <c r="E544" i="242"/>
  <c r="E545" i="242"/>
  <c r="E546" i="242"/>
  <c r="E547" i="242"/>
  <c r="E548" i="242"/>
  <c r="E549" i="242"/>
  <c r="E550" i="242"/>
  <c r="E551" i="242"/>
  <c r="E552" i="242"/>
  <c r="E553" i="242"/>
  <c r="E554" i="242"/>
  <c r="E555" i="242"/>
  <c r="E556" i="242"/>
  <c r="E557" i="242"/>
  <c r="E558" i="242"/>
  <c r="E559" i="242"/>
  <c r="E560" i="242"/>
  <c r="E561" i="242"/>
  <c r="E562" i="242"/>
  <c r="E563" i="242"/>
  <c r="E564" i="242"/>
  <c r="E565" i="242"/>
  <c r="E566" i="242"/>
  <c r="E567" i="242"/>
  <c r="E568" i="242"/>
  <c r="E569" i="242"/>
  <c r="E570" i="242"/>
  <c r="E571" i="242"/>
  <c r="E572" i="242"/>
  <c r="E573" i="242"/>
  <c r="E574" i="242"/>
  <c r="E575" i="242"/>
  <c r="E576" i="242"/>
  <c r="E577" i="242"/>
  <c r="E578" i="242"/>
  <c r="E579" i="242"/>
  <c r="E580" i="242"/>
  <c r="E581" i="242"/>
  <c r="E582" i="242"/>
  <c r="E583" i="242"/>
  <c r="E489" i="242"/>
  <c r="C472" i="242"/>
  <c r="A2" i="247"/>
  <c r="D3" i="214"/>
  <c r="G361" i="242"/>
  <c r="D23" i="244"/>
  <c r="D24" i="244"/>
  <c r="D25" i="244"/>
  <c r="D26" i="244"/>
  <c r="D5" i="244"/>
  <c r="D6" i="244"/>
  <c r="D7" i="244"/>
  <c r="D8" i="244"/>
  <c r="D9" i="244"/>
  <c r="D10" i="244"/>
  <c r="D11" i="244"/>
  <c r="D12" i="244"/>
  <c r="D13" i="244"/>
  <c r="D14" i="244"/>
  <c r="D15" i="244"/>
  <c r="D16" i="244"/>
  <c r="D17" i="244"/>
  <c r="D18" i="244"/>
  <c r="D19" i="244"/>
  <c r="D20" i="244"/>
  <c r="D21" i="244"/>
  <c r="D22" i="244"/>
  <c r="D28" i="244"/>
  <c r="D29" i="244"/>
  <c r="D27" i="244"/>
  <c r="D30" i="244"/>
  <c r="D31" i="244"/>
  <c r="D32" i="244"/>
  <c r="D4" i="244"/>
  <c r="D434" i="242" l="1"/>
  <c r="D464" i="242"/>
  <c r="D456" i="242"/>
  <c r="D448" i="242"/>
  <c r="D440" i="242"/>
  <c r="D432" i="242"/>
  <c r="D462" i="242"/>
  <c r="D454" i="242"/>
  <c r="D446" i="242"/>
  <c r="D439" i="242"/>
  <c r="D431" i="242"/>
  <c r="D461" i="242"/>
  <c r="D453" i="242"/>
  <c r="D445" i="242"/>
  <c r="D438" i="242"/>
  <c r="D430" i="242"/>
  <c r="D460" i="242"/>
  <c r="D452" i="242"/>
  <c r="D444" i="242"/>
  <c r="D437" i="242"/>
  <c r="D429" i="242"/>
  <c r="D459" i="242"/>
  <c r="D451" i="242"/>
  <c r="D443" i="242"/>
  <c r="D436" i="242"/>
  <c r="C466" i="242"/>
  <c r="E466" i="242" s="1"/>
  <c r="D466" i="242"/>
  <c r="D458" i="242"/>
  <c r="D450" i="242"/>
  <c r="D442" i="242"/>
  <c r="D435" i="242"/>
  <c r="D465" i="242"/>
  <c r="D457" i="242"/>
  <c r="D449" i="242"/>
  <c r="D441" i="242"/>
  <c r="E441" i="242"/>
  <c r="C465" i="242"/>
  <c r="E465" i="242" s="1"/>
  <c r="E448" i="242"/>
  <c r="E442" i="242"/>
  <c r="E463" i="242"/>
  <c r="E455" i="242"/>
  <c r="E447" i="242"/>
  <c r="F447" i="242" s="1"/>
  <c r="E462" i="242"/>
  <c r="E454" i="242"/>
  <c r="E446" i="242"/>
  <c r="E460" i="242"/>
  <c r="E452" i="242"/>
  <c r="E444" i="242"/>
  <c r="E437" i="242"/>
  <c r="E459" i="242"/>
  <c r="F459" i="242" s="1"/>
  <c r="E451" i="242"/>
  <c r="E434" i="242"/>
  <c r="E436" i="242"/>
  <c r="E458" i="242"/>
  <c r="F458" i="242" s="1"/>
  <c r="E450" i="242"/>
  <c r="E440" i="242"/>
  <c r="E432" i="242"/>
  <c r="E457" i="242"/>
  <c r="F457" i="242" s="1"/>
  <c r="E449" i="242"/>
  <c r="E439" i="242"/>
  <c r="E431" i="242"/>
  <c r="E456" i="242"/>
  <c r="F456" i="242" s="1"/>
  <c r="E438" i="242"/>
  <c r="E461" i="242"/>
  <c r="E453" i="242"/>
  <c r="E445" i="242"/>
  <c r="F445" i="242" s="1"/>
  <c r="E435" i="242"/>
  <c r="E443" i="242"/>
  <c r="E433" i="242"/>
  <c r="C429" i="242"/>
  <c r="E429" i="242" s="1"/>
  <c r="F429" i="242" s="1"/>
  <c r="C430" i="242"/>
  <c r="E430" i="242" s="1"/>
  <c r="F430" i="242" s="1"/>
  <c r="C428" i="242"/>
  <c r="E428" i="242" s="1"/>
  <c r="E464" i="242"/>
  <c r="C40" i="244"/>
  <c r="F438" i="242" l="1"/>
  <c r="F450" i="242"/>
  <c r="F452" i="242"/>
  <c r="F442" i="242"/>
  <c r="F435" i="242"/>
  <c r="F449" i="242"/>
  <c r="F460" i="242"/>
  <c r="F451" i="242"/>
  <c r="F428" i="242"/>
  <c r="F461" i="242"/>
  <c r="F440" i="242"/>
  <c r="F444" i="242"/>
  <c r="F463" i="242"/>
  <c r="F431" i="242"/>
  <c r="F436" i="242"/>
  <c r="F446" i="242"/>
  <c r="F465" i="242"/>
  <c r="F433" i="242"/>
  <c r="F443" i="242"/>
  <c r="F439" i="242"/>
  <c r="F434" i="242"/>
  <c r="F454" i="242"/>
  <c r="F464" i="242"/>
  <c r="F453" i="242"/>
  <c r="F432" i="242"/>
  <c r="F437" i="242"/>
  <c r="F448" i="242"/>
  <c r="F441" i="242"/>
  <c r="F462" i="242"/>
  <c r="F466" i="242"/>
  <c r="F455" i="242"/>
  <c r="M40" i="244"/>
  <c r="C41" i="244"/>
  <c r="C42" i="244" s="1"/>
  <c r="G50" i="213"/>
  <c r="F50" i="213"/>
  <c r="E50" i="213"/>
  <c r="AJ66" i="213"/>
  <c r="C50" i="246"/>
  <c r="E50" i="246"/>
  <c r="G362" i="242"/>
  <c r="E22" i="246"/>
  <c r="G342" i="242"/>
  <c r="G343" i="242"/>
  <c r="G344" i="242"/>
  <c r="G345" i="242"/>
  <c r="G346" i="242"/>
  <c r="G347" i="242"/>
  <c r="G348" i="242"/>
  <c r="G349" i="242"/>
  <c r="G350" i="242"/>
  <c r="AK64" i="213" l="1"/>
  <c r="D7" i="218"/>
  <c r="AM64" i="213"/>
  <c r="F7" i="218"/>
  <c r="F350" i="242"/>
  <c r="F349" i="242"/>
  <c r="F348" i="242"/>
  <c r="F347" i="242"/>
  <c r="F346" i="242"/>
  <c r="F345" i="242"/>
  <c r="F344" i="242"/>
  <c r="F343" i="242"/>
  <c r="F342" i="242"/>
  <c r="F186" i="242"/>
  <c r="F187" i="242"/>
  <c r="F188" i="242"/>
  <c r="F189" i="242"/>
  <c r="F190" i="242"/>
  <c r="F192" i="242"/>
  <c r="F195" i="242"/>
  <c r="F197" i="242"/>
  <c r="F199" i="242"/>
  <c r="F200" i="242"/>
  <c r="F201" i="242"/>
  <c r="F204" i="242"/>
  <c r="F205" i="242"/>
  <c r="F191" i="242"/>
  <c r="F193" i="242"/>
  <c r="F194" i="242"/>
  <c r="F196" i="242"/>
  <c r="F198" i="242"/>
  <c r="F202" i="242"/>
  <c r="F203" i="242"/>
  <c r="F206" i="242"/>
  <c r="F207" i="242"/>
  <c r="F208" i="242"/>
  <c r="F209" i="242"/>
  <c r="F210" i="242"/>
  <c r="F211" i="242"/>
  <c r="F212" i="242"/>
  <c r="F213" i="242"/>
  <c r="F214" i="242"/>
  <c r="F215" i="242"/>
  <c r="F216" i="242"/>
  <c r="F217" i="242"/>
  <c r="F218" i="242"/>
  <c r="F219" i="242"/>
  <c r="F220" i="242"/>
  <c r="F221" i="242"/>
  <c r="F222" i="242"/>
  <c r="F223" i="242"/>
  <c r="F224" i="242"/>
  <c r="F225" i="242"/>
  <c r="F226" i="242"/>
  <c r="F185" i="242"/>
  <c r="G229" i="242"/>
  <c r="G230" i="242"/>
  <c r="G231" i="242"/>
  <c r="G232" i="242"/>
  <c r="G233" i="242"/>
  <c r="G234" i="242"/>
  <c r="G235" i="242"/>
  <c r="G236" i="242"/>
  <c r="G237" i="242"/>
  <c r="G238" i="242"/>
  <c r="G239" i="242"/>
  <c r="G240" i="242"/>
  <c r="G241" i="242"/>
  <c r="G242" i="242"/>
  <c r="G243" i="242"/>
  <c r="G244" i="242"/>
  <c r="G245" i="242"/>
  <c r="G246" i="242"/>
  <c r="G247" i="242"/>
  <c r="G248" i="242"/>
  <c r="G249" i="242"/>
  <c r="G250" i="242"/>
  <c r="G251" i="242"/>
  <c r="G252" i="242"/>
  <c r="G253" i="242"/>
  <c r="G254" i="242"/>
  <c r="G255" i="242"/>
  <c r="G256" i="242"/>
  <c r="G257" i="242"/>
  <c r="G258" i="242"/>
  <c r="G259" i="242"/>
  <c r="G260" i="242"/>
  <c r="G261" i="242"/>
  <c r="G262" i="242"/>
  <c r="G263" i="242"/>
  <c r="G264" i="242"/>
  <c r="G265" i="242"/>
  <c r="G266" i="242"/>
  <c r="G267" i="242"/>
  <c r="G268" i="242"/>
  <c r="G269" i="242"/>
  <c r="G270" i="242"/>
  <c r="G271" i="242"/>
  <c r="G272" i="242"/>
  <c r="G273" i="242"/>
  <c r="G274" i="242"/>
  <c r="G275" i="242"/>
  <c r="G276" i="242"/>
  <c r="G277" i="242"/>
  <c r="G278" i="242"/>
  <c r="G279" i="242"/>
  <c r="G280" i="242"/>
  <c r="G281" i="242"/>
  <c r="G282" i="242"/>
  <c r="G283" i="242"/>
  <c r="G284" i="242"/>
  <c r="G285" i="242"/>
  <c r="G286" i="242"/>
  <c r="G287" i="242"/>
  <c r="G288" i="242"/>
  <c r="G289" i="242"/>
  <c r="G290" i="242"/>
  <c r="G291" i="242"/>
  <c r="G292" i="242"/>
  <c r="G293" i="242"/>
  <c r="G294" i="242"/>
  <c r="G295" i="242"/>
  <c r="G296" i="242"/>
  <c r="G297" i="242"/>
  <c r="G298" i="242"/>
  <c r="G299" i="242"/>
  <c r="G300" i="242"/>
  <c r="G301" i="242"/>
  <c r="G302" i="242"/>
  <c r="G303" i="242"/>
  <c r="G304" i="242"/>
  <c r="G305" i="242"/>
  <c r="G306" i="242"/>
  <c r="G307" i="242"/>
  <c r="G308" i="242"/>
  <c r="G309" i="242"/>
  <c r="G310" i="242"/>
  <c r="G311" i="242"/>
  <c r="G312" i="242"/>
  <c r="G313" i="242"/>
  <c r="G314" i="242"/>
  <c r="G315" i="242"/>
  <c r="G316" i="242"/>
  <c r="G317" i="242"/>
  <c r="G318" i="242"/>
  <c r="G319" i="242"/>
  <c r="G320" i="242"/>
  <c r="G321" i="242"/>
  <c r="G322" i="242"/>
  <c r="G323" i="242"/>
  <c r="G324" i="242"/>
  <c r="G325" i="242"/>
  <c r="G326" i="242"/>
  <c r="G327" i="242"/>
  <c r="G328" i="242"/>
  <c r="G329" i="242"/>
  <c r="G330" i="242"/>
  <c r="G331" i="242"/>
  <c r="G332" i="242"/>
  <c r="G333" i="242"/>
  <c r="G334" i="242"/>
  <c r="G335" i="242"/>
  <c r="G336" i="242"/>
  <c r="G337" i="242"/>
  <c r="G338" i="242"/>
  <c r="G339" i="242"/>
  <c r="G340" i="242"/>
  <c r="G341" i="242"/>
  <c r="G228" i="242"/>
  <c r="G207" i="242"/>
  <c r="G208" i="242"/>
  <c r="G209" i="242"/>
  <c r="G210" i="242"/>
  <c r="G211" i="242"/>
  <c r="G212" i="242"/>
  <c r="G213" i="242"/>
  <c r="G214" i="242"/>
  <c r="G215" i="242"/>
  <c r="G216" i="242"/>
  <c r="G217" i="242"/>
  <c r="G218" i="242"/>
  <c r="G206" i="242"/>
  <c r="G186" i="242"/>
  <c r="G187" i="242"/>
  <c r="G188" i="242"/>
  <c r="G189" i="242"/>
  <c r="G190" i="242"/>
  <c r="G192" i="242"/>
  <c r="G195" i="242"/>
  <c r="G197" i="242"/>
  <c r="G199" i="242"/>
  <c r="G200" i="242"/>
  <c r="G201" i="242"/>
  <c r="G204" i="242"/>
  <c r="G205" i="242"/>
  <c r="G191" i="242"/>
  <c r="G193" i="242"/>
  <c r="G194" i="242"/>
  <c r="G196" i="242"/>
  <c r="G198" i="242"/>
  <c r="G202" i="242"/>
  <c r="G203" i="242"/>
  <c r="G185" i="242"/>
  <c r="G5" i="242" l="1"/>
  <c r="G6" i="242"/>
  <c r="G7" i="242"/>
  <c r="G8" i="242"/>
  <c r="G9" i="242"/>
  <c r="G10" i="242"/>
  <c r="G11" i="242"/>
  <c r="G12" i="242"/>
  <c r="G13" i="242"/>
  <c r="G14" i="242"/>
  <c r="G15" i="242"/>
  <c r="G16" i="242"/>
  <c r="G17" i="242"/>
  <c r="G18" i="242"/>
  <c r="G19" i="242"/>
  <c r="G20" i="242"/>
  <c r="G21" i="242"/>
  <c r="G22" i="242"/>
  <c r="G23" i="242"/>
  <c r="G24" i="242"/>
  <c r="G25" i="242"/>
  <c r="G26" i="242"/>
  <c r="G27" i="242"/>
  <c r="G28" i="242"/>
  <c r="G29" i="242"/>
  <c r="G30" i="242"/>
  <c r="G31" i="242"/>
  <c r="G32" i="242"/>
  <c r="G33" i="242"/>
  <c r="G34" i="242"/>
  <c r="G35" i="242"/>
  <c r="G36" i="242"/>
  <c r="G37" i="242"/>
  <c r="G38" i="242"/>
  <c r="G39" i="242"/>
  <c r="G40" i="242"/>
  <c r="G41" i="242"/>
  <c r="G42" i="242"/>
  <c r="G43" i="242"/>
  <c r="G44" i="242"/>
  <c r="G45" i="242"/>
  <c r="G46" i="242"/>
  <c r="G47" i="242"/>
  <c r="G48" i="242"/>
  <c r="G49" i="242"/>
  <c r="G50" i="242"/>
  <c r="G51" i="242"/>
  <c r="G52" i="242"/>
  <c r="G53" i="242"/>
  <c r="G54" i="242"/>
  <c r="G55" i="242"/>
  <c r="G56" i="242"/>
  <c r="G57" i="242"/>
  <c r="G58" i="242"/>
  <c r="G59" i="242"/>
  <c r="G60" i="242"/>
  <c r="G61" i="242"/>
  <c r="G62" i="242"/>
  <c r="G63" i="242"/>
  <c r="G64" i="242"/>
  <c r="G65" i="242"/>
  <c r="G66" i="242"/>
  <c r="G67" i="242"/>
  <c r="G68" i="242"/>
  <c r="G69" i="242"/>
  <c r="G70" i="242"/>
  <c r="G71" i="242"/>
  <c r="G72" i="242"/>
  <c r="G73" i="242"/>
  <c r="G74" i="242"/>
  <c r="G75" i="242"/>
  <c r="G76" i="242"/>
  <c r="G77" i="242"/>
  <c r="G78" i="242"/>
  <c r="G79" i="242"/>
  <c r="G80" i="242"/>
  <c r="G81" i="242"/>
  <c r="G82" i="242"/>
  <c r="G83" i="242"/>
  <c r="G84" i="242"/>
  <c r="G85" i="242"/>
  <c r="G86" i="242"/>
  <c r="G87" i="242"/>
  <c r="G88" i="242"/>
  <c r="G89" i="242"/>
  <c r="G90" i="242"/>
  <c r="G91" i="242"/>
  <c r="G92" i="242"/>
  <c r="G93" i="242"/>
  <c r="G94" i="242"/>
  <c r="G95" i="242"/>
  <c r="G96" i="242"/>
  <c r="G97" i="242"/>
  <c r="G98" i="242"/>
  <c r="G99" i="242"/>
  <c r="G100" i="242"/>
  <c r="G101" i="242"/>
  <c r="G102" i="242"/>
  <c r="G103" i="242"/>
  <c r="G104" i="242"/>
  <c r="G105" i="242"/>
  <c r="G106" i="242"/>
  <c r="G107" i="242"/>
  <c r="G108" i="242"/>
  <c r="G109" i="242"/>
  <c r="G110" i="242"/>
  <c r="G111" i="242"/>
  <c r="G112" i="242"/>
  <c r="G113" i="242"/>
  <c r="G114" i="242"/>
  <c r="G115" i="242"/>
  <c r="G116" i="242"/>
  <c r="G117" i="242"/>
  <c r="G118" i="242"/>
  <c r="G119" i="242"/>
  <c r="G120" i="242"/>
  <c r="G121" i="242"/>
  <c r="G122" i="242"/>
  <c r="G123" i="242"/>
  <c r="G124" i="242"/>
  <c r="G125" i="242"/>
  <c r="G126" i="242"/>
  <c r="G127" i="242"/>
  <c r="G128" i="242"/>
  <c r="G129" i="242"/>
  <c r="G130" i="242"/>
  <c r="G131" i="242"/>
  <c r="G132" i="242"/>
  <c r="G133" i="242"/>
  <c r="G134" i="242"/>
  <c r="G135" i="242"/>
  <c r="G136" i="242"/>
  <c r="G137" i="242"/>
  <c r="G138" i="242"/>
  <c r="G139" i="242"/>
  <c r="G140" i="242"/>
  <c r="G141" i="242"/>
  <c r="G142" i="242"/>
  <c r="G143" i="242"/>
  <c r="G144" i="242"/>
  <c r="G145" i="242"/>
  <c r="G146" i="242"/>
  <c r="G147" i="242"/>
  <c r="G148" i="242"/>
  <c r="G149" i="242"/>
  <c r="G150" i="242"/>
  <c r="G151" i="242"/>
  <c r="G152" i="242"/>
  <c r="G153" i="242"/>
  <c r="G154" i="242"/>
  <c r="G155" i="242"/>
  <c r="G156" i="242"/>
  <c r="G157" i="242"/>
  <c r="G158" i="242"/>
  <c r="G159" i="242"/>
  <c r="G160" i="242"/>
  <c r="G161" i="242"/>
  <c r="G162" i="242"/>
  <c r="G163" i="242"/>
  <c r="G164" i="242"/>
  <c r="G165" i="242"/>
  <c r="G166" i="242"/>
  <c r="G167" i="242"/>
  <c r="G168" i="242"/>
  <c r="G169" i="242"/>
  <c r="G170" i="242"/>
  <c r="G171" i="242"/>
  <c r="G172" i="242"/>
  <c r="G173" i="242"/>
  <c r="G174" i="242"/>
  <c r="G175" i="242"/>
  <c r="G176" i="242"/>
  <c r="G177" i="242"/>
  <c r="G178" i="242"/>
  <c r="G179" i="242"/>
  <c r="G180" i="242"/>
  <c r="G181" i="242"/>
  <c r="G182" i="242"/>
  <c r="G183" i="242"/>
  <c r="G4" i="242"/>
  <c r="D44" i="244" l="1"/>
  <c r="D40" i="244"/>
  <c r="I40" i="244" l="1"/>
  <c r="K40" i="244" l="1"/>
  <c r="L40" i="244"/>
  <c r="J40" i="244"/>
  <c r="M41" i="244"/>
  <c r="F229" i="242"/>
  <c r="F230" i="242"/>
  <c r="F231" i="242"/>
  <c r="F232" i="242"/>
  <c r="F233" i="242"/>
  <c r="F234" i="242"/>
  <c r="F235" i="242"/>
  <c r="F236" i="242"/>
  <c r="F237" i="242"/>
  <c r="F238" i="242"/>
  <c r="F239" i="242"/>
  <c r="F240" i="242"/>
  <c r="F241" i="242"/>
  <c r="F242" i="242"/>
  <c r="F243" i="242"/>
  <c r="F244" i="242"/>
  <c r="F245" i="242"/>
  <c r="F246" i="242"/>
  <c r="F247" i="242"/>
  <c r="F248" i="242"/>
  <c r="F249" i="242"/>
  <c r="F250" i="242"/>
  <c r="F251" i="242"/>
  <c r="F252" i="242"/>
  <c r="F253" i="242"/>
  <c r="F254" i="242"/>
  <c r="F255" i="242"/>
  <c r="F256" i="242"/>
  <c r="F257" i="242"/>
  <c r="F258" i="242"/>
  <c r="F259" i="242"/>
  <c r="F260" i="242"/>
  <c r="F261" i="242"/>
  <c r="F262" i="242"/>
  <c r="F263" i="242"/>
  <c r="F264" i="242"/>
  <c r="F265" i="242"/>
  <c r="F266" i="242"/>
  <c r="F267" i="242"/>
  <c r="F268" i="242"/>
  <c r="F269" i="242"/>
  <c r="F270" i="242"/>
  <c r="F271" i="242"/>
  <c r="F272" i="242"/>
  <c r="F273" i="242"/>
  <c r="F274" i="242"/>
  <c r="F275" i="242"/>
  <c r="F276" i="242"/>
  <c r="F277" i="242"/>
  <c r="F278" i="242"/>
  <c r="F279" i="242"/>
  <c r="F280" i="242"/>
  <c r="F281" i="242"/>
  <c r="F282" i="242"/>
  <c r="F283" i="242"/>
  <c r="F284" i="242"/>
  <c r="F285" i="242"/>
  <c r="F286" i="242"/>
  <c r="F287" i="242"/>
  <c r="F288" i="242"/>
  <c r="F289" i="242"/>
  <c r="F290" i="242"/>
  <c r="F291" i="242"/>
  <c r="F292" i="242"/>
  <c r="F293" i="242"/>
  <c r="F294" i="242"/>
  <c r="F295" i="242"/>
  <c r="F296" i="242"/>
  <c r="F297" i="242"/>
  <c r="F298" i="242"/>
  <c r="F299" i="242"/>
  <c r="F300" i="242"/>
  <c r="F301" i="242"/>
  <c r="F302" i="242"/>
  <c r="F303" i="242"/>
  <c r="F304" i="242"/>
  <c r="F305" i="242"/>
  <c r="F306" i="242"/>
  <c r="F307" i="242"/>
  <c r="F308" i="242"/>
  <c r="F309" i="242"/>
  <c r="F310" i="242"/>
  <c r="F311" i="242"/>
  <c r="F312" i="242"/>
  <c r="F313" i="242"/>
  <c r="F314" i="242"/>
  <c r="F315" i="242"/>
  <c r="F316" i="242"/>
  <c r="F317" i="242"/>
  <c r="F318" i="242"/>
  <c r="F319" i="242"/>
  <c r="F320" i="242"/>
  <c r="F321" i="242"/>
  <c r="F322" i="242"/>
  <c r="F323" i="242"/>
  <c r="F324" i="242"/>
  <c r="F325" i="242"/>
  <c r="F326" i="242"/>
  <c r="F327" i="242"/>
  <c r="F328" i="242"/>
  <c r="F329" i="242"/>
  <c r="F330" i="242"/>
  <c r="F331" i="242"/>
  <c r="F332" i="242"/>
  <c r="F333" i="242"/>
  <c r="F334" i="242"/>
  <c r="F335" i="242"/>
  <c r="F336" i="242"/>
  <c r="F337" i="242"/>
  <c r="F338" i="242"/>
  <c r="F339" i="242"/>
  <c r="F340" i="242"/>
  <c r="F341" i="242"/>
  <c r="F228" i="242"/>
  <c r="I41" i="244" l="1"/>
  <c r="J41" i="244"/>
  <c r="K41" i="244"/>
  <c r="L41" i="244"/>
  <c r="C43" i="244"/>
  <c r="M43" i="244" l="1"/>
  <c r="C44" i="244"/>
  <c r="M44" i="244" s="1"/>
  <c r="F5" i="242"/>
  <c r="F6" i="242"/>
  <c r="F7" i="242"/>
  <c r="F8" i="242"/>
  <c r="F9" i="242"/>
  <c r="F10" i="242"/>
  <c r="F11" i="242"/>
  <c r="F12" i="242"/>
  <c r="F13" i="242"/>
  <c r="F14" i="242"/>
  <c r="F15" i="242"/>
  <c r="F16" i="242"/>
  <c r="F17" i="242"/>
  <c r="F18" i="242"/>
  <c r="F19" i="242"/>
  <c r="F20" i="242"/>
  <c r="F21" i="242"/>
  <c r="F22" i="242"/>
  <c r="F23" i="242"/>
  <c r="F24" i="242"/>
  <c r="F25" i="242"/>
  <c r="F26" i="242"/>
  <c r="F27" i="242"/>
  <c r="F28" i="242"/>
  <c r="F29" i="242"/>
  <c r="F30" i="242"/>
  <c r="F31" i="242"/>
  <c r="F32" i="242"/>
  <c r="F33" i="242"/>
  <c r="F34" i="242"/>
  <c r="F35" i="242"/>
  <c r="F36" i="242"/>
  <c r="F37" i="242"/>
  <c r="F38" i="242"/>
  <c r="F39" i="242"/>
  <c r="F40" i="242"/>
  <c r="F41" i="242"/>
  <c r="F42" i="242"/>
  <c r="F43" i="242"/>
  <c r="F44" i="242"/>
  <c r="F45" i="242"/>
  <c r="F46" i="242"/>
  <c r="F47" i="242"/>
  <c r="F48" i="242"/>
  <c r="F49" i="242"/>
  <c r="F50" i="242"/>
  <c r="F51" i="242"/>
  <c r="F52" i="242"/>
  <c r="F53" i="242"/>
  <c r="F54" i="242"/>
  <c r="F55" i="242"/>
  <c r="F56" i="242"/>
  <c r="F57" i="242"/>
  <c r="F58" i="242"/>
  <c r="F59" i="242"/>
  <c r="F60" i="242"/>
  <c r="F61" i="242"/>
  <c r="F62" i="242"/>
  <c r="F63" i="242"/>
  <c r="F64" i="242"/>
  <c r="F65" i="242"/>
  <c r="F66" i="242"/>
  <c r="F67" i="242"/>
  <c r="F68" i="242"/>
  <c r="F69" i="242"/>
  <c r="F70" i="242"/>
  <c r="F71" i="242"/>
  <c r="F72" i="242"/>
  <c r="F73" i="242"/>
  <c r="F74" i="242"/>
  <c r="F75" i="242"/>
  <c r="F76" i="242"/>
  <c r="F77" i="242"/>
  <c r="F78" i="242"/>
  <c r="F79" i="242"/>
  <c r="F80" i="242"/>
  <c r="F81" i="242"/>
  <c r="F82" i="242"/>
  <c r="F83" i="242"/>
  <c r="F84" i="242"/>
  <c r="F85" i="242"/>
  <c r="F86" i="242"/>
  <c r="F87" i="242"/>
  <c r="F88" i="242"/>
  <c r="F89" i="242"/>
  <c r="F90" i="242"/>
  <c r="F91" i="242"/>
  <c r="F92" i="242"/>
  <c r="F93" i="242"/>
  <c r="F94" i="242"/>
  <c r="F95" i="242"/>
  <c r="F96" i="242"/>
  <c r="F97" i="242"/>
  <c r="F98" i="242"/>
  <c r="F99" i="242"/>
  <c r="F100" i="242"/>
  <c r="F101" i="242"/>
  <c r="F102" i="242"/>
  <c r="F103" i="242"/>
  <c r="F104" i="242"/>
  <c r="F105" i="242"/>
  <c r="F106" i="242"/>
  <c r="F107" i="242"/>
  <c r="F108" i="242"/>
  <c r="F109" i="242"/>
  <c r="F110" i="242"/>
  <c r="F111" i="242"/>
  <c r="F112" i="242"/>
  <c r="F113" i="242"/>
  <c r="F114" i="242"/>
  <c r="F115" i="242"/>
  <c r="F116" i="242"/>
  <c r="F117" i="242"/>
  <c r="F118" i="242"/>
  <c r="F119" i="242"/>
  <c r="F120" i="242"/>
  <c r="F121" i="242"/>
  <c r="F122" i="242"/>
  <c r="F123" i="242"/>
  <c r="F124" i="242"/>
  <c r="F125" i="242"/>
  <c r="F126" i="242"/>
  <c r="F127" i="242"/>
  <c r="F128" i="242"/>
  <c r="F129" i="242"/>
  <c r="F130" i="242"/>
  <c r="F131" i="242"/>
  <c r="F132" i="242"/>
  <c r="F133" i="242"/>
  <c r="F134" i="242"/>
  <c r="F135" i="242"/>
  <c r="F136" i="242"/>
  <c r="F137" i="242"/>
  <c r="F138" i="242"/>
  <c r="F139" i="242"/>
  <c r="F140" i="242"/>
  <c r="F141" i="242"/>
  <c r="F142" i="242"/>
  <c r="F143" i="242"/>
  <c r="F144" i="242"/>
  <c r="F145" i="242"/>
  <c r="F146" i="242"/>
  <c r="F147" i="242"/>
  <c r="F148" i="242"/>
  <c r="F149" i="242"/>
  <c r="F150" i="242"/>
  <c r="F151" i="242"/>
  <c r="F152" i="242"/>
  <c r="F153" i="242"/>
  <c r="F154" i="242"/>
  <c r="F155" i="242"/>
  <c r="F156" i="242"/>
  <c r="F157" i="242"/>
  <c r="F158" i="242"/>
  <c r="F159" i="242"/>
  <c r="F160" i="242"/>
  <c r="F161" i="242"/>
  <c r="F162" i="242"/>
  <c r="F163" i="242"/>
  <c r="F164" i="242"/>
  <c r="F165" i="242"/>
  <c r="F166" i="242"/>
  <c r="F167" i="242"/>
  <c r="F168" i="242"/>
  <c r="F169" i="242"/>
  <c r="F170" i="242"/>
  <c r="F171" i="242"/>
  <c r="F172" i="242"/>
  <c r="F173" i="242"/>
  <c r="F174" i="242"/>
  <c r="F175" i="242"/>
  <c r="F176" i="242"/>
  <c r="F177" i="242"/>
  <c r="F178" i="242"/>
  <c r="F179" i="242"/>
  <c r="F180" i="242"/>
  <c r="F181" i="242"/>
  <c r="F182" i="242"/>
  <c r="F183" i="242"/>
  <c r="F4" i="242"/>
  <c r="G375" i="242" l="1"/>
  <c r="M569" i="242"/>
  <c r="M557" i="242"/>
  <c r="M546" i="242"/>
  <c r="M531" i="242"/>
  <c r="M519" i="242"/>
  <c r="M508" i="242"/>
  <c r="G569" i="242"/>
  <c r="G557" i="242"/>
  <c r="G546" i="242"/>
  <c r="G531" i="242"/>
  <c r="G519" i="242"/>
  <c r="G508" i="242"/>
  <c r="S512" i="242"/>
  <c r="S576" i="242"/>
  <c r="S565" i="242"/>
  <c r="S550" i="242"/>
  <c r="S538" i="242"/>
  <c r="S527" i="242"/>
  <c r="V576" i="242"/>
  <c r="V563" i="242"/>
  <c r="V555" i="242"/>
  <c r="V542" i="242"/>
  <c r="V534" i="242"/>
  <c r="V521" i="242"/>
  <c r="V513" i="242"/>
  <c r="M523" i="242"/>
  <c r="G534" i="242"/>
  <c r="S553" i="242"/>
  <c r="V523" i="242"/>
  <c r="M559" i="242"/>
  <c r="G559" i="242"/>
  <c r="S578" i="242"/>
  <c r="V543" i="242"/>
  <c r="M582" i="242"/>
  <c r="M568" i="242"/>
  <c r="M555" i="242"/>
  <c r="M544" i="242"/>
  <c r="M530" i="242"/>
  <c r="M517" i="242"/>
  <c r="G582" i="242"/>
  <c r="G568" i="242"/>
  <c r="G555" i="242"/>
  <c r="G544" i="242"/>
  <c r="G530" i="242"/>
  <c r="G517" i="242"/>
  <c r="S525" i="242"/>
  <c r="S511" i="242"/>
  <c r="S574" i="242"/>
  <c r="S563" i="242"/>
  <c r="S549" i="242"/>
  <c r="S536" i="242"/>
  <c r="V583" i="242"/>
  <c r="V575" i="242"/>
  <c r="V562" i="242"/>
  <c r="V554" i="242"/>
  <c r="V541" i="242"/>
  <c r="V533" i="242"/>
  <c r="V520" i="242"/>
  <c r="V507" i="242"/>
  <c r="M510" i="242"/>
  <c r="S580" i="242"/>
  <c r="V570" i="242"/>
  <c r="G504" i="242"/>
  <c r="M532" i="242"/>
  <c r="G532" i="242"/>
  <c r="S540" i="242"/>
  <c r="V535" i="242"/>
  <c r="M580" i="242"/>
  <c r="M567" i="242"/>
  <c r="M553" i="242"/>
  <c r="M542" i="242"/>
  <c r="M529" i="242"/>
  <c r="M515" i="242"/>
  <c r="G580" i="242"/>
  <c r="G567" i="242"/>
  <c r="G553" i="242"/>
  <c r="G542" i="242"/>
  <c r="G529" i="242"/>
  <c r="G515" i="242"/>
  <c r="S523" i="242"/>
  <c r="S510" i="242"/>
  <c r="S572" i="242"/>
  <c r="S561" i="242"/>
  <c r="S548" i="242"/>
  <c r="S534" i="242"/>
  <c r="V582" i="242"/>
  <c r="V574" i="242"/>
  <c r="V561" i="242"/>
  <c r="V553" i="242"/>
  <c r="V540" i="242"/>
  <c r="V532" i="242"/>
  <c r="V519" i="242"/>
  <c r="V506" i="242"/>
  <c r="M561" i="242"/>
  <c r="G561" i="242"/>
  <c r="S515" i="242"/>
  <c r="S529" i="242"/>
  <c r="V544" i="242"/>
  <c r="M509" i="242"/>
  <c r="S513" i="242"/>
  <c r="V577" i="242"/>
  <c r="V514" i="242"/>
  <c r="M578" i="242"/>
  <c r="M566" i="242"/>
  <c r="M551" i="242"/>
  <c r="M540" i="242"/>
  <c r="M528" i="242"/>
  <c r="M513" i="242"/>
  <c r="G578" i="242"/>
  <c r="G566" i="242"/>
  <c r="G551" i="242"/>
  <c r="G540" i="242"/>
  <c r="G528" i="242"/>
  <c r="G513" i="242"/>
  <c r="S521" i="242"/>
  <c r="S509" i="242"/>
  <c r="S570" i="242"/>
  <c r="S559" i="242"/>
  <c r="S547" i="242"/>
  <c r="S532" i="242"/>
  <c r="V581" i="242"/>
  <c r="V573" i="242"/>
  <c r="V560" i="242"/>
  <c r="V552" i="242"/>
  <c r="V539" i="242"/>
  <c r="V526" i="242"/>
  <c r="V518" i="242"/>
  <c r="G506" i="242"/>
  <c r="M534" i="242"/>
  <c r="G510" i="242"/>
  <c r="V578" i="242"/>
  <c r="V536" i="242"/>
  <c r="M547" i="242"/>
  <c r="G521" i="242"/>
  <c r="S551" i="242"/>
  <c r="V564" i="242"/>
  <c r="M576" i="242"/>
  <c r="M565" i="242"/>
  <c r="M550" i="242"/>
  <c r="M538" i="242"/>
  <c r="M527" i="242"/>
  <c r="M512" i="242"/>
  <c r="G576" i="242"/>
  <c r="G565" i="242"/>
  <c r="G550" i="242"/>
  <c r="G538" i="242"/>
  <c r="G527" i="242"/>
  <c r="G512" i="242"/>
  <c r="S519" i="242"/>
  <c r="S508" i="242"/>
  <c r="S569" i="242"/>
  <c r="S557" i="242"/>
  <c r="S546" i="242"/>
  <c r="S531" i="242"/>
  <c r="V580" i="242"/>
  <c r="V572" i="242"/>
  <c r="V559" i="242"/>
  <c r="V551" i="242"/>
  <c r="V538" i="242"/>
  <c r="V525" i="242"/>
  <c r="V517" i="242"/>
  <c r="V505" i="242"/>
  <c r="M548" i="242"/>
  <c r="G548" i="242"/>
  <c r="S567" i="242"/>
  <c r="V515" i="242"/>
  <c r="M521" i="242"/>
  <c r="G547" i="242"/>
  <c r="S566" i="242"/>
  <c r="V556" i="242"/>
  <c r="M574" i="242"/>
  <c r="M563" i="242"/>
  <c r="M549" i="242"/>
  <c r="M536" i="242"/>
  <c r="M525" i="242"/>
  <c r="M511" i="242"/>
  <c r="G574" i="242"/>
  <c r="G563" i="242"/>
  <c r="G549" i="242"/>
  <c r="G536" i="242"/>
  <c r="G525" i="242"/>
  <c r="G511" i="242"/>
  <c r="S517" i="242"/>
  <c r="S582" i="242"/>
  <c r="S568" i="242"/>
  <c r="S555" i="242"/>
  <c r="S544" i="242"/>
  <c r="S530" i="242"/>
  <c r="V579" i="242"/>
  <c r="V571" i="242"/>
  <c r="V558" i="242"/>
  <c r="V545" i="242"/>
  <c r="V537" i="242"/>
  <c r="V524" i="242"/>
  <c r="V516" i="242"/>
  <c r="V504" i="242"/>
  <c r="M572" i="242"/>
  <c r="G572" i="242"/>
  <c r="G523" i="242"/>
  <c r="S542" i="242"/>
  <c r="V557" i="242"/>
  <c r="M570" i="242"/>
  <c r="G570" i="242"/>
  <c r="G509" i="242"/>
  <c r="S528" i="242"/>
  <c r="V522" i="242"/>
  <c r="M45" i="244"/>
  <c r="V503" i="242"/>
  <c r="V502" i="242"/>
  <c r="G502" i="242"/>
  <c r="V499" i="242"/>
  <c r="V498" i="242"/>
  <c r="G498" i="242"/>
  <c r="V494" i="242"/>
  <c r="M494" i="242"/>
  <c r="V501" i="242"/>
  <c r="G494" i="242"/>
  <c r="M496" i="242"/>
  <c r="V500" i="242"/>
  <c r="M504" i="242"/>
  <c r="G500" i="242"/>
  <c r="M506" i="242"/>
  <c r="V495" i="242"/>
  <c r="V497" i="242"/>
  <c r="M502" i="242"/>
  <c r="F489" i="242"/>
  <c r="M498" i="242"/>
  <c r="V496" i="242"/>
  <c r="M500" i="242"/>
  <c r="G496" i="242"/>
  <c r="G383" i="242"/>
  <c r="G391" i="242"/>
  <c r="G376" i="242"/>
  <c r="G384" i="242"/>
  <c r="G373" i="242"/>
  <c r="G382" i="242"/>
  <c r="G377" i="242"/>
  <c r="G385" i="242"/>
  <c r="H373" i="242"/>
  <c r="G390" i="242"/>
  <c r="G378" i="242"/>
  <c r="G386" i="242"/>
  <c r="H378" i="242"/>
  <c r="G381" i="242"/>
  <c r="G374" i="242"/>
  <c r="G379" i="242"/>
  <c r="G387" i="242"/>
  <c r="H380" i="242"/>
  <c r="G380" i="242"/>
  <c r="G388" i="242"/>
  <c r="H388" i="242"/>
  <c r="G389" i="242"/>
  <c r="P497" i="242"/>
  <c r="P506" i="242"/>
  <c r="P513" i="242"/>
  <c r="P521" i="242"/>
  <c r="P529" i="242"/>
  <c r="P537" i="242"/>
  <c r="P545" i="242"/>
  <c r="P553" i="242"/>
  <c r="P561" i="242"/>
  <c r="P569" i="242"/>
  <c r="P577" i="242"/>
  <c r="G490" i="242"/>
  <c r="M491" i="242"/>
  <c r="L490" i="242"/>
  <c r="L498" i="242"/>
  <c r="L505" i="242"/>
  <c r="L514" i="242"/>
  <c r="L522" i="242"/>
  <c r="L530" i="242"/>
  <c r="L538" i="242"/>
  <c r="L546" i="242"/>
  <c r="L554" i="242"/>
  <c r="L562" i="242"/>
  <c r="L570" i="242"/>
  <c r="L578" i="242"/>
  <c r="F490" i="242"/>
  <c r="F494" i="242"/>
  <c r="F498" i="242"/>
  <c r="F503" i="242"/>
  <c r="F505" i="242"/>
  <c r="F510" i="242"/>
  <c r="F514" i="242"/>
  <c r="F518" i="242"/>
  <c r="F522" i="242"/>
  <c r="F526" i="242"/>
  <c r="F530" i="242"/>
  <c r="F534" i="242"/>
  <c r="F538" i="242"/>
  <c r="F542" i="242"/>
  <c r="F546" i="242"/>
  <c r="F550" i="242"/>
  <c r="F554" i="242"/>
  <c r="P493" i="242"/>
  <c r="P498" i="242"/>
  <c r="P505" i="242"/>
  <c r="P514" i="242"/>
  <c r="P522" i="242"/>
  <c r="P530" i="242"/>
  <c r="P538" i="242"/>
  <c r="P546" i="242"/>
  <c r="P554" i="242"/>
  <c r="P562" i="242"/>
  <c r="P570" i="242"/>
  <c r="P578" i="242"/>
  <c r="G491" i="242"/>
  <c r="M492" i="242"/>
  <c r="L491" i="242"/>
  <c r="L500" i="242"/>
  <c r="L507" i="242"/>
  <c r="L515" i="242"/>
  <c r="L523" i="242"/>
  <c r="L531" i="242"/>
  <c r="L539" i="242"/>
  <c r="L547" i="242"/>
  <c r="L555" i="242"/>
  <c r="L563" i="242"/>
  <c r="L571" i="242"/>
  <c r="L579" i="242"/>
  <c r="J490" i="242"/>
  <c r="J494" i="242"/>
  <c r="J498" i="242"/>
  <c r="J503" i="242"/>
  <c r="J505" i="242"/>
  <c r="J510" i="242"/>
  <c r="J514" i="242"/>
  <c r="J518" i="242"/>
  <c r="J522" i="242"/>
  <c r="J526" i="242"/>
  <c r="J530" i="242"/>
  <c r="J534" i="242"/>
  <c r="J538" i="242"/>
  <c r="J542" i="242"/>
  <c r="J546" i="242"/>
  <c r="J550" i="242"/>
  <c r="J554" i="242"/>
  <c r="J558" i="242"/>
  <c r="J562" i="242"/>
  <c r="J566" i="242"/>
  <c r="J570" i="242"/>
  <c r="J574" i="242"/>
  <c r="J578" i="242"/>
  <c r="P490" i="242"/>
  <c r="P500" i="242"/>
  <c r="P507" i="242"/>
  <c r="P515" i="242"/>
  <c r="P523" i="242"/>
  <c r="P531" i="242"/>
  <c r="P539" i="242"/>
  <c r="P547" i="242"/>
  <c r="P555" i="242"/>
  <c r="P563" i="242"/>
  <c r="P571" i="242"/>
  <c r="P579" i="242"/>
  <c r="G492" i="242"/>
  <c r="M493" i="242"/>
  <c r="L492" i="242"/>
  <c r="L501" i="242"/>
  <c r="L508" i="242"/>
  <c r="L516" i="242"/>
  <c r="L524" i="242"/>
  <c r="L532" i="242"/>
  <c r="L540" i="242"/>
  <c r="L548" i="242"/>
  <c r="L556" i="242"/>
  <c r="L564" i="242"/>
  <c r="L572" i="242"/>
  <c r="L580" i="242"/>
  <c r="F491" i="242"/>
  <c r="F495" i="242"/>
  <c r="F500" i="242"/>
  <c r="F499" i="242"/>
  <c r="F507" i="242"/>
  <c r="F511" i="242"/>
  <c r="F515" i="242"/>
  <c r="F519" i="242"/>
  <c r="F523" i="242"/>
  <c r="F527" i="242"/>
  <c r="P491" i="242"/>
  <c r="P501" i="242"/>
  <c r="P508" i="242"/>
  <c r="P516" i="242"/>
  <c r="P524" i="242"/>
  <c r="P532" i="242"/>
  <c r="P540" i="242"/>
  <c r="P548" i="242"/>
  <c r="P556" i="242"/>
  <c r="P564" i="242"/>
  <c r="P572" i="242"/>
  <c r="P580" i="242"/>
  <c r="G493" i="242"/>
  <c r="L493" i="242"/>
  <c r="L502" i="242"/>
  <c r="L509" i="242"/>
  <c r="L517" i="242"/>
  <c r="L525" i="242"/>
  <c r="L533" i="242"/>
  <c r="L541" i="242"/>
  <c r="L549" i="242"/>
  <c r="L557" i="242"/>
  <c r="L565" i="242"/>
  <c r="L573" i="242"/>
  <c r="L581" i="242"/>
  <c r="J491" i="242"/>
  <c r="J495" i="242"/>
  <c r="J500" i="242"/>
  <c r="J499" i="242"/>
  <c r="J507" i="242"/>
  <c r="J511" i="242"/>
  <c r="J515" i="242"/>
  <c r="J519" i="242"/>
  <c r="J523" i="242"/>
  <c r="J527" i="242"/>
  <c r="J531" i="242"/>
  <c r="J535" i="242"/>
  <c r="J539" i="242"/>
  <c r="J543" i="242"/>
  <c r="P492" i="242"/>
  <c r="P502" i="242"/>
  <c r="P509" i="242"/>
  <c r="P517" i="242"/>
  <c r="P525" i="242"/>
  <c r="P533" i="242"/>
  <c r="P541" i="242"/>
  <c r="P549" i="242"/>
  <c r="P557" i="242"/>
  <c r="P565" i="242"/>
  <c r="P573" i="242"/>
  <c r="P581" i="242"/>
  <c r="L494" i="242"/>
  <c r="L503" i="242"/>
  <c r="L510" i="242"/>
  <c r="L518" i="242"/>
  <c r="L526" i="242"/>
  <c r="L534" i="242"/>
  <c r="L542" i="242"/>
  <c r="L550" i="242"/>
  <c r="L558" i="242"/>
  <c r="L566" i="242"/>
  <c r="L574" i="242"/>
  <c r="L582" i="242"/>
  <c r="F492" i="242"/>
  <c r="F496" i="242"/>
  <c r="F501" i="242"/>
  <c r="F504" i="242"/>
  <c r="F508" i="242"/>
  <c r="F512" i="242"/>
  <c r="F516" i="242"/>
  <c r="F520" i="242"/>
  <c r="F524" i="242"/>
  <c r="F528" i="242"/>
  <c r="F532" i="242"/>
  <c r="F536" i="242"/>
  <c r="F540" i="242"/>
  <c r="F544" i="242"/>
  <c r="F548" i="242"/>
  <c r="F552" i="242"/>
  <c r="P496" i="242"/>
  <c r="P519" i="242"/>
  <c r="P542" i="242"/>
  <c r="P560" i="242"/>
  <c r="P583" i="242"/>
  <c r="L506" i="242"/>
  <c r="L528" i="242"/>
  <c r="L551" i="242"/>
  <c r="L569" i="242"/>
  <c r="F493" i="242"/>
  <c r="J504" i="242"/>
  <c r="J513" i="242"/>
  <c r="F525" i="242"/>
  <c r="J533" i="242"/>
  <c r="J541" i="242"/>
  <c r="F549" i="242"/>
  <c r="J555" i="242"/>
  <c r="F560" i="242"/>
  <c r="J564" i="242"/>
  <c r="F569" i="242"/>
  <c r="J573" i="242"/>
  <c r="F578" i="242"/>
  <c r="J582" i="242"/>
  <c r="P510" i="242"/>
  <c r="L560" i="242"/>
  <c r="J520" i="242"/>
  <c r="J545" i="242"/>
  <c r="J571" i="242"/>
  <c r="F576" i="242"/>
  <c r="P511" i="242"/>
  <c r="P575" i="242"/>
  <c r="L497" i="242"/>
  <c r="P489" i="242"/>
  <c r="F521" i="242"/>
  <c r="F539" i="242"/>
  <c r="J567" i="242"/>
  <c r="J576" i="242"/>
  <c r="P535" i="242"/>
  <c r="L521" i="242"/>
  <c r="L489" i="242"/>
  <c r="J532" i="242"/>
  <c r="F559" i="242"/>
  <c r="P495" i="242"/>
  <c r="P536" i="242"/>
  <c r="P559" i="242"/>
  <c r="M489" i="242"/>
  <c r="L568" i="242"/>
  <c r="J502" i="242"/>
  <c r="J548" i="242"/>
  <c r="F573" i="242"/>
  <c r="P503" i="242"/>
  <c r="P520" i="242"/>
  <c r="P543" i="242"/>
  <c r="P566" i="242"/>
  <c r="G489" i="242"/>
  <c r="L511" i="242"/>
  <c r="L529" i="242"/>
  <c r="L552" i="242"/>
  <c r="L575" i="242"/>
  <c r="J493" i="242"/>
  <c r="F506" i="242"/>
  <c r="J516" i="242"/>
  <c r="J525" i="242"/>
  <c r="F535" i="242"/>
  <c r="F543" i="242"/>
  <c r="J549" i="242"/>
  <c r="F556" i="242"/>
  <c r="J560" i="242"/>
  <c r="F565" i="242"/>
  <c r="J569" i="242"/>
  <c r="F574" i="242"/>
  <c r="F579" i="242"/>
  <c r="F583" i="242"/>
  <c r="L519" i="242"/>
  <c r="J497" i="242"/>
  <c r="J537" i="242"/>
  <c r="J557" i="242"/>
  <c r="J580" i="242"/>
  <c r="L520" i="242"/>
  <c r="J509" i="242"/>
  <c r="F553" i="242"/>
  <c r="F572" i="242"/>
  <c r="P494" i="242"/>
  <c r="P558" i="242"/>
  <c r="L544" i="242"/>
  <c r="F502" i="242"/>
  <c r="J540" i="242"/>
  <c r="J563" i="242"/>
  <c r="J572" i="242"/>
  <c r="L504" i="242"/>
  <c r="J524" i="242"/>
  <c r="F555" i="242"/>
  <c r="J568" i="242"/>
  <c r="F582" i="242"/>
  <c r="P499" i="242"/>
  <c r="P526" i="242"/>
  <c r="P544" i="242"/>
  <c r="P567" i="242"/>
  <c r="L512" i="242"/>
  <c r="L535" i="242"/>
  <c r="L553" i="242"/>
  <c r="L576" i="242"/>
  <c r="J496" i="242"/>
  <c r="J506" i="242"/>
  <c r="F517" i="242"/>
  <c r="J528" i="242"/>
  <c r="J536" i="242"/>
  <c r="J544" i="242"/>
  <c r="F551" i="242"/>
  <c r="J556" i="242"/>
  <c r="F561" i="242"/>
  <c r="J565" i="242"/>
  <c r="F570" i="242"/>
  <c r="F575" i="242"/>
  <c r="J579" i="242"/>
  <c r="J583" i="242"/>
  <c r="P574" i="242"/>
  <c r="L496" i="242"/>
  <c r="L583" i="242"/>
  <c r="J529" i="242"/>
  <c r="F562" i="242"/>
  <c r="P552" i="242"/>
  <c r="L561" i="242"/>
  <c r="F531" i="242"/>
  <c r="F558" i="242"/>
  <c r="J512" i="242"/>
  <c r="J553" i="242"/>
  <c r="F577" i="242"/>
  <c r="L527" i="242"/>
  <c r="J492" i="242"/>
  <c r="F533" i="242"/>
  <c r="J559" i="242"/>
  <c r="J577" i="242"/>
  <c r="P504" i="242"/>
  <c r="P527" i="242"/>
  <c r="P550" i="242"/>
  <c r="P568" i="242"/>
  <c r="L495" i="242"/>
  <c r="L513" i="242"/>
  <c r="L536" i="242"/>
  <c r="L559" i="242"/>
  <c r="L577" i="242"/>
  <c r="F497" i="242"/>
  <c r="J508" i="242"/>
  <c r="J517" i="242"/>
  <c r="F529" i="242"/>
  <c r="F537" i="242"/>
  <c r="F545" i="242"/>
  <c r="J551" i="242"/>
  <c r="F557" i="242"/>
  <c r="J561" i="242"/>
  <c r="F566" i="242"/>
  <c r="F571" i="242"/>
  <c r="J575" i="242"/>
  <c r="F580" i="242"/>
  <c r="J489" i="242"/>
  <c r="P528" i="242"/>
  <c r="P551" i="242"/>
  <c r="L537" i="242"/>
  <c r="F509" i="242"/>
  <c r="J552" i="242"/>
  <c r="F567" i="242"/>
  <c r="P534" i="242"/>
  <c r="M490" i="242"/>
  <c r="L543" i="242"/>
  <c r="J501" i="242"/>
  <c r="F547" i="242"/>
  <c r="F563" i="242"/>
  <c r="F581" i="242"/>
  <c r="P512" i="242"/>
  <c r="P576" i="242"/>
  <c r="L499" i="242"/>
  <c r="L567" i="242"/>
  <c r="J521" i="242"/>
  <c r="J547" i="242"/>
  <c r="F568" i="242"/>
  <c r="J581" i="242"/>
  <c r="P518" i="242"/>
  <c r="P582" i="242"/>
  <c r="L545" i="242"/>
  <c r="F513" i="242"/>
  <c r="F541" i="242"/>
  <c r="F564" i="242"/>
  <c r="K44" i="244"/>
  <c r="L44" i="244"/>
  <c r="J44" i="244"/>
  <c r="I44" i="244"/>
  <c r="S489" i="242"/>
  <c r="S490" i="242"/>
  <c r="S496" i="242"/>
  <c r="S494" i="242"/>
  <c r="S492" i="242"/>
  <c r="S498" i="242"/>
  <c r="S493" i="242"/>
  <c r="S506" i="242"/>
  <c r="S502" i="242"/>
  <c r="S500" i="242"/>
  <c r="S491" i="242"/>
  <c r="S504" i="242"/>
  <c r="I43" i="244"/>
  <c r="J43" i="244"/>
  <c r="K43" i="244"/>
  <c r="L43" i="244"/>
  <c r="H531" i="242" l="1"/>
  <c r="K531" i="242" s="1"/>
  <c r="I387" i="242"/>
  <c r="I391" i="242"/>
  <c r="I389" i="242"/>
  <c r="I381" i="242"/>
  <c r="I377" i="242"/>
  <c r="I382" i="242"/>
  <c r="I373" i="242"/>
  <c r="I388" i="242"/>
  <c r="I386" i="242"/>
  <c r="I380" i="242"/>
  <c r="I378" i="242"/>
  <c r="I384" i="242"/>
  <c r="I390" i="242"/>
  <c r="I376" i="242"/>
  <c r="I379" i="242"/>
  <c r="I383" i="242"/>
  <c r="I374" i="242"/>
  <c r="I385" i="242"/>
  <c r="I375" i="242"/>
  <c r="L45" i="244"/>
  <c r="B48" i="1" s="1"/>
  <c r="H492" i="242"/>
  <c r="K492" i="242" s="1"/>
  <c r="N526" i="242"/>
  <c r="Q526" i="242" s="1"/>
  <c r="H563" i="242"/>
  <c r="K563" i="242" s="1"/>
  <c r="N563" i="242"/>
  <c r="Q563" i="242" s="1"/>
  <c r="H537" i="242"/>
  <c r="K537" i="242" s="1"/>
  <c r="N529" i="242"/>
  <c r="Q529" i="242" s="1"/>
  <c r="H513" i="242"/>
  <c r="K513" i="242" s="1"/>
  <c r="H581" i="242"/>
  <c r="K581" i="242" s="1"/>
  <c r="H567" i="242"/>
  <c r="K567" i="242" s="1"/>
  <c r="H561" i="242"/>
  <c r="K561" i="242" s="1"/>
  <c r="N509" i="242"/>
  <c r="Q509" i="242" s="1"/>
  <c r="H547" i="242"/>
  <c r="K547" i="242" s="1"/>
  <c r="H548" i="242"/>
  <c r="K548" i="242" s="1"/>
  <c r="N499" i="242"/>
  <c r="Q499" i="242" s="1"/>
  <c r="N566" i="242"/>
  <c r="Q566" i="242" s="1"/>
  <c r="H533" i="242"/>
  <c r="K533" i="242" s="1"/>
  <c r="N583" i="242"/>
  <c r="Q583" i="242" s="1"/>
  <c r="H532" i="242"/>
  <c r="N497" i="242"/>
  <c r="Q497" i="242" s="1"/>
  <c r="H557" i="242"/>
  <c r="K557" i="242" s="1"/>
  <c r="H549" i="242"/>
  <c r="K549" i="242" s="1"/>
  <c r="N510" i="242"/>
  <c r="Q510" i="242" s="1"/>
  <c r="N520" i="242"/>
  <c r="Q520" i="242" s="1"/>
  <c r="H541" i="242"/>
  <c r="K541" i="242" s="1"/>
  <c r="N538" i="242"/>
  <c r="Q538" i="242" s="1"/>
  <c r="H571" i="242"/>
  <c r="K571" i="242" s="1"/>
  <c r="H558" i="242"/>
  <c r="K558" i="242" s="1"/>
  <c r="N519" i="242"/>
  <c r="Q519" i="242" s="1"/>
  <c r="N533" i="242"/>
  <c r="Q533" i="242" s="1"/>
  <c r="H570" i="242"/>
  <c r="K570" i="242" s="1"/>
  <c r="N525" i="242"/>
  <c r="Q525" i="242" s="1"/>
  <c r="H493" i="242"/>
  <c r="K493" i="242" s="1"/>
  <c r="N532" i="242"/>
  <c r="Q532" i="242" s="1"/>
  <c r="H579" i="242"/>
  <c r="K579" i="242" s="1"/>
  <c r="H535" i="242"/>
  <c r="K535" i="242" s="1"/>
  <c r="N511" i="242"/>
  <c r="Q511" i="242" s="1"/>
  <c r="H559" i="242"/>
  <c r="K559" i="242" s="1"/>
  <c r="N573" i="242"/>
  <c r="Q573" i="242" s="1"/>
  <c r="H491" i="242"/>
  <c r="K491" i="242" s="1"/>
  <c r="N524" i="242"/>
  <c r="Q524" i="242" s="1"/>
  <c r="N579" i="242"/>
  <c r="Q579" i="242" s="1"/>
  <c r="N515" i="242"/>
  <c r="Q515" i="242" s="1"/>
  <c r="H554" i="242"/>
  <c r="K554" i="242" s="1"/>
  <c r="H490" i="242"/>
  <c r="K490" i="242" s="1"/>
  <c r="N576" i="242"/>
  <c r="Q576" i="242" s="1"/>
  <c r="H489" i="242"/>
  <c r="N518" i="242"/>
  <c r="Q518" i="242" s="1"/>
  <c r="N565" i="242"/>
  <c r="Q565" i="242" s="1"/>
  <c r="N580" i="242"/>
  <c r="Q580" i="242" s="1"/>
  <c r="N550" i="242"/>
  <c r="Q550" i="242" s="1"/>
  <c r="N536" i="242"/>
  <c r="Q536" i="242" s="1"/>
  <c r="N527" i="242"/>
  <c r="Q527" i="242" s="1"/>
  <c r="N504" i="242"/>
  <c r="H524" i="242"/>
  <c r="K524" i="242" s="1"/>
  <c r="N559" i="242"/>
  <c r="Q559" i="242" s="1"/>
  <c r="H577" i="242"/>
  <c r="K577" i="242" s="1"/>
  <c r="H574" i="242"/>
  <c r="K574" i="242" s="1"/>
  <c r="N568" i="242"/>
  <c r="N551" i="242"/>
  <c r="H552" i="242"/>
  <c r="K552" i="242" s="1"/>
  <c r="H520" i="242"/>
  <c r="K520" i="242" s="1"/>
  <c r="N502" i="242"/>
  <c r="Q502" i="242" s="1"/>
  <c r="H519" i="242"/>
  <c r="K519" i="242" s="1"/>
  <c r="N516" i="242"/>
  <c r="Q516" i="242" s="1"/>
  <c r="N571" i="242"/>
  <c r="Q571" i="242" s="1"/>
  <c r="N507" i="242"/>
  <c r="Q507" i="242" s="1"/>
  <c r="H550" i="242"/>
  <c r="K550" i="242" s="1"/>
  <c r="H518" i="242"/>
  <c r="K518" i="242" s="1"/>
  <c r="N578" i="242"/>
  <c r="Q578" i="242" s="1"/>
  <c r="N514" i="242"/>
  <c r="Q514" i="242" s="1"/>
  <c r="H545" i="242"/>
  <c r="K545" i="242" s="1"/>
  <c r="H551" i="242"/>
  <c r="H582" i="242"/>
  <c r="K582" i="242" s="1"/>
  <c r="N545" i="242"/>
  <c r="Q545" i="242" s="1"/>
  <c r="N489" i="242"/>
  <c r="Q489" i="242" s="1"/>
  <c r="H539" i="242"/>
  <c r="K539" i="242" s="1"/>
  <c r="H576" i="242"/>
  <c r="K576" i="242" s="1"/>
  <c r="N528" i="242"/>
  <c r="Q528" i="242" s="1"/>
  <c r="H516" i="242"/>
  <c r="K516" i="242" s="1"/>
  <c r="N574" i="242"/>
  <c r="Q574" i="242" s="1"/>
  <c r="N493" i="242"/>
  <c r="Q493" i="242" s="1"/>
  <c r="H515" i="242"/>
  <c r="N508" i="242"/>
  <c r="N500" i="242"/>
  <c r="Q500" i="242" s="1"/>
  <c r="H546" i="242"/>
  <c r="H514" i="242"/>
  <c r="K514" i="242" s="1"/>
  <c r="R514" i="242" s="1"/>
  <c r="N570" i="242"/>
  <c r="N505" i="242"/>
  <c r="Q505" i="242" s="1"/>
  <c r="H509" i="242"/>
  <c r="K509" i="242" s="1"/>
  <c r="H580" i="242"/>
  <c r="N535" i="242"/>
  <c r="Q535" i="242" s="1"/>
  <c r="H572" i="242"/>
  <c r="H565" i="242"/>
  <c r="H506" i="242"/>
  <c r="K506" i="242" s="1"/>
  <c r="N521" i="242"/>
  <c r="Q521" i="242" s="1"/>
  <c r="H521" i="242"/>
  <c r="K521" i="242" s="1"/>
  <c r="H578" i="242"/>
  <c r="K578" i="242" s="1"/>
  <c r="N506" i="242"/>
  <c r="Q506" i="242" s="1"/>
  <c r="H544" i="242"/>
  <c r="K544" i="242" s="1"/>
  <c r="H512" i="242"/>
  <c r="K512" i="242" s="1"/>
  <c r="N503" i="242"/>
  <c r="Q503" i="242" s="1"/>
  <c r="N549" i="242"/>
  <c r="N582" i="242"/>
  <c r="Q582" i="242" s="1"/>
  <c r="H511" i="242"/>
  <c r="N564" i="242"/>
  <c r="Q564" i="242" s="1"/>
  <c r="N501" i="242"/>
  <c r="Q501" i="242" s="1"/>
  <c r="N555" i="242"/>
  <c r="Q555" i="242" s="1"/>
  <c r="N491" i="242"/>
  <c r="Q491" i="242" s="1"/>
  <c r="H542" i="242"/>
  <c r="H510" i="242"/>
  <c r="K510" i="242" s="1"/>
  <c r="R510" i="242" s="1"/>
  <c r="N562" i="242"/>
  <c r="Q562" i="242" s="1"/>
  <c r="N498" i="242"/>
  <c r="Q498" i="242" s="1"/>
  <c r="H523" i="242"/>
  <c r="N543" i="242"/>
  <c r="Q543" i="242" s="1"/>
  <c r="N537" i="242"/>
  <c r="Q537" i="242" s="1"/>
  <c r="H529" i="242"/>
  <c r="K529" i="242" s="1"/>
  <c r="N495" i="242"/>
  <c r="Q495" i="242" s="1"/>
  <c r="H562" i="242"/>
  <c r="K562" i="242" s="1"/>
  <c r="N512" i="242"/>
  <c r="Q512" i="242" s="1"/>
  <c r="H555" i="242"/>
  <c r="K555" i="242" s="1"/>
  <c r="H502" i="242"/>
  <c r="K502" i="242" s="1"/>
  <c r="H553" i="242"/>
  <c r="H525" i="242"/>
  <c r="K525" i="242" s="1"/>
  <c r="H540" i="242"/>
  <c r="K540" i="242" s="1"/>
  <c r="H508" i="242"/>
  <c r="N558" i="242"/>
  <c r="Q558" i="242" s="1"/>
  <c r="N494" i="242"/>
  <c r="N541" i="242"/>
  <c r="Q541" i="242" s="1"/>
  <c r="H507" i="242"/>
  <c r="K507" i="242" s="1"/>
  <c r="N556" i="242"/>
  <c r="Q556" i="242" s="1"/>
  <c r="N492" i="242"/>
  <c r="N547" i="242"/>
  <c r="Q547" i="242" s="1"/>
  <c r="H538" i="242"/>
  <c r="K538" i="242" s="1"/>
  <c r="H505" i="242"/>
  <c r="K505" i="242" s="1"/>
  <c r="N554" i="242"/>
  <c r="N490" i="242"/>
  <c r="N557" i="242"/>
  <c r="Q557" i="242" s="1"/>
  <c r="H522" i="242"/>
  <c r="K522" i="242" s="1"/>
  <c r="N577" i="242"/>
  <c r="Q577" i="242" s="1"/>
  <c r="H575" i="242"/>
  <c r="K575" i="242" s="1"/>
  <c r="N569" i="242"/>
  <c r="Q569" i="242" s="1"/>
  <c r="N544" i="242"/>
  <c r="Q544" i="242" s="1"/>
  <c r="H556" i="242"/>
  <c r="K556" i="242" s="1"/>
  <c r="N575" i="242"/>
  <c r="Q575" i="242" s="1"/>
  <c r="H569" i="242"/>
  <c r="K569" i="242" s="1"/>
  <c r="H536" i="242"/>
  <c r="K536" i="242" s="1"/>
  <c r="H504" i="242"/>
  <c r="H499" i="242"/>
  <c r="K499" i="242" s="1"/>
  <c r="N548" i="242"/>
  <c r="Q548" i="242" s="1"/>
  <c r="N581" i="242"/>
  <c r="Q581" i="242" s="1"/>
  <c r="N539" i="242"/>
  <c r="Q539" i="242" s="1"/>
  <c r="H534" i="242"/>
  <c r="H503" i="242"/>
  <c r="K503" i="242" s="1"/>
  <c r="N546" i="242"/>
  <c r="H564" i="242"/>
  <c r="K564" i="242" s="1"/>
  <c r="H566" i="242"/>
  <c r="K566" i="242" s="1"/>
  <c r="H517" i="242"/>
  <c r="K517" i="242" s="1"/>
  <c r="N552" i="242"/>
  <c r="Q552" i="242" s="1"/>
  <c r="H573" i="242"/>
  <c r="K573" i="242" s="1"/>
  <c r="N513" i="242"/>
  <c r="N560" i="242"/>
  <c r="Q560" i="242" s="1"/>
  <c r="N522" i="242"/>
  <c r="Q522" i="242" s="1"/>
  <c r="H501" i="242"/>
  <c r="K501" i="242" s="1"/>
  <c r="N542" i="242"/>
  <c r="H500" i="242"/>
  <c r="K500" i="242" s="1"/>
  <c r="N540" i="242"/>
  <c r="Q540" i="242" s="1"/>
  <c r="N572" i="242"/>
  <c r="Q572" i="242" s="1"/>
  <c r="N531" i="242"/>
  <c r="Q531" i="242" s="1"/>
  <c r="H530" i="242"/>
  <c r="H498" i="242"/>
  <c r="K498" i="242" s="1"/>
  <c r="H568" i="242"/>
  <c r="H497" i="242"/>
  <c r="K497" i="242" s="1"/>
  <c r="N561" i="242"/>
  <c r="N496" i="242"/>
  <c r="H583" i="242"/>
  <c r="K583" i="242" s="1"/>
  <c r="H543" i="242"/>
  <c r="K543" i="242" s="1"/>
  <c r="N553" i="242"/>
  <c r="Q553" i="242" s="1"/>
  <c r="H560" i="242"/>
  <c r="K560" i="242" s="1"/>
  <c r="H528" i="242"/>
  <c r="K528" i="242" s="1"/>
  <c r="H496" i="242"/>
  <c r="N534" i="242"/>
  <c r="N517" i="242"/>
  <c r="Q517" i="242" s="1"/>
  <c r="H527" i="242"/>
  <c r="H495" i="242"/>
  <c r="K495" i="242" s="1"/>
  <c r="N567" i="242"/>
  <c r="Q567" i="242" s="1"/>
  <c r="N523" i="242"/>
  <c r="Q523" i="242" s="1"/>
  <c r="H526" i="242"/>
  <c r="K526" i="242" s="1"/>
  <c r="H494" i="242"/>
  <c r="N530" i="242"/>
  <c r="I45" i="244"/>
  <c r="B45" i="1" s="1"/>
  <c r="K45" i="244"/>
  <c r="B47" i="1" s="1"/>
  <c r="J45" i="244"/>
  <c r="B46" i="1" s="1"/>
  <c r="R519" i="242" l="1"/>
  <c r="U519" i="242" s="1"/>
  <c r="R526" i="242"/>
  <c r="U526" i="242" s="1"/>
  <c r="R521" i="242"/>
  <c r="U521" i="242" s="1"/>
  <c r="R525" i="242"/>
  <c r="U525" i="242" s="1"/>
  <c r="R522" i="242"/>
  <c r="U522" i="242" s="1"/>
  <c r="R509" i="242"/>
  <c r="U509" i="242" s="1"/>
  <c r="W509" i="242" s="1"/>
  <c r="R524" i="242"/>
  <c r="U524" i="242" s="1"/>
  <c r="R517" i="242"/>
  <c r="U517" i="242" s="1"/>
  <c r="R520" i="242"/>
  <c r="U520" i="242" s="1"/>
  <c r="R516" i="242"/>
  <c r="U516" i="242" s="1"/>
  <c r="R512" i="242"/>
  <c r="U512" i="242" s="1"/>
  <c r="W512" i="242" s="1"/>
  <c r="R518" i="242"/>
  <c r="U518" i="242" s="1"/>
  <c r="J374" i="242"/>
  <c r="G12" i="247" s="1"/>
  <c r="E12" i="247" s="1"/>
  <c r="K374" i="242" s="1"/>
  <c r="B403" i="242" s="1"/>
  <c r="J383" i="242"/>
  <c r="G21" i="247" s="1"/>
  <c r="E21" i="247" s="1"/>
  <c r="J380" i="242"/>
  <c r="G18" i="247" s="1"/>
  <c r="J385" i="242"/>
  <c r="G23" i="247" s="1"/>
  <c r="E23" i="247" s="1"/>
  <c r="K385" i="242" s="1"/>
  <c r="B414" i="242" s="1"/>
  <c r="J379" i="242"/>
  <c r="G17" i="247" s="1"/>
  <c r="E17" i="247" s="1"/>
  <c r="J382" i="242"/>
  <c r="G20" i="247" s="1"/>
  <c r="E20" i="247" s="1"/>
  <c r="J391" i="242"/>
  <c r="G29" i="247" s="1"/>
  <c r="E29" i="247" s="1"/>
  <c r="J373" i="242"/>
  <c r="J387" i="242"/>
  <c r="G25" i="247" s="1"/>
  <c r="E25" i="247" s="1"/>
  <c r="J386" i="242"/>
  <c r="G24" i="247" s="1"/>
  <c r="E24" i="247" s="1"/>
  <c r="J376" i="242"/>
  <c r="G14" i="247" s="1"/>
  <c r="E14" i="247" s="1"/>
  <c r="J388" i="242"/>
  <c r="G26" i="247" s="1"/>
  <c r="E26" i="247" s="1"/>
  <c r="J375" i="242"/>
  <c r="G13" i="247" s="1"/>
  <c r="E13" i="247" s="1"/>
  <c r="J390" i="242"/>
  <c r="G28" i="247" s="1"/>
  <c r="E28" i="247" s="1"/>
  <c r="J377" i="242"/>
  <c r="G15" i="247" s="1"/>
  <c r="E15" i="247" s="1"/>
  <c r="J384" i="242"/>
  <c r="G22" i="247" s="1"/>
  <c r="E22" i="247" s="1"/>
  <c r="J381" i="242"/>
  <c r="G19" i="247" s="1"/>
  <c r="E19" i="247" s="1"/>
  <c r="J378" i="242"/>
  <c r="G16" i="247" s="1"/>
  <c r="E16" i="247" s="1"/>
  <c r="J389" i="242"/>
  <c r="G27" i="247" s="1"/>
  <c r="E27" i="247" s="1"/>
  <c r="R531" i="242"/>
  <c r="U531" i="242" s="1"/>
  <c r="W531" i="242" s="1"/>
  <c r="R581" i="242"/>
  <c r="U581" i="242" s="1"/>
  <c r="R571" i="242"/>
  <c r="U571" i="242" s="1"/>
  <c r="I492" i="242"/>
  <c r="R538" i="242"/>
  <c r="U538" i="242" s="1"/>
  <c r="R497" i="242"/>
  <c r="U497" i="242" s="1"/>
  <c r="R567" i="242"/>
  <c r="U567" i="242" s="1"/>
  <c r="W567" i="242" s="1"/>
  <c r="R537" i="242"/>
  <c r="U537" i="242" s="1"/>
  <c r="R529" i="242"/>
  <c r="U529" i="242" s="1"/>
  <c r="W529" i="242" s="1"/>
  <c r="R579" i="242"/>
  <c r="U579" i="242" s="1"/>
  <c r="R563" i="242"/>
  <c r="U563" i="242" s="1"/>
  <c r="R557" i="242"/>
  <c r="U557" i="242" s="1"/>
  <c r="R556" i="242"/>
  <c r="U556" i="242" s="1"/>
  <c r="R558" i="242"/>
  <c r="U558" i="242" s="1"/>
  <c r="R503" i="242"/>
  <c r="U503" i="242" s="1"/>
  <c r="R569" i="242"/>
  <c r="U569" i="242" s="1"/>
  <c r="W569" i="242" s="1"/>
  <c r="R505" i="242"/>
  <c r="U505" i="242" s="1"/>
  <c r="R535" i="242"/>
  <c r="U535" i="242" s="1"/>
  <c r="I532" i="242"/>
  <c r="K532" i="242"/>
  <c r="R532" i="242" s="1"/>
  <c r="U532" i="242" s="1"/>
  <c r="R495" i="242"/>
  <c r="U495" i="242" s="1"/>
  <c r="U510" i="242"/>
  <c r="W510" i="242" s="1"/>
  <c r="R564" i="242"/>
  <c r="U564" i="242" s="1"/>
  <c r="I513" i="242"/>
  <c r="R562" i="242"/>
  <c r="U562" i="242" s="1"/>
  <c r="R536" i="242"/>
  <c r="U536" i="242" s="1"/>
  <c r="R493" i="242"/>
  <c r="U493" i="242" s="1"/>
  <c r="W493" i="242" s="1"/>
  <c r="I570" i="242"/>
  <c r="R560" i="242"/>
  <c r="U560" i="242" s="1"/>
  <c r="R502" i="242"/>
  <c r="U502" i="242" s="1"/>
  <c r="R544" i="242"/>
  <c r="U544" i="242" s="1"/>
  <c r="R577" i="242"/>
  <c r="U577" i="242" s="1"/>
  <c r="R545" i="242"/>
  <c r="U545" i="242" s="1"/>
  <c r="R543" i="242"/>
  <c r="U543" i="242" s="1"/>
  <c r="R539" i="242"/>
  <c r="U539" i="242" s="1"/>
  <c r="R533" i="242"/>
  <c r="U533" i="242" s="1"/>
  <c r="R582" i="242"/>
  <c r="U582" i="242" s="1"/>
  <c r="R548" i="242"/>
  <c r="U548" i="242" s="1"/>
  <c r="W548" i="242" s="1"/>
  <c r="R583" i="242"/>
  <c r="U583" i="242" s="1"/>
  <c r="O527" i="242"/>
  <c r="R498" i="242"/>
  <c r="U498" i="242" s="1"/>
  <c r="R578" i="242"/>
  <c r="U578" i="242" s="1"/>
  <c r="R541" i="242"/>
  <c r="U541" i="242" s="1"/>
  <c r="R552" i="242"/>
  <c r="U552" i="242" s="1"/>
  <c r="R550" i="242"/>
  <c r="U550" i="242" s="1"/>
  <c r="W550" i="242" s="1"/>
  <c r="U514" i="242"/>
  <c r="R507" i="242"/>
  <c r="U507" i="242" s="1"/>
  <c r="I489" i="242"/>
  <c r="R573" i="242"/>
  <c r="U573" i="242" s="1"/>
  <c r="R559" i="242"/>
  <c r="U559" i="242" s="1"/>
  <c r="R500" i="242"/>
  <c r="U500" i="242" s="1"/>
  <c r="K489" i="242"/>
  <c r="R489" i="242" s="1"/>
  <c r="U489" i="242" s="1"/>
  <c r="W489" i="242" s="1"/>
  <c r="R555" i="242"/>
  <c r="U555" i="242" s="1"/>
  <c r="R528" i="242"/>
  <c r="U528" i="242" s="1"/>
  <c r="W528" i="242" s="1"/>
  <c r="R574" i="242"/>
  <c r="U574" i="242" s="1"/>
  <c r="O532" i="242"/>
  <c r="R491" i="242"/>
  <c r="U491" i="242" s="1"/>
  <c r="W491" i="242" s="1"/>
  <c r="R576" i="242"/>
  <c r="U576" i="242" s="1"/>
  <c r="R501" i="242"/>
  <c r="U501" i="242" s="1"/>
  <c r="R499" i="242"/>
  <c r="U499" i="242" s="1"/>
  <c r="R575" i="242"/>
  <c r="U575" i="242" s="1"/>
  <c r="R547" i="242"/>
  <c r="U547" i="242" s="1"/>
  <c r="W547" i="242" s="1"/>
  <c r="R540" i="242"/>
  <c r="U540" i="242" s="1"/>
  <c r="R566" i="242"/>
  <c r="U566" i="242" s="1"/>
  <c r="W566" i="242" s="1"/>
  <c r="R506" i="242"/>
  <c r="U506" i="242" s="1"/>
  <c r="I549" i="242"/>
  <c r="O565" i="242"/>
  <c r="Q530" i="242"/>
  <c r="O530" i="242"/>
  <c r="K527" i="242"/>
  <c r="R527" i="242" s="1"/>
  <c r="U527" i="242" s="1"/>
  <c r="W527" i="242" s="1"/>
  <c r="I527" i="242"/>
  <c r="K504" i="242"/>
  <c r="I504" i="242"/>
  <c r="O492" i="242"/>
  <c r="Q492" i="242"/>
  <c r="R492" i="242" s="1"/>
  <c r="U492" i="242" s="1"/>
  <c r="W492" i="242" s="1"/>
  <c r="K565" i="242"/>
  <c r="R565" i="242" s="1"/>
  <c r="U565" i="242" s="1"/>
  <c r="W565" i="242" s="1"/>
  <c r="I565" i="242"/>
  <c r="K515" i="242"/>
  <c r="I515" i="242"/>
  <c r="O572" i="242"/>
  <c r="K494" i="242"/>
  <c r="I494" i="242"/>
  <c r="O546" i="242"/>
  <c r="Q546" i="242"/>
  <c r="K553" i="242"/>
  <c r="R553" i="242" s="1"/>
  <c r="U553" i="242" s="1"/>
  <c r="I553" i="242"/>
  <c r="K572" i="242"/>
  <c r="R572" i="242" s="1"/>
  <c r="U572" i="242" s="1"/>
  <c r="I572" i="242"/>
  <c r="I561" i="242"/>
  <c r="Q508" i="242"/>
  <c r="O508" i="242"/>
  <c r="Q534" i="242"/>
  <c r="O534" i="242"/>
  <c r="O496" i="242"/>
  <c r="Q496" i="242"/>
  <c r="K523" i="242"/>
  <c r="I523" i="242"/>
  <c r="O551" i="242"/>
  <c r="Q551" i="242"/>
  <c r="K496" i="242"/>
  <c r="I496" i="242"/>
  <c r="Q561" i="242"/>
  <c r="R561" i="242" s="1"/>
  <c r="U561" i="242" s="1"/>
  <c r="O561" i="242"/>
  <c r="K534" i="242"/>
  <c r="I534" i="242"/>
  <c r="O489" i="242"/>
  <c r="Q490" i="242"/>
  <c r="R490" i="242" s="1"/>
  <c r="K511" i="242"/>
  <c r="I511" i="242"/>
  <c r="K580" i="242"/>
  <c r="R580" i="242" s="1"/>
  <c r="U580" i="242" s="1"/>
  <c r="I580" i="242"/>
  <c r="Q570" i="242"/>
  <c r="R570" i="242" s="1"/>
  <c r="U570" i="242" s="1"/>
  <c r="O570" i="242"/>
  <c r="Q513" i="242"/>
  <c r="R513" i="242" s="1"/>
  <c r="O513" i="242"/>
  <c r="O553" i="242"/>
  <c r="Q554" i="242"/>
  <c r="R554" i="242" s="1"/>
  <c r="U554" i="242" s="1"/>
  <c r="O494" i="242"/>
  <c r="Q494" i="242"/>
  <c r="K551" i="242"/>
  <c r="I551" i="242"/>
  <c r="O580" i="242"/>
  <c r="O511" i="242"/>
  <c r="K530" i="242"/>
  <c r="R530" i="242" s="1"/>
  <c r="U530" i="242" s="1"/>
  <c r="W530" i="242" s="1"/>
  <c r="I530" i="242"/>
  <c r="I568" i="242"/>
  <c r="K568" i="242"/>
  <c r="O523" i="242"/>
  <c r="O549" i="242"/>
  <c r="Q549" i="242"/>
  <c r="R549" i="242" s="1"/>
  <c r="U549" i="242" s="1"/>
  <c r="W549" i="242" s="1"/>
  <c r="K546" i="242"/>
  <c r="I546" i="242"/>
  <c r="O568" i="242"/>
  <c r="Q568" i="242"/>
  <c r="O542" i="242"/>
  <c r="Q542" i="242"/>
  <c r="K508" i="242"/>
  <c r="I508" i="242"/>
  <c r="K542" i="242"/>
  <c r="I542" i="242"/>
  <c r="O515" i="242"/>
  <c r="Q504" i="242"/>
  <c r="O504" i="242"/>
  <c r="E18" i="247" l="1"/>
  <c r="K380" i="242" s="1"/>
  <c r="B409" i="242" s="1"/>
  <c r="U490" i="242"/>
  <c r="W490" i="242" s="1"/>
  <c r="W503" i="242"/>
  <c r="W502" i="242"/>
  <c r="W498" i="242"/>
  <c r="W499" i="242"/>
  <c r="W507" i="242"/>
  <c r="W506" i="242"/>
  <c r="W500" i="242"/>
  <c r="W501" i="242"/>
  <c r="U513" i="242"/>
  <c r="W513" i="242" s="1"/>
  <c r="R508" i="242"/>
  <c r="U508" i="242" s="1"/>
  <c r="W508" i="242" s="1"/>
  <c r="W571" i="242"/>
  <c r="W570" i="242"/>
  <c r="W577" i="242"/>
  <c r="W576" i="242"/>
  <c r="W575" i="242"/>
  <c r="W574" i="242"/>
  <c r="W579" i="242"/>
  <c r="W578" i="242"/>
  <c r="W573" i="242"/>
  <c r="W572" i="242"/>
  <c r="W581" i="242"/>
  <c r="W580" i="242"/>
  <c r="W583" i="242"/>
  <c r="W582" i="242"/>
  <c r="W559" i="242"/>
  <c r="W560" i="242"/>
  <c r="W564" i="242"/>
  <c r="W563" i="242"/>
  <c r="W562" i="242"/>
  <c r="W561" i="242"/>
  <c r="W556" i="242"/>
  <c r="W555" i="242"/>
  <c r="W558" i="242"/>
  <c r="W557" i="242"/>
  <c r="W554" i="242"/>
  <c r="W553" i="242"/>
  <c r="W537" i="242"/>
  <c r="W536" i="242"/>
  <c r="W539" i="242"/>
  <c r="W538" i="242"/>
  <c r="W540" i="242"/>
  <c r="W541" i="242"/>
  <c r="W545" i="242"/>
  <c r="W544" i="242"/>
  <c r="W532" i="242"/>
  <c r="W533" i="242"/>
  <c r="R523" i="242"/>
  <c r="U523" i="242" s="1"/>
  <c r="R511" i="242"/>
  <c r="U511" i="242" s="1"/>
  <c r="W511" i="242" s="1"/>
  <c r="R515" i="242"/>
  <c r="U515" i="242" s="1"/>
  <c r="W525" i="242"/>
  <c r="W526" i="242"/>
  <c r="W521" i="242"/>
  <c r="W522" i="242"/>
  <c r="W520" i="242"/>
  <c r="W519" i="242"/>
  <c r="W517" i="242"/>
  <c r="W518" i="242"/>
  <c r="B42" i="246"/>
  <c r="D42" i="246" s="1"/>
  <c r="B37" i="246"/>
  <c r="D37" i="246" s="1"/>
  <c r="B31" i="246"/>
  <c r="D31" i="246" s="1"/>
  <c r="K383" i="242"/>
  <c r="B412" i="242" s="1"/>
  <c r="B40" i="246"/>
  <c r="D40" i="246" s="1"/>
  <c r="B38" i="246"/>
  <c r="D38" i="246" s="1"/>
  <c r="K381" i="242"/>
  <c r="B410" i="242" s="1"/>
  <c r="B41" i="246"/>
  <c r="D41" i="246" s="1"/>
  <c r="K384" i="242"/>
  <c r="B413" i="242" s="1"/>
  <c r="B43" i="246"/>
  <c r="D43" i="246" s="1"/>
  <c r="K386" i="242"/>
  <c r="B415" i="242" s="1"/>
  <c r="K377" i="242"/>
  <c r="B406" i="242" s="1"/>
  <c r="B34" i="246"/>
  <c r="D34" i="246" s="1"/>
  <c r="K387" i="242"/>
  <c r="B416" i="242" s="1"/>
  <c r="B44" i="246"/>
  <c r="D44" i="246" s="1"/>
  <c r="K390" i="242"/>
  <c r="B419" i="242" s="1"/>
  <c r="B47" i="246"/>
  <c r="D47" i="246" s="1"/>
  <c r="J399" i="242"/>
  <c r="G11" i="247"/>
  <c r="E11" i="247" s="1"/>
  <c r="K375" i="242"/>
  <c r="B404" i="242" s="1"/>
  <c r="B32" i="246"/>
  <c r="D32" i="246" s="1"/>
  <c r="K391" i="242"/>
  <c r="B420" i="242" s="1"/>
  <c r="B48" i="246"/>
  <c r="D48" i="246" s="1"/>
  <c r="B45" i="246"/>
  <c r="D45" i="246" s="1"/>
  <c r="K388" i="242"/>
  <c r="K378" i="242"/>
  <c r="B35" i="246"/>
  <c r="D35" i="246" s="1"/>
  <c r="K389" i="242"/>
  <c r="B418" i="242" s="1"/>
  <c r="B46" i="246"/>
  <c r="D46" i="246" s="1"/>
  <c r="K376" i="242"/>
  <c r="B33" i="246"/>
  <c r="D33" i="246" s="1"/>
  <c r="B39" i="246"/>
  <c r="D39" i="246" s="1"/>
  <c r="K382" i="242"/>
  <c r="B411" i="242" s="1"/>
  <c r="K379" i="242"/>
  <c r="B408" i="242" s="1"/>
  <c r="B36" i="246"/>
  <c r="D36" i="246" s="1"/>
  <c r="R568" i="242"/>
  <c r="U568" i="242" s="1"/>
  <c r="W568" i="242" s="1"/>
  <c r="R542" i="242"/>
  <c r="U542" i="242" s="1"/>
  <c r="R546" i="242"/>
  <c r="U546" i="242" s="1"/>
  <c r="W546" i="242" s="1"/>
  <c r="R494" i="242"/>
  <c r="U494" i="242" s="1"/>
  <c r="R551" i="242"/>
  <c r="U551" i="242" s="1"/>
  <c r="R534" i="242"/>
  <c r="U534" i="242" s="1"/>
  <c r="R504" i="242"/>
  <c r="U504" i="242" s="1"/>
  <c r="R496" i="242"/>
  <c r="U496" i="242" s="1"/>
  <c r="A44" i="240"/>
  <c r="A45" i="240"/>
  <c r="A46" i="240"/>
  <c r="A47" i="240"/>
  <c r="A48" i="240"/>
  <c r="A49" i="240"/>
  <c r="A50" i="240"/>
  <c r="A51" i="240"/>
  <c r="A52" i="240"/>
  <c r="A53" i="240"/>
  <c r="A54" i="240"/>
  <c r="A55" i="240"/>
  <c r="A56" i="240"/>
  <c r="A57" i="240"/>
  <c r="A58" i="240"/>
  <c r="A59" i="240"/>
  <c r="A60" i="240"/>
  <c r="A61" i="240"/>
  <c r="A62" i="240"/>
  <c r="A63" i="240"/>
  <c r="A64" i="240"/>
  <c r="A65" i="240"/>
  <c r="A66" i="240"/>
  <c r="A67" i="240"/>
  <c r="A68" i="240"/>
  <c r="A69" i="240"/>
  <c r="A70" i="240"/>
  <c r="A71" i="240"/>
  <c r="A72" i="240"/>
  <c r="A43" i="240"/>
  <c r="A25" i="240"/>
  <c r="A26" i="240"/>
  <c r="A27" i="240"/>
  <c r="A28" i="240"/>
  <c r="A29" i="240"/>
  <c r="A30" i="240"/>
  <c r="A31" i="240"/>
  <c r="A32" i="240"/>
  <c r="A33" i="240"/>
  <c r="A34" i="240"/>
  <c r="A35" i="240"/>
  <c r="A36" i="240"/>
  <c r="A37" i="240"/>
  <c r="A38" i="240"/>
  <c r="A24" i="240"/>
  <c r="A6" i="240"/>
  <c r="A7" i="240"/>
  <c r="A8" i="240"/>
  <c r="A9" i="240"/>
  <c r="A10" i="240"/>
  <c r="A11" i="240"/>
  <c r="A12" i="240"/>
  <c r="A13" i="240"/>
  <c r="A14" i="240"/>
  <c r="A15" i="240"/>
  <c r="A16" i="240"/>
  <c r="A17" i="240"/>
  <c r="A18" i="240"/>
  <c r="A19" i="240"/>
  <c r="A5" i="240"/>
  <c r="A44" i="239"/>
  <c r="A45" i="239"/>
  <c r="A46" i="239"/>
  <c r="A47" i="239"/>
  <c r="A48" i="239"/>
  <c r="A49" i="239"/>
  <c r="A50" i="239"/>
  <c r="A51" i="239"/>
  <c r="A52" i="239"/>
  <c r="A53" i="239"/>
  <c r="A54" i="239"/>
  <c r="A55" i="239"/>
  <c r="A56" i="239"/>
  <c r="A57" i="239"/>
  <c r="A58" i="239"/>
  <c r="A59" i="239"/>
  <c r="A60" i="239"/>
  <c r="A61" i="239"/>
  <c r="A62" i="239"/>
  <c r="A63" i="239"/>
  <c r="A64" i="239"/>
  <c r="A65" i="239"/>
  <c r="A66" i="239"/>
  <c r="A67" i="239"/>
  <c r="A68" i="239"/>
  <c r="A69" i="239"/>
  <c r="A70" i="239"/>
  <c r="A71" i="239"/>
  <c r="A72" i="239"/>
  <c r="A43" i="239"/>
  <c r="A25" i="239"/>
  <c r="A26" i="239"/>
  <c r="A27" i="239"/>
  <c r="A28" i="239"/>
  <c r="A29" i="239"/>
  <c r="A30" i="239"/>
  <c r="A31" i="239"/>
  <c r="A32" i="239"/>
  <c r="A33" i="239"/>
  <c r="A34" i="239"/>
  <c r="A35" i="239"/>
  <c r="A36" i="239"/>
  <c r="A37" i="239"/>
  <c r="A38" i="239"/>
  <c r="A24" i="239"/>
  <c r="A6" i="239"/>
  <c r="A7" i="239"/>
  <c r="A8" i="239"/>
  <c r="A9" i="239"/>
  <c r="A10" i="239"/>
  <c r="A11" i="239"/>
  <c r="A12" i="239"/>
  <c r="A13" i="239"/>
  <c r="A14" i="239"/>
  <c r="A15" i="239"/>
  <c r="A16" i="239"/>
  <c r="A17" i="239"/>
  <c r="A18" i="239"/>
  <c r="A19" i="239"/>
  <c r="A5" i="239"/>
  <c r="A45" i="236"/>
  <c r="A46" i="236"/>
  <c r="A47" i="236"/>
  <c r="A48" i="236"/>
  <c r="A49" i="236"/>
  <c r="A50" i="236"/>
  <c r="A51" i="236"/>
  <c r="A52" i="236"/>
  <c r="A53" i="236"/>
  <c r="A54" i="236"/>
  <c r="A55" i="236"/>
  <c r="A56" i="236"/>
  <c r="A57" i="236"/>
  <c r="A58" i="236"/>
  <c r="A59" i="236"/>
  <c r="A60" i="236"/>
  <c r="A61" i="236"/>
  <c r="A62" i="236"/>
  <c r="A63" i="236"/>
  <c r="A64" i="236"/>
  <c r="A65" i="236"/>
  <c r="A66" i="236"/>
  <c r="A67" i="236"/>
  <c r="A68" i="236"/>
  <c r="A69" i="236"/>
  <c r="A70" i="236"/>
  <c r="A71" i="236"/>
  <c r="A72" i="236"/>
  <c r="A73" i="236"/>
  <c r="A44" i="236"/>
  <c r="A25" i="236"/>
  <c r="A26" i="236"/>
  <c r="A27" i="236"/>
  <c r="A28" i="236"/>
  <c r="A29" i="236"/>
  <c r="A30" i="236"/>
  <c r="A31" i="236"/>
  <c r="A32" i="236"/>
  <c r="A33" i="236"/>
  <c r="A34" i="236"/>
  <c r="A35" i="236"/>
  <c r="A36" i="236"/>
  <c r="A37" i="236"/>
  <c r="A38" i="236"/>
  <c r="A39" i="236"/>
  <c r="A24" i="236"/>
  <c r="A6" i="236"/>
  <c r="A7" i="236"/>
  <c r="A8" i="236"/>
  <c r="A9" i="236"/>
  <c r="A10" i="236"/>
  <c r="A11" i="236"/>
  <c r="A12" i="236"/>
  <c r="A13" i="236"/>
  <c r="A14" i="236"/>
  <c r="A15" i="236"/>
  <c r="A16" i="236"/>
  <c r="A17" i="236"/>
  <c r="A18" i="236"/>
  <c r="A19" i="236"/>
  <c r="A5" i="236"/>
  <c r="A44" i="235"/>
  <c r="A45" i="235"/>
  <c r="A46" i="235"/>
  <c r="A47" i="235"/>
  <c r="A48" i="235"/>
  <c r="A49" i="235"/>
  <c r="A50" i="235"/>
  <c r="A51" i="235"/>
  <c r="A52" i="235"/>
  <c r="A53" i="235"/>
  <c r="A54" i="235"/>
  <c r="A55" i="235"/>
  <c r="A56" i="235"/>
  <c r="A57" i="235"/>
  <c r="A58" i="235"/>
  <c r="A59" i="235"/>
  <c r="A60" i="235"/>
  <c r="A61" i="235"/>
  <c r="A62" i="235"/>
  <c r="A63" i="235"/>
  <c r="A64" i="235"/>
  <c r="A65" i="235"/>
  <c r="A66" i="235"/>
  <c r="A67" i="235"/>
  <c r="A68" i="235"/>
  <c r="A69" i="235"/>
  <c r="A70" i="235"/>
  <c r="A71" i="235"/>
  <c r="A72" i="235"/>
  <c r="A43" i="235"/>
  <c r="A25" i="235"/>
  <c r="A26" i="235"/>
  <c r="A27" i="235"/>
  <c r="A28" i="235"/>
  <c r="A29" i="235"/>
  <c r="A30" i="235"/>
  <c r="A31" i="235"/>
  <c r="A32" i="235"/>
  <c r="A33" i="235"/>
  <c r="A34" i="235"/>
  <c r="A35" i="235"/>
  <c r="A36" i="235"/>
  <c r="A37" i="235"/>
  <c r="A38" i="235"/>
  <c r="A24" i="235"/>
  <c r="A6" i="235"/>
  <c r="A7" i="235"/>
  <c r="A8" i="235"/>
  <c r="A9" i="235"/>
  <c r="A10" i="235"/>
  <c r="A11" i="235"/>
  <c r="A12" i="235"/>
  <c r="A13" i="235"/>
  <c r="A14" i="235"/>
  <c r="A15" i="235"/>
  <c r="A16" i="235"/>
  <c r="A17" i="235"/>
  <c r="A18" i="235"/>
  <c r="A19" i="235"/>
  <c r="A5" i="235"/>
  <c r="A44" i="234"/>
  <c r="A45" i="234"/>
  <c r="A46" i="234"/>
  <c r="A47" i="234"/>
  <c r="A48" i="234"/>
  <c r="A49" i="234"/>
  <c r="A50" i="234"/>
  <c r="A51" i="234"/>
  <c r="A52" i="234"/>
  <c r="A53" i="234"/>
  <c r="A54" i="234"/>
  <c r="A55" i="234"/>
  <c r="A56" i="234"/>
  <c r="A57" i="234"/>
  <c r="A58" i="234"/>
  <c r="A59" i="234"/>
  <c r="A60" i="234"/>
  <c r="A61" i="234"/>
  <c r="A62" i="234"/>
  <c r="A63" i="234"/>
  <c r="A64" i="234"/>
  <c r="A65" i="234"/>
  <c r="A66" i="234"/>
  <c r="A67" i="234"/>
  <c r="A68" i="234"/>
  <c r="A69" i="234"/>
  <c r="A70" i="234"/>
  <c r="A71" i="234"/>
  <c r="A72" i="234"/>
  <c r="A43" i="234"/>
  <c r="A25" i="234"/>
  <c r="A26" i="234"/>
  <c r="A27" i="234"/>
  <c r="A28" i="234"/>
  <c r="A29" i="234"/>
  <c r="A30" i="234"/>
  <c r="A31" i="234"/>
  <c r="A32" i="234"/>
  <c r="A33" i="234"/>
  <c r="A34" i="234"/>
  <c r="A35" i="234"/>
  <c r="A36" i="234"/>
  <c r="A37" i="234"/>
  <c r="A38" i="234"/>
  <c r="A24" i="234"/>
  <c r="A6" i="234"/>
  <c r="A7" i="234"/>
  <c r="A8" i="234"/>
  <c r="A9" i="234"/>
  <c r="A10" i="234"/>
  <c r="A11" i="234"/>
  <c r="A12" i="234"/>
  <c r="A13" i="234"/>
  <c r="A14" i="234"/>
  <c r="A15" i="234"/>
  <c r="A16" i="234"/>
  <c r="A17" i="234"/>
  <c r="A18" i="234"/>
  <c r="A19" i="234"/>
  <c r="A5" i="234"/>
  <c r="A44" i="233"/>
  <c r="A45" i="233"/>
  <c r="A46" i="233"/>
  <c r="A47" i="233"/>
  <c r="A48" i="233"/>
  <c r="A49" i="233"/>
  <c r="A50" i="233"/>
  <c r="A51" i="233"/>
  <c r="A52" i="233"/>
  <c r="A53" i="233"/>
  <c r="A54" i="233"/>
  <c r="A55" i="233"/>
  <c r="A56" i="233"/>
  <c r="A57" i="233"/>
  <c r="A58" i="233"/>
  <c r="A59" i="233"/>
  <c r="A60" i="233"/>
  <c r="A61" i="233"/>
  <c r="A62" i="233"/>
  <c r="A63" i="233"/>
  <c r="A64" i="233"/>
  <c r="A65" i="233"/>
  <c r="A66" i="233"/>
  <c r="A67" i="233"/>
  <c r="A68" i="233"/>
  <c r="A69" i="233"/>
  <c r="A70" i="233"/>
  <c r="A71" i="233"/>
  <c r="A72" i="233"/>
  <c r="A43" i="233"/>
  <c r="A25" i="233"/>
  <c r="A26" i="233"/>
  <c r="A27" i="233"/>
  <c r="A28" i="233"/>
  <c r="A29" i="233"/>
  <c r="A30" i="233"/>
  <c r="A31" i="233"/>
  <c r="A32" i="233"/>
  <c r="A33" i="233"/>
  <c r="A34" i="233"/>
  <c r="A35" i="233"/>
  <c r="A36" i="233"/>
  <c r="A37" i="233"/>
  <c r="A38" i="233"/>
  <c r="A24" i="233"/>
  <c r="A6" i="233"/>
  <c r="A7" i="233"/>
  <c r="A8" i="233"/>
  <c r="A9" i="233"/>
  <c r="A10" i="233"/>
  <c r="A11" i="233"/>
  <c r="A12" i="233"/>
  <c r="A13" i="233"/>
  <c r="A14" i="233"/>
  <c r="A15" i="233"/>
  <c r="A16" i="233"/>
  <c r="A17" i="233"/>
  <c r="A18" i="233"/>
  <c r="A19" i="233"/>
  <c r="A5" i="233"/>
  <c r="A44" i="231"/>
  <c r="A45" i="231"/>
  <c r="A46" i="231"/>
  <c r="A47" i="231"/>
  <c r="A48" i="231"/>
  <c r="A49" i="231"/>
  <c r="A50" i="231"/>
  <c r="A51" i="231"/>
  <c r="A52" i="231"/>
  <c r="A53" i="231"/>
  <c r="A54" i="231"/>
  <c r="A55" i="231"/>
  <c r="A56" i="231"/>
  <c r="A57" i="231"/>
  <c r="A58" i="231"/>
  <c r="A59" i="231"/>
  <c r="A60" i="231"/>
  <c r="A61" i="231"/>
  <c r="A62" i="231"/>
  <c r="A63" i="231"/>
  <c r="A64" i="231"/>
  <c r="A65" i="231"/>
  <c r="A66" i="231"/>
  <c r="A67" i="231"/>
  <c r="A68" i="231"/>
  <c r="A69" i="231"/>
  <c r="A70" i="231"/>
  <c r="A71" i="231"/>
  <c r="A72" i="231"/>
  <c r="A43" i="231"/>
  <c r="A25" i="231"/>
  <c r="A26" i="231"/>
  <c r="A27" i="231"/>
  <c r="A28" i="231"/>
  <c r="A29" i="231"/>
  <c r="A30" i="231"/>
  <c r="A31" i="231"/>
  <c r="A32" i="231"/>
  <c r="A33" i="231"/>
  <c r="A34" i="231"/>
  <c r="A35" i="231"/>
  <c r="A36" i="231"/>
  <c r="A37" i="231"/>
  <c r="A38" i="231"/>
  <c r="A24" i="231"/>
  <c r="A6" i="231"/>
  <c r="A7" i="231"/>
  <c r="A8" i="231"/>
  <c r="A9" i="231"/>
  <c r="A10" i="231"/>
  <c r="A11" i="231"/>
  <c r="A12" i="231"/>
  <c r="A13" i="231"/>
  <c r="A14" i="231"/>
  <c r="A15" i="231"/>
  <c r="A16" i="231"/>
  <c r="A17" i="231"/>
  <c r="A18" i="231"/>
  <c r="A19" i="231"/>
  <c r="A5" i="231"/>
  <c r="A19" i="230"/>
  <c r="A6" i="230"/>
  <c r="A7" i="230"/>
  <c r="A8" i="230"/>
  <c r="A9" i="230"/>
  <c r="A10" i="230"/>
  <c r="A11" i="230"/>
  <c r="A12" i="230"/>
  <c r="A13" i="230"/>
  <c r="A14" i="230"/>
  <c r="A15" i="230"/>
  <c r="A16" i="230"/>
  <c r="A17" i="230"/>
  <c r="A18" i="230"/>
  <c r="A5" i="230"/>
  <c r="A25" i="230"/>
  <c r="A26" i="230"/>
  <c r="A27" i="230"/>
  <c r="A28" i="230"/>
  <c r="A29" i="230"/>
  <c r="A30" i="230"/>
  <c r="A31" i="230"/>
  <c r="A32" i="230"/>
  <c r="A33" i="230"/>
  <c r="A34" i="230"/>
  <c r="A35" i="230"/>
  <c r="A36" i="230"/>
  <c r="A37" i="230"/>
  <c r="A38" i="230"/>
  <c r="A24" i="230"/>
  <c r="A44" i="230"/>
  <c r="A45" i="230"/>
  <c r="A46" i="230"/>
  <c r="A47" i="230"/>
  <c r="A48" i="230"/>
  <c r="A49" i="230"/>
  <c r="A50" i="230"/>
  <c r="A51" i="230"/>
  <c r="A52" i="230"/>
  <c r="A53" i="230"/>
  <c r="A54" i="230"/>
  <c r="A55" i="230"/>
  <c r="A56" i="230"/>
  <c r="A57" i="230"/>
  <c r="A58" i="230"/>
  <c r="A59" i="230"/>
  <c r="A60" i="230"/>
  <c r="A61" i="230"/>
  <c r="A62" i="230"/>
  <c r="A63" i="230"/>
  <c r="A64" i="230"/>
  <c r="A65" i="230"/>
  <c r="A66" i="230"/>
  <c r="A67" i="230"/>
  <c r="A68" i="230"/>
  <c r="A69" i="230"/>
  <c r="A70" i="230"/>
  <c r="A71" i="230"/>
  <c r="A72" i="230"/>
  <c r="A43" i="230"/>
  <c r="A57" i="228"/>
  <c r="A58" i="228"/>
  <c r="A59" i="228"/>
  <c r="A60" i="228"/>
  <c r="A61" i="228"/>
  <c r="A62" i="228"/>
  <c r="A63" i="228"/>
  <c r="A64" i="228"/>
  <c r="A65" i="228"/>
  <c r="A66" i="228"/>
  <c r="A67" i="228"/>
  <c r="A68" i="228"/>
  <c r="A69" i="228"/>
  <c r="A70" i="228"/>
  <c r="A71" i="228"/>
  <c r="A72" i="228"/>
  <c r="A56" i="228"/>
  <c r="A55" i="228"/>
  <c r="A54" i="228"/>
  <c r="A53" i="228"/>
  <c r="A52" i="228"/>
  <c r="A51" i="228"/>
  <c r="A50" i="228"/>
  <c r="A49" i="228"/>
  <c r="A48" i="228"/>
  <c r="A47" i="228"/>
  <c r="A46" i="228"/>
  <c r="A45" i="228"/>
  <c r="A44" i="228"/>
  <c r="A43" i="228"/>
  <c r="A42" i="228"/>
  <c r="A38" i="228"/>
  <c r="A37" i="228"/>
  <c r="A36" i="228"/>
  <c r="A35" i="228"/>
  <c r="A34" i="228"/>
  <c r="A33" i="228"/>
  <c r="A32" i="228"/>
  <c r="A31" i="228"/>
  <c r="A30" i="228"/>
  <c r="A29" i="228"/>
  <c r="A28" i="228"/>
  <c r="A27" i="228"/>
  <c r="A26" i="228"/>
  <c r="A25" i="228"/>
  <c r="A24" i="228"/>
  <c r="A17" i="228"/>
  <c r="A18" i="228"/>
  <c r="A19" i="228"/>
  <c r="B4" i="12"/>
  <c r="AH4" i="1"/>
  <c r="D50" i="246" l="1"/>
  <c r="AL64" i="213" s="1"/>
  <c r="E7" i="218" s="1"/>
  <c r="W514" i="242"/>
  <c r="W496" i="242"/>
  <c r="W497" i="242"/>
  <c r="W505" i="242"/>
  <c r="W504" i="242"/>
  <c r="W494" i="242"/>
  <c r="W495" i="242"/>
  <c r="W551" i="242"/>
  <c r="W552" i="242"/>
  <c r="W542" i="242"/>
  <c r="W543" i="242"/>
  <c r="W534" i="242"/>
  <c r="W535" i="242"/>
  <c r="W523" i="242"/>
  <c r="W524" i="242"/>
  <c r="W516" i="242"/>
  <c r="W515" i="242"/>
  <c r="D409" i="242"/>
  <c r="B397" i="242"/>
  <c r="B395" i="242"/>
  <c r="B405" i="242"/>
  <c r="D405" i="242" s="1"/>
  <c r="B417" i="242"/>
  <c r="D417" i="242" s="1"/>
  <c r="B398" i="242"/>
  <c r="E30" i="247"/>
  <c r="K373" i="242"/>
  <c r="B30" i="246"/>
  <c r="B50" i="246" s="1"/>
  <c r="B396" i="242"/>
  <c r="B407" i="242"/>
  <c r="D407" i="242" s="1"/>
  <c r="B62" i="213"/>
  <c r="B50" i="213"/>
  <c r="G33" i="213"/>
  <c r="I33" i="213"/>
  <c r="J33" i="213"/>
  <c r="K33" i="213"/>
  <c r="L33" i="213"/>
  <c r="M33" i="213"/>
  <c r="N33" i="213"/>
  <c r="O33" i="213"/>
  <c r="P33" i="213"/>
  <c r="Q33" i="213"/>
  <c r="R33" i="213"/>
  <c r="S33" i="213"/>
  <c r="T33" i="213"/>
  <c r="U33" i="213"/>
  <c r="V33" i="213"/>
  <c r="W33" i="213"/>
  <c r="X33" i="213"/>
  <c r="Y33" i="213"/>
  <c r="Z33" i="213"/>
  <c r="BJ64" i="213" l="1" a="1"/>
  <c r="BJ64" i="213" s="1"/>
  <c r="BK64" i="213" a="1"/>
  <c r="BK64" i="213" s="1"/>
  <c r="K399" i="242"/>
  <c r="B402" i="242"/>
  <c r="B394" i="242"/>
  <c r="B42" i="213"/>
  <c r="AF224" i="223"/>
  <c r="AG224" i="223"/>
  <c r="AH224" i="223"/>
  <c r="AI224" i="223"/>
  <c r="AJ224" i="223"/>
  <c r="AK224" i="223"/>
  <c r="AL224" i="223"/>
  <c r="AM224" i="223"/>
  <c r="AN224" i="223"/>
  <c r="AO224" i="223"/>
  <c r="AP224" i="223"/>
  <c r="AQ224" i="223"/>
  <c r="AR224" i="223"/>
  <c r="AS224" i="223"/>
  <c r="AT224" i="223"/>
  <c r="AU224" i="223"/>
  <c r="AV224" i="223"/>
  <c r="AW224" i="223"/>
  <c r="AX224" i="223"/>
  <c r="AY224" i="223"/>
  <c r="BL64" i="213" l="1"/>
  <c r="BM64" i="213"/>
  <c r="D402" i="242"/>
  <c r="B421" i="242"/>
  <c r="B66" i="213"/>
  <c r="AD3" i="218"/>
  <c r="AC3" i="218"/>
  <c r="AB3" i="218"/>
  <c r="AA3" i="218"/>
  <c r="Z3" i="218"/>
  <c r="Y3" i="218"/>
  <c r="X3" i="218"/>
  <c r="W3" i="218"/>
  <c r="V3" i="218"/>
  <c r="U3" i="218"/>
  <c r="T3" i="218"/>
  <c r="S3" i="218"/>
  <c r="R3" i="218"/>
  <c r="Q3" i="218"/>
  <c r="P3" i="218"/>
  <c r="O3" i="218"/>
  <c r="N3" i="218"/>
  <c r="M3" i="218"/>
  <c r="L3" i="218"/>
  <c r="K3" i="218"/>
  <c r="J3" i="218"/>
  <c r="I3" i="218"/>
  <c r="H3" i="218"/>
  <c r="G3" i="218"/>
  <c r="F3" i="218"/>
  <c r="E3" i="218"/>
  <c r="D3" i="218"/>
  <c r="AD19" i="218"/>
  <c r="AC19" i="218"/>
  <c r="AB19" i="218"/>
  <c r="AA19" i="218"/>
  <c r="Z19" i="218"/>
  <c r="Y19" i="218"/>
  <c r="X19" i="218"/>
  <c r="W19" i="218"/>
  <c r="V19" i="218"/>
  <c r="U19" i="218"/>
  <c r="T19" i="218"/>
  <c r="S19" i="218"/>
  <c r="R19" i="218"/>
  <c r="Q19" i="218"/>
  <c r="P19" i="218"/>
  <c r="O19" i="218"/>
  <c r="N19" i="218"/>
  <c r="M19" i="218"/>
  <c r="L19" i="218"/>
  <c r="K19" i="218"/>
  <c r="J19" i="218"/>
  <c r="I19" i="218"/>
  <c r="H19" i="218"/>
  <c r="G19" i="218"/>
  <c r="F19" i="218"/>
  <c r="E19" i="218"/>
  <c r="D19" i="218"/>
  <c r="AD49" i="218"/>
  <c r="AC49" i="218"/>
  <c r="AB49" i="218"/>
  <c r="AA49" i="218"/>
  <c r="Z49" i="218"/>
  <c r="Y49" i="218"/>
  <c r="X49" i="218"/>
  <c r="W49" i="218"/>
  <c r="V49" i="218"/>
  <c r="U49" i="218"/>
  <c r="T49" i="218"/>
  <c r="S49" i="218"/>
  <c r="R49" i="218"/>
  <c r="Q49" i="218"/>
  <c r="P49" i="218"/>
  <c r="O49" i="218"/>
  <c r="N49" i="218"/>
  <c r="M49" i="218"/>
  <c r="L49" i="218"/>
  <c r="K49" i="218"/>
  <c r="J49" i="218"/>
  <c r="I49" i="218"/>
  <c r="H49" i="218"/>
  <c r="G49" i="218"/>
  <c r="F49" i="218"/>
  <c r="E49" i="218"/>
  <c r="D49" i="218"/>
  <c r="AD34" i="218"/>
  <c r="AC34" i="218"/>
  <c r="AB34" i="218"/>
  <c r="AA34" i="218"/>
  <c r="Z34" i="218"/>
  <c r="Y34" i="218"/>
  <c r="X34" i="218"/>
  <c r="W34" i="218"/>
  <c r="V34" i="218"/>
  <c r="U34" i="218"/>
  <c r="T34" i="218"/>
  <c r="S34" i="218"/>
  <c r="R34" i="218"/>
  <c r="Q34" i="218"/>
  <c r="P34" i="218"/>
  <c r="O34" i="218"/>
  <c r="N34" i="218"/>
  <c r="M34" i="218"/>
  <c r="L34" i="218"/>
  <c r="K34" i="218"/>
  <c r="J34" i="218"/>
  <c r="I34" i="218"/>
  <c r="H34" i="218"/>
  <c r="G34" i="218"/>
  <c r="F34" i="218"/>
  <c r="E34" i="218"/>
  <c r="D34" i="218"/>
  <c r="A49" i="218"/>
  <c r="A34" i="218"/>
  <c r="A19" i="218"/>
  <c r="AI19" i="218"/>
  <c r="AI3" i="218"/>
  <c r="A3" i="218"/>
  <c r="B4" i="220"/>
  <c r="AB117" i="220"/>
  <c r="AA117" i="220"/>
  <c r="Z117" i="220"/>
  <c r="Y117" i="220"/>
  <c r="X117" i="220"/>
  <c r="W117" i="220"/>
  <c r="V117" i="220"/>
  <c r="U117" i="220"/>
  <c r="T117" i="220"/>
  <c r="S117" i="220"/>
  <c r="R117" i="220"/>
  <c r="Q117" i="220"/>
  <c r="P117" i="220"/>
  <c r="O117" i="220"/>
  <c r="N117" i="220"/>
  <c r="M117" i="220"/>
  <c r="L117" i="220"/>
  <c r="K117" i="220"/>
  <c r="J117" i="220"/>
  <c r="I117" i="220"/>
  <c r="H117" i="220"/>
  <c r="G117" i="220"/>
  <c r="F117" i="220"/>
  <c r="E117" i="220"/>
  <c r="D117" i="220"/>
  <c r="C117" i="220"/>
  <c r="B117" i="220"/>
  <c r="AB53" i="220"/>
  <c r="AA53" i="220"/>
  <c r="Z53" i="220"/>
  <c r="Y53" i="220"/>
  <c r="X53" i="220"/>
  <c r="W53" i="220"/>
  <c r="V53" i="220"/>
  <c r="U53" i="220"/>
  <c r="T53" i="220"/>
  <c r="S53" i="220"/>
  <c r="R53" i="220"/>
  <c r="Q53" i="220"/>
  <c r="P53" i="220"/>
  <c r="O53" i="220"/>
  <c r="N53" i="220"/>
  <c r="M53" i="220"/>
  <c r="L53" i="220"/>
  <c r="K53" i="220"/>
  <c r="J53" i="220"/>
  <c r="I53" i="220"/>
  <c r="H53" i="220"/>
  <c r="G53" i="220"/>
  <c r="F53" i="220"/>
  <c r="E53" i="220"/>
  <c r="B53" i="220"/>
  <c r="D53" i="220"/>
  <c r="C53" i="220"/>
  <c r="AB4" i="220"/>
  <c r="AA4" i="220"/>
  <c r="Z4" i="220"/>
  <c r="Y4" i="220"/>
  <c r="X4" i="220"/>
  <c r="W4" i="220"/>
  <c r="V4" i="220"/>
  <c r="U4" i="220"/>
  <c r="T4" i="220"/>
  <c r="S4" i="220"/>
  <c r="R4" i="220"/>
  <c r="Q4" i="220"/>
  <c r="P4" i="220"/>
  <c r="O4" i="220"/>
  <c r="N4" i="220"/>
  <c r="M4" i="220"/>
  <c r="L4" i="220"/>
  <c r="K4" i="220"/>
  <c r="J4" i="220"/>
  <c r="I4" i="220"/>
  <c r="H4" i="220"/>
  <c r="G4" i="220"/>
  <c r="F4" i="220"/>
  <c r="E4" i="220"/>
  <c r="D4" i="220"/>
  <c r="C4" i="220"/>
  <c r="AB68" i="220"/>
  <c r="AA68" i="220"/>
  <c r="Z68" i="220"/>
  <c r="Y68" i="220"/>
  <c r="X68" i="220"/>
  <c r="W68" i="220"/>
  <c r="V68" i="220"/>
  <c r="U68" i="220"/>
  <c r="T68" i="220"/>
  <c r="S68" i="220"/>
  <c r="R68" i="220"/>
  <c r="Q68" i="220"/>
  <c r="P68" i="220"/>
  <c r="O68" i="220"/>
  <c r="N68" i="220"/>
  <c r="M68" i="220"/>
  <c r="L68" i="220"/>
  <c r="K68" i="220"/>
  <c r="J68" i="220"/>
  <c r="I68" i="220"/>
  <c r="H68" i="220"/>
  <c r="G68" i="220"/>
  <c r="F68" i="220"/>
  <c r="E68" i="220"/>
  <c r="D68" i="220"/>
  <c r="C68" i="220"/>
  <c r="B68" i="220"/>
  <c r="E3" i="216"/>
  <c r="A14" i="213"/>
  <c r="AD14" i="213"/>
  <c r="AF66" i="213"/>
  <c r="A68" i="213"/>
  <c r="AD68" i="213"/>
  <c r="AP3" i="213"/>
  <c r="BK16" i="213"/>
  <c r="BJ16" i="213"/>
  <c r="BI16" i="213"/>
  <c r="BH16" i="213"/>
  <c r="BG16" i="213"/>
  <c r="BF16" i="213"/>
  <c r="BE16" i="213"/>
  <c r="BD16" i="213"/>
  <c r="BC16" i="213"/>
  <c r="BB16" i="213"/>
  <c r="BA16" i="213"/>
  <c r="AZ16" i="213"/>
  <c r="AY16" i="213"/>
  <c r="AX16" i="213"/>
  <c r="AW16" i="213"/>
  <c r="AV16" i="213"/>
  <c r="AU16" i="213"/>
  <c r="AT16" i="213"/>
  <c r="AS16" i="213"/>
  <c r="AR16" i="213"/>
  <c r="AQ16" i="213"/>
  <c r="AP16" i="213"/>
  <c r="AO16" i="213"/>
  <c r="AN16" i="213"/>
  <c r="AM16" i="213"/>
  <c r="AL16" i="213"/>
  <c r="AK16" i="213"/>
  <c r="BM16" i="213"/>
  <c r="BL16" i="213"/>
  <c r="AI16" i="213"/>
  <c r="AK3" i="213"/>
  <c r="BM3" i="213"/>
  <c r="BL3" i="213"/>
  <c r="BK3" i="213"/>
  <c r="BJ3" i="213"/>
  <c r="BI3" i="213"/>
  <c r="BH3" i="213"/>
  <c r="BG3" i="213"/>
  <c r="BF3" i="213"/>
  <c r="BE3" i="213"/>
  <c r="BD3" i="213"/>
  <c r="BC3" i="213"/>
  <c r="BB3" i="213"/>
  <c r="BA3" i="213"/>
  <c r="AZ3" i="213"/>
  <c r="AY3" i="213"/>
  <c r="AX3" i="213"/>
  <c r="AW3" i="213"/>
  <c r="AV3" i="213"/>
  <c r="AU3" i="213"/>
  <c r="AT3" i="213"/>
  <c r="AS3" i="213"/>
  <c r="AR3" i="213"/>
  <c r="AQ3" i="213"/>
  <c r="AO3" i="213"/>
  <c r="AN3" i="213"/>
  <c r="AM3" i="213"/>
  <c r="AL3" i="213"/>
  <c r="AI3" i="213"/>
  <c r="AE3" i="213"/>
  <c r="I4" i="212"/>
  <c r="F169" i="212"/>
  <c r="F147" i="212"/>
  <c r="F108" i="212"/>
  <c r="B108" i="212"/>
  <c r="B169" i="212"/>
  <c r="B147" i="212"/>
  <c r="B119" i="212"/>
  <c r="R166" i="212"/>
  <c r="R133" i="212"/>
  <c r="R69" i="212"/>
  <c r="R60" i="212"/>
  <c r="R42" i="212"/>
  <c r="N42" i="212"/>
  <c r="N166" i="212"/>
  <c r="N133" i="212"/>
  <c r="N69" i="212"/>
  <c r="N60" i="212"/>
  <c r="J166" i="212"/>
  <c r="J133" i="212"/>
  <c r="J69" i="212"/>
  <c r="J42" i="212"/>
  <c r="J60" i="212"/>
  <c r="F42" i="212"/>
  <c r="F166" i="212"/>
  <c r="F133" i="212"/>
  <c r="F69" i="212"/>
  <c r="F60" i="212"/>
  <c r="F163" i="212"/>
  <c r="F119" i="212"/>
  <c r="B163" i="212"/>
  <c r="B166" i="212"/>
  <c r="B133" i="212"/>
  <c r="B69" i="212"/>
  <c r="B60" i="212"/>
  <c r="B42" i="212"/>
  <c r="B31" i="212"/>
  <c r="D173" i="212"/>
  <c r="C173" i="212"/>
  <c r="B173" i="212"/>
  <c r="E172" i="212"/>
  <c r="J169" i="212"/>
  <c r="V166" i="212"/>
  <c r="V133" i="212"/>
  <c r="V69" i="212"/>
  <c r="J147" i="212"/>
  <c r="J163" i="212"/>
  <c r="J119" i="212"/>
  <c r="J108" i="212"/>
  <c r="J99" i="212"/>
  <c r="J81" i="212"/>
  <c r="I31" i="212"/>
  <c r="V60" i="212"/>
  <c r="V42" i="212"/>
  <c r="J31" i="212"/>
  <c r="J22" i="212"/>
  <c r="J4" i="212"/>
  <c r="F31" i="212"/>
  <c r="U166" i="212"/>
  <c r="Q166" i="212"/>
  <c r="M166" i="212"/>
  <c r="I166" i="212"/>
  <c r="I169" i="212"/>
  <c r="E169" i="212"/>
  <c r="E166" i="212"/>
  <c r="I163" i="212"/>
  <c r="E163" i="212"/>
  <c r="U133" i="212"/>
  <c r="E147" i="212"/>
  <c r="I147" i="212"/>
  <c r="Q133" i="212"/>
  <c r="M133" i="212"/>
  <c r="I133" i="212"/>
  <c r="E133" i="212"/>
  <c r="E119" i="212"/>
  <c r="I119" i="212"/>
  <c r="I108" i="212"/>
  <c r="I99" i="212"/>
  <c r="E108" i="212"/>
  <c r="E99" i="212"/>
  <c r="E81" i="212"/>
  <c r="I81" i="212"/>
  <c r="U69" i="212"/>
  <c r="U60" i="212"/>
  <c r="U42" i="212"/>
  <c r="Q69" i="212"/>
  <c r="M69" i="212"/>
  <c r="I69" i="212"/>
  <c r="E69" i="212"/>
  <c r="Q60" i="212"/>
  <c r="M60" i="212"/>
  <c r="I60" i="212"/>
  <c r="E60" i="212"/>
  <c r="Q42" i="212"/>
  <c r="M42" i="212"/>
  <c r="I42" i="212"/>
  <c r="E42" i="212"/>
  <c r="E31" i="212"/>
  <c r="I22" i="212"/>
  <c r="E22" i="212"/>
  <c r="E4" i="212"/>
  <c r="F4" i="212"/>
  <c r="F22" i="212"/>
  <c r="B22" i="212"/>
  <c r="B4" i="212"/>
  <c r="AC4" i="9"/>
  <c r="AC23" i="9"/>
  <c r="AB23" i="9"/>
  <c r="AB4" i="9"/>
  <c r="AA38" i="11"/>
  <c r="AC60" i="11"/>
  <c r="AB38" i="11"/>
  <c r="Z38" i="11"/>
  <c r="AA23" i="9"/>
  <c r="Z23" i="9"/>
  <c r="Y23" i="9"/>
  <c r="X23" i="9"/>
  <c r="W23" i="9"/>
  <c r="V23" i="9"/>
  <c r="U23" i="9"/>
  <c r="T23" i="9"/>
  <c r="S23" i="9"/>
  <c r="R23" i="9"/>
  <c r="Q23" i="9"/>
  <c r="P23" i="9"/>
  <c r="O23" i="9"/>
  <c r="N23" i="9"/>
  <c r="M23" i="9"/>
  <c r="L23" i="9"/>
  <c r="K23" i="9"/>
  <c r="J23" i="9"/>
  <c r="I23" i="9"/>
  <c r="H23" i="9"/>
  <c r="G23" i="9"/>
  <c r="F23" i="9"/>
  <c r="E23" i="9"/>
  <c r="D23" i="9"/>
  <c r="C23" i="9"/>
  <c r="AA4" i="9"/>
  <c r="Z4" i="9"/>
  <c r="Y4" i="9"/>
  <c r="X4" i="9"/>
  <c r="W4" i="9"/>
  <c r="V4" i="9"/>
  <c r="U4" i="9"/>
  <c r="T4" i="9"/>
  <c r="S4" i="9"/>
  <c r="R4" i="9"/>
  <c r="Q4" i="9"/>
  <c r="P4" i="9"/>
  <c r="O4" i="9"/>
  <c r="N4" i="9"/>
  <c r="M4" i="9"/>
  <c r="L4" i="9"/>
  <c r="K4" i="9"/>
  <c r="J4" i="9"/>
  <c r="I4" i="9"/>
  <c r="H4" i="9"/>
  <c r="G4" i="9"/>
  <c r="F4" i="9"/>
  <c r="E4" i="9"/>
  <c r="D4" i="9"/>
  <c r="C4" i="9"/>
  <c r="Z60" i="11"/>
  <c r="Y60" i="11"/>
  <c r="X60" i="11"/>
  <c r="W60" i="11"/>
  <c r="V60" i="11"/>
  <c r="U60" i="11"/>
  <c r="T60" i="11"/>
  <c r="S60" i="11"/>
  <c r="R60" i="11"/>
  <c r="Q60" i="11"/>
  <c r="P60" i="11"/>
  <c r="O60" i="11"/>
  <c r="N60" i="11"/>
  <c r="M60" i="11"/>
  <c r="L60" i="11"/>
  <c r="K60" i="11"/>
  <c r="J60" i="11"/>
  <c r="I60" i="11"/>
  <c r="H60" i="11"/>
  <c r="G60" i="11"/>
  <c r="F60" i="11"/>
  <c r="E60" i="11"/>
  <c r="D60" i="11"/>
  <c r="C60" i="11"/>
  <c r="B60" i="11"/>
  <c r="Y38" i="11"/>
  <c r="X38" i="11"/>
  <c r="W38" i="11"/>
  <c r="V38" i="11"/>
  <c r="U38" i="11"/>
  <c r="T38" i="11"/>
  <c r="S38" i="11"/>
  <c r="R38" i="11"/>
  <c r="Q38" i="11"/>
  <c r="P38" i="11"/>
  <c r="O38" i="11"/>
  <c r="N38" i="11"/>
  <c r="M38" i="11"/>
  <c r="L38" i="11"/>
  <c r="K38" i="11"/>
  <c r="J38" i="11"/>
  <c r="I38" i="11"/>
  <c r="H38" i="11"/>
  <c r="G38" i="11"/>
  <c r="F38" i="11"/>
  <c r="E38" i="11"/>
  <c r="D38" i="11"/>
  <c r="C38" i="11"/>
  <c r="B38" i="11"/>
  <c r="Z4" i="11"/>
  <c r="Y4" i="11"/>
  <c r="X4" i="11"/>
  <c r="W4" i="11"/>
  <c r="V4" i="11"/>
  <c r="U4" i="11"/>
  <c r="T4" i="11"/>
  <c r="S4" i="11"/>
  <c r="R4" i="11"/>
  <c r="Q4" i="11"/>
  <c r="P4" i="11"/>
  <c r="O4" i="11"/>
  <c r="N4" i="11"/>
  <c r="M4" i="11"/>
  <c r="L4" i="11"/>
  <c r="K4" i="11"/>
  <c r="J4" i="11"/>
  <c r="I4" i="11"/>
  <c r="H4" i="11"/>
  <c r="G4" i="11"/>
  <c r="F4" i="11"/>
  <c r="E4" i="11"/>
  <c r="D4" i="11"/>
  <c r="C4" i="11"/>
  <c r="B4" i="11"/>
  <c r="G4" i="12"/>
  <c r="F4" i="12"/>
  <c r="E4" i="12"/>
  <c r="D4" i="12"/>
  <c r="C4" i="12"/>
  <c r="AZ4" i="223"/>
  <c r="AY4" i="223"/>
  <c r="AX4" i="223"/>
  <c r="AW4" i="223"/>
  <c r="AV4" i="223"/>
  <c r="AU4" i="223"/>
  <c r="AT4" i="223"/>
  <c r="AS4" i="223"/>
  <c r="AR4" i="223"/>
  <c r="AQ4" i="223"/>
  <c r="AP4" i="223"/>
  <c r="AO4" i="223"/>
  <c r="AN4" i="223"/>
  <c r="AM4" i="223"/>
  <c r="AL4" i="223"/>
  <c r="AK4" i="223"/>
  <c r="AJ4" i="223"/>
  <c r="AI4" i="223"/>
  <c r="AH4" i="223"/>
  <c r="AG4" i="223"/>
  <c r="AF4" i="223"/>
  <c r="AE4" i="223"/>
  <c r="AD4" i="223"/>
  <c r="AC4" i="223"/>
  <c r="AB4" i="223"/>
  <c r="AA4" i="223"/>
  <c r="BF4" i="1"/>
  <c r="BE4" i="1"/>
  <c r="BD4" i="1"/>
  <c r="BC4" i="1"/>
  <c r="BB4" i="1"/>
  <c r="BA4" i="1"/>
  <c r="AZ4" i="1"/>
  <c r="AY4" i="1"/>
  <c r="AX4" i="1"/>
  <c r="AW4" i="1"/>
  <c r="AV4" i="1"/>
  <c r="AU4" i="1"/>
  <c r="AT4" i="1"/>
  <c r="AS4" i="1"/>
  <c r="AR4" i="1"/>
  <c r="AQ4" i="1"/>
  <c r="AP4" i="1"/>
  <c r="AO4" i="1"/>
  <c r="AN4" i="1"/>
  <c r="AM4" i="1"/>
  <c r="AL4" i="1"/>
  <c r="AK4" i="1"/>
  <c r="AJ4" i="1"/>
  <c r="AI4" i="1"/>
  <c r="BG4" i="1"/>
  <c r="B4" i="1"/>
  <c r="L113" i="221"/>
  <c r="C113" i="221" s="1"/>
  <c r="K113" i="221"/>
  <c r="B113" i="221" s="1"/>
  <c r="O74" i="221"/>
  <c r="F74" i="221" s="1"/>
  <c r="N74" i="221"/>
  <c r="E74" i="221" s="1"/>
  <c r="M74" i="221"/>
  <c r="D74" i="221" s="1"/>
  <c r="L74" i="221"/>
  <c r="C74" i="221" s="1"/>
  <c r="K74" i="221"/>
  <c r="B74" i="221" s="1"/>
  <c r="L36" i="221"/>
  <c r="C36" i="221" s="1"/>
  <c r="K36" i="221"/>
  <c r="B36" i="221" s="1"/>
  <c r="C600" i="242" l="1"/>
  <c r="C608" i="242"/>
  <c r="C609" i="242"/>
  <c r="C605" i="242"/>
  <c r="C598" i="242"/>
  <c r="C601" i="242"/>
  <c r="C602" i="242"/>
  <c r="C610" i="242"/>
  <c r="C597" i="242"/>
  <c r="C595" i="242"/>
  <c r="C599" i="242"/>
  <c r="C603" i="242"/>
  <c r="C611" i="242"/>
  <c r="C596" i="242"/>
  <c r="C604" i="242"/>
  <c r="C612" i="242"/>
  <c r="C606" i="242"/>
  <c r="C607" i="242"/>
  <c r="F600" i="242"/>
  <c r="F608" i="242"/>
  <c r="E607" i="242"/>
  <c r="F597" i="242"/>
  <c r="F609" i="242"/>
  <c r="D596" i="242"/>
  <c r="D598" i="242"/>
  <c r="D600" i="242"/>
  <c r="D602" i="242"/>
  <c r="D604" i="242"/>
  <c r="D606" i="242"/>
  <c r="D608" i="242"/>
  <c r="D610" i="242"/>
  <c r="D612" i="242"/>
  <c r="F598" i="242"/>
  <c r="F604" i="242"/>
  <c r="F610" i="242"/>
  <c r="E609" i="242"/>
  <c r="F605" i="242"/>
  <c r="E596" i="242"/>
  <c r="E598" i="242"/>
  <c r="E600" i="242"/>
  <c r="E602" i="242"/>
  <c r="E604" i="242"/>
  <c r="E606" i="242"/>
  <c r="E608" i="242"/>
  <c r="E610" i="242"/>
  <c r="E612" i="242"/>
  <c r="F596" i="242"/>
  <c r="F602" i="242"/>
  <c r="F606" i="242"/>
  <c r="F612" i="242"/>
  <c r="E611" i="242"/>
  <c r="F601" i="242"/>
  <c r="F611" i="242"/>
  <c r="D595" i="242"/>
  <c r="D607" i="242"/>
  <c r="E595" i="242"/>
  <c r="E597" i="242"/>
  <c r="E601" i="242"/>
  <c r="E605" i="242"/>
  <c r="F599" i="242"/>
  <c r="F607" i="242"/>
  <c r="D597" i="242"/>
  <c r="D599" i="242"/>
  <c r="D601" i="242"/>
  <c r="D603" i="242"/>
  <c r="D605" i="242"/>
  <c r="D609" i="242"/>
  <c r="D611" i="242"/>
  <c r="E599" i="242"/>
  <c r="E603" i="242"/>
  <c r="F595" i="242"/>
  <c r="F603" i="242"/>
  <c r="D421" i="242"/>
  <c r="E49" i="212"/>
  <c r="E55" i="212"/>
  <c r="I58" i="212"/>
  <c r="I20" i="212"/>
  <c r="I8" i="212"/>
  <c r="I9" i="212"/>
  <c r="I10" i="212"/>
  <c r="I11" i="212"/>
  <c r="I12" i="212"/>
  <c r="I13" i="212"/>
  <c r="I14" i="212"/>
  <c r="I15" i="212"/>
  <c r="I16" i="212"/>
  <c r="I17" i="212"/>
  <c r="I18" i="212"/>
  <c r="I19" i="212"/>
  <c r="I7" i="212"/>
  <c r="E20" i="212"/>
  <c r="E8" i="212"/>
  <c r="E9" i="212"/>
  <c r="E10" i="212"/>
  <c r="E11" i="212"/>
  <c r="E12" i="212"/>
  <c r="E13" i="212"/>
  <c r="E14" i="212"/>
  <c r="E15" i="212"/>
  <c r="E16" i="212"/>
  <c r="E17" i="212"/>
  <c r="E18" i="212"/>
  <c r="E19" i="212"/>
  <c r="E7" i="212"/>
  <c r="C4" i="230"/>
  <c r="D4" i="230" s="1"/>
  <c r="E4" i="230" s="1"/>
  <c r="C5" i="230" s="1"/>
  <c r="S72" i="240"/>
  <c r="T72" i="240" s="1"/>
  <c r="U72" i="240" s="1"/>
  <c r="P72" i="240"/>
  <c r="Q72" i="240" s="1"/>
  <c r="M72" i="240"/>
  <c r="N72" i="240" s="1"/>
  <c r="J72" i="240"/>
  <c r="K72" i="240" s="1"/>
  <c r="G72" i="240"/>
  <c r="H72" i="240" s="1"/>
  <c r="D72" i="240"/>
  <c r="E72" i="240" s="1"/>
  <c r="S71" i="240"/>
  <c r="T71" i="240" s="1"/>
  <c r="U71" i="240" s="1"/>
  <c r="P71" i="240"/>
  <c r="Q71" i="240" s="1"/>
  <c r="M71" i="240"/>
  <c r="N71" i="240" s="1"/>
  <c r="J71" i="240"/>
  <c r="K71" i="240" s="1"/>
  <c r="G71" i="240"/>
  <c r="H71" i="240" s="1"/>
  <c r="D71" i="240"/>
  <c r="E71" i="240" s="1"/>
  <c r="S70" i="240"/>
  <c r="T70" i="240" s="1"/>
  <c r="U70" i="240" s="1"/>
  <c r="P70" i="240"/>
  <c r="Q70" i="240" s="1"/>
  <c r="M70" i="240"/>
  <c r="N70" i="240" s="1"/>
  <c r="J70" i="240"/>
  <c r="K70" i="240" s="1"/>
  <c r="G70" i="240"/>
  <c r="H70" i="240" s="1"/>
  <c r="D70" i="240"/>
  <c r="E70" i="240" s="1"/>
  <c r="S69" i="240"/>
  <c r="T69" i="240" s="1"/>
  <c r="U69" i="240" s="1"/>
  <c r="P69" i="240"/>
  <c r="Q69" i="240" s="1"/>
  <c r="M69" i="240"/>
  <c r="N69" i="240" s="1"/>
  <c r="J69" i="240"/>
  <c r="K69" i="240" s="1"/>
  <c r="G69" i="240"/>
  <c r="H69" i="240" s="1"/>
  <c r="D69" i="240"/>
  <c r="E69" i="240" s="1"/>
  <c r="S68" i="240"/>
  <c r="T68" i="240" s="1"/>
  <c r="U68" i="240" s="1"/>
  <c r="P68" i="240"/>
  <c r="Q68" i="240" s="1"/>
  <c r="M68" i="240"/>
  <c r="N68" i="240" s="1"/>
  <c r="J68" i="240"/>
  <c r="K68" i="240" s="1"/>
  <c r="G68" i="240"/>
  <c r="H68" i="240" s="1"/>
  <c r="D68" i="240"/>
  <c r="E68" i="240" s="1"/>
  <c r="S67" i="240"/>
  <c r="T67" i="240" s="1"/>
  <c r="U67" i="240" s="1"/>
  <c r="P67" i="240"/>
  <c r="Q67" i="240" s="1"/>
  <c r="M67" i="240"/>
  <c r="N67" i="240" s="1"/>
  <c r="J67" i="240"/>
  <c r="K67" i="240" s="1"/>
  <c r="G67" i="240"/>
  <c r="H67" i="240" s="1"/>
  <c r="D67" i="240"/>
  <c r="E67" i="240" s="1"/>
  <c r="S66" i="240"/>
  <c r="T66" i="240" s="1"/>
  <c r="U66" i="240" s="1"/>
  <c r="P66" i="240"/>
  <c r="Q66" i="240" s="1"/>
  <c r="M66" i="240"/>
  <c r="N66" i="240" s="1"/>
  <c r="J66" i="240"/>
  <c r="K66" i="240" s="1"/>
  <c r="G66" i="240"/>
  <c r="H66" i="240" s="1"/>
  <c r="D66" i="240"/>
  <c r="E66" i="240" s="1"/>
  <c r="S65" i="240"/>
  <c r="T65" i="240" s="1"/>
  <c r="U65" i="240" s="1"/>
  <c r="P65" i="240"/>
  <c r="Q65" i="240" s="1"/>
  <c r="M65" i="240"/>
  <c r="N65" i="240" s="1"/>
  <c r="J65" i="240"/>
  <c r="K65" i="240" s="1"/>
  <c r="G65" i="240"/>
  <c r="H65" i="240" s="1"/>
  <c r="D65" i="240"/>
  <c r="E65" i="240" s="1"/>
  <c r="S64" i="240"/>
  <c r="T64" i="240" s="1"/>
  <c r="U64" i="240" s="1"/>
  <c r="P64" i="240"/>
  <c r="Q64" i="240" s="1"/>
  <c r="M64" i="240"/>
  <c r="N64" i="240" s="1"/>
  <c r="J64" i="240"/>
  <c r="K64" i="240" s="1"/>
  <c r="G64" i="240"/>
  <c r="H64" i="240" s="1"/>
  <c r="D64" i="240"/>
  <c r="E64" i="240" s="1"/>
  <c r="S63" i="240"/>
  <c r="T63" i="240" s="1"/>
  <c r="U63" i="240" s="1"/>
  <c r="P63" i="240"/>
  <c r="Q63" i="240" s="1"/>
  <c r="M63" i="240"/>
  <c r="N63" i="240" s="1"/>
  <c r="J63" i="240"/>
  <c r="K63" i="240" s="1"/>
  <c r="G63" i="240"/>
  <c r="H63" i="240" s="1"/>
  <c r="D63" i="240"/>
  <c r="E63" i="240" s="1"/>
  <c r="S62" i="240"/>
  <c r="T62" i="240" s="1"/>
  <c r="U62" i="240" s="1"/>
  <c r="P62" i="240"/>
  <c r="Q62" i="240" s="1"/>
  <c r="M62" i="240"/>
  <c r="N62" i="240" s="1"/>
  <c r="J62" i="240"/>
  <c r="K62" i="240" s="1"/>
  <c r="G62" i="240"/>
  <c r="H62" i="240" s="1"/>
  <c r="D62" i="240"/>
  <c r="E62" i="240" s="1"/>
  <c r="S61" i="240"/>
  <c r="T61" i="240" s="1"/>
  <c r="U61" i="240" s="1"/>
  <c r="P61" i="240"/>
  <c r="Q61" i="240" s="1"/>
  <c r="M61" i="240"/>
  <c r="N61" i="240" s="1"/>
  <c r="J61" i="240"/>
  <c r="K61" i="240" s="1"/>
  <c r="G61" i="240"/>
  <c r="H61" i="240" s="1"/>
  <c r="D61" i="240"/>
  <c r="E61" i="240" s="1"/>
  <c r="S60" i="240"/>
  <c r="T60" i="240" s="1"/>
  <c r="U60" i="240" s="1"/>
  <c r="P60" i="240"/>
  <c r="Q60" i="240" s="1"/>
  <c r="M60" i="240"/>
  <c r="N60" i="240" s="1"/>
  <c r="J60" i="240"/>
  <c r="K60" i="240" s="1"/>
  <c r="G60" i="240"/>
  <c r="H60" i="240" s="1"/>
  <c r="D60" i="240"/>
  <c r="E60" i="240" s="1"/>
  <c r="S59" i="240"/>
  <c r="T59" i="240" s="1"/>
  <c r="U59" i="240" s="1"/>
  <c r="P59" i="240"/>
  <c r="Q59" i="240" s="1"/>
  <c r="M59" i="240"/>
  <c r="N59" i="240" s="1"/>
  <c r="J59" i="240"/>
  <c r="K59" i="240" s="1"/>
  <c r="G59" i="240"/>
  <c r="H59" i="240" s="1"/>
  <c r="D59" i="240"/>
  <c r="E59" i="240" s="1"/>
  <c r="S58" i="240"/>
  <c r="T58" i="240" s="1"/>
  <c r="U58" i="240" s="1"/>
  <c r="P58" i="240"/>
  <c r="Q58" i="240" s="1"/>
  <c r="M58" i="240"/>
  <c r="N58" i="240" s="1"/>
  <c r="J58" i="240"/>
  <c r="K58" i="240" s="1"/>
  <c r="G58" i="240"/>
  <c r="H58" i="240" s="1"/>
  <c r="D58" i="240"/>
  <c r="E58" i="240" s="1"/>
  <c r="S57" i="240"/>
  <c r="T57" i="240" s="1"/>
  <c r="U57" i="240" s="1"/>
  <c r="P57" i="240"/>
  <c r="Q57" i="240" s="1"/>
  <c r="M57" i="240"/>
  <c r="N57" i="240" s="1"/>
  <c r="J57" i="240"/>
  <c r="K57" i="240" s="1"/>
  <c r="G57" i="240"/>
  <c r="H57" i="240" s="1"/>
  <c r="D57" i="240"/>
  <c r="E57" i="240" s="1"/>
  <c r="S56" i="240"/>
  <c r="T56" i="240" s="1"/>
  <c r="U56" i="240" s="1"/>
  <c r="P56" i="240"/>
  <c r="Q56" i="240" s="1"/>
  <c r="M56" i="240"/>
  <c r="N56" i="240" s="1"/>
  <c r="J56" i="240"/>
  <c r="K56" i="240" s="1"/>
  <c r="G56" i="240"/>
  <c r="H56" i="240" s="1"/>
  <c r="D56" i="240"/>
  <c r="E56" i="240" s="1"/>
  <c r="S55" i="240"/>
  <c r="T55" i="240" s="1"/>
  <c r="U55" i="240" s="1"/>
  <c r="P55" i="240"/>
  <c r="Q55" i="240" s="1"/>
  <c r="M55" i="240"/>
  <c r="N55" i="240" s="1"/>
  <c r="J55" i="240"/>
  <c r="K55" i="240" s="1"/>
  <c r="G55" i="240"/>
  <c r="H55" i="240" s="1"/>
  <c r="D55" i="240"/>
  <c r="E55" i="240" s="1"/>
  <c r="S54" i="240"/>
  <c r="T54" i="240" s="1"/>
  <c r="U54" i="240" s="1"/>
  <c r="P54" i="240"/>
  <c r="Q54" i="240" s="1"/>
  <c r="M54" i="240"/>
  <c r="N54" i="240" s="1"/>
  <c r="J54" i="240"/>
  <c r="K54" i="240" s="1"/>
  <c r="G54" i="240"/>
  <c r="H54" i="240" s="1"/>
  <c r="D54" i="240"/>
  <c r="E54" i="240" s="1"/>
  <c r="S53" i="240"/>
  <c r="T53" i="240" s="1"/>
  <c r="U53" i="240" s="1"/>
  <c r="P53" i="240"/>
  <c r="Q53" i="240" s="1"/>
  <c r="M53" i="240"/>
  <c r="N53" i="240" s="1"/>
  <c r="J53" i="240"/>
  <c r="K53" i="240" s="1"/>
  <c r="G53" i="240"/>
  <c r="H53" i="240" s="1"/>
  <c r="D53" i="240"/>
  <c r="E53" i="240" s="1"/>
  <c r="S52" i="240"/>
  <c r="T52" i="240" s="1"/>
  <c r="U52" i="240" s="1"/>
  <c r="P52" i="240"/>
  <c r="Q52" i="240" s="1"/>
  <c r="M52" i="240"/>
  <c r="N52" i="240" s="1"/>
  <c r="J52" i="240"/>
  <c r="K52" i="240" s="1"/>
  <c r="G52" i="240"/>
  <c r="H52" i="240" s="1"/>
  <c r="D52" i="240"/>
  <c r="E52" i="240" s="1"/>
  <c r="S51" i="240"/>
  <c r="T51" i="240" s="1"/>
  <c r="U51" i="240" s="1"/>
  <c r="P51" i="240"/>
  <c r="Q51" i="240" s="1"/>
  <c r="M51" i="240"/>
  <c r="N51" i="240" s="1"/>
  <c r="J51" i="240"/>
  <c r="K51" i="240" s="1"/>
  <c r="G51" i="240"/>
  <c r="H51" i="240" s="1"/>
  <c r="D51" i="240"/>
  <c r="E51" i="240" s="1"/>
  <c r="S50" i="240"/>
  <c r="T50" i="240" s="1"/>
  <c r="U50" i="240" s="1"/>
  <c r="P50" i="240"/>
  <c r="Q50" i="240" s="1"/>
  <c r="M50" i="240"/>
  <c r="N50" i="240" s="1"/>
  <c r="J50" i="240"/>
  <c r="K50" i="240" s="1"/>
  <c r="G50" i="240"/>
  <c r="H50" i="240" s="1"/>
  <c r="D50" i="240"/>
  <c r="E50" i="240" s="1"/>
  <c r="S49" i="240"/>
  <c r="T49" i="240" s="1"/>
  <c r="U49" i="240" s="1"/>
  <c r="P49" i="240"/>
  <c r="Q49" i="240" s="1"/>
  <c r="M49" i="240"/>
  <c r="N49" i="240" s="1"/>
  <c r="J49" i="240"/>
  <c r="K49" i="240" s="1"/>
  <c r="G49" i="240"/>
  <c r="H49" i="240" s="1"/>
  <c r="D49" i="240"/>
  <c r="E49" i="240" s="1"/>
  <c r="S48" i="240"/>
  <c r="T48" i="240" s="1"/>
  <c r="U48" i="240" s="1"/>
  <c r="P48" i="240"/>
  <c r="Q48" i="240" s="1"/>
  <c r="M48" i="240"/>
  <c r="N48" i="240" s="1"/>
  <c r="J48" i="240"/>
  <c r="K48" i="240" s="1"/>
  <c r="G48" i="240"/>
  <c r="H48" i="240" s="1"/>
  <c r="D48" i="240"/>
  <c r="E48" i="240" s="1"/>
  <c r="S47" i="240"/>
  <c r="T47" i="240" s="1"/>
  <c r="U47" i="240" s="1"/>
  <c r="P47" i="240"/>
  <c r="Q47" i="240" s="1"/>
  <c r="M47" i="240"/>
  <c r="N47" i="240" s="1"/>
  <c r="J47" i="240"/>
  <c r="K47" i="240" s="1"/>
  <c r="G47" i="240"/>
  <c r="H47" i="240" s="1"/>
  <c r="D47" i="240"/>
  <c r="E47" i="240" s="1"/>
  <c r="S46" i="240"/>
  <c r="T46" i="240" s="1"/>
  <c r="U46" i="240" s="1"/>
  <c r="P46" i="240"/>
  <c r="Q46" i="240" s="1"/>
  <c r="M46" i="240"/>
  <c r="N46" i="240" s="1"/>
  <c r="J46" i="240"/>
  <c r="K46" i="240" s="1"/>
  <c r="G46" i="240"/>
  <c r="H46" i="240" s="1"/>
  <c r="D46" i="240"/>
  <c r="E46" i="240" s="1"/>
  <c r="S45" i="240"/>
  <c r="T45" i="240" s="1"/>
  <c r="U45" i="240" s="1"/>
  <c r="P45" i="240"/>
  <c r="Q45" i="240" s="1"/>
  <c r="M45" i="240"/>
  <c r="N45" i="240" s="1"/>
  <c r="J45" i="240"/>
  <c r="K45" i="240" s="1"/>
  <c r="G45" i="240"/>
  <c r="H45" i="240" s="1"/>
  <c r="D45" i="240"/>
  <c r="E45" i="240" s="1"/>
  <c r="S44" i="240"/>
  <c r="T44" i="240" s="1"/>
  <c r="U44" i="240" s="1"/>
  <c r="P44" i="240"/>
  <c r="Q44" i="240" s="1"/>
  <c r="M44" i="240"/>
  <c r="N44" i="240" s="1"/>
  <c r="J44" i="240"/>
  <c r="K44" i="240" s="1"/>
  <c r="G44" i="240"/>
  <c r="H44" i="240" s="1"/>
  <c r="D44" i="240"/>
  <c r="E44" i="240" s="1"/>
  <c r="S43" i="240"/>
  <c r="T43" i="240" s="1"/>
  <c r="U43" i="240" s="1"/>
  <c r="P43" i="240"/>
  <c r="Q43" i="240" s="1"/>
  <c r="M43" i="240"/>
  <c r="N43" i="240" s="1"/>
  <c r="J43" i="240"/>
  <c r="K43" i="240" s="1"/>
  <c r="G43" i="240"/>
  <c r="H43" i="240" s="1"/>
  <c r="D43" i="240"/>
  <c r="E43" i="240" s="1"/>
  <c r="S42" i="240"/>
  <c r="T42" i="240" s="1"/>
  <c r="U42" i="240" s="1"/>
  <c r="P42" i="240"/>
  <c r="Q42" i="240" s="1"/>
  <c r="M42" i="240"/>
  <c r="N42" i="240" s="1"/>
  <c r="J42" i="240"/>
  <c r="K42" i="240" s="1"/>
  <c r="G42" i="240"/>
  <c r="H42" i="240" s="1"/>
  <c r="D42" i="240"/>
  <c r="E42" i="240" s="1"/>
  <c r="S72" i="239"/>
  <c r="T72" i="239" s="1"/>
  <c r="U72" i="239" s="1"/>
  <c r="P72" i="239"/>
  <c r="Q72" i="239" s="1"/>
  <c r="M72" i="239"/>
  <c r="N72" i="239" s="1"/>
  <c r="J72" i="239"/>
  <c r="K72" i="239" s="1"/>
  <c r="G72" i="239"/>
  <c r="H72" i="239" s="1"/>
  <c r="D72" i="239"/>
  <c r="E72" i="239" s="1"/>
  <c r="S71" i="239"/>
  <c r="T71" i="239" s="1"/>
  <c r="U71" i="239" s="1"/>
  <c r="P71" i="239"/>
  <c r="Q71" i="239" s="1"/>
  <c r="M71" i="239"/>
  <c r="N71" i="239" s="1"/>
  <c r="J71" i="239"/>
  <c r="K71" i="239" s="1"/>
  <c r="G71" i="239"/>
  <c r="H71" i="239" s="1"/>
  <c r="D71" i="239"/>
  <c r="E71" i="239" s="1"/>
  <c r="S70" i="239"/>
  <c r="T70" i="239" s="1"/>
  <c r="U70" i="239" s="1"/>
  <c r="P70" i="239"/>
  <c r="Q70" i="239" s="1"/>
  <c r="M70" i="239"/>
  <c r="N70" i="239" s="1"/>
  <c r="J70" i="239"/>
  <c r="K70" i="239" s="1"/>
  <c r="G70" i="239"/>
  <c r="H70" i="239" s="1"/>
  <c r="D70" i="239"/>
  <c r="E70" i="239" s="1"/>
  <c r="S69" i="239"/>
  <c r="T69" i="239" s="1"/>
  <c r="U69" i="239" s="1"/>
  <c r="P69" i="239"/>
  <c r="Q69" i="239" s="1"/>
  <c r="M69" i="239"/>
  <c r="N69" i="239" s="1"/>
  <c r="J69" i="239"/>
  <c r="K69" i="239" s="1"/>
  <c r="G69" i="239"/>
  <c r="H69" i="239" s="1"/>
  <c r="D69" i="239"/>
  <c r="E69" i="239" s="1"/>
  <c r="S68" i="239"/>
  <c r="T68" i="239" s="1"/>
  <c r="U68" i="239" s="1"/>
  <c r="P68" i="239"/>
  <c r="Q68" i="239" s="1"/>
  <c r="M68" i="239"/>
  <c r="N68" i="239" s="1"/>
  <c r="J68" i="239"/>
  <c r="K68" i="239" s="1"/>
  <c r="G68" i="239"/>
  <c r="H68" i="239" s="1"/>
  <c r="D68" i="239"/>
  <c r="E68" i="239" s="1"/>
  <c r="S67" i="239"/>
  <c r="T67" i="239" s="1"/>
  <c r="U67" i="239" s="1"/>
  <c r="P67" i="239"/>
  <c r="Q67" i="239" s="1"/>
  <c r="M67" i="239"/>
  <c r="N67" i="239" s="1"/>
  <c r="J67" i="239"/>
  <c r="K67" i="239" s="1"/>
  <c r="G67" i="239"/>
  <c r="H67" i="239" s="1"/>
  <c r="D67" i="239"/>
  <c r="E67" i="239" s="1"/>
  <c r="S66" i="239"/>
  <c r="T66" i="239" s="1"/>
  <c r="U66" i="239" s="1"/>
  <c r="P66" i="239"/>
  <c r="Q66" i="239" s="1"/>
  <c r="M66" i="239"/>
  <c r="N66" i="239" s="1"/>
  <c r="J66" i="239"/>
  <c r="K66" i="239" s="1"/>
  <c r="G66" i="239"/>
  <c r="H66" i="239" s="1"/>
  <c r="D66" i="239"/>
  <c r="E66" i="239" s="1"/>
  <c r="S65" i="239"/>
  <c r="T65" i="239" s="1"/>
  <c r="U65" i="239" s="1"/>
  <c r="P65" i="239"/>
  <c r="Q65" i="239" s="1"/>
  <c r="M65" i="239"/>
  <c r="N65" i="239" s="1"/>
  <c r="J65" i="239"/>
  <c r="K65" i="239" s="1"/>
  <c r="G65" i="239"/>
  <c r="H65" i="239" s="1"/>
  <c r="D65" i="239"/>
  <c r="E65" i="239" s="1"/>
  <c r="S64" i="239"/>
  <c r="T64" i="239" s="1"/>
  <c r="U64" i="239" s="1"/>
  <c r="P64" i="239"/>
  <c r="Q64" i="239" s="1"/>
  <c r="M64" i="239"/>
  <c r="N64" i="239" s="1"/>
  <c r="J64" i="239"/>
  <c r="K64" i="239" s="1"/>
  <c r="G64" i="239"/>
  <c r="H64" i="239" s="1"/>
  <c r="D64" i="239"/>
  <c r="E64" i="239" s="1"/>
  <c r="S63" i="239"/>
  <c r="T63" i="239" s="1"/>
  <c r="U63" i="239" s="1"/>
  <c r="P63" i="239"/>
  <c r="Q63" i="239" s="1"/>
  <c r="M63" i="239"/>
  <c r="N63" i="239" s="1"/>
  <c r="J63" i="239"/>
  <c r="K63" i="239" s="1"/>
  <c r="G63" i="239"/>
  <c r="H63" i="239" s="1"/>
  <c r="D63" i="239"/>
  <c r="E63" i="239" s="1"/>
  <c r="S62" i="239"/>
  <c r="T62" i="239" s="1"/>
  <c r="U62" i="239" s="1"/>
  <c r="P62" i="239"/>
  <c r="Q62" i="239" s="1"/>
  <c r="M62" i="239"/>
  <c r="N62" i="239" s="1"/>
  <c r="J62" i="239"/>
  <c r="K62" i="239" s="1"/>
  <c r="G62" i="239"/>
  <c r="H62" i="239" s="1"/>
  <c r="D62" i="239"/>
  <c r="E62" i="239" s="1"/>
  <c r="S61" i="239"/>
  <c r="T61" i="239" s="1"/>
  <c r="U61" i="239" s="1"/>
  <c r="P61" i="239"/>
  <c r="Q61" i="239" s="1"/>
  <c r="M61" i="239"/>
  <c r="N61" i="239" s="1"/>
  <c r="J61" i="239"/>
  <c r="K61" i="239" s="1"/>
  <c r="G61" i="239"/>
  <c r="H61" i="239" s="1"/>
  <c r="D61" i="239"/>
  <c r="E61" i="239" s="1"/>
  <c r="S60" i="239"/>
  <c r="T60" i="239" s="1"/>
  <c r="U60" i="239" s="1"/>
  <c r="P60" i="239"/>
  <c r="Q60" i="239" s="1"/>
  <c r="M60" i="239"/>
  <c r="N60" i="239" s="1"/>
  <c r="J60" i="239"/>
  <c r="K60" i="239" s="1"/>
  <c r="G60" i="239"/>
  <c r="H60" i="239" s="1"/>
  <c r="D60" i="239"/>
  <c r="E60" i="239" s="1"/>
  <c r="S59" i="239"/>
  <c r="T59" i="239" s="1"/>
  <c r="U59" i="239" s="1"/>
  <c r="P59" i="239"/>
  <c r="Q59" i="239" s="1"/>
  <c r="M59" i="239"/>
  <c r="N59" i="239" s="1"/>
  <c r="J59" i="239"/>
  <c r="K59" i="239" s="1"/>
  <c r="G59" i="239"/>
  <c r="H59" i="239" s="1"/>
  <c r="D59" i="239"/>
  <c r="E59" i="239" s="1"/>
  <c r="S58" i="239"/>
  <c r="T58" i="239" s="1"/>
  <c r="U58" i="239" s="1"/>
  <c r="P58" i="239"/>
  <c r="Q58" i="239" s="1"/>
  <c r="M58" i="239"/>
  <c r="N58" i="239" s="1"/>
  <c r="J58" i="239"/>
  <c r="K58" i="239" s="1"/>
  <c r="G58" i="239"/>
  <c r="H58" i="239" s="1"/>
  <c r="D58" i="239"/>
  <c r="E58" i="239" s="1"/>
  <c r="S57" i="239"/>
  <c r="T57" i="239" s="1"/>
  <c r="U57" i="239" s="1"/>
  <c r="P57" i="239"/>
  <c r="Q57" i="239" s="1"/>
  <c r="M57" i="239"/>
  <c r="N57" i="239" s="1"/>
  <c r="J57" i="239"/>
  <c r="K57" i="239" s="1"/>
  <c r="G57" i="239"/>
  <c r="H57" i="239" s="1"/>
  <c r="D57" i="239"/>
  <c r="E57" i="239" s="1"/>
  <c r="S56" i="239"/>
  <c r="T56" i="239" s="1"/>
  <c r="U56" i="239" s="1"/>
  <c r="P56" i="239"/>
  <c r="Q56" i="239" s="1"/>
  <c r="M56" i="239"/>
  <c r="N56" i="239" s="1"/>
  <c r="J56" i="239"/>
  <c r="K56" i="239" s="1"/>
  <c r="G56" i="239"/>
  <c r="H56" i="239" s="1"/>
  <c r="D56" i="239"/>
  <c r="E56" i="239" s="1"/>
  <c r="S55" i="239"/>
  <c r="T55" i="239" s="1"/>
  <c r="U55" i="239" s="1"/>
  <c r="P55" i="239"/>
  <c r="Q55" i="239" s="1"/>
  <c r="M55" i="239"/>
  <c r="N55" i="239" s="1"/>
  <c r="J55" i="239"/>
  <c r="K55" i="239" s="1"/>
  <c r="G55" i="239"/>
  <c r="H55" i="239" s="1"/>
  <c r="D55" i="239"/>
  <c r="E55" i="239" s="1"/>
  <c r="S54" i="239"/>
  <c r="T54" i="239" s="1"/>
  <c r="U54" i="239" s="1"/>
  <c r="P54" i="239"/>
  <c r="Q54" i="239" s="1"/>
  <c r="M54" i="239"/>
  <c r="N54" i="239" s="1"/>
  <c r="J54" i="239"/>
  <c r="K54" i="239" s="1"/>
  <c r="G54" i="239"/>
  <c r="H54" i="239" s="1"/>
  <c r="D54" i="239"/>
  <c r="E54" i="239" s="1"/>
  <c r="S53" i="239"/>
  <c r="T53" i="239" s="1"/>
  <c r="U53" i="239" s="1"/>
  <c r="P53" i="239"/>
  <c r="Q53" i="239" s="1"/>
  <c r="M53" i="239"/>
  <c r="N53" i="239" s="1"/>
  <c r="J53" i="239"/>
  <c r="K53" i="239" s="1"/>
  <c r="G53" i="239"/>
  <c r="H53" i="239" s="1"/>
  <c r="D53" i="239"/>
  <c r="E53" i="239" s="1"/>
  <c r="S52" i="239"/>
  <c r="T52" i="239" s="1"/>
  <c r="U52" i="239" s="1"/>
  <c r="P52" i="239"/>
  <c r="Q52" i="239" s="1"/>
  <c r="M52" i="239"/>
  <c r="N52" i="239" s="1"/>
  <c r="J52" i="239"/>
  <c r="K52" i="239" s="1"/>
  <c r="G52" i="239"/>
  <c r="H52" i="239" s="1"/>
  <c r="D52" i="239"/>
  <c r="E52" i="239" s="1"/>
  <c r="S51" i="239"/>
  <c r="T51" i="239" s="1"/>
  <c r="U51" i="239" s="1"/>
  <c r="P51" i="239"/>
  <c r="Q51" i="239" s="1"/>
  <c r="M51" i="239"/>
  <c r="N51" i="239" s="1"/>
  <c r="J51" i="239"/>
  <c r="K51" i="239" s="1"/>
  <c r="G51" i="239"/>
  <c r="H51" i="239" s="1"/>
  <c r="D51" i="239"/>
  <c r="E51" i="239" s="1"/>
  <c r="S50" i="239"/>
  <c r="T50" i="239" s="1"/>
  <c r="U50" i="239" s="1"/>
  <c r="P50" i="239"/>
  <c r="Q50" i="239" s="1"/>
  <c r="M50" i="239"/>
  <c r="N50" i="239" s="1"/>
  <c r="J50" i="239"/>
  <c r="K50" i="239" s="1"/>
  <c r="G50" i="239"/>
  <c r="H50" i="239" s="1"/>
  <c r="D50" i="239"/>
  <c r="E50" i="239" s="1"/>
  <c r="S49" i="239"/>
  <c r="T49" i="239" s="1"/>
  <c r="U49" i="239" s="1"/>
  <c r="P49" i="239"/>
  <c r="Q49" i="239" s="1"/>
  <c r="M49" i="239"/>
  <c r="N49" i="239" s="1"/>
  <c r="J49" i="239"/>
  <c r="K49" i="239" s="1"/>
  <c r="G49" i="239"/>
  <c r="H49" i="239" s="1"/>
  <c r="D49" i="239"/>
  <c r="E49" i="239" s="1"/>
  <c r="S48" i="239"/>
  <c r="T48" i="239" s="1"/>
  <c r="U48" i="239" s="1"/>
  <c r="P48" i="239"/>
  <c r="Q48" i="239" s="1"/>
  <c r="M48" i="239"/>
  <c r="N48" i="239" s="1"/>
  <c r="J48" i="239"/>
  <c r="K48" i="239" s="1"/>
  <c r="G48" i="239"/>
  <c r="H48" i="239" s="1"/>
  <c r="D48" i="239"/>
  <c r="E48" i="239" s="1"/>
  <c r="S47" i="239"/>
  <c r="T47" i="239" s="1"/>
  <c r="U47" i="239" s="1"/>
  <c r="P47" i="239"/>
  <c r="Q47" i="239" s="1"/>
  <c r="M47" i="239"/>
  <c r="N47" i="239" s="1"/>
  <c r="J47" i="239"/>
  <c r="K47" i="239" s="1"/>
  <c r="G47" i="239"/>
  <c r="H47" i="239" s="1"/>
  <c r="D47" i="239"/>
  <c r="E47" i="239" s="1"/>
  <c r="S46" i="239"/>
  <c r="T46" i="239" s="1"/>
  <c r="U46" i="239" s="1"/>
  <c r="P46" i="239"/>
  <c r="Q46" i="239" s="1"/>
  <c r="M46" i="239"/>
  <c r="N46" i="239" s="1"/>
  <c r="J46" i="239"/>
  <c r="K46" i="239" s="1"/>
  <c r="G46" i="239"/>
  <c r="H46" i="239" s="1"/>
  <c r="D46" i="239"/>
  <c r="E46" i="239" s="1"/>
  <c r="S45" i="239"/>
  <c r="T45" i="239" s="1"/>
  <c r="U45" i="239" s="1"/>
  <c r="P45" i="239"/>
  <c r="Q45" i="239" s="1"/>
  <c r="M45" i="239"/>
  <c r="N45" i="239" s="1"/>
  <c r="J45" i="239"/>
  <c r="K45" i="239" s="1"/>
  <c r="G45" i="239"/>
  <c r="H45" i="239" s="1"/>
  <c r="D45" i="239"/>
  <c r="E45" i="239" s="1"/>
  <c r="S44" i="239"/>
  <c r="T44" i="239" s="1"/>
  <c r="U44" i="239" s="1"/>
  <c r="P44" i="239"/>
  <c r="Q44" i="239" s="1"/>
  <c r="M44" i="239"/>
  <c r="N44" i="239" s="1"/>
  <c r="J44" i="239"/>
  <c r="K44" i="239" s="1"/>
  <c r="G44" i="239"/>
  <c r="H44" i="239" s="1"/>
  <c r="D44" i="239"/>
  <c r="E44" i="239" s="1"/>
  <c r="S43" i="239"/>
  <c r="T43" i="239" s="1"/>
  <c r="U43" i="239" s="1"/>
  <c r="P43" i="239"/>
  <c r="Q43" i="239" s="1"/>
  <c r="M43" i="239"/>
  <c r="N43" i="239" s="1"/>
  <c r="J43" i="239"/>
  <c r="K43" i="239" s="1"/>
  <c r="G43" i="239"/>
  <c r="H43" i="239" s="1"/>
  <c r="D43" i="239"/>
  <c r="E43" i="239" s="1"/>
  <c r="S42" i="239"/>
  <c r="T42" i="239" s="1"/>
  <c r="U42" i="239" s="1"/>
  <c r="P42" i="239"/>
  <c r="Q42" i="239" s="1"/>
  <c r="M42" i="239"/>
  <c r="N42" i="239" s="1"/>
  <c r="J42" i="239"/>
  <c r="K42" i="239" s="1"/>
  <c r="G42" i="239"/>
  <c r="H42" i="239" s="1"/>
  <c r="D42" i="239"/>
  <c r="E42" i="239" s="1"/>
  <c r="S73" i="236"/>
  <c r="T73" i="236" s="1"/>
  <c r="U73" i="236" s="1"/>
  <c r="P73" i="236"/>
  <c r="Q73" i="236" s="1"/>
  <c r="M73" i="236"/>
  <c r="N73" i="236" s="1"/>
  <c r="J73" i="236"/>
  <c r="K73" i="236" s="1"/>
  <c r="G73" i="236"/>
  <c r="H73" i="236" s="1"/>
  <c r="D73" i="236"/>
  <c r="E73" i="236" s="1"/>
  <c r="S72" i="236"/>
  <c r="T72" i="236" s="1"/>
  <c r="U72" i="236" s="1"/>
  <c r="P72" i="236"/>
  <c r="Q72" i="236" s="1"/>
  <c r="M72" i="236"/>
  <c r="N72" i="236" s="1"/>
  <c r="J72" i="236"/>
  <c r="K72" i="236" s="1"/>
  <c r="G72" i="236"/>
  <c r="H72" i="236" s="1"/>
  <c r="D72" i="236"/>
  <c r="E72" i="236" s="1"/>
  <c r="S71" i="236"/>
  <c r="T71" i="236" s="1"/>
  <c r="U71" i="236" s="1"/>
  <c r="P71" i="236"/>
  <c r="Q71" i="236" s="1"/>
  <c r="M71" i="236"/>
  <c r="N71" i="236" s="1"/>
  <c r="J71" i="236"/>
  <c r="K71" i="236" s="1"/>
  <c r="G71" i="236"/>
  <c r="H71" i="236" s="1"/>
  <c r="D71" i="236"/>
  <c r="E71" i="236" s="1"/>
  <c r="S70" i="236"/>
  <c r="T70" i="236" s="1"/>
  <c r="U70" i="236" s="1"/>
  <c r="P70" i="236"/>
  <c r="Q70" i="236" s="1"/>
  <c r="M70" i="236"/>
  <c r="N70" i="236" s="1"/>
  <c r="J70" i="236"/>
  <c r="K70" i="236" s="1"/>
  <c r="G70" i="236"/>
  <c r="H70" i="236" s="1"/>
  <c r="D70" i="236"/>
  <c r="E70" i="236" s="1"/>
  <c r="S69" i="236"/>
  <c r="T69" i="236" s="1"/>
  <c r="U69" i="236" s="1"/>
  <c r="P69" i="236"/>
  <c r="Q69" i="236" s="1"/>
  <c r="M69" i="236"/>
  <c r="N69" i="236" s="1"/>
  <c r="J69" i="236"/>
  <c r="K69" i="236" s="1"/>
  <c r="G69" i="236"/>
  <c r="H69" i="236" s="1"/>
  <c r="D69" i="236"/>
  <c r="E69" i="236" s="1"/>
  <c r="S68" i="236"/>
  <c r="T68" i="236" s="1"/>
  <c r="U68" i="236" s="1"/>
  <c r="P68" i="236"/>
  <c r="Q68" i="236" s="1"/>
  <c r="M68" i="236"/>
  <c r="N68" i="236" s="1"/>
  <c r="J68" i="236"/>
  <c r="K68" i="236" s="1"/>
  <c r="G68" i="236"/>
  <c r="H68" i="236" s="1"/>
  <c r="D68" i="236"/>
  <c r="E68" i="236" s="1"/>
  <c r="S67" i="236"/>
  <c r="T67" i="236" s="1"/>
  <c r="U67" i="236" s="1"/>
  <c r="P67" i="236"/>
  <c r="Q67" i="236" s="1"/>
  <c r="M67" i="236"/>
  <c r="N67" i="236" s="1"/>
  <c r="J67" i="236"/>
  <c r="K67" i="236" s="1"/>
  <c r="G67" i="236"/>
  <c r="H67" i="236" s="1"/>
  <c r="D67" i="236"/>
  <c r="E67" i="236" s="1"/>
  <c r="S66" i="236"/>
  <c r="T66" i="236" s="1"/>
  <c r="U66" i="236" s="1"/>
  <c r="P66" i="236"/>
  <c r="Q66" i="236" s="1"/>
  <c r="M66" i="236"/>
  <c r="N66" i="236" s="1"/>
  <c r="J66" i="236"/>
  <c r="K66" i="236" s="1"/>
  <c r="G66" i="236"/>
  <c r="H66" i="236" s="1"/>
  <c r="D66" i="236"/>
  <c r="E66" i="236" s="1"/>
  <c r="S65" i="236"/>
  <c r="T65" i="236" s="1"/>
  <c r="U65" i="236" s="1"/>
  <c r="P65" i="236"/>
  <c r="Q65" i="236" s="1"/>
  <c r="M65" i="236"/>
  <c r="N65" i="236" s="1"/>
  <c r="J65" i="236"/>
  <c r="K65" i="236" s="1"/>
  <c r="G65" i="236"/>
  <c r="H65" i="236" s="1"/>
  <c r="D65" i="236"/>
  <c r="E65" i="236" s="1"/>
  <c r="S64" i="236"/>
  <c r="T64" i="236" s="1"/>
  <c r="U64" i="236" s="1"/>
  <c r="P64" i="236"/>
  <c r="Q64" i="236" s="1"/>
  <c r="M64" i="236"/>
  <c r="N64" i="236" s="1"/>
  <c r="J64" i="236"/>
  <c r="K64" i="236" s="1"/>
  <c r="G64" i="236"/>
  <c r="H64" i="236" s="1"/>
  <c r="D64" i="236"/>
  <c r="E64" i="236" s="1"/>
  <c r="S63" i="236"/>
  <c r="T63" i="236" s="1"/>
  <c r="U63" i="236" s="1"/>
  <c r="P63" i="236"/>
  <c r="Q63" i="236" s="1"/>
  <c r="M63" i="236"/>
  <c r="N63" i="236" s="1"/>
  <c r="J63" i="236"/>
  <c r="K63" i="236" s="1"/>
  <c r="G63" i="236"/>
  <c r="H63" i="236" s="1"/>
  <c r="D63" i="236"/>
  <c r="E63" i="236" s="1"/>
  <c r="S62" i="236"/>
  <c r="T62" i="236" s="1"/>
  <c r="U62" i="236" s="1"/>
  <c r="P62" i="236"/>
  <c r="Q62" i="236" s="1"/>
  <c r="M62" i="236"/>
  <c r="N62" i="236" s="1"/>
  <c r="J62" i="236"/>
  <c r="K62" i="236" s="1"/>
  <c r="G62" i="236"/>
  <c r="H62" i="236" s="1"/>
  <c r="D62" i="236"/>
  <c r="E62" i="236" s="1"/>
  <c r="S61" i="236"/>
  <c r="T61" i="236" s="1"/>
  <c r="U61" i="236" s="1"/>
  <c r="P61" i="236"/>
  <c r="Q61" i="236" s="1"/>
  <c r="M61" i="236"/>
  <c r="N61" i="236" s="1"/>
  <c r="J61" i="236"/>
  <c r="K61" i="236" s="1"/>
  <c r="G61" i="236"/>
  <c r="H61" i="236" s="1"/>
  <c r="D61" i="236"/>
  <c r="E61" i="236" s="1"/>
  <c r="S60" i="236"/>
  <c r="T60" i="236" s="1"/>
  <c r="U60" i="236" s="1"/>
  <c r="P60" i="236"/>
  <c r="Q60" i="236" s="1"/>
  <c r="M60" i="236"/>
  <c r="N60" i="236" s="1"/>
  <c r="J60" i="236"/>
  <c r="K60" i="236" s="1"/>
  <c r="G60" i="236"/>
  <c r="H60" i="236" s="1"/>
  <c r="D60" i="236"/>
  <c r="E60" i="236" s="1"/>
  <c r="S59" i="236"/>
  <c r="T59" i="236" s="1"/>
  <c r="U59" i="236" s="1"/>
  <c r="P59" i="236"/>
  <c r="Q59" i="236" s="1"/>
  <c r="M59" i="236"/>
  <c r="N59" i="236" s="1"/>
  <c r="J59" i="236"/>
  <c r="K59" i="236" s="1"/>
  <c r="G59" i="236"/>
  <c r="H59" i="236" s="1"/>
  <c r="D59" i="236"/>
  <c r="E59" i="236" s="1"/>
  <c r="S58" i="236"/>
  <c r="T58" i="236" s="1"/>
  <c r="U58" i="236" s="1"/>
  <c r="P58" i="236"/>
  <c r="Q58" i="236" s="1"/>
  <c r="M58" i="236"/>
  <c r="N58" i="236" s="1"/>
  <c r="J58" i="236"/>
  <c r="K58" i="236" s="1"/>
  <c r="G58" i="236"/>
  <c r="H58" i="236" s="1"/>
  <c r="D58" i="236"/>
  <c r="E58" i="236" s="1"/>
  <c r="S57" i="236"/>
  <c r="T57" i="236" s="1"/>
  <c r="U57" i="236" s="1"/>
  <c r="P57" i="236"/>
  <c r="Q57" i="236" s="1"/>
  <c r="M57" i="236"/>
  <c r="N57" i="236" s="1"/>
  <c r="J57" i="236"/>
  <c r="K57" i="236" s="1"/>
  <c r="G57" i="236"/>
  <c r="H57" i="236" s="1"/>
  <c r="D57" i="236"/>
  <c r="E57" i="236" s="1"/>
  <c r="S56" i="236"/>
  <c r="T56" i="236" s="1"/>
  <c r="U56" i="236" s="1"/>
  <c r="P56" i="236"/>
  <c r="Q56" i="236" s="1"/>
  <c r="M56" i="236"/>
  <c r="N56" i="236" s="1"/>
  <c r="J56" i="236"/>
  <c r="K56" i="236" s="1"/>
  <c r="G56" i="236"/>
  <c r="H56" i="236" s="1"/>
  <c r="D56" i="236"/>
  <c r="E56" i="236" s="1"/>
  <c r="S55" i="236"/>
  <c r="T55" i="236" s="1"/>
  <c r="U55" i="236" s="1"/>
  <c r="P55" i="236"/>
  <c r="Q55" i="236" s="1"/>
  <c r="M55" i="236"/>
  <c r="N55" i="236" s="1"/>
  <c r="J55" i="236"/>
  <c r="K55" i="236" s="1"/>
  <c r="G55" i="236"/>
  <c r="H55" i="236" s="1"/>
  <c r="D55" i="236"/>
  <c r="E55" i="236" s="1"/>
  <c r="S54" i="236"/>
  <c r="T54" i="236" s="1"/>
  <c r="U54" i="236" s="1"/>
  <c r="P54" i="236"/>
  <c r="Q54" i="236" s="1"/>
  <c r="M54" i="236"/>
  <c r="N54" i="236" s="1"/>
  <c r="J54" i="236"/>
  <c r="K54" i="236" s="1"/>
  <c r="G54" i="236"/>
  <c r="H54" i="236" s="1"/>
  <c r="D54" i="236"/>
  <c r="E54" i="236" s="1"/>
  <c r="S53" i="236"/>
  <c r="T53" i="236" s="1"/>
  <c r="U53" i="236" s="1"/>
  <c r="P53" i="236"/>
  <c r="Q53" i="236" s="1"/>
  <c r="M53" i="236"/>
  <c r="N53" i="236" s="1"/>
  <c r="J53" i="236"/>
  <c r="K53" i="236" s="1"/>
  <c r="G53" i="236"/>
  <c r="H53" i="236" s="1"/>
  <c r="D53" i="236"/>
  <c r="E53" i="236" s="1"/>
  <c r="S52" i="236"/>
  <c r="T52" i="236" s="1"/>
  <c r="U52" i="236" s="1"/>
  <c r="P52" i="236"/>
  <c r="Q52" i="236" s="1"/>
  <c r="M52" i="236"/>
  <c r="N52" i="236" s="1"/>
  <c r="J52" i="236"/>
  <c r="K52" i="236" s="1"/>
  <c r="G52" i="236"/>
  <c r="H52" i="236" s="1"/>
  <c r="D52" i="236"/>
  <c r="E52" i="236" s="1"/>
  <c r="S51" i="236"/>
  <c r="T51" i="236" s="1"/>
  <c r="U51" i="236" s="1"/>
  <c r="P51" i="236"/>
  <c r="Q51" i="236" s="1"/>
  <c r="M51" i="236"/>
  <c r="N51" i="236" s="1"/>
  <c r="J51" i="236"/>
  <c r="K51" i="236" s="1"/>
  <c r="G51" i="236"/>
  <c r="H51" i="236" s="1"/>
  <c r="D51" i="236"/>
  <c r="E51" i="236" s="1"/>
  <c r="S50" i="236"/>
  <c r="T50" i="236" s="1"/>
  <c r="U50" i="236" s="1"/>
  <c r="P50" i="236"/>
  <c r="Q50" i="236" s="1"/>
  <c r="M50" i="236"/>
  <c r="N50" i="236" s="1"/>
  <c r="J50" i="236"/>
  <c r="K50" i="236" s="1"/>
  <c r="G50" i="236"/>
  <c r="H50" i="236" s="1"/>
  <c r="D50" i="236"/>
  <c r="E50" i="236" s="1"/>
  <c r="S49" i="236"/>
  <c r="T49" i="236" s="1"/>
  <c r="U49" i="236" s="1"/>
  <c r="P49" i="236"/>
  <c r="Q49" i="236" s="1"/>
  <c r="M49" i="236"/>
  <c r="N49" i="236" s="1"/>
  <c r="J49" i="236"/>
  <c r="K49" i="236" s="1"/>
  <c r="G49" i="236"/>
  <c r="H49" i="236" s="1"/>
  <c r="D49" i="236"/>
  <c r="E49" i="236" s="1"/>
  <c r="S48" i="236"/>
  <c r="T48" i="236" s="1"/>
  <c r="U48" i="236" s="1"/>
  <c r="P48" i="236"/>
  <c r="Q48" i="236" s="1"/>
  <c r="M48" i="236"/>
  <c r="N48" i="236" s="1"/>
  <c r="J48" i="236"/>
  <c r="K48" i="236" s="1"/>
  <c r="G48" i="236"/>
  <c r="H48" i="236" s="1"/>
  <c r="D48" i="236"/>
  <c r="E48" i="236" s="1"/>
  <c r="S47" i="236"/>
  <c r="T47" i="236" s="1"/>
  <c r="U47" i="236" s="1"/>
  <c r="P47" i="236"/>
  <c r="Q47" i="236" s="1"/>
  <c r="M47" i="236"/>
  <c r="N47" i="236" s="1"/>
  <c r="J47" i="236"/>
  <c r="K47" i="236" s="1"/>
  <c r="G47" i="236"/>
  <c r="H47" i="236" s="1"/>
  <c r="D47" i="236"/>
  <c r="E47" i="236" s="1"/>
  <c r="S46" i="236"/>
  <c r="T46" i="236" s="1"/>
  <c r="U46" i="236" s="1"/>
  <c r="P46" i="236"/>
  <c r="Q46" i="236" s="1"/>
  <c r="M46" i="236"/>
  <c r="N46" i="236" s="1"/>
  <c r="J46" i="236"/>
  <c r="K46" i="236" s="1"/>
  <c r="G46" i="236"/>
  <c r="H46" i="236" s="1"/>
  <c r="D46" i="236"/>
  <c r="E46" i="236" s="1"/>
  <c r="S45" i="236"/>
  <c r="T45" i="236" s="1"/>
  <c r="U45" i="236" s="1"/>
  <c r="P45" i="236"/>
  <c r="Q45" i="236" s="1"/>
  <c r="M45" i="236"/>
  <c r="N45" i="236" s="1"/>
  <c r="J45" i="236"/>
  <c r="K45" i="236" s="1"/>
  <c r="G45" i="236"/>
  <c r="H45" i="236" s="1"/>
  <c r="D45" i="236"/>
  <c r="E45" i="236" s="1"/>
  <c r="S44" i="236"/>
  <c r="T44" i="236" s="1"/>
  <c r="U44" i="236" s="1"/>
  <c r="P44" i="236"/>
  <c r="Q44" i="236" s="1"/>
  <c r="M44" i="236"/>
  <c r="N44" i="236" s="1"/>
  <c r="J44" i="236"/>
  <c r="K44" i="236" s="1"/>
  <c r="G44" i="236"/>
  <c r="H44" i="236" s="1"/>
  <c r="D44" i="236"/>
  <c r="E44" i="236" s="1"/>
  <c r="S43" i="236"/>
  <c r="T43" i="236" s="1"/>
  <c r="U43" i="236" s="1"/>
  <c r="P43" i="236"/>
  <c r="Q43" i="236" s="1"/>
  <c r="M43" i="236"/>
  <c r="N43" i="236" s="1"/>
  <c r="J43" i="236"/>
  <c r="K43" i="236" s="1"/>
  <c r="G43" i="236"/>
  <c r="H43" i="236" s="1"/>
  <c r="D43" i="236"/>
  <c r="E43" i="236" s="1"/>
  <c r="U22" i="236"/>
  <c r="R22" i="236"/>
  <c r="O22" i="236"/>
  <c r="L22" i="236"/>
  <c r="I22" i="236"/>
  <c r="F22" i="236"/>
  <c r="C22" i="236"/>
  <c r="S72" i="235"/>
  <c r="T72" i="235" s="1"/>
  <c r="U72" i="235" s="1"/>
  <c r="P72" i="235"/>
  <c r="Q72" i="235" s="1"/>
  <c r="M72" i="235"/>
  <c r="N72" i="235" s="1"/>
  <c r="J72" i="235"/>
  <c r="K72" i="235" s="1"/>
  <c r="G72" i="235"/>
  <c r="H72" i="235" s="1"/>
  <c r="D72" i="235"/>
  <c r="E72" i="235" s="1"/>
  <c r="S71" i="235"/>
  <c r="T71" i="235" s="1"/>
  <c r="U71" i="235" s="1"/>
  <c r="P71" i="235"/>
  <c r="Q71" i="235" s="1"/>
  <c r="M71" i="235"/>
  <c r="N71" i="235" s="1"/>
  <c r="J71" i="235"/>
  <c r="K71" i="235" s="1"/>
  <c r="G71" i="235"/>
  <c r="H71" i="235" s="1"/>
  <c r="D71" i="235"/>
  <c r="E71" i="235" s="1"/>
  <c r="S70" i="235"/>
  <c r="T70" i="235" s="1"/>
  <c r="U70" i="235" s="1"/>
  <c r="P70" i="235"/>
  <c r="Q70" i="235" s="1"/>
  <c r="M70" i="235"/>
  <c r="N70" i="235" s="1"/>
  <c r="J70" i="235"/>
  <c r="K70" i="235" s="1"/>
  <c r="G70" i="235"/>
  <c r="H70" i="235" s="1"/>
  <c r="D70" i="235"/>
  <c r="E70" i="235" s="1"/>
  <c r="S69" i="235"/>
  <c r="T69" i="235" s="1"/>
  <c r="U69" i="235" s="1"/>
  <c r="P69" i="235"/>
  <c r="Q69" i="235" s="1"/>
  <c r="M69" i="235"/>
  <c r="N69" i="235" s="1"/>
  <c r="J69" i="235"/>
  <c r="K69" i="235" s="1"/>
  <c r="G69" i="235"/>
  <c r="H69" i="235" s="1"/>
  <c r="D69" i="235"/>
  <c r="E69" i="235" s="1"/>
  <c r="S68" i="235"/>
  <c r="T68" i="235" s="1"/>
  <c r="U68" i="235" s="1"/>
  <c r="P68" i="235"/>
  <c r="Q68" i="235" s="1"/>
  <c r="M68" i="235"/>
  <c r="N68" i="235" s="1"/>
  <c r="J68" i="235"/>
  <c r="K68" i="235" s="1"/>
  <c r="G68" i="235"/>
  <c r="H68" i="235" s="1"/>
  <c r="D68" i="235"/>
  <c r="E68" i="235" s="1"/>
  <c r="S67" i="235"/>
  <c r="T67" i="235" s="1"/>
  <c r="U67" i="235" s="1"/>
  <c r="P67" i="235"/>
  <c r="Q67" i="235" s="1"/>
  <c r="M67" i="235"/>
  <c r="N67" i="235" s="1"/>
  <c r="J67" i="235"/>
  <c r="K67" i="235" s="1"/>
  <c r="G67" i="235"/>
  <c r="H67" i="235" s="1"/>
  <c r="D67" i="235"/>
  <c r="E67" i="235" s="1"/>
  <c r="S66" i="235"/>
  <c r="T66" i="235" s="1"/>
  <c r="U66" i="235" s="1"/>
  <c r="P66" i="235"/>
  <c r="Q66" i="235" s="1"/>
  <c r="M66" i="235"/>
  <c r="N66" i="235" s="1"/>
  <c r="J66" i="235"/>
  <c r="K66" i="235" s="1"/>
  <c r="G66" i="235"/>
  <c r="H66" i="235" s="1"/>
  <c r="D66" i="235"/>
  <c r="E66" i="235" s="1"/>
  <c r="S65" i="235"/>
  <c r="T65" i="235" s="1"/>
  <c r="U65" i="235" s="1"/>
  <c r="P65" i="235"/>
  <c r="Q65" i="235" s="1"/>
  <c r="M65" i="235"/>
  <c r="N65" i="235" s="1"/>
  <c r="J65" i="235"/>
  <c r="K65" i="235" s="1"/>
  <c r="G65" i="235"/>
  <c r="H65" i="235" s="1"/>
  <c r="D65" i="235"/>
  <c r="E65" i="235" s="1"/>
  <c r="S64" i="235"/>
  <c r="T64" i="235" s="1"/>
  <c r="U64" i="235" s="1"/>
  <c r="P64" i="235"/>
  <c r="Q64" i="235" s="1"/>
  <c r="M64" i="235"/>
  <c r="N64" i="235" s="1"/>
  <c r="J64" i="235"/>
  <c r="K64" i="235" s="1"/>
  <c r="G64" i="235"/>
  <c r="H64" i="235" s="1"/>
  <c r="D64" i="235"/>
  <c r="E64" i="235" s="1"/>
  <c r="S63" i="235"/>
  <c r="T63" i="235" s="1"/>
  <c r="U63" i="235" s="1"/>
  <c r="P63" i="235"/>
  <c r="Q63" i="235" s="1"/>
  <c r="M63" i="235"/>
  <c r="N63" i="235" s="1"/>
  <c r="J63" i="235"/>
  <c r="K63" i="235" s="1"/>
  <c r="G63" i="235"/>
  <c r="H63" i="235" s="1"/>
  <c r="D63" i="235"/>
  <c r="E63" i="235" s="1"/>
  <c r="S62" i="235"/>
  <c r="T62" i="235" s="1"/>
  <c r="U62" i="235" s="1"/>
  <c r="P62" i="235"/>
  <c r="Q62" i="235" s="1"/>
  <c r="M62" i="235"/>
  <c r="N62" i="235" s="1"/>
  <c r="J62" i="235"/>
  <c r="K62" i="235" s="1"/>
  <c r="G62" i="235"/>
  <c r="H62" i="235" s="1"/>
  <c r="D62" i="235"/>
  <c r="E62" i="235" s="1"/>
  <c r="S61" i="235"/>
  <c r="T61" i="235" s="1"/>
  <c r="U61" i="235" s="1"/>
  <c r="P61" i="235"/>
  <c r="Q61" i="235" s="1"/>
  <c r="M61" i="235"/>
  <c r="N61" i="235" s="1"/>
  <c r="J61" i="235"/>
  <c r="K61" i="235" s="1"/>
  <c r="G61" i="235"/>
  <c r="H61" i="235" s="1"/>
  <c r="D61" i="235"/>
  <c r="E61" i="235" s="1"/>
  <c r="S60" i="235"/>
  <c r="T60" i="235" s="1"/>
  <c r="U60" i="235" s="1"/>
  <c r="P60" i="235"/>
  <c r="Q60" i="235" s="1"/>
  <c r="M60" i="235"/>
  <c r="N60" i="235" s="1"/>
  <c r="J60" i="235"/>
  <c r="K60" i="235" s="1"/>
  <c r="G60" i="235"/>
  <c r="H60" i="235" s="1"/>
  <c r="D60" i="235"/>
  <c r="E60" i="235" s="1"/>
  <c r="S59" i="235"/>
  <c r="T59" i="235" s="1"/>
  <c r="U59" i="235" s="1"/>
  <c r="P59" i="235"/>
  <c r="Q59" i="235" s="1"/>
  <c r="M59" i="235"/>
  <c r="N59" i="235" s="1"/>
  <c r="J59" i="235"/>
  <c r="K59" i="235" s="1"/>
  <c r="G59" i="235"/>
  <c r="H59" i="235" s="1"/>
  <c r="D59" i="235"/>
  <c r="E59" i="235" s="1"/>
  <c r="S58" i="235"/>
  <c r="T58" i="235" s="1"/>
  <c r="U58" i="235" s="1"/>
  <c r="P58" i="235"/>
  <c r="Q58" i="235" s="1"/>
  <c r="M58" i="235"/>
  <c r="N58" i="235" s="1"/>
  <c r="J58" i="235"/>
  <c r="K58" i="235" s="1"/>
  <c r="G58" i="235"/>
  <c r="H58" i="235" s="1"/>
  <c r="D58" i="235"/>
  <c r="E58" i="235" s="1"/>
  <c r="S57" i="235"/>
  <c r="T57" i="235" s="1"/>
  <c r="U57" i="235" s="1"/>
  <c r="P57" i="235"/>
  <c r="Q57" i="235" s="1"/>
  <c r="M57" i="235"/>
  <c r="N57" i="235" s="1"/>
  <c r="J57" i="235"/>
  <c r="K57" i="235" s="1"/>
  <c r="G57" i="235"/>
  <c r="H57" i="235" s="1"/>
  <c r="D57" i="235"/>
  <c r="E57" i="235" s="1"/>
  <c r="S56" i="235"/>
  <c r="T56" i="235" s="1"/>
  <c r="U56" i="235" s="1"/>
  <c r="P56" i="235"/>
  <c r="Q56" i="235" s="1"/>
  <c r="M56" i="235"/>
  <c r="N56" i="235" s="1"/>
  <c r="J56" i="235"/>
  <c r="K56" i="235" s="1"/>
  <c r="G56" i="235"/>
  <c r="H56" i="235" s="1"/>
  <c r="D56" i="235"/>
  <c r="E56" i="235" s="1"/>
  <c r="S55" i="235"/>
  <c r="T55" i="235" s="1"/>
  <c r="U55" i="235" s="1"/>
  <c r="P55" i="235"/>
  <c r="Q55" i="235" s="1"/>
  <c r="M55" i="235"/>
  <c r="N55" i="235" s="1"/>
  <c r="J55" i="235"/>
  <c r="K55" i="235" s="1"/>
  <c r="G55" i="235"/>
  <c r="H55" i="235" s="1"/>
  <c r="D55" i="235"/>
  <c r="E55" i="235" s="1"/>
  <c r="S54" i="235"/>
  <c r="T54" i="235" s="1"/>
  <c r="U54" i="235" s="1"/>
  <c r="P54" i="235"/>
  <c r="Q54" i="235" s="1"/>
  <c r="M54" i="235"/>
  <c r="N54" i="235" s="1"/>
  <c r="J54" i="235"/>
  <c r="K54" i="235" s="1"/>
  <c r="G54" i="235"/>
  <c r="H54" i="235" s="1"/>
  <c r="D54" i="235"/>
  <c r="E54" i="235" s="1"/>
  <c r="S53" i="235"/>
  <c r="T53" i="235" s="1"/>
  <c r="U53" i="235" s="1"/>
  <c r="P53" i="235"/>
  <c r="Q53" i="235" s="1"/>
  <c r="M53" i="235"/>
  <c r="N53" i="235" s="1"/>
  <c r="J53" i="235"/>
  <c r="K53" i="235" s="1"/>
  <c r="G53" i="235"/>
  <c r="H53" i="235" s="1"/>
  <c r="D53" i="235"/>
  <c r="E53" i="235" s="1"/>
  <c r="S52" i="235"/>
  <c r="T52" i="235" s="1"/>
  <c r="U52" i="235" s="1"/>
  <c r="P52" i="235"/>
  <c r="Q52" i="235" s="1"/>
  <c r="M52" i="235"/>
  <c r="N52" i="235" s="1"/>
  <c r="J52" i="235"/>
  <c r="K52" i="235" s="1"/>
  <c r="G52" i="235"/>
  <c r="H52" i="235" s="1"/>
  <c r="D52" i="235"/>
  <c r="E52" i="235" s="1"/>
  <c r="S51" i="235"/>
  <c r="T51" i="235" s="1"/>
  <c r="U51" i="235" s="1"/>
  <c r="P51" i="235"/>
  <c r="Q51" i="235" s="1"/>
  <c r="M51" i="235"/>
  <c r="N51" i="235" s="1"/>
  <c r="J51" i="235"/>
  <c r="K51" i="235" s="1"/>
  <c r="G51" i="235"/>
  <c r="H51" i="235" s="1"/>
  <c r="D51" i="235"/>
  <c r="E51" i="235" s="1"/>
  <c r="S50" i="235"/>
  <c r="T50" i="235" s="1"/>
  <c r="U50" i="235" s="1"/>
  <c r="P50" i="235"/>
  <c r="Q50" i="235" s="1"/>
  <c r="M50" i="235"/>
  <c r="N50" i="235" s="1"/>
  <c r="J50" i="235"/>
  <c r="K50" i="235" s="1"/>
  <c r="G50" i="235"/>
  <c r="H50" i="235" s="1"/>
  <c r="D50" i="235"/>
  <c r="E50" i="235" s="1"/>
  <c r="S49" i="235"/>
  <c r="T49" i="235" s="1"/>
  <c r="U49" i="235" s="1"/>
  <c r="P49" i="235"/>
  <c r="Q49" i="235" s="1"/>
  <c r="M49" i="235"/>
  <c r="N49" i="235" s="1"/>
  <c r="J49" i="235"/>
  <c r="K49" i="235" s="1"/>
  <c r="G49" i="235"/>
  <c r="H49" i="235" s="1"/>
  <c r="D49" i="235"/>
  <c r="E49" i="235" s="1"/>
  <c r="S48" i="235"/>
  <c r="T48" i="235" s="1"/>
  <c r="U48" i="235" s="1"/>
  <c r="P48" i="235"/>
  <c r="Q48" i="235" s="1"/>
  <c r="M48" i="235"/>
  <c r="N48" i="235" s="1"/>
  <c r="J48" i="235"/>
  <c r="K48" i="235" s="1"/>
  <c r="G48" i="235"/>
  <c r="H48" i="235" s="1"/>
  <c r="D48" i="235"/>
  <c r="E48" i="235" s="1"/>
  <c r="S47" i="235"/>
  <c r="T47" i="235" s="1"/>
  <c r="U47" i="235" s="1"/>
  <c r="P47" i="235"/>
  <c r="Q47" i="235" s="1"/>
  <c r="M47" i="235"/>
  <c r="N47" i="235" s="1"/>
  <c r="J47" i="235"/>
  <c r="K47" i="235" s="1"/>
  <c r="G47" i="235"/>
  <c r="H47" i="235" s="1"/>
  <c r="D47" i="235"/>
  <c r="E47" i="235" s="1"/>
  <c r="S46" i="235"/>
  <c r="T46" i="235" s="1"/>
  <c r="U46" i="235" s="1"/>
  <c r="P46" i="235"/>
  <c r="Q46" i="235" s="1"/>
  <c r="M46" i="235"/>
  <c r="N46" i="235" s="1"/>
  <c r="J46" i="235"/>
  <c r="K46" i="235" s="1"/>
  <c r="G46" i="235"/>
  <c r="H46" i="235" s="1"/>
  <c r="D46" i="235"/>
  <c r="E46" i="235" s="1"/>
  <c r="S45" i="235"/>
  <c r="T45" i="235" s="1"/>
  <c r="U45" i="235" s="1"/>
  <c r="P45" i="235"/>
  <c r="Q45" i="235" s="1"/>
  <c r="M45" i="235"/>
  <c r="N45" i="235" s="1"/>
  <c r="J45" i="235"/>
  <c r="K45" i="235" s="1"/>
  <c r="G45" i="235"/>
  <c r="H45" i="235" s="1"/>
  <c r="D45" i="235"/>
  <c r="E45" i="235" s="1"/>
  <c r="S44" i="235"/>
  <c r="T44" i="235" s="1"/>
  <c r="U44" i="235" s="1"/>
  <c r="P44" i="235"/>
  <c r="Q44" i="235" s="1"/>
  <c r="M44" i="235"/>
  <c r="N44" i="235" s="1"/>
  <c r="J44" i="235"/>
  <c r="K44" i="235" s="1"/>
  <c r="G44" i="235"/>
  <c r="H44" i="235" s="1"/>
  <c r="D44" i="235"/>
  <c r="E44" i="235" s="1"/>
  <c r="S43" i="235"/>
  <c r="T43" i="235" s="1"/>
  <c r="U43" i="235" s="1"/>
  <c r="P43" i="235"/>
  <c r="Q43" i="235" s="1"/>
  <c r="M43" i="235"/>
  <c r="N43" i="235" s="1"/>
  <c r="J43" i="235"/>
  <c r="K43" i="235" s="1"/>
  <c r="G43" i="235"/>
  <c r="H43" i="235" s="1"/>
  <c r="D43" i="235"/>
  <c r="E43" i="235" s="1"/>
  <c r="S42" i="235"/>
  <c r="T42" i="235" s="1"/>
  <c r="U42" i="235" s="1"/>
  <c r="P42" i="235"/>
  <c r="Q42" i="235" s="1"/>
  <c r="M42" i="235"/>
  <c r="N42" i="235" s="1"/>
  <c r="J42" i="235"/>
  <c r="K42" i="235" s="1"/>
  <c r="G42" i="235"/>
  <c r="H42" i="235" s="1"/>
  <c r="D42" i="235"/>
  <c r="E42" i="235" s="1"/>
  <c r="U22" i="235"/>
  <c r="R22" i="235"/>
  <c r="O22" i="235"/>
  <c r="L22" i="235"/>
  <c r="I22" i="235"/>
  <c r="F22" i="235"/>
  <c r="C22" i="235"/>
  <c r="U22" i="234"/>
  <c r="R22" i="234"/>
  <c r="O22" i="234"/>
  <c r="L22" i="234"/>
  <c r="I22" i="234"/>
  <c r="F22" i="234"/>
  <c r="C22" i="234"/>
  <c r="U22" i="233"/>
  <c r="R22" i="233"/>
  <c r="O22" i="233"/>
  <c r="L22" i="233"/>
  <c r="I22" i="233"/>
  <c r="F22" i="233"/>
  <c r="C22" i="233"/>
  <c r="U22" i="231"/>
  <c r="R22" i="231"/>
  <c r="O22" i="231"/>
  <c r="L22" i="231"/>
  <c r="I22" i="231"/>
  <c r="F22" i="231"/>
  <c r="C22" i="231"/>
  <c r="U22" i="230"/>
  <c r="R22" i="230"/>
  <c r="O22" i="230"/>
  <c r="L22" i="230"/>
  <c r="I22" i="230"/>
  <c r="F22" i="230"/>
  <c r="C22" i="230"/>
  <c r="S72" i="234"/>
  <c r="T72" i="234" s="1"/>
  <c r="U72" i="234" s="1"/>
  <c r="P72" i="234"/>
  <c r="Q72" i="234" s="1"/>
  <c r="M72" i="234"/>
  <c r="N72" i="234" s="1"/>
  <c r="J72" i="234"/>
  <c r="K72" i="234" s="1"/>
  <c r="G72" i="234"/>
  <c r="H72" i="234" s="1"/>
  <c r="D72" i="234"/>
  <c r="E72" i="234" s="1"/>
  <c r="S71" i="234"/>
  <c r="T71" i="234" s="1"/>
  <c r="U71" i="234" s="1"/>
  <c r="P71" i="234"/>
  <c r="Q71" i="234" s="1"/>
  <c r="M71" i="234"/>
  <c r="N71" i="234" s="1"/>
  <c r="J71" i="234"/>
  <c r="K71" i="234" s="1"/>
  <c r="G71" i="234"/>
  <c r="H71" i="234" s="1"/>
  <c r="D71" i="234"/>
  <c r="E71" i="234" s="1"/>
  <c r="S70" i="234"/>
  <c r="T70" i="234" s="1"/>
  <c r="U70" i="234" s="1"/>
  <c r="P70" i="234"/>
  <c r="Q70" i="234" s="1"/>
  <c r="M70" i="234"/>
  <c r="N70" i="234" s="1"/>
  <c r="J70" i="234"/>
  <c r="K70" i="234" s="1"/>
  <c r="G70" i="234"/>
  <c r="H70" i="234" s="1"/>
  <c r="D70" i="234"/>
  <c r="E70" i="234" s="1"/>
  <c r="S69" i="234"/>
  <c r="T69" i="234" s="1"/>
  <c r="U69" i="234" s="1"/>
  <c r="P69" i="234"/>
  <c r="Q69" i="234" s="1"/>
  <c r="M69" i="234"/>
  <c r="N69" i="234" s="1"/>
  <c r="J69" i="234"/>
  <c r="K69" i="234" s="1"/>
  <c r="G69" i="234"/>
  <c r="H69" i="234" s="1"/>
  <c r="D69" i="234"/>
  <c r="E69" i="234" s="1"/>
  <c r="S68" i="234"/>
  <c r="T68" i="234" s="1"/>
  <c r="U68" i="234" s="1"/>
  <c r="P68" i="234"/>
  <c r="Q68" i="234" s="1"/>
  <c r="M68" i="234"/>
  <c r="N68" i="234" s="1"/>
  <c r="J68" i="234"/>
  <c r="K68" i="234" s="1"/>
  <c r="G68" i="234"/>
  <c r="H68" i="234" s="1"/>
  <c r="D68" i="234"/>
  <c r="E68" i="234" s="1"/>
  <c r="S67" i="234"/>
  <c r="T67" i="234" s="1"/>
  <c r="U67" i="234" s="1"/>
  <c r="P67" i="234"/>
  <c r="Q67" i="234" s="1"/>
  <c r="M67" i="234"/>
  <c r="N67" i="234" s="1"/>
  <c r="J67" i="234"/>
  <c r="K67" i="234" s="1"/>
  <c r="G67" i="234"/>
  <c r="H67" i="234" s="1"/>
  <c r="D67" i="234"/>
  <c r="E67" i="234" s="1"/>
  <c r="S66" i="234"/>
  <c r="T66" i="234" s="1"/>
  <c r="U66" i="234" s="1"/>
  <c r="P66" i="234"/>
  <c r="Q66" i="234" s="1"/>
  <c r="M66" i="234"/>
  <c r="N66" i="234" s="1"/>
  <c r="J66" i="234"/>
  <c r="K66" i="234" s="1"/>
  <c r="G66" i="234"/>
  <c r="H66" i="234" s="1"/>
  <c r="D66" i="234"/>
  <c r="E66" i="234" s="1"/>
  <c r="S65" i="234"/>
  <c r="T65" i="234" s="1"/>
  <c r="U65" i="234" s="1"/>
  <c r="P65" i="234"/>
  <c r="Q65" i="234" s="1"/>
  <c r="M65" i="234"/>
  <c r="N65" i="234" s="1"/>
  <c r="J65" i="234"/>
  <c r="K65" i="234" s="1"/>
  <c r="G65" i="234"/>
  <c r="H65" i="234" s="1"/>
  <c r="D65" i="234"/>
  <c r="E65" i="234" s="1"/>
  <c r="S64" i="234"/>
  <c r="T64" i="234" s="1"/>
  <c r="U64" i="234" s="1"/>
  <c r="P64" i="234"/>
  <c r="Q64" i="234" s="1"/>
  <c r="M64" i="234"/>
  <c r="N64" i="234" s="1"/>
  <c r="J64" i="234"/>
  <c r="K64" i="234" s="1"/>
  <c r="G64" i="234"/>
  <c r="H64" i="234" s="1"/>
  <c r="D64" i="234"/>
  <c r="E64" i="234" s="1"/>
  <c r="S63" i="234"/>
  <c r="T63" i="234" s="1"/>
  <c r="U63" i="234" s="1"/>
  <c r="P63" i="234"/>
  <c r="Q63" i="234" s="1"/>
  <c r="M63" i="234"/>
  <c r="N63" i="234" s="1"/>
  <c r="J63" i="234"/>
  <c r="K63" i="234" s="1"/>
  <c r="G63" i="234"/>
  <c r="H63" i="234" s="1"/>
  <c r="D63" i="234"/>
  <c r="E63" i="234" s="1"/>
  <c r="S62" i="234"/>
  <c r="T62" i="234" s="1"/>
  <c r="U62" i="234" s="1"/>
  <c r="P62" i="234"/>
  <c r="Q62" i="234" s="1"/>
  <c r="M62" i="234"/>
  <c r="N62" i="234" s="1"/>
  <c r="J62" i="234"/>
  <c r="K62" i="234" s="1"/>
  <c r="G62" i="234"/>
  <c r="H62" i="234" s="1"/>
  <c r="D62" i="234"/>
  <c r="E62" i="234" s="1"/>
  <c r="S61" i="234"/>
  <c r="T61" i="234" s="1"/>
  <c r="U61" i="234" s="1"/>
  <c r="P61" i="234"/>
  <c r="Q61" i="234" s="1"/>
  <c r="M61" i="234"/>
  <c r="N61" i="234" s="1"/>
  <c r="J61" i="234"/>
  <c r="K61" i="234" s="1"/>
  <c r="G61" i="234"/>
  <c r="H61" i="234" s="1"/>
  <c r="D61" i="234"/>
  <c r="E61" i="234" s="1"/>
  <c r="S60" i="234"/>
  <c r="T60" i="234" s="1"/>
  <c r="U60" i="234" s="1"/>
  <c r="P60" i="234"/>
  <c r="Q60" i="234" s="1"/>
  <c r="M60" i="234"/>
  <c r="N60" i="234" s="1"/>
  <c r="J60" i="234"/>
  <c r="K60" i="234" s="1"/>
  <c r="G60" i="234"/>
  <c r="H60" i="234" s="1"/>
  <c r="D60" i="234"/>
  <c r="E60" i="234" s="1"/>
  <c r="S59" i="234"/>
  <c r="T59" i="234" s="1"/>
  <c r="U59" i="234" s="1"/>
  <c r="P59" i="234"/>
  <c r="Q59" i="234" s="1"/>
  <c r="M59" i="234"/>
  <c r="N59" i="234" s="1"/>
  <c r="J59" i="234"/>
  <c r="K59" i="234" s="1"/>
  <c r="G59" i="234"/>
  <c r="H59" i="234" s="1"/>
  <c r="D59" i="234"/>
  <c r="E59" i="234" s="1"/>
  <c r="S58" i="234"/>
  <c r="T58" i="234" s="1"/>
  <c r="U58" i="234" s="1"/>
  <c r="P58" i="234"/>
  <c r="Q58" i="234" s="1"/>
  <c r="M58" i="234"/>
  <c r="N58" i="234" s="1"/>
  <c r="J58" i="234"/>
  <c r="K58" i="234" s="1"/>
  <c r="G58" i="234"/>
  <c r="H58" i="234" s="1"/>
  <c r="D58" i="234"/>
  <c r="E58" i="234" s="1"/>
  <c r="S57" i="234"/>
  <c r="T57" i="234" s="1"/>
  <c r="U57" i="234" s="1"/>
  <c r="P57" i="234"/>
  <c r="Q57" i="234" s="1"/>
  <c r="M57" i="234"/>
  <c r="N57" i="234" s="1"/>
  <c r="J57" i="234"/>
  <c r="K57" i="234" s="1"/>
  <c r="G57" i="234"/>
  <c r="H57" i="234" s="1"/>
  <c r="D57" i="234"/>
  <c r="E57" i="234" s="1"/>
  <c r="S56" i="234"/>
  <c r="T56" i="234" s="1"/>
  <c r="U56" i="234" s="1"/>
  <c r="P56" i="234"/>
  <c r="Q56" i="234" s="1"/>
  <c r="M56" i="234"/>
  <c r="N56" i="234" s="1"/>
  <c r="J56" i="234"/>
  <c r="K56" i="234" s="1"/>
  <c r="G56" i="234"/>
  <c r="H56" i="234" s="1"/>
  <c r="D56" i="234"/>
  <c r="E56" i="234" s="1"/>
  <c r="S55" i="234"/>
  <c r="T55" i="234" s="1"/>
  <c r="U55" i="234" s="1"/>
  <c r="P55" i="234"/>
  <c r="Q55" i="234" s="1"/>
  <c r="M55" i="234"/>
  <c r="N55" i="234" s="1"/>
  <c r="J55" i="234"/>
  <c r="K55" i="234" s="1"/>
  <c r="G55" i="234"/>
  <c r="H55" i="234" s="1"/>
  <c r="D55" i="234"/>
  <c r="E55" i="234" s="1"/>
  <c r="S54" i="234"/>
  <c r="T54" i="234" s="1"/>
  <c r="U54" i="234" s="1"/>
  <c r="P54" i="234"/>
  <c r="Q54" i="234" s="1"/>
  <c r="M54" i="234"/>
  <c r="N54" i="234" s="1"/>
  <c r="J54" i="234"/>
  <c r="K54" i="234" s="1"/>
  <c r="G54" i="234"/>
  <c r="H54" i="234" s="1"/>
  <c r="D54" i="234"/>
  <c r="E54" i="234" s="1"/>
  <c r="S53" i="234"/>
  <c r="T53" i="234" s="1"/>
  <c r="U53" i="234" s="1"/>
  <c r="P53" i="234"/>
  <c r="Q53" i="234" s="1"/>
  <c r="M53" i="234"/>
  <c r="N53" i="234" s="1"/>
  <c r="J53" i="234"/>
  <c r="K53" i="234" s="1"/>
  <c r="G53" i="234"/>
  <c r="H53" i="234" s="1"/>
  <c r="D53" i="234"/>
  <c r="E53" i="234" s="1"/>
  <c r="S52" i="234"/>
  <c r="T52" i="234" s="1"/>
  <c r="U52" i="234" s="1"/>
  <c r="P52" i="234"/>
  <c r="Q52" i="234" s="1"/>
  <c r="M52" i="234"/>
  <c r="N52" i="234" s="1"/>
  <c r="J52" i="234"/>
  <c r="K52" i="234" s="1"/>
  <c r="G52" i="234"/>
  <c r="H52" i="234" s="1"/>
  <c r="D52" i="234"/>
  <c r="E52" i="234" s="1"/>
  <c r="S51" i="234"/>
  <c r="T51" i="234" s="1"/>
  <c r="U51" i="234" s="1"/>
  <c r="P51" i="234"/>
  <c r="Q51" i="234" s="1"/>
  <c r="M51" i="234"/>
  <c r="N51" i="234" s="1"/>
  <c r="J51" i="234"/>
  <c r="K51" i="234" s="1"/>
  <c r="G51" i="234"/>
  <c r="H51" i="234" s="1"/>
  <c r="D51" i="234"/>
  <c r="E51" i="234" s="1"/>
  <c r="S50" i="234"/>
  <c r="T50" i="234" s="1"/>
  <c r="U50" i="234" s="1"/>
  <c r="P50" i="234"/>
  <c r="Q50" i="234" s="1"/>
  <c r="M50" i="234"/>
  <c r="N50" i="234" s="1"/>
  <c r="J50" i="234"/>
  <c r="K50" i="234" s="1"/>
  <c r="G50" i="234"/>
  <c r="H50" i="234" s="1"/>
  <c r="D50" i="234"/>
  <c r="E50" i="234" s="1"/>
  <c r="S49" i="234"/>
  <c r="T49" i="234" s="1"/>
  <c r="U49" i="234" s="1"/>
  <c r="P49" i="234"/>
  <c r="Q49" i="234" s="1"/>
  <c r="M49" i="234"/>
  <c r="N49" i="234" s="1"/>
  <c r="J49" i="234"/>
  <c r="K49" i="234" s="1"/>
  <c r="G49" i="234"/>
  <c r="H49" i="234" s="1"/>
  <c r="D49" i="234"/>
  <c r="E49" i="234" s="1"/>
  <c r="S48" i="234"/>
  <c r="T48" i="234" s="1"/>
  <c r="U48" i="234" s="1"/>
  <c r="P48" i="234"/>
  <c r="Q48" i="234" s="1"/>
  <c r="M48" i="234"/>
  <c r="N48" i="234" s="1"/>
  <c r="J48" i="234"/>
  <c r="K48" i="234" s="1"/>
  <c r="G48" i="234"/>
  <c r="H48" i="234" s="1"/>
  <c r="D48" i="234"/>
  <c r="E48" i="234" s="1"/>
  <c r="S47" i="234"/>
  <c r="T47" i="234" s="1"/>
  <c r="U47" i="234" s="1"/>
  <c r="P47" i="234"/>
  <c r="Q47" i="234" s="1"/>
  <c r="M47" i="234"/>
  <c r="N47" i="234" s="1"/>
  <c r="J47" i="234"/>
  <c r="K47" i="234" s="1"/>
  <c r="G47" i="234"/>
  <c r="H47" i="234" s="1"/>
  <c r="D47" i="234"/>
  <c r="E47" i="234" s="1"/>
  <c r="S46" i="234"/>
  <c r="T46" i="234" s="1"/>
  <c r="U46" i="234" s="1"/>
  <c r="P46" i="234"/>
  <c r="Q46" i="234" s="1"/>
  <c r="M46" i="234"/>
  <c r="N46" i="234" s="1"/>
  <c r="J46" i="234"/>
  <c r="K46" i="234" s="1"/>
  <c r="G46" i="234"/>
  <c r="H46" i="234" s="1"/>
  <c r="D46" i="234"/>
  <c r="E46" i="234" s="1"/>
  <c r="S45" i="234"/>
  <c r="T45" i="234" s="1"/>
  <c r="U45" i="234" s="1"/>
  <c r="P45" i="234"/>
  <c r="Q45" i="234" s="1"/>
  <c r="M45" i="234"/>
  <c r="N45" i="234" s="1"/>
  <c r="J45" i="234"/>
  <c r="K45" i="234" s="1"/>
  <c r="G45" i="234"/>
  <c r="H45" i="234" s="1"/>
  <c r="D45" i="234"/>
  <c r="E45" i="234" s="1"/>
  <c r="S44" i="234"/>
  <c r="T44" i="234" s="1"/>
  <c r="U44" i="234" s="1"/>
  <c r="P44" i="234"/>
  <c r="Q44" i="234" s="1"/>
  <c r="M44" i="234"/>
  <c r="N44" i="234" s="1"/>
  <c r="J44" i="234"/>
  <c r="K44" i="234" s="1"/>
  <c r="G44" i="234"/>
  <c r="H44" i="234" s="1"/>
  <c r="D44" i="234"/>
  <c r="E44" i="234" s="1"/>
  <c r="S43" i="234"/>
  <c r="T43" i="234" s="1"/>
  <c r="U43" i="234" s="1"/>
  <c r="P43" i="234"/>
  <c r="Q43" i="234" s="1"/>
  <c r="M43" i="234"/>
  <c r="N43" i="234" s="1"/>
  <c r="J43" i="234"/>
  <c r="K43" i="234" s="1"/>
  <c r="G43" i="234"/>
  <c r="H43" i="234" s="1"/>
  <c r="D43" i="234"/>
  <c r="E43" i="234" s="1"/>
  <c r="S42" i="234"/>
  <c r="T42" i="234" s="1"/>
  <c r="U42" i="234" s="1"/>
  <c r="P42" i="234"/>
  <c r="Q42" i="234" s="1"/>
  <c r="M42" i="234"/>
  <c r="N42" i="234" s="1"/>
  <c r="J42" i="234"/>
  <c r="K42" i="234" s="1"/>
  <c r="G42" i="234"/>
  <c r="H42" i="234" s="1"/>
  <c r="D42" i="234"/>
  <c r="E42" i="234" s="1"/>
  <c r="C4" i="234"/>
  <c r="D4" i="234" s="1"/>
  <c r="E4" i="234" s="1"/>
  <c r="C5" i="234" s="1"/>
  <c r="F4" i="234"/>
  <c r="G4" i="234" s="1"/>
  <c r="I4" i="234"/>
  <c r="L4" i="234"/>
  <c r="M4" i="234" s="1"/>
  <c r="N4" i="234" s="1"/>
  <c r="L5" i="234" s="1"/>
  <c r="M5" i="234" s="1"/>
  <c r="O4" i="234"/>
  <c r="P4" i="234" s="1"/>
  <c r="Q4" i="234" s="1"/>
  <c r="O5" i="234" s="1"/>
  <c r="R4" i="234"/>
  <c r="S4" i="234"/>
  <c r="U4" i="234"/>
  <c r="X4" i="234"/>
  <c r="Y4" i="234" s="1"/>
  <c r="Z4" i="234" s="1"/>
  <c r="X5" i="234" s="1"/>
  <c r="Y5" i="234" s="1"/>
  <c r="AA4" i="234"/>
  <c r="AB4" i="234" s="1"/>
  <c r="AC4" i="234" s="1"/>
  <c r="AA5" i="234" s="1"/>
  <c r="AD4" i="234"/>
  <c r="AE4" i="234" s="1"/>
  <c r="AG4" i="234"/>
  <c r="AJ4" i="234"/>
  <c r="AK4" i="234" s="1"/>
  <c r="AL4" i="234" s="1"/>
  <c r="AJ5" i="234" s="1"/>
  <c r="AK5" i="234" s="1"/>
  <c r="AM4" i="234"/>
  <c r="AN4" i="234" s="1"/>
  <c r="AO4" i="234" s="1"/>
  <c r="AM5" i="234" s="1"/>
  <c r="AP4" i="234"/>
  <c r="AQ4" i="234" s="1"/>
  <c r="S72" i="233"/>
  <c r="T72" i="233" s="1"/>
  <c r="U72" i="233" s="1"/>
  <c r="P72" i="233"/>
  <c r="Q72" i="233" s="1"/>
  <c r="M72" i="233"/>
  <c r="N72" i="233" s="1"/>
  <c r="J72" i="233"/>
  <c r="K72" i="233" s="1"/>
  <c r="G72" i="233"/>
  <c r="H72" i="233" s="1"/>
  <c r="D72" i="233"/>
  <c r="E72" i="233" s="1"/>
  <c r="S71" i="233"/>
  <c r="T71" i="233" s="1"/>
  <c r="U71" i="233" s="1"/>
  <c r="P71" i="233"/>
  <c r="Q71" i="233" s="1"/>
  <c r="M71" i="233"/>
  <c r="N71" i="233" s="1"/>
  <c r="J71" i="233"/>
  <c r="K71" i="233" s="1"/>
  <c r="G71" i="233"/>
  <c r="H71" i="233" s="1"/>
  <c r="D71" i="233"/>
  <c r="E71" i="233" s="1"/>
  <c r="S70" i="233"/>
  <c r="T70" i="233" s="1"/>
  <c r="U70" i="233" s="1"/>
  <c r="P70" i="233"/>
  <c r="Q70" i="233" s="1"/>
  <c r="M70" i="233"/>
  <c r="N70" i="233" s="1"/>
  <c r="J70" i="233"/>
  <c r="K70" i="233" s="1"/>
  <c r="G70" i="233"/>
  <c r="H70" i="233" s="1"/>
  <c r="D70" i="233"/>
  <c r="E70" i="233" s="1"/>
  <c r="S69" i="233"/>
  <c r="T69" i="233" s="1"/>
  <c r="U69" i="233" s="1"/>
  <c r="P69" i="233"/>
  <c r="Q69" i="233" s="1"/>
  <c r="M69" i="233"/>
  <c r="N69" i="233" s="1"/>
  <c r="J69" i="233"/>
  <c r="K69" i="233" s="1"/>
  <c r="G69" i="233"/>
  <c r="H69" i="233" s="1"/>
  <c r="D69" i="233"/>
  <c r="E69" i="233" s="1"/>
  <c r="S68" i="233"/>
  <c r="T68" i="233" s="1"/>
  <c r="U68" i="233" s="1"/>
  <c r="P68" i="233"/>
  <c r="Q68" i="233" s="1"/>
  <c r="M68" i="233"/>
  <c r="N68" i="233" s="1"/>
  <c r="J68" i="233"/>
  <c r="K68" i="233" s="1"/>
  <c r="G68" i="233"/>
  <c r="H68" i="233" s="1"/>
  <c r="D68" i="233"/>
  <c r="E68" i="233" s="1"/>
  <c r="S67" i="233"/>
  <c r="T67" i="233" s="1"/>
  <c r="U67" i="233" s="1"/>
  <c r="P67" i="233"/>
  <c r="Q67" i="233" s="1"/>
  <c r="M67" i="233"/>
  <c r="N67" i="233" s="1"/>
  <c r="J67" i="233"/>
  <c r="K67" i="233" s="1"/>
  <c r="G67" i="233"/>
  <c r="H67" i="233" s="1"/>
  <c r="D67" i="233"/>
  <c r="E67" i="233" s="1"/>
  <c r="S66" i="233"/>
  <c r="T66" i="233" s="1"/>
  <c r="U66" i="233" s="1"/>
  <c r="P66" i="233"/>
  <c r="Q66" i="233" s="1"/>
  <c r="M66" i="233"/>
  <c r="N66" i="233" s="1"/>
  <c r="J66" i="233"/>
  <c r="K66" i="233" s="1"/>
  <c r="G66" i="233"/>
  <c r="H66" i="233" s="1"/>
  <c r="D66" i="233"/>
  <c r="E66" i="233" s="1"/>
  <c r="S65" i="233"/>
  <c r="T65" i="233" s="1"/>
  <c r="U65" i="233" s="1"/>
  <c r="P65" i="233"/>
  <c r="Q65" i="233" s="1"/>
  <c r="M65" i="233"/>
  <c r="N65" i="233" s="1"/>
  <c r="J65" i="233"/>
  <c r="K65" i="233" s="1"/>
  <c r="G65" i="233"/>
  <c r="H65" i="233" s="1"/>
  <c r="D65" i="233"/>
  <c r="E65" i="233" s="1"/>
  <c r="S64" i="233"/>
  <c r="T64" i="233" s="1"/>
  <c r="U64" i="233" s="1"/>
  <c r="P64" i="233"/>
  <c r="Q64" i="233" s="1"/>
  <c r="M64" i="233"/>
  <c r="N64" i="233" s="1"/>
  <c r="J64" i="233"/>
  <c r="K64" i="233" s="1"/>
  <c r="G64" i="233"/>
  <c r="H64" i="233" s="1"/>
  <c r="D64" i="233"/>
  <c r="E64" i="233" s="1"/>
  <c r="S63" i="233"/>
  <c r="T63" i="233" s="1"/>
  <c r="U63" i="233" s="1"/>
  <c r="P63" i="233"/>
  <c r="Q63" i="233" s="1"/>
  <c r="M63" i="233"/>
  <c r="N63" i="233" s="1"/>
  <c r="J63" i="233"/>
  <c r="K63" i="233" s="1"/>
  <c r="G63" i="233"/>
  <c r="H63" i="233" s="1"/>
  <c r="D63" i="233"/>
  <c r="E63" i="233" s="1"/>
  <c r="S62" i="233"/>
  <c r="T62" i="233" s="1"/>
  <c r="U62" i="233" s="1"/>
  <c r="P62" i="233"/>
  <c r="Q62" i="233" s="1"/>
  <c r="M62" i="233"/>
  <c r="N62" i="233" s="1"/>
  <c r="J62" i="233"/>
  <c r="K62" i="233" s="1"/>
  <c r="G62" i="233"/>
  <c r="H62" i="233" s="1"/>
  <c r="D62" i="233"/>
  <c r="E62" i="233" s="1"/>
  <c r="S61" i="233"/>
  <c r="T61" i="233" s="1"/>
  <c r="U61" i="233" s="1"/>
  <c r="P61" i="233"/>
  <c r="Q61" i="233" s="1"/>
  <c r="M61" i="233"/>
  <c r="N61" i="233" s="1"/>
  <c r="J61" i="233"/>
  <c r="K61" i="233" s="1"/>
  <c r="G61" i="233"/>
  <c r="H61" i="233" s="1"/>
  <c r="D61" i="233"/>
  <c r="E61" i="233" s="1"/>
  <c r="S60" i="233"/>
  <c r="T60" i="233" s="1"/>
  <c r="U60" i="233" s="1"/>
  <c r="P60" i="233"/>
  <c r="Q60" i="233" s="1"/>
  <c r="M60" i="233"/>
  <c r="N60" i="233" s="1"/>
  <c r="J60" i="233"/>
  <c r="K60" i="233" s="1"/>
  <c r="G60" i="233"/>
  <c r="H60" i="233" s="1"/>
  <c r="D60" i="233"/>
  <c r="E60" i="233" s="1"/>
  <c r="S59" i="233"/>
  <c r="T59" i="233" s="1"/>
  <c r="U59" i="233" s="1"/>
  <c r="P59" i="233"/>
  <c r="Q59" i="233" s="1"/>
  <c r="M59" i="233"/>
  <c r="N59" i="233" s="1"/>
  <c r="J59" i="233"/>
  <c r="K59" i="233" s="1"/>
  <c r="G59" i="233"/>
  <c r="H59" i="233" s="1"/>
  <c r="D59" i="233"/>
  <c r="E59" i="233" s="1"/>
  <c r="S58" i="233"/>
  <c r="T58" i="233" s="1"/>
  <c r="U58" i="233" s="1"/>
  <c r="P58" i="233"/>
  <c r="Q58" i="233" s="1"/>
  <c r="M58" i="233"/>
  <c r="N58" i="233" s="1"/>
  <c r="J58" i="233"/>
  <c r="K58" i="233" s="1"/>
  <c r="G58" i="233"/>
  <c r="H58" i="233" s="1"/>
  <c r="D58" i="233"/>
  <c r="E58" i="233" s="1"/>
  <c r="S57" i="233"/>
  <c r="T57" i="233" s="1"/>
  <c r="U57" i="233" s="1"/>
  <c r="P57" i="233"/>
  <c r="Q57" i="233" s="1"/>
  <c r="M57" i="233"/>
  <c r="N57" i="233" s="1"/>
  <c r="J57" i="233"/>
  <c r="K57" i="233" s="1"/>
  <c r="G57" i="233"/>
  <c r="H57" i="233" s="1"/>
  <c r="D57" i="233"/>
  <c r="E57" i="233" s="1"/>
  <c r="S56" i="233"/>
  <c r="T56" i="233" s="1"/>
  <c r="U56" i="233" s="1"/>
  <c r="P56" i="233"/>
  <c r="Q56" i="233" s="1"/>
  <c r="M56" i="233"/>
  <c r="N56" i="233" s="1"/>
  <c r="J56" i="233"/>
  <c r="K56" i="233" s="1"/>
  <c r="G56" i="233"/>
  <c r="H56" i="233" s="1"/>
  <c r="D56" i="233"/>
  <c r="E56" i="233" s="1"/>
  <c r="S55" i="233"/>
  <c r="T55" i="233" s="1"/>
  <c r="U55" i="233" s="1"/>
  <c r="P55" i="233"/>
  <c r="Q55" i="233" s="1"/>
  <c r="M55" i="233"/>
  <c r="N55" i="233" s="1"/>
  <c r="J55" i="233"/>
  <c r="K55" i="233" s="1"/>
  <c r="G55" i="233"/>
  <c r="H55" i="233" s="1"/>
  <c r="D55" i="233"/>
  <c r="E55" i="233" s="1"/>
  <c r="S54" i="233"/>
  <c r="T54" i="233" s="1"/>
  <c r="U54" i="233" s="1"/>
  <c r="P54" i="233"/>
  <c r="Q54" i="233" s="1"/>
  <c r="M54" i="233"/>
  <c r="N54" i="233" s="1"/>
  <c r="J54" i="233"/>
  <c r="K54" i="233" s="1"/>
  <c r="G54" i="233"/>
  <c r="H54" i="233" s="1"/>
  <c r="D54" i="233"/>
  <c r="E54" i="233" s="1"/>
  <c r="S53" i="233"/>
  <c r="T53" i="233" s="1"/>
  <c r="U53" i="233" s="1"/>
  <c r="P53" i="233"/>
  <c r="Q53" i="233" s="1"/>
  <c r="M53" i="233"/>
  <c r="N53" i="233" s="1"/>
  <c r="J53" i="233"/>
  <c r="K53" i="233" s="1"/>
  <c r="G53" i="233"/>
  <c r="H53" i="233" s="1"/>
  <c r="D53" i="233"/>
  <c r="E53" i="233" s="1"/>
  <c r="S52" i="233"/>
  <c r="T52" i="233" s="1"/>
  <c r="U52" i="233" s="1"/>
  <c r="P52" i="233"/>
  <c r="Q52" i="233" s="1"/>
  <c r="M52" i="233"/>
  <c r="N52" i="233" s="1"/>
  <c r="J52" i="233"/>
  <c r="K52" i="233" s="1"/>
  <c r="G52" i="233"/>
  <c r="H52" i="233" s="1"/>
  <c r="D52" i="233"/>
  <c r="E52" i="233" s="1"/>
  <c r="S51" i="233"/>
  <c r="T51" i="233" s="1"/>
  <c r="U51" i="233" s="1"/>
  <c r="P51" i="233"/>
  <c r="Q51" i="233" s="1"/>
  <c r="M51" i="233"/>
  <c r="N51" i="233" s="1"/>
  <c r="J51" i="233"/>
  <c r="K51" i="233" s="1"/>
  <c r="G51" i="233"/>
  <c r="H51" i="233" s="1"/>
  <c r="D51" i="233"/>
  <c r="E51" i="233" s="1"/>
  <c r="S50" i="233"/>
  <c r="T50" i="233" s="1"/>
  <c r="U50" i="233" s="1"/>
  <c r="P50" i="233"/>
  <c r="Q50" i="233" s="1"/>
  <c r="M50" i="233"/>
  <c r="N50" i="233" s="1"/>
  <c r="J50" i="233"/>
  <c r="K50" i="233" s="1"/>
  <c r="G50" i="233"/>
  <c r="H50" i="233" s="1"/>
  <c r="D50" i="233"/>
  <c r="E50" i="233" s="1"/>
  <c r="S49" i="233"/>
  <c r="T49" i="233" s="1"/>
  <c r="U49" i="233" s="1"/>
  <c r="P49" i="233"/>
  <c r="Q49" i="233" s="1"/>
  <c r="M49" i="233"/>
  <c r="N49" i="233" s="1"/>
  <c r="J49" i="233"/>
  <c r="K49" i="233" s="1"/>
  <c r="G49" i="233"/>
  <c r="H49" i="233" s="1"/>
  <c r="D49" i="233"/>
  <c r="E49" i="233" s="1"/>
  <c r="S48" i="233"/>
  <c r="T48" i="233" s="1"/>
  <c r="U48" i="233" s="1"/>
  <c r="P48" i="233"/>
  <c r="Q48" i="233" s="1"/>
  <c r="M48" i="233"/>
  <c r="N48" i="233" s="1"/>
  <c r="J48" i="233"/>
  <c r="K48" i="233" s="1"/>
  <c r="G48" i="233"/>
  <c r="H48" i="233" s="1"/>
  <c r="D48" i="233"/>
  <c r="E48" i="233" s="1"/>
  <c r="S47" i="233"/>
  <c r="T47" i="233" s="1"/>
  <c r="U47" i="233" s="1"/>
  <c r="P47" i="233"/>
  <c r="Q47" i="233" s="1"/>
  <c r="M47" i="233"/>
  <c r="N47" i="233" s="1"/>
  <c r="J47" i="233"/>
  <c r="K47" i="233" s="1"/>
  <c r="G47" i="233"/>
  <c r="H47" i="233" s="1"/>
  <c r="D47" i="233"/>
  <c r="E47" i="233" s="1"/>
  <c r="S46" i="233"/>
  <c r="T46" i="233" s="1"/>
  <c r="U46" i="233" s="1"/>
  <c r="P46" i="233"/>
  <c r="Q46" i="233" s="1"/>
  <c r="M46" i="233"/>
  <c r="N46" i="233" s="1"/>
  <c r="J46" i="233"/>
  <c r="K46" i="233" s="1"/>
  <c r="G46" i="233"/>
  <c r="H46" i="233" s="1"/>
  <c r="D46" i="233"/>
  <c r="E46" i="233" s="1"/>
  <c r="S45" i="233"/>
  <c r="T45" i="233" s="1"/>
  <c r="U45" i="233" s="1"/>
  <c r="P45" i="233"/>
  <c r="Q45" i="233" s="1"/>
  <c r="M45" i="233"/>
  <c r="N45" i="233" s="1"/>
  <c r="J45" i="233"/>
  <c r="K45" i="233" s="1"/>
  <c r="G45" i="233"/>
  <c r="H45" i="233" s="1"/>
  <c r="D45" i="233"/>
  <c r="E45" i="233" s="1"/>
  <c r="S44" i="233"/>
  <c r="T44" i="233" s="1"/>
  <c r="U44" i="233" s="1"/>
  <c r="P44" i="233"/>
  <c r="Q44" i="233" s="1"/>
  <c r="M44" i="233"/>
  <c r="N44" i="233" s="1"/>
  <c r="J44" i="233"/>
  <c r="K44" i="233" s="1"/>
  <c r="G44" i="233"/>
  <c r="H44" i="233" s="1"/>
  <c r="D44" i="233"/>
  <c r="E44" i="233" s="1"/>
  <c r="S43" i="233"/>
  <c r="T43" i="233" s="1"/>
  <c r="U43" i="233" s="1"/>
  <c r="P43" i="233"/>
  <c r="Q43" i="233" s="1"/>
  <c r="M43" i="233"/>
  <c r="N43" i="233" s="1"/>
  <c r="J43" i="233"/>
  <c r="K43" i="233" s="1"/>
  <c r="G43" i="233"/>
  <c r="H43" i="233" s="1"/>
  <c r="D43" i="233"/>
  <c r="E43" i="233" s="1"/>
  <c r="S42" i="233"/>
  <c r="T42" i="233" s="1"/>
  <c r="U42" i="233" s="1"/>
  <c r="P42" i="233"/>
  <c r="Q42" i="233" s="1"/>
  <c r="M42" i="233"/>
  <c r="N42" i="233" s="1"/>
  <c r="J42" i="233"/>
  <c r="K42" i="233" s="1"/>
  <c r="G42" i="233"/>
  <c r="H42" i="233" s="1"/>
  <c r="D42" i="233"/>
  <c r="E42" i="233" s="1"/>
  <c r="A1" i="233"/>
  <c r="O5" i="231"/>
  <c r="O6" i="231"/>
  <c r="O7" i="231"/>
  <c r="O8" i="231"/>
  <c r="O9" i="231"/>
  <c r="O10" i="231"/>
  <c r="O11" i="231"/>
  <c r="O12" i="231"/>
  <c r="O13" i="231"/>
  <c r="O14" i="231"/>
  <c r="O15" i="231"/>
  <c r="O16" i="231"/>
  <c r="O17" i="231"/>
  <c r="O18" i="231"/>
  <c r="O19" i="231"/>
  <c r="O4" i="231"/>
  <c r="L5" i="231"/>
  <c r="L6" i="231"/>
  <c r="L7" i="231"/>
  <c r="L8" i="231"/>
  <c r="L9" i="231"/>
  <c r="L10" i="231"/>
  <c r="L11" i="231"/>
  <c r="L12" i="231"/>
  <c r="L13" i="231"/>
  <c r="L14" i="231"/>
  <c r="L15" i="231"/>
  <c r="L16" i="231"/>
  <c r="L17" i="231"/>
  <c r="L18" i="231"/>
  <c r="L19" i="231"/>
  <c r="L4" i="231"/>
  <c r="I5" i="231"/>
  <c r="I6" i="231"/>
  <c r="I7" i="231"/>
  <c r="I8" i="231"/>
  <c r="I9" i="231"/>
  <c r="I10" i="231"/>
  <c r="I11" i="231"/>
  <c r="I12" i="231"/>
  <c r="I13" i="231"/>
  <c r="I14" i="231"/>
  <c r="I15" i="231"/>
  <c r="I16" i="231"/>
  <c r="I17" i="231"/>
  <c r="I18" i="231"/>
  <c r="I19" i="231"/>
  <c r="I4" i="231"/>
  <c r="F5" i="231"/>
  <c r="F6" i="231"/>
  <c r="F7" i="231"/>
  <c r="F8" i="231"/>
  <c r="F9" i="231"/>
  <c r="F10" i="231"/>
  <c r="F11" i="231"/>
  <c r="F12" i="231"/>
  <c r="F13" i="231"/>
  <c r="F14" i="231"/>
  <c r="F15" i="231"/>
  <c r="F16" i="231"/>
  <c r="F17" i="231"/>
  <c r="F18" i="231"/>
  <c r="F19" i="231"/>
  <c r="F4" i="231"/>
  <c r="C5" i="231"/>
  <c r="C6" i="231"/>
  <c r="C7" i="231"/>
  <c r="C8" i="231"/>
  <c r="C9" i="231"/>
  <c r="C10" i="231"/>
  <c r="C11" i="231"/>
  <c r="C12" i="231"/>
  <c r="C13" i="231"/>
  <c r="C14" i="231"/>
  <c r="C15" i="231"/>
  <c r="C16" i="231"/>
  <c r="C17" i="231"/>
  <c r="C18" i="231"/>
  <c r="C19" i="231"/>
  <c r="C4" i="231"/>
  <c r="A1" i="231"/>
  <c r="U22" i="228"/>
  <c r="R22" i="228"/>
  <c r="O22" i="228"/>
  <c r="L22" i="228"/>
  <c r="I22" i="228"/>
  <c r="F22" i="228"/>
  <c r="C22" i="228"/>
  <c r="J598" i="242" l="1"/>
  <c r="K603" i="242"/>
  <c r="I601" i="242"/>
  <c r="J595" i="242"/>
  <c r="K602" i="242"/>
  <c r="J600" i="242"/>
  <c r="I612" i="242"/>
  <c r="I596" i="242"/>
  <c r="K595" i="242"/>
  <c r="J603" i="242"/>
  <c r="I597" i="242"/>
  <c r="I595" i="242"/>
  <c r="J612" i="242"/>
  <c r="J596" i="242"/>
  <c r="I608" i="242"/>
  <c r="K597" i="242"/>
  <c r="I607" i="242"/>
  <c r="K609" i="242"/>
  <c r="J599" i="242"/>
  <c r="K607" i="242"/>
  <c r="K611" i="242"/>
  <c r="J610" i="242"/>
  <c r="K605" i="242"/>
  <c r="I606" i="242"/>
  <c r="J607" i="242"/>
  <c r="I599" i="242"/>
  <c r="I611" i="242"/>
  <c r="K599" i="242"/>
  <c r="K601" i="242"/>
  <c r="J608" i="242"/>
  <c r="J609" i="242"/>
  <c r="I604" i="242"/>
  <c r="K608" i="242"/>
  <c r="K596" i="242"/>
  <c r="J605" i="242"/>
  <c r="J611" i="242"/>
  <c r="J606" i="242"/>
  <c r="K610" i="242"/>
  <c r="I602" i="242"/>
  <c r="K600" i="242"/>
  <c r="I609" i="242"/>
  <c r="I605" i="242"/>
  <c r="J601" i="242"/>
  <c r="K612" i="242"/>
  <c r="J604" i="242"/>
  <c r="K604" i="242"/>
  <c r="I600" i="242"/>
  <c r="I610" i="242"/>
  <c r="I603" i="242"/>
  <c r="J597" i="242"/>
  <c r="K606" i="242"/>
  <c r="J602" i="242"/>
  <c r="K598" i="242"/>
  <c r="I598" i="242"/>
  <c r="H612" i="242"/>
  <c r="H605" i="242"/>
  <c r="H601" i="242"/>
  <c r="H611" i="242"/>
  <c r="H604" i="242"/>
  <c r="H602" i="242"/>
  <c r="H607" i="242"/>
  <c r="H597" i="242"/>
  <c r="H610" i="242"/>
  <c r="H603" i="242"/>
  <c r="H606" i="242"/>
  <c r="H600" i="242"/>
  <c r="H608" i="242"/>
  <c r="H596" i="242"/>
  <c r="H598" i="242"/>
  <c r="H609" i="242"/>
  <c r="H595" i="242"/>
  <c r="H599" i="242"/>
  <c r="D5" i="230"/>
  <c r="E5" i="230" s="1"/>
  <c r="C6" i="230" s="1"/>
  <c r="AS4" i="234"/>
  <c r="AF4" i="234"/>
  <c r="AD5" i="234" s="1"/>
  <c r="AE5" i="234" s="1"/>
  <c r="AF5" i="234" s="1"/>
  <c r="H4" i="234"/>
  <c r="F5" i="234" s="1"/>
  <c r="G5" i="234" s="1"/>
  <c r="H5" i="234" s="1"/>
  <c r="AR4" i="234"/>
  <c r="AP5" i="234" s="1"/>
  <c r="AQ5" i="234" s="1"/>
  <c r="AR5" i="234" s="1"/>
  <c r="T4" i="234"/>
  <c r="R5" i="234" s="1"/>
  <c r="S5" i="234" s="1"/>
  <c r="T5" i="234" s="1"/>
  <c r="P5" i="234"/>
  <c r="Q5" i="234" s="1"/>
  <c r="AN5" i="234"/>
  <c r="AO5" i="234" s="1"/>
  <c r="N5" i="234"/>
  <c r="Z5" i="234"/>
  <c r="AL5" i="234"/>
  <c r="D5" i="234"/>
  <c r="E5" i="234" s="1"/>
  <c r="AB5" i="234"/>
  <c r="AC5" i="234" s="1"/>
  <c r="AH4" i="234"/>
  <c r="AI4" i="234" s="1"/>
  <c r="AG5" i="234" s="1"/>
  <c r="AH5" i="234" s="1"/>
  <c r="AI5" i="234" s="1"/>
  <c r="V4" i="234"/>
  <c r="W4" i="234" s="1"/>
  <c r="U5" i="234" s="1"/>
  <c r="V5" i="234" s="1"/>
  <c r="W5" i="234" s="1"/>
  <c r="J4" i="234"/>
  <c r="K4" i="234" s="1"/>
  <c r="I5" i="234" s="1"/>
  <c r="J5" i="234" s="1"/>
  <c r="K5" i="234" s="1"/>
  <c r="AP20" i="213"/>
  <c r="AQ20" i="213"/>
  <c r="AR20" i="213"/>
  <c r="AS20" i="213"/>
  <c r="AT20" i="213"/>
  <c r="AU20" i="213"/>
  <c r="AV20" i="213"/>
  <c r="AW20" i="213"/>
  <c r="AX20" i="213"/>
  <c r="AY20" i="213"/>
  <c r="AZ20" i="213"/>
  <c r="BA20" i="213"/>
  <c r="BB20" i="213"/>
  <c r="BC20" i="213"/>
  <c r="BD20" i="213"/>
  <c r="BE20" i="213"/>
  <c r="BF20" i="213"/>
  <c r="BG20" i="213"/>
  <c r="BH20" i="213"/>
  <c r="BI20" i="213"/>
  <c r="AP21" i="213"/>
  <c r="AQ21" i="213"/>
  <c r="AR21" i="213"/>
  <c r="AS21" i="213"/>
  <c r="AT21" i="213"/>
  <c r="AU21" i="213"/>
  <c r="AV21" i="213"/>
  <c r="AW21" i="213"/>
  <c r="AX21" i="213"/>
  <c r="AY21" i="213"/>
  <c r="AZ21" i="213"/>
  <c r="BA21" i="213"/>
  <c r="BB21" i="213"/>
  <c r="BC21" i="213"/>
  <c r="BD21" i="213"/>
  <c r="BE21" i="213"/>
  <c r="BF21" i="213"/>
  <c r="BG21" i="213"/>
  <c r="BH21" i="213"/>
  <c r="BI21" i="213"/>
  <c r="AP22" i="213"/>
  <c r="AQ22" i="213"/>
  <c r="AR22" i="213"/>
  <c r="AS22" i="213"/>
  <c r="AT22" i="213"/>
  <c r="AU22" i="213"/>
  <c r="AV22" i="213"/>
  <c r="AW22" i="213"/>
  <c r="AX22" i="213"/>
  <c r="AY22" i="213"/>
  <c r="AZ22" i="213"/>
  <c r="BA22" i="213"/>
  <c r="BB22" i="213"/>
  <c r="BC22" i="213"/>
  <c r="BD22" i="213"/>
  <c r="BE22" i="213"/>
  <c r="BF22" i="213"/>
  <c r="BG22" i="213"/>
  <c r="BH22" i="213"/>
  <c r="BI22" i="213"/>
  <c r="AP23" i="213"/>
  <c r="AQ23" i="213"/>
  <c r="AR23" i="213"/>
  <c r="AS23" i="213"/>
  <c r="AT23" i="213"/>
  <c r="AU23" i="213"/>
  <c r="AV23" i="213"/>
  <c r="AW23" i="213"/>
  <c r="AX23" i="213"/>
  <c r="AY23" i="213"/>
  <c r="AZ23" i="213"/>
  <c r="BA23" i="213"/>
  <c r="BB23" i="213"/>
  <c r="BC23" i="213"/>
  <c r="BD23" i="213"/>
  <c r="BE23" i="213"/>
  <c r="BF23" i="213"/>
  <c r="BG23" i="213"/>
  <c r="BH23" i="213"/>
  <c r="BI23" i="213"/>
  <c r="AP24" i="213"/>
  <c r="AQ24" i="213"/>
  <c r="AR24" i="213"/>
  <c r="AS24" i="213"/>
  <c r="AT24" i="213"/>
  <c r="AU24" i="213"/>
  <c r="AV24" i="213"/>
  <c r="AW24" i="213"/>
  <c r="AX24" i="213"/>
  <c r="AY24" i="213"/>
  <c r="AZ24" i="213"/>
  <c r="BA24" i="213"/>
  <c r="BB24" i="213"/>
  <c r="BC24" i="213"/>
  <c r="BD24" i="213"/>
  <c r="BE24" i="213"/>
  <c r="BF24" i="213"/>
  <c r="BG24" i="213"/>
  <c r="BH24" i="213"/>
  <c r="BI24" i="213"/>
  <c r="AP25" i="213"/>
  <c r="AQ25" i="213"/>
  <c r="AR25" i="213"/>
  <c r="AS25" i="213"/>
  <c r="AT25" i="213"/>
  <c r="AU25" i="213"/>
  <c r="AV25" i="213"/>
  <c r="AW25" i="213"/>
  <c r="AX25" i="213"/>
  <c r="AY25" i="213"/>
  <c r="AZ25" i="213"/>
  <c r="BA25" i="213"/>
  <c r="BB25" i="213"/>
  <c r="BC25" i="213"/>
  <c r="BD25" i="213"/>
  <c r="BE25" i="213"/>
  <c r="BF25" i="213"/>
  <c r="BG25" i="213"/>
  <c r="BH25" i="213"/>
  <c r="BI25" i="213"/>
  <c r="AP27" i="213"/>
  <c r="AQ27" i="213"/>
  <c r="AR27" i="213"/>
  <c r="AS27" i="213"/>
  <c r="AT27" i="213"/>
  <c r="AU27" i="213"/>
  <c r="AV27" i="213"/>
  <c r="AW27" i="213"/>
  <c r="AX27" i="213"/>
  <c r="AY27" i="213"/>
  <c r="AZ27" i="213"/>
  <c r="BA27" i="213"/>
  <c r="BB27" i="213"/>
  <c r="BC27" i="213"/>
  <c r="BD27" i="213"/>
  <c r="BE27" i="213"/>
  <c r="BF27" i="213"/>
  <c r="BG27" i="213"/>
  <c r="BH27" i="213"/>
  <c r="BI27" i="213"/>
  <c r="AO58" i="218"/>
  <c r="AO57" i="218"/>
  <c r="AO53" i="218"/>
  <c r="AO54" i="218"/>
  <c r="AO55" i="218"/>
  <c r="AO56" i="218"/>
  <c r="AO52" i="218"/>
  <c r="BC58" i="218"/>
  <c r="BC57" i="218"/>
  <c r="BC53" i="218"/>
  <c r="BC54" i="218"/>
  <c r="BC55" i="218"/>
  <c r="BC56" i="218"/>
  <c r="BC52" i="218"/>
  <c r="BC51" i="218"/>
  <c r="BC50" i="218"/>
  <c r="AO51" i="218"/>
  <c r="AO50" i="218"/>
  <c r="U46" i="212"/>
  <c r="U47" i="212"/>
  <c r="U48" i="212"/>
  <c r="U49" i="212"/>
  <c r="U50" i="212"/>
  <c r="U51" i="212"/>
  <c r="U52" i="212"/>
  <c r="U53" i="212"/>
  <c r="U54" i="212"/>
  <c r="U55" i="212"/>
  <c r="Q46" i="212"/>
  <c r="Q47" i="212"/>
  <c r="Q48" i="212"/>
  <c r="Q49" i="212"/>
  <c r="Q50" i="212"/>
  <c r="Q51" i="212"/>
  <c r="Q52" i="212"/>
  <c r="Q53" i="212"/>
  <c r="Q54" i="212"/>
  <c r="Q45" i="212"/>
  <c r="M46" i="212"/>
  <c r="M47" i="212"/>
  <c r="M48" i="212"/>
  <c r="M49" i="212"/>
  <c r="M50" i="212"/>
  <c r="M51" i="212"/>
  <c r="M52" i="212"/>
  <c r="M53" i="212"/>
  <c r="M54" i="212"/>
  <c r="I53" i="212"/>
  <c r="I46" i="212"/>
  <c r="I47" i="212"/>
  <c r="I48" i="212"/>
  <c r="I49" i="212"/>
  <c r="I50" i="212"/>
  <c r="I51" i="212"/>
  <c r="I52" i="212"/>
  <c r="E53" i="212"/>
  <c r="E46" i="212"/>
  <c r="E45" i="212"/>
  <c r="F98" i="212"/>
  <c r="B98" i="212"/>
  <c r="B68" i="212"/>
  <c r="R59" i="212"/>
  <c r="N59" i="212"/>
  <c r="J59" i="212"/>
  <c r="F59" i="212"/>
  <c r="B59" i="212"/>
  <c r="B38" i="212"/>
  <c r="E34" i="212"/>
  <c r="E33" i="212"/>
  <c r="E32" i="212"/>
  <c r="B30" i="212"/>
  <c r="E27" i="212"/>
  <c r="E26" i="212"/>
  <c r="E25" i="212"/>
  <c r="E24" i="212"/>
  <c r="E23" i="212"/>
  <c r="B21" i="212"/>
  <c r="F21" i="212"/>
  <c r="V46" i="212" l="1"/>
  <c r="C177" i="212" s="1"/>
  <c r="V53" i="212"/>
  <c r="C184" i="212" s="1"/>
  <c r="V49" i="212"/>
  <c r="C180" i="212" s="1"/>
  <c r="D6" i="230"/>
  <c r="E6" i="230" s="1"/>
  <c r="AS5" i="234"/>
  <c r="J8" i="212"/>
  <c r="B177" i="212" s="1"/>
  <c r="AA19" i="213" a="1"/>
  <c r="AA19" i="213" s="1"/>
  <c r="C7" i="230" l="1"/>
  <c r="D7" i="230" s="1"/>
  <c r="E7" i="230" s="1"/>
  <c r="C8" i="230" s="1"/>
  <c r="E21" i="212"/>
  <c r="I21" i="212"/>
  <c r="J20" i="212"/>
  <c r="J19" i="212"/>
  <c r="J14" i="212"/>
  <c r="J16" i="212"/>
  <c r="J13" i="212"/>
  <c r="J9" i="212"/>
  <c r="J17" i="212"/>
  <c r="J10" i="212"/>
  <c r="J7" i="212"/>
  <c r="B176" i="212" s="1"/>
  <c r="J11" i="212"/>
  <c r="J12" i="212"/>
  <c r="J15" i="212"/>
  <c r="B184" i="212" s="1"/>
  <c r="J18" i="212"/>
  <c r="U23" i="240"/>
  <c r="V23" i="240" s="1"/>
  <c r="W23" i="240" s="1"/>
  <c r="U24" i="240" s="1"/>
  <c r="R23" i="240"/>
  <c r="S23" i="240" s="1"/>
  <c r="T23" i="240" s="1"/>
  <c r="R24" i="240" s="1"/>
  <c r="S24" i="240" s="1"/>
  <c r="T24" i="240" s="1"/>
  <c r="O23" i="240"/>
  <c r="P23" i="240" s="1"/>
  <c r="Q23" i="240" s="1"/>
  <c r="O24" i="240" s="1"/>
  <c r="P24" i="240" s="1"/>
  <c r="Q24" i="240" s="1"/>
  <c r="L23" i="240"/>
  <c r="M23" i="240" s="1"/>
  <c r="I23" i="240"/>
  <c r="J23" i="240" s="1"/>
  <c r="K23" i="240" s="1"/>
  <c r="I24" i="240" s="1"/>
  <c r="F23" i="240"/>
  <c r="G23" i="240" s="1"/>
  <c r="H23" i="240" s="1"/>
  <c r="F24" i="240" s="1"/>
  <c r="C23" i="240"/>
  <c r="D23" i="240" s="1"/>
  <c r="E23" i="240" s="1"/>
  <c r="C24" i="240" s="1"/>
  <c r="D24" i="240" s="1"/>
  <c r="E24" i="240" s="1"/>
  <c r="AP4" i="240"/>
  <c r="AQ4" i="240" s="1"/>
  <c r="AM4" i="240"/>
  <c r="AN4" i="240" s="1"/>
  <c r="AO4" i="240" s="1"/>
  <c r="AM5" i="240" s="1"/>
  <c r="AN5" i="240" s="1"/>
  <c r="AO5" i="240" s="1"/>
  <c r="AJ4" i="240"/>
  <c r="AK4" i="240" s="1"/>
  <c r="AL4" i="240" s="1"/>
  <c r="AJ5" i="240" s="1"/>
  <c r="AG4" i="240"/>
  <c r="AD4" i="240"/>
  <c r="AE4" i="240" s="1"/>
  <c r="AA4" i="240"/>
  <c r="AB4" i="240" s="1"/>
  <c r="AC4" i="240" s="1"/>
  <c r="AA5" i="240" s="1"/>
  <c r="X4" i="240"/>
  <c r="Y4" i="240" s="1"/>
  <c r="Z4" i="240" s="1"/>
  <c r="X5" i="240" s="1"/>
  <c r="U4" i="240"/>
  <c r="R4" i="240"/>
  <c r="S4" i="240" s="1"/>
  <c r="O4" i="240"/>
  <c r="L4" i="240"/>
  <c r="M4" i="240" s="1"/>
  <c r="N4" i="240" s="1"/>
  <c r="L5" i="240" s="1"/>
  <c r="I4" i="240"/>
  <c r="F4" i="240"/>
  <c r="G4" i="240" s="1"/>
  <c r="C4" i="240"/>
  <c r="D4" i="240" s="1"/>
  <c r="E4" i="240" s="1"/>
  <c r="C5" i="240" s="1"/>
  <c r="A1" i="240"/>
  <c r="U41" i="240"/>
  <c r="R41" i="240"/>
  <c r="O41" i="240"/>
  <c r="L41" i="240"/>
  <c r="I41" i="240"/>
  <c r="F41" i="240"/>
  <c r="C41" i="240"/>
  <c r="P4" i="240"/>
  <c r="Q4" i="240" s="1"/>
  <c r="O5" i="240" s="1"/>
  <c r="P5" i="240" s="1"/>
  <c r="Q5" i="240" s="1"/>
  <c r="C23" i="239"/>
  <c r="D23" i="239" s="1"/>
  <c r="F23" i="239"/>
  <c r="I23" i="239"/>
  <c r="J23" i="239" s="1"/>
  <c r="K23" i="239" s="1"/>
  <c r="I24" i="239" s="1"/>
  <c r="L23" i="239"/>
  <c r="M23" i="239" s="1"/>
  <c r="O23" i="239"/>
  <c r="P23" i="239" s="1"/>
  <c r="R23" i="239"/>
  <c r="U23" i="239"/>
  <c r="V23" i="239" s="1"/>
  <c r="W23" i="239" s="1"/>
  <c r="U24" i="239" s="1"/>
  <c r="C41" i="239"/>
  <c r="F41" i="239"/>
  <c r="I41" i="239"/>
  <c r="L41" i="239"/>
  <c r="O41" i="239"/>
  <c r="R41" i="239"/>
  <c r="U41" i="239"/>
  <c r="AP4" i="239"/>
  <c r="AQ4" i="239" s="1"/>
  <c r="AR4" i="239" s="1"/>
  <c r="AP5" i="239" s="1"/>
  <c r="AQ5" i="239" s="1"/>
  <c r="AR5" i="239" s="1"/>
  <c r="AM4" i="239"/>
  <c r="AN4" i="239" s="1"/>
  <c r="AO4" i="239" s="1"/>
  <c r="AM5" i="239" s="1"/>
  <c r="AN5" i="239" s="1"/>
  <c r="AO5" i="239" s="1"/>
  <c r="AJ4" i="239"/>
  <c r="AK4" i="239" s="1"/>
  <c r="AL4" i="239" s="1"/>
  <c r="AJ5" i="239" s="1"/>
  <c r="AG4" i="239"/>
  <c r="AD4" i="239"/>
  <c r="AE4" i="239" s="1"/>
  <c r="AF4" i="239" s="1"/>
  <c r="AD5" i="239" s="1"/>
  <c r="AE5" i="239" s="1"/>
  <c r="AF5" i="239" s="1"/>
  <c r="AA4" i="239"/>
  <c r="AB4" i="239" s="1"/>
  <c r="AC4" i="239" s="1"/>
  <c r="AA5" i="239" s="1"/>
  <c r="AB5" i="239" s="1"/>
  <c r="AC5" i="239" s="1"/>
  <c r="X4" i="239"/>
  <c r="Y4" i="239" s="1"/>
  <c r="Z4" i="239" s="1"/>
  <c r="X5" i="239" s="1"/>
  <c r="U4" i="239"/>
  <c r="R4" i="239"/>
  <c r="S4" i="239" s="1"/>
  <c r="T4" i="239" s="1"/>
  <c r="R5" i="239" s="1"/>
  <c r="S5" i="239" s="1"/>
  <c r="T5" i="239" s="1"/>
  <c r="O4" i="239"/>
  <c r="P4" i="239" s="1"/>
  <c r="Q4" i="239" s="1"/>
  <c r="O5" i="239" s="1"/>
  <c r="P5" i="239" s="1"/>
  <c r="Q5" i="239" s="1"/>
  <c r="L4" i="239"/>
  <c r="M4" i="239" s="1"/>
  <c r="N4" i="239" s="1"/>
  <c r="L5" i="239" s="1"/>
  <c r="I4" i="239"/>
  <c r="F4" i="239"/>
  <c r="G4" i="239" s="1"/>
  <c r="H4" i="239" s="1"/>
  <c r="F5" i="239" s="1"/>
  <c r="C4" i="239"/>
  <c r="D4" i="239" s="1"/>
  <c r="E4" i="239" s="1"/>
  <c r="C5" i="239" s="1"/>
  <c r="A1" i="239"/>
  <c r="U23" i="236"/>
  <c r="R23" i="236"/>
  <c r="S23" i="236" s="1"/>
  <c r="O23" i="236"/>
  <c r="L23" i="236"/>
  <c r="M23" i="236" s="1"/>
  <c r="N23" i="236" s="1"/>
  <c r="L24" i="236" s="1"/>
  <c r="M24" i="236" s="1"/>
  <c r="N24" i="236" s="1"/>
  <c r="I23" i="236"/>
  <c r="J23" i="236" s="1"/>
  <c r="K23" i="236" s="1"/>
  <c r="I24" i="236" s="1"/>
  <c r="F23" i="236"/>
  <c r="G23" i="236" s="1"/>
  <c r="H23" i="236" s="1"/>
  <c r="F24" i="236" s="1"/>
  <c r="C23" i="236"/>
  <c r="D23" i="236" s="1"/>
  <c r="AQ4" i="236"/>
  <c r="AR4" i="236" s="1"/>
  <c r="AQ5" i="236" s="1"/>
  <c r="AR5" i="236" s="1"/>
  <c r="AM4" i="236"/>
  <c r="AJ4" i="236"/>
  <c r="AG4" i="236"/>
  <c r="AH4" i="236" s="1"/>
  <c r="AI4" i="236" s="1"/>
  <c r="AG5" i="236" s="1"/>
  <c r="AH5" i="236" s="1"/>
  <c r="AI5" i="236" s="1"/>
  <c r="AD4" i="236"/>
  <c r="AE4" i="236" s="1"/>
  <c r="AF4" i="236" s="1"/>
  <c r="AD5" i="236" s="1"/>
  <c r="AE5" i="236" s="1"/>
  <c r="AF5" i="236" s="1"/>
  <c r="AA4" i="236"/>
  <c r="AB4" i="236" s="1"/>
  <c r="X4" i="236"/>
  <c r="U4" i="236"/>
  <c r="V4" i="236" s="1"/>
  <c r="W4" i="236" s="1"/>
  <c r="U5" i="236" s="1"/>
  <c r="V5" i="236" s="1"/>
  <c r="W5" i="236" s="1"/>
  <c r="R4" i="236"/>
  <c r="S4" i="236" s="1"/>
  <c r="T4" i="236" s="1"/>
  <c r="R5" i="236" s="1"/>
  <c r="S5" i="236" s="1"/>
  <c r="T5" i="236" s="1"/>
  <c r="O4" i="236"/>
  <c r="L4" i="236"/>
  <c r="I4" i="236"/>
  <c r="J4" i="236" s="1"/>
  <c r="K4" i="236" s="1"/>
  <c r="I5" i="236" s="1"/>
  <c r="J5" i="236" s="1"/>
  <c r="K5" i="236" s="1"/>
  <c r="F4" i="236"/>
  <c r="G4" i="236" s="1"/>
  <c r="H4" i="236" s="1"/>
  <c r="F5" i="236" s="1"/>
  <c r="G5" i="236" s="1"/>
  <c r="H5" i="236" s="1"/>
  <c r="C4" i="236"/>
  <c r="A1" i="236"/>
  <c r="U42" i="236"/>
  <c r="R42" i="236"/>
  <c r="O42" i="236"/>
  <c r="L42" i="236"/>
  <c r="I42" i="236"/>
  <c r="F42" i="236"/>
  <c r="C42" i="236"/>
  <c r="U23" i="235"/>
  <c r="V23" i="235" s="1"/>
  <c r="R23" i="235"/>
  <c r="S23" i="235" s="1"/>
  <c r="T23" i="235" s="1"/>
  <c r="R24" i="235" s="1"/>
  <c r="S24" i="235" s="1"/>
  <c r="T24" i="235" s="1"/>
  <c r="O23" i="235"/>
  <c r="P23" i="235" s="1"/>
  <c r="L23" i="235"/>
  <c r="M23" i="235" s="1"/>
  <c r="N23" i="235" s="1"/>
  <c r="L24" i="235" s="1"/>
  <c r="M24" i="235" s="1"/>
  <c r="N24" i="235" s="1"/>
  <c r="I23" i="235"/>
  <c r="J23" i="235" s="1"/>
  <c r="F23" i="235"/>
  <c r="G23" i="235" s="1"/>
  <c r="C23" i="235"/>
  <c r="D23" i="235" s="1"/>
  <c r="AP4" i="235"/>
  <c r="AQ4" i="235" s="1"/>
  <c r="AM4" i="235"/>
  <c r="AJ4" i="235"/>
  <c r="AK4" i="235" s="1"/>
  <c r="AL4" i="235" s="1"/>
  <c r="AJ5" i="235" s="1"/>
  <c r="AK5" i="235" s="1"/>
  <c r="AL5" i="235" s="1"/>
  <c r="AG4" i="235"/>
  <c r="AH4" i="235" s="1"/>
  <c r="AI4" i="235" s="1"/>
  <c r="AG5" i="235" s="1"/>
  <c r="AH5" i="235" s="1"/>
  <c r="AI5" i="235" s="1"/>
  <c r="AD4" i="235"/>
  <c r="AE4" i="235" s="1"/>
  <c r="AF4" i="235" s="1"/>
  <c r="AD5" i="235" s="1"/>
  <c r="AA4" i="235"/>
  <c r="X4" i="235"/>
  <c r="Y4" i="235" s="1"/>
  <c r="Z4" i="235" s="1"/>
  <c r="X5" i="235" s="1"/>
  <c r="Y5" i="235" s="1"/>
  <c r="Z5" i="235" s="1"/>
  <c r="U4" i="235"/>
  <c r="V4" i="235" s="1"/>
  <c r="R4" i="235"/>
  <c r="S4" i="235" s="1"/>
  <c r="O4" i="235"/>
  <c r="L4" i="235"/>
  <c r="M4" i="235" s="1"/>
  <c r="N4" i="235" s="1"/>
  <c r="L5" i="235" s="1"/>
  <c r="M5" i="235" s="1"/>
  <c r="N5" i="235" s="1"/>
  <c r="I4" i="235"/>
  <c r="F4" i="235"/>
  <c r="G4" i="235" s="1"/>
  <c r="H4" i="235" s="1"/>
  <c r="F5" i="235" s="1"/>
  <c r="C4" i="235"/>
  <c r="A1" i="235"/>
  <c r="U41" i="235"/>
  <c r="R41" i="235"/>
  <c r="O41" i="235"/>
  <c r="L41" i="235"/>
  <c r="I41" i="235"/>
  <c r="F41" i="235"/>
  <c r="C41" i="235"/>
  <c r="U23" i="234"/>
  <c r="V23" i="234" s="1"/>
  <c r="R23" i="234"/>
  <c r="S23" i="234" s="1"/>
  <c r="T23" i="234" s="1"/>
  <c r="R24" i="234" s="1"/>
  <c r="S24" i="234" s="1"/>
  <c r="T24" i="234" s="1"/>
  <c r="O23" i="234"/>
  <c r="L23" i="234"/>
  <c r="I23" i="234"/>
  <c r="J23" i="234" s="1"/>
  <c r="K23" i="234" s="1"/>
  <c r="I24" i="234" s="1"/>
  <c r="F23" i="234"/>
  <c r="G23" i="234" s="1"/>
  <c r="H23" i="234" s="1"/>
  <c r="F24" i="234" s="1"/>
  <c r="C23" i="234"/>
  <c r="A1" i="234"/>
  <c r="U41" i="234"/>
  <c r="R41" i="234"/>
  <c r="O41" i="234"/>
  <c r="L41" i="234"/>
  <c r="I41" i="234"/>
  <c r="F41" i="234"/>
  <c r="C41" i="234"/>
  <c r="AP4" i="233"/>
  <c r="AQ4" i="233" s="1"/>
  <c r="AR4" i="233" s="1"/>
  <c r="AP5" i="233" s="1"/>
  <c r="AQ5" i="233" s="1"/>
  <c r="AR5" i="233" s="1"/>
  <c r="AM4" i="233"/>
  <c r="AN4" i="233" s="1"/>
  <c r="U4" i="233"/>
  <c r="V4" i="233" s="1"/>
  <c r="W4" i="233" s="1"/>
  <c r="U5" i="233" s="1"/>
  <c r="V5" i="233" s="1"/>
  <c r="W5" i="233" s="1"/>
  <c r="R4" i="233"/>
  <c r="S4" i="233" s="1"/>
  <c r="T4" i="233" s="1"/>
  <c r="R5" i="233" s="1"/>
  <c r="S5" i="233" s="1"/>
  <c r="T5" i="233" s="1"/>
  <c r="O4" i="233"/>
  <c r="P4" i="233" s="1"/>
  <c r="L4" i="233"/>
  <c r="I4" i="233"/>
  <c r="J4" i="233" s="1"/>
  <c r="K4" i="233" s="1"/>
  <c r="I5" i="233" s="1"/>
  <c r="J5" i="233" s="1"/>
  <c r="K5" i="233" s="1"/>
  <c r="F4" i="233"/>
  <c r="G4" i="233" s="1"/>
  <c r="H4" i="233" s="1"/>
  <c r="F5" i="233" s="1"/>
  <c r="G5" i="233" s="1"/>
  <c r="H5" i="233" s="1"/>
  <c r="C4" i="233"/>
  <c r="D4" i="233" s="1"/>
  <c r="U23" i="233"/>
  <c r="R23" i="233"/>
  <c r="O23" i="233"/>
  <c r="P23" i="233" s="1"/>
  <c r="L23" i="233"/>
  <c r="I23" i="233"/>
  <c r="F23" i="233"/>
  <c r="C23" i="233"/>
  <c r="D23" i="233" s="1"/>
  <c r="E23" i="233" s="1"/>
  <c r="C24" i="233" s="1"/>
  <c r="AJ4" i="233"/>
  <c r="AK4" i="233" s="1"/>
  <c r="AG4" i="233"/>
  <c r="AH4" i="233" s="1"/>
  <c r="AI4" i="233" s="1"/>
  <c r="AG5" i="233" s="1"/>
  <c r="AH5" i="233" s="1"/>
  <c r="AI5" i="233" s="1"/>
  <c r="AD4" i="233"/>
  <c r="AE4" i="233" s="1"/>
  <c r="AF4" i="233" s="1"/>
  <c r="AD5" i="233" s="1"/>
  <c r="AE5" i="233" s="1"/>
  <c r="AF5" i="233" s="1"/>
  <c r="AA4" i="233"/>
  <c r="AB4" i="233" s="1"/>
  <c r="AC4" i="233" s="1"/>
  <c r="AA5" i="233" s="1"/>
  <c r="X4" i="233"/>
  <c r="Y4" i="233" s="1"/>
  <c r="U41" i="233"/>
  <c r="R41" i="233"/>
  <c r="O41" i="233"/>
  <c r="L41" i="233"/>
  <c r="I41" i="233"/>
  <c r="F41" i="233"/>
  <c r="C41" i="233"/>
  <c r="U23" i="231"/>
  <c r="V23" i="231" s="1"/>
  <c r="W23" i="231" s="1"/>
  <c r="U24" i="231" s="1"/>
  <c r="O23" i="231"/>
  <c r="L23" i="231"/>
  <c r="M23" i="231" s="1"/>
  <c r="N23" i="231" s="1"/>
  <c r="L24" i="231" s="1"/>
  <c r="I23" i="231"/>
  <c r="J23" i="231" s="1"/>
  <c r="K23" i="231" s="1"/>
  <c r="I24" i="231" s="1"/>
  <c r="F23" i="231"/>
  <c r="C23" i="231"/>
  <c r="D42" i="231"/>
  <c r="E42" i="231" s="1"/>
  <c r="S42" i="231"/>
  <c r="T42" i="231" s="1"/>
  <c r="P42" i="231"/>
  <c r="Q42" i="231" s="1"/>
  <c r="G42" i="231"/>
  <c r="H42" i="231" s="1"/>
  <c r="R42" i="230"/>
  <c r="O42" i="230"/>
  <c r="L42" i="230"/>
  <c r="I42" i="230"/>
  <c r="F42" i="230"/>
  <c r="C42" i="230"/>
  <c r="R42" i="228"/>
  <c r="O42" i="228"/>
  <c r="L42" i="228"/>
  <c r="I42" i="228"/>
  <c r="F42" i="228"/>
  <c r="C42" i="228"/>
  <c r="R23" i="231"/>
  <c r="AP4" i="231"/>
  <c r="AQ4" i="231" s="1"/>
  <c r="AR4" i="231" s="1"/>
  <c r="AP5" i="231" s="1"/>
  <c r="AM4" i="231"/>
  <c r="AN4" i="231" s="1"/>
  <c r="AO4" i="231" s="1"/>
  <c r="AM5" i="231" s="1"/>
  <c r="AJ4" i="231"/>
  <c r="AK4" i="231" s="1"/>
  <c r="AG4" i="231"/>
  <c r="AD4" i="231"/>
  <c r="AE4" i="231" s="1"/>
  <c r="AF4" i="231" s="1"/>
  <c r="AD5" i="231" s="1"/>
  <c r="AA4" i="231"/>
  <c r="AB4" i="231" s="1"/>
  <c r="AC4" i="231" s="1"/>
  <c r="AA5" i="231" s="1"/>
  <c r="X4" i="231"/>
  <c r="U4" i="231"/>
  <c r="R4" i="231"/>
  <c r="S4" i="231" s="1"/>
  <c r="T4" i="231" s="1"/>
  <c r="R5" i="231" s="1"/>
  <c r="P4" i="231"/>
  <c r="Q4" i="231" s="1"/>
  <c r="M4" i="231"/>
  <c r="J4" i="231"/>
  <c r="G4" i="231"/>
  <c r="H4" i="231" s="1"/>
  <c r="U41" i="231"/>
  <c r="R41" i="231"/>
  <c r="O41" i="231"/>
  <c r="L41" i="231"/>
  <c r="I41" i="231"/>
  <c r="F41" i="231"/>
  <c r="C41" i="231"/>
  <c r="D4" i="231"/>
  <c r="E4" i="231" s="1"/>
  <c r="F23" i="230"/>
  <c r="X4" i="230"/>
  <c r="U4" i="230"/>
  <c r="U23" i="230"/>
  <c r="R23" i="230"/>
  <c r="O23" i="230"/>
  <c r="L23" i="230"/>
  <c r="I23" i="230"/>
  <c r="C23" i="230"/>
  <c r="AP4" i="230"/>
  <c r="AM4" i="230"/>
  <c r="AJ4" i="230"/>
  <c r="AG4" i="230"/>
  <c r="AD4" i="230"/>
  <c r="AA4" i="230"/>
  <c r="G24" i="240" l="1"/>
  <c r="H24" i="240" s="1"/>
  <c r="G24" i="234"/>
  <c r="H24" i="234" s="1"/>
  <c r="G24" i="236"/>
  <c r="H24" i="236" s="1"/>
  <c r="V24" i="239"/>
  <c r="W24" i="239" s="1"/>
  <c r="J24" i="239"/>
  <c r="K24" i="239" s="1"/>
  <c r="J24" i="240"/>
  <c r="K24" i="240" s="1"/>
  <c r="V24" i="240"/>
  <c r="W24" i="240" s="1"/>
  <c r="J24" i="234"/>
  <c r="K24" i="234" s="1"/>
  <c r="J24" i="236"/>
  <c r="K24" i="236" s="1"/>
  <c r="D24" i="233"/>
  <c r="E24" i="233" s="1"/>
  <c r="D8" i="230"/>
  <c r="E8" i="230" s="1"/>
  <c r="C9" i="230" s="1"/>
  <c r="D5" i="240"/>
  <c r="E5" i="240" s="1"/>
  <c r="AB5" i="240"/>
  <c r="AC5" i="240" s="1"/>
  <c r="M5" i="240"/>
  <c r="N5" i="240" s="1"/>
  <c r="Y5" i="240"/>
  <c r="Z5" i="240" s="1"/>
  <c r="AK5" i="240"/>
  <c r="AL5" i="240" s="1"/>
  <c r="M5" i="239"/>
  <c r="N5" i="239" s="1"/>
  <c r="Y5" i="239"/>
  <c r="Z5" i="239" s="1"/>
  <c r="AK5" i="239"/>
  <c r="AL5" i="239" s="1"/>
  <c r="D5" i="239"/>
  <c r="E5" i="239" s="1"/>
  <c r="G5" i="239"/>
  <c r="H5" i="239" s="1"/>
  <c r="G5" i="235"/>
  <c r="H5" i="235" s="1"/>
  <c r="AE5" i="235"/>
  <c r="AF5" i="235" s="1"/>
  <c r="AB5" i="233"/>
  <c r="AC5" i="233" s="1"/>
  <c r="J21" i="212"/>
  <c r="B190" i="212" s="1"/>
  <c r="N23" i="239"/>
  <c r="L24" i="239" s="1"/>
  <c r="M24" i="239" s="1"/>
  <c r="N24" i="239" s="1"/>
  <c r="W23" i="234"/>
  <c r="U24" i="234" s="1"/>
  <c r="T4" i="235"/>
  <c r="R5" i="235" s="1"/>
  <c r="Q23" i="233"/>
  <c r="O24" i="233" s="1"/>
  <c r="H4" i="240"/>
  <c r="F5" i="240" s="1"/>
  <c r="T4" i="240"/>
  <c r="R5" i="240" s="1"/>
  <c r="AF4" i="240"/>
  <c r="AD5" i="240" s="1"/>
  <c r="AR4" i="240"/>
  <c r="AP5" i="240" s="1"/>
  <c r="J4" i="240"/>
  <c r="K4" i="240" s="1"/>
  <c r="I5" i="240" s="1"/>
  <c r="J5" i="240" s="1"/>
  <c r="K5" i="240" s="1"/>
  <c r="V4" i="240"/>
  <c r="W4" i="240" s="1"/>
  <c r="U5" i="240" s="1"/>
  <c r="V5" i="240" s="1"/>
  <c r="W5" i="240" s="1"/>
  <c r="AH4" i="240"/>
  <c r="AI4" i="240" s="1"/>
  <c r="AG5" i="240" s="1"/>
  <c r="AH5" i="240" s="1"/>
  <c r="AI5" i="240" s="1"/>
  <c r="AS4" i="240"/>
  <c r="N23" i="240"/>
  <c r="L24" i="240" s="1"/>
  <c r="G23" i="239"/>
  <c r="H23" i="239" s="1"/>
  <c r="F24" i="239" s="1"/>
  <c r="S23" i="239"/>
  <c r="T23" i="239" s="1"/>
  <c r="R24" i="239" s="1"/>
  <c r="S24" i="239" s="1"/>
  <c r="T24" i="239" s="1"/>
  <c r="Q23" i="239"/>
  <c r="O24" i="239" s="1"/>
  <c r="P24" i="239" s="1"/>
  <c r="Q24" i="239" s="1"/>
  <c r="E23" i="239"/>
  <c r="C24" i="239" s="1"/>
  <c r="AS4" i="239"/>
  <c r="AH4" i="239"/>
  <c r="AI4" i="239" s="1"/>
  <c r="AG5" i="239" s="1"/>
  <c r="V4" i="239"/>
  <c r="W4" i="239" s="1"/>
  <c r="U5" i="239" s="1"/>
  <c r="J4" i="239"/>
  <c r="K4" i="239" s="1"/>
  <c r="I5" i="239" s="1"/>
  <c r="V23" i="236"/>
  <c r="W23" i="236" s="1"/>
  <c r="U24" i="236" s="1"/>
  <c r="AN4" i="236"/>
  <c r="AO4" i="236" s="1"/>
  <c r="AM5" i="236" s="1"/>
  <c r="AN5" i="236" s="1"/>
  <c r="AO5" i="236" s="1"/>
  <c r="D4" i="236"/>
  <c r="E4" i="236" s="1"/>
  <c r="C5" i="236" s="1"/>
  <c r="Y4" i="236"/>
  <c r="Z4" i="236" s="1"/>
  <c r="X5" i="236" s="1"/>
  <c r="AC4" i="236"/>
  <c r="AA5" i="236" s="1"/>
  <c r="AK4" i="236"/>
  <c r="AL4" i="236" s="1"/>
  <c r="AJ5" i="236" s="1"/>
  <c r="AS4" i="236"/>
  <c r="P4" i="236"/>
  <c r="Q4" i="236" s="1"/>
  <c r="O5" i="236" s="1"/>
  <c r="M4" i="236"/>
  <c r="N4" i="236" s="1"/>
  <c r="L5" i="236" s="1"/>
  <c r="T23" i="236"/>
  <c r="R24" i="236" s="1"/>
  <c r="S24" i="236" s="1"/>
  <c r="T24" i="236" s="1"/>
  <c r="P23" i="236"/>
  <c r="Q23" i="236" s="1"/>
  <c r="O24" i="236" s="1"/>
  <c r="P24" i="236" s="1"/>
  <c r="Q24" i="236" s="1"/>
  <c r="E23" i="236"/>
  <c r="C24" i="236" s="1"/>
  <c r="H23" i="235"/>
  <c r="F24" i="235" s="1"/>
  <c r="AR4" i="235"/>
  <c r="AP5" i="235" s="1"/>
  <c r="W4" i="235"/>
  <c r="U5" i="235" s="1"/>
  <c r="V5" i="235" s="1"/>
  <c r="W5" i="235" s="1"/>
  <c r="J4" i="235"/>
  <c r="K4" i="235" s="1"/>
  <c r="I5" i="235" s="1"/>
  <c r="J5" i="235" s="1"/>
  <c r="K5" i="235" s="1"/>
  <c r="AS4" i="235"/>
  <c r="D4" i="235"/>
  <c r="E4" i="235" s="1"/>
  <c r="C5" i="235" s="1"/>
  <c r="P4" i="235"/>
  <c r="Q4" i="235" s="1"/>
  <c r="O5" i="235" s="1"/>
  <c r="P5" i="235" s="1"/>
  <c r="Q5" i="235" s="1"/>
  <c r="AB4" i="235"/>
  <c r="AC4" i="235" s="1"/>
  <c r="AA5" i="235" s="1"/>
  <c r="AN4" i="235"/>
  <c r="AO4" i="235" s="1"/>
  <c r="AM5" i="235" s="1"/>
  <c r="AN5" i="235" s="1"/>
  <c r="AO5" i="235" s="1"/>
  <c r="E23" i="235"/>
  <c r="C24" i="235" s="1"/>
  <c r="K23" i="235"/>
  <c r="I24" i="235" s="1"/>
  <c r="Q23" i="235"/>
  <c r="O24" i="235" s="1"/>
  <c r="W23" i="235"/>
  <c r="U24" i="235" s="1"/>
  <c r="M23" i="234"/>
  <c r="N23" i="234" s="1"/>
  <c r="L24" i="234" s="1"/>
  <c r="M24" i="234" s="1"/>
  <c r="N24" i="234" s="1"/>
  <c r="D23" i="234"/>
  <c r="E23" i="234" s="1"/>
  <c r="C24" i="234" s="1"/>
  <c r="D24" i="234" s="1"/>
  <c r="E24" i="234" s="1"/>
  <c r="P23" i="234"/>
  <c r="Q23" i="234" s="1"/>
  <c r="O24" i="234" s="1"/>
  <c r="P24" i="234" s="1"/>
  <c r="Q24" i="234" s="1"/>
  <c r="M23" i="233"/>
  <c r="N23" i="233" s="1"/>
  <c r="L24" i="233" s="1"/>
  <c r="AO4" i="233"/>
  <c r="AM5" i="233" s="1"/>
  <c r="AN5" i="233" s="1"/>
  <c r="AO5" i="233" s="1"/>
  <c r="AS4" i="233"/>
  <c r="Q4" i="233"/>
  <c r="O5" i="233" s="1"/>
  <c r="M4" i="233"/>
  <c r="N4" i="233" s="1"/>
  <c r="L5" i="233" s="1"/>
  <c r="Z4" i="233"/>
  <c r="X5" i="233" s="1"/>
  <c r="AL4" i="233"/>
  <c r="AJ5" i="233" s="1"/>
  <c r="E4" i="233"/>
  <c r="C5" i="233" s="1"/>
  <c r="J23" i="233"/>
  <c r="K23" i="233" s="1"/>
  <c r="I24" i="233" s="1"/>
  <c r="J24" i="233" s="1"/>
  <c r="K24" i="233" s="1"/>
  <c r="V23" i="233"/>
  <c r="W23" i="233" s="1"/>
  <c r="U24" i="233" s="1"/>
  <c r="V24" i="233" s="1"/>
  <c r="W24" i="233" s="1"/>
  <c r="G23" i="233"/>
  <c r="H23" i="233" s="1"/>
  <c r="F24" i="233" s="1"/>
  <c r="G24" i="233" s="1"/>
  <c r="H24" i="233" s="1"/>
  <c r="S23" i="233"/>
  <c r="T23" i="233" s="1"/>
  <c r="R24" i="233" s="1"/>
  <c r="S24" i="233" s="1"/>
  <c r="T24" i="233" s="1"/>
  <c r="D43" i="231"/>
  <c r="E43" i="231" s="1"/>
  <c r="Y4" i="231"/>
  <c r="Z4" i="231" s="1"/>
  <c r="X5" i="231" s="1"/>
  <c r="N4" i="231"/>
  <c r="V4" i="231"/>
  <c r="W4" i="231" s="1"/>
  <c r="U5" i="231" s="1"/>
  <c r="AH4" i="231"/>
  <c r="AI4" i="231" s="1"/>
  <c r="AG5" i="231" s="1"/>
  <c r="AL4" i="231"/>
  <c r="AJ5" i="231" s="1"/>
  <c r="K4" i="231"/>
  <c r="AS4" i="231"/>
  <c r="G23" i="231"/>
  <c r="H23" i="231" s="1"/>
  <c r="F24" i="231" s="1"/>
  <c r="S23" i="231"/>
  <c r="T23" i="231" s="1"/>
  <c r="R24" i="231" s="1"/>
  <c r="D23" i="231"/>
  <c r="E23" i="231" s="1"/>
  <c r="C24" i="231" s="1"/>
  <c r="P23" i="231"/>
  <c r="Q23" i="231" s="1"/>
  <c r="O24" i="231" s="1"/>
  <c r="S43" i="231"/>
  <c r="T43" i="231" s="1"/>
  <c r="G43" i="231"/>
  <c r="H43" i="231" s="1"/>
  <c r="P43" i="231"/>
  <c r="Q43" i="231" s="1"/>
  <c r="M42" i="231"/>
  <c r="N42" i="231" s="1"/>
  <c r="J42" i="231"/>
  <c r="K42" i="231" s="1"/>
  <c r="R4" i="230"/>
  <c r="S4" i="230" s="1"/>
  <c r="T4" i="230" s="1"/>
  <c r="R5" i="230" s="1"/>
  <c r="S5" i="230" s="1"/>
  <c r="T5" i="230" s="1"/>
  <c r="O4" i="230"/>
  <c r="P4" i="230" s="1"/>
  <c r="L4" i="230"/>
  <c r="I4" i="230"/>
  <c r="F4" i="230"/>
  <c r="G4" i="230" s="1"/>
  <c r="H4" i="230" s="1"/>
  <c r="F5" i="230" s="1"/>
  <c r="A1" i="230"/>
  <c r="M42" i="230"/>
  <c r="N42" i="230" s="1"/>
  <c r="L43" i="230" s="1"/>
  <c r="J42" i="230"/>
  <c r="D42" i="230"/>
  <c r="E42" i="230" s="1"/>
  <c r="C43" i="230" s="1"/>
  <c r="U41" i="230"/>
  <c r="R41" i="230"/>
  <c r="O41" i="230"/>
  <c r="L41" i="230"/>
  <c r="I41" i="230"/>
  <c r="F41" i="230"/>
  <c r="C41" i="230"/>
  <c r="V23" i="230"/>
  <c r="P23" i="230"/>
  <c r="Q23" i="230" s="1"/>
  <c r="O24" i="230" s="1"/>
  <c r="P24" i="230" s="1"/>
  <c r="Q24" i="230" s="1"/>
  <c r="M23" i="230"/>
  <c r="N23" i="230" s="1"/>
  <c r="L24" i="230" s="1"/>
  <c r="M24" i="230" s="1"/>
  <c r="N24" i="230" s="1"/>
  <c r="J23" i="230"/>
  <c r="D23" i="230"/>
  <c r="E23" i="230" s="1"/>
  <c r="C24" i="230" s="1"/>
  <c r="D24" i="230" s="1"/>
  <c r="E24" i="230" s="1"/>
  <c r="AQ4" i="230"/>
  <c r="AR4" i="230" s="1"/>
  <c r="AP5" i="230" s="1"/>
  <c r="AQ5" i="230" s="1"/>
  <c r="AR5" i="230" s="1"/>
  <c r="AN4" i="230"/>
  <c r="AH4" i="230"/>
  <c r="AI4" i="230" s="1"/>
  <c r="AG5" i="230" s="1"/>
  <c r="AE4" i="230"/>
  <c r="AF4" i="230" s="1"/>
  <c r="AD5" i="230" s="1"/>
  <c r="AE5" i="230" s="1"/>
  <c r="AF5" i="230" s="1"/>
  <c r="AB4" i="230"/>
  <c r="V4" i="230"/>
  <c r="W4" i="230" s="1"/>
  <c r="U5" i="230" s="1"/>
  <c r="S42" i="228"/>
  <c r="P42" i="228"/>
  <c r="Q42" i="228" s="1"/>
  <c r="J42" i="228"/>
  <c r="K42" i="228" s="1"/>
  <c r="I43" i="228" s="1"/>
  <c r="G42" i="228"/>
  <c r="U41" i="228"/>
  <c r="R41" i="228"/>
  <c r="O41" i="228"/>
  <c r="L41" i="228"/>
  <c r="I41" i="228"/>
  <c r="F41" i="228"/>
  <c r="C41" i="228"/>
  <c r="R23" i="228"/>
  <c r="S23" i="228" s="1"/>
  <c r="U23" i="228"/>
  <c r="O23" i="228"/>
  <c r="P23" i="228" s="1"/>
  <c r="L23" i="228"/>
  <c r="M23" i="228" s="1"/>
  <c r="I23" i="228"/>
  <c r="J23" i="228" s="1"/>
  <c r="F23" i="228"/>
  <c r="G23" i="228" s="1"/>
  <c r="H23" i="228" s="1"/>
  <c r="F24" i="228" s="1"/>
  <c r="C23" i="228"/>
  <c r="D23" i="228" s="1"/>
  <c r="AP4" i="228"/>
  <c r="AM4" i="228"/>
  <c r="AN4" i="228" s="1"/>
  <c r="AO4" i="228" s="1"/>
  <c r="AM5" i="228" s="1"/>
  <c r="AJ4" i="228"/>
  <c r="AK4" i="228" s="1"/>
  <c r="AG4" i="228"/>
  <c r="AH4" i="228" s="1"/>
  <c r="AI4" i="228" s="1"/>
  <c r="AG5" i="228" s="1"/>
  <c r="AD4" i="228"/>
  <c r="AA4" i="228"/>
  <c r="AB4" i="228" s="1"/>
  <c r="AC4" i="228" s="1"/>
  <c r="AA5" i="228" s="1"/>
  <c r="X4" i="228"/>
  <c r="Y4" i="228" s="1"/>
  <c r="Z4" i="228" s="1"/>
  <c r="X5" i="228" s="1"/>
  <c r="U4" i="228"/>
  <c r="V4" i="228" s="1"/>
  <c r="W4" i="228" s="1"/>
  <c r="U5" i="228" s="1"/>
  <c r="R4" i="228"/>
  <c r="O4" i="228"/>
  <c r="P4" i="228" s="1"/>
  <c r="Q4" i="228" s="1"/>
  <c r="O5" i="228" s="1"/>
  <c r="L4" i="228"/>
  <c r="M4" i="228" s="1"/>
  <c r="N4" i="228" s="1"/>
  <c r="L5" i="228" s="1"/>
  <c r="I4" i="228"/>
  <c r="J4" i="228" s="1"/>
  <c r="K4" i="228" s="1"/>
  <c r="I5" i="228" s="1"/>
  <c r="F4" i="228"/>
  <c r="G4" i="228" s="1"/>
  <c r="C4" i="228"/>
  <c r="D24" i="235" l="1"/>
  <c r="E24" i="235" s="1"/>
  <c r="M24" i="233"/>
  <c r="N24" i="233" s="1"/>
  <c r="V24" i="235"/>
  <c r="W24" i="235" s="1"/>
  <c r="G24" i="235"/>
  <c r="H24" i="235" s="1"/>
  <c r="V24" i="236"/>
  <c r="W24" i="236" s="1"/>
  <c r="G24" i="239"/>
  <c r="H24" i="239" s="1"/>
  <c r="V24" i="234"/>
  <c r="W24" i="234" s="1"/>
  <c r="X24" i="234" s="1"/>
  <c r="P24" i="235"/>
  <c r="Q24" i="235" s="1"/>
  <c r="D24" i="236"/>
  <c r="E24" i="236" s="1"/>
  <c r="D24" i="239"/>
  <c r="E24" i="239" s="1"/>
  <c r="M24" i="240"/>
  <c r="N24" i="240" s="1"/>
  <c r="X24" i="240" s="1"/>
  <c r="J24" i="235"/>
  <c r="K24" i="235" s="1"/>
  <c r="P24" i="233"/>
  <c r="Q24" i="233" s="1"/>
  <c r="G5" i="230"/>
  <c r="H5" i="230" s="1"/>
  <c r="V5" i="230"/>
  <c r="W5" i="230" s="1"/>
  <c r="D9" i="230"/>
  <c r="E9" i="230" s="1"/>
  <c r="C10" i="230" s="1"/>
  <c r="AH5" i="230"/>
  <c r="AI5" i="230" s="1"/>
  <c r="S5" i="240"/>
  <c r="T5" i="240" s="1"/>
  <c r="G5" i="240"/>
  <c r="H5" i="240" s="1"/>
  <c r="AQ5" i="240"/>
  <c r="AR5" i="240" s="1"/>
  <c r="AE5" i="240"/>
  <c r="AF5" i="240" s="1"/>
  <c r="AS5" i="240"/>
  <c r="AH5" i="239"/>
  <c r="AI5" i="239" s="1"/>
  <c r="J5" i="239"/>
  <c r="K5" i="239" s="1"/>
  <c r="AS5" i="239"/>
  <c r="V5" i="239"/>
  <c r="W5" i="239" s="1"/>
  <c r="P5" i="236"/>
  <c r="Q5" i="236" s="1"/>
  <c r="M5" i="236"/>
  <c r="N5" i="236" s="1"/>
  <c r="AB5" i="236"/>
  <c r="AC5" i="236" s="1"/>
  <c r="AS5" i="236"/>
  <c r="D5" i="236"/>
  <c r="E5" i="236" s="1"/>
  <c r="Y5" i="236"/>
  <c r="Z5" i="236" s="1"/>
  <c r="AK5" i="236"/>
  <c r="AL5" i="236" s="1"/>
  <c r="AB5" i="235"/>
  <c r="AC5" i="235" s="1"/>
  <c r="AS5" i="235"/>
  <c r="D5" i="235"/>
  <c r="E5" i="235" s="1"/>
  <c r="AQ5" i="235"/>
  <c r="AR5" i="235" s="1"/>
  <c r="S5" i="235"/>
  <c r="T5" i="235" s="1"/>
  <c r="AS5" i="233"/>
  <c r="D5" i="233"/>
  <c r="E5" i="233" s="1"/>
  <c r="P5" i="233"/>
  <c r="Q5" i="233" s="1"/>
  <c r="Y5" i="233"/>
  <c r="Z5" i="233" s="1"/>
  <c r="AK5" i="233"/>
  <c r="AL5" i="233" s="1"/>
  <c r="M5" i="233"/>
  <c r="N5" i="233" s="1"/>
  <c r="Q23" i="228"/>
  <c r="O24" i="228" s="1"/>
  <c r="N23" i="228"/>
  <c r="L24" i="228" s="1"/>
  <c r="X23" i="240"/>
  <c r="X23" i="239"/>
  <c r="X23" i="236"/>
  <c r="X23" i="235"/>
  <c r="X23" i="234"/>
  <c r="X23" i="233"/>
  <c r="D44" i="231"/>
  <c r="E44" i="231" s="1"/>
  <c r="D45" i="231" s="1"/>
  <c r="E45" i="231" s="1"/>
  <c r="J43" i="231"/>
  <c r="K43" i="231" s="1"/>
  <c r="X23" i="231"/>
  <c r="U42" i="231"/>
  <c r="P44" i="231"/>
  <c r="Q44" i="231" s="1"/>
  <c r="G44" i="231"/>
  <c r="H44" i="231" s="1"/>
  <c r="AS4" i="230"/>
  <c r="J4" i="230"/>
  <c r="K4" i="230" s="1"/>
  <c r="I5" i="230" s="1"/>
  <c r="Y4" i="230"/>
  <c r="Z4" i="230" s="1"/>
  <c r="X5" i="230" s="1"/>
  <c r="Y5" i="230" s="1"/>
  <c r="Z5" i="230" s="1"/>
  <c r="Q4" i="230"/>
  <c r="O5" i="230" s="1"/>
  <c r="AC4" i="230"/>
  <c r="AA5" i="230" s="1"/>
  <c r="AO4" i="230"/>
  <c r="AM5" i="230" s="1"/>
  <c r="M4" i="230"/>
  <c r="N4" i="230" s="1"/>
  <c r="L5" i="230" s="1"/>
  <c r="M5" i="230" s="1"/>
  <c r="N5" i="230" s="1"/>
  <c r="AK4" i="230"/>
  <c r="AL4" i="230" s="1"/>
  <c r="AJ5" i="230" s="1"/>
  <c r="S23" i="230"/>
  <c r="T23" i="230" s="1"/>
  <c r="R24" i="230" s="1"/>
  <c r="S24" i="230" s="1"/>
  <c r="T24" i="230" s="1"/>
  <c r="G23" i="230"/>
  <c r="H23" i="230" s="1"/>
  <c r="F24" i="230" s="1"/>
  <c r="G24" i="230" s="1"/>
  <c r="H24" i="230" s="1"/>
  <c r="W23" i="230"/>
  <c r="U24" i="230" s="1"/>
  <c r="D43" i="230"/>
  <c r="E43" i="230" s="1"/>
  <c r="C44" i="230" s="1"/>
  <c r="M43" i="230"/>
  <c r="N43" i="230" s="1"/>
  <c r="L44" i="230" s="1"/>
  <c r="K23" i="230"/>
  <c r="I24" i="230" s="1"/>
  <c r="K42" i="230"/>
  <c r="I43" i="230" s="1"/>
  <c r="S42" i="230"/>
  <c r="T42" i="230" s="1"/>
  <c r="G42" i="230"/>
  <c r="H42" i="230" s="1"/>
  <c r="F43" i="230" s="1"/>
  <c r="P42" i="230"/>
  <c r="Q42" i="230" s="1"/>
  <c r="O43" i="230" s="1"/>
  <c r="M42" i="228"/>
  <c r="N42" i="228" s="1"/>
  <c r="L43" i="228" s="1"/>
  <c r="O43" i="228"/>
  <c r="P43" i="228" s="1"/>
  <c r="Q43" i="228" s="1"/>
  <c r="O44" i="228" s="1"/>
  <c r="J43" i="228"/>
  <c r="K43" i="228" s="1"/>
  <c r="I44" i="228" s="1"/>
  <c r="D42" i="228"/>
  <c r="E42" i="228" s="1"/>
  <c r="H42" i="228"/>
  <c r="F43" i="228" s="1"/>
  <c r="T42" i="228"/>
  <c r="R43" i="228" s="1"/>
  <c r="V23" i="228"/>
  <c r="W23" i="228" s="1"/>
  <c r="U24" i="228" s="1"/>
  <c r="K23" i="228"/>
  <c r="I24" i="228" s="1"/>
  <c r="E23" i="228"/>
  <c r="C24" i="228" s="1"/>
  <c r="S4" i="228"/>
  <c r="T4" i="228" s="1"/>
  <c r="R5" i="228" s="1"/>
  <c r="AL4" i="228"/>
  <c r="AJ5" i="228" s="1"/>
  <c r="AS4" i="228"/>
  <c r="AQ4" i="228"/>
  <c r="AR4" i="228" s="1"/>
  <c r="AP5" i="228" s="1"/>
  <c r="H4" i="228"/>
  <c r="F5" i="228" s="1"/>
  <c r="AE4" i="228"/>
  <c r="AF4" i="228" s="1"/>
  <c r="AD5" i="228" s="1"/>
  <c r="X24" i="236" l="1"/>
  <c r="X24" i="239"/>
  <c r="X24" i="233"/>
  <c r="X24" i="235"/>
  <c r="AS5" i="230"/>
  <c r="D10" i="230"/>
  <c r="E10" i="230" s="1"/>
  <c r="AN5" i="230"/>
  <c r="AO5" i="230" s="1"/>
  <c r="AB5" i="230"/>
  <c r="AC5" i="230" s="1"/>
  <c r="AK5" i="230"/>
  <c r="AL5" i="230" s="1"/>
  <c r="P5" i="230"/>
  <c r="Q5" i="230" s="1"/>
  <c r="J5" i="230"/>
  <c r="K5" i="230" s="1"/>
  <c r="V24" i="230"/>
  <c r="W24" i="230" s="1"/>
  <c r="J24" i="230"/>
  <c r="K24" i="230" s="1"/>
  <c r="C43" i="228"/>
  <c r="D43" i="228" s="1"/>
  <c r="E43" i="228" s="1"/>
  <c r="U42" i="228"/>
  <c r="J44" i="231"/>
  <c r="K44" i="231" s="1"/>
  <c r="G45" i="231"/>
  <c r="H45" i="231" s="1"/>
  <c r="S44" i="231"/>
  <c r="T44" i="231" s="1"/>
  <c r="P45" i="231"/>
  <c r="Q45" i="231" s="1"/>
  <c r="D46" i="231"/>
  <c r="E46" i="231" s="1"/>
  <c r="M43" i="231"/>
  <c r="N43" i="231" s="1"/>
  <c r="P43" i="230"/>
  <c r="Q43" i="230" s="1"/>
  <c r="O44" i="230" s="1"/>
  <c r="R43" i="230"/>
  <c r="U42" i="230"/>
  <c r="D44" i="230"/>
  <c r="E44" i="230" s="1"/>
  <c r="C45" i="230" s="1"/>
  <c r="J43" i="230"/>
  <c r="K43" i="230" s="1"/>
  <c r="I44" i="230" s="1"/>
  <c r="X23" i="230"/>
  <c r="G43" i="230"/>
  <c r="H43" i="230" s="1"/>
  <c r="F44" i="230" s="1"/>
  <c r="M44" i="230"/>
  <c r="N44" i="230" s="1"/>
  <c r="L45" i="230" s="1"/>
  <c r="M43" i="228"/>
  <c r="N43" i="228" s="1"/>
  <c r="L44" i="228" s="1"/>
  <c r="M44" i="228" s="1"/>
  <c r="N44" i="228" s="1"/>
  <c r="L45" i="228" s="1"/>
  <c r="J44" i="228"/>
  <c r="K44" i="228" s="1"/>
  <c r="I45" i="228" s="1"/>
  <c r="P44" i="228"/>
  <c r="Q44" i="228" s="1"/>
  <c r="O45" i="228" s="1"/>
  <c r="S43" i="228"/>
  <c r="T43" i="228" s="1"/>
  <c r="R44" i="228" s="1"/>
  <c r="G43" i="228"/>
  <c r="H43" i="228" s="1"/>
  <c r="F44" i="228" s="1"/>
  <c r="T23" i="228"/>
  <c r="R24" i="228" s="1"/>
  <c r="C11" i="230" l="1"/>
  <c r="D11" i="230" s="1"/>
  <c r="E11" i="230" s="1"/>
  <c r="C12" i="230" s="1"/>
  <c r="L5" i="221"/>
  <c r="C5" i="221" s="1"/>
  <c r="X24" i="230"/>
  <c r="C44" i="228"/>
  <c r="D44" i="228" s="1"/>
  <c r="E44" i="228" s="1"/>
  <c r="U43" i="228"/>
  <c r="D47" i="231"/>
  <c r="E47" i="231" s="1"/>
  <c r="G46" i="231"/>
  <c r="H46" i="231" s="1"/>
  <c r="P46" i="231"/>
  <c r="Q46" i="231" s="1"/>
  <c r="J45" i="231"/>
  <c r="K45" i="231" s="1"/>
  <c r="U43" i="231"/>
  <c r="J44" i="230"/>
  <c r="K44" i="230" s="1"/>
  <c r="I45" i="230" s="1"/>
  <c r="M45" i="230"/>
  <c r="N45" i="230" s="1"/>
  <c r="L46" i="230" s="1"/>
  <c r="D45" i="230"/>
  <c r="E45" i="230" s="1"/>
  <c r="C46" i="230" s="1"/>
  <c r="G44" i="230"/>
  <c r="H44" i="230" s="1"/>
  <c r="F45" i="230" s="1"/>
  <c r="S43" i="230"/>
  <c r="T43" i="230" s="1"/>
  <c r="P44" i="230"/>
  <c r="Q44" i="230" s="1"/>
  <c r="O45" i="230" s="1"/>
  <c r="M45" i="228"/>
  <c r="N45" i="228" s="1"/>
  <c r="L46" i="228" s="1"/>
  <c r="J45" i="228"/>
  <c r="K45" i="228" s="1"/>
  <c r="I46" i="228" s="1"/>
  <c r="G44" i="228"/>
  <c r="H44" i="228" s="1"/>
  <c r="F45" i="228" s="1"/>
  <c r="S44" i="228"/>
  <c r="T44" i="228" s="1"/>
  <c r="R45" i="228" s="1"/>
  <c r="P45" i="228"/>
  <c r="Q45" i="228" s="1"/>
  <c r="O46" i="228" s="1"/>
  <c r="X23" i="228"/>
  <c r="D12" i="230" l="1"/>
  <c r="E12" i="230" s="1"/>
  <c r="C13" i="230" s="1"/>
  <c r="C45" i="228"/>
  <c r="D45" i="228" s="1"/>
  <c r="E45" i="228" s="1"/>
  <c r="U44" i="228"/>
  <c r="G47" i="231"/>
  <c r="H47" i="231" s="1"/>
  <c r="J46" i="231"/>
  <c r="K46" i="231" s="1"/>
  <c r="M44" i="231"/>
  <c r="N44" i="231" s="1"/>
  <c r="P47" i="231"/>
  <c r="Q47" i="231" s="1"/>
  <c r="D48" i="231"/>
  <c r="E48" i="231" s="1"/>
  <c r="S45" i="231"/>
  <c r="T45" i="231" s="1"/>
  <c r="D46" i="230"/>
  <c r="E46" i="230" s="1"/>
  <c r="C47" i="230" s="1"/>
  <c r="P45" i="230"/>
  <c r="Q45" i="230" s="1"/>
  <c r="O46" i="230" s="1"/>
  <c r="R44" i="230"/>
  <c r="U43" i="230"/>
  <c r="G45" i="230"/>
  <c r="H45" i="230" s="1"/>
  <c r="F46" i="230" s="1"/>
  <c r="J45" i="230"/>
  <c r="K45" i="230" s="1"/>
  <c r="I46" i="230" s="1"/>
  <c r="M46" i="230"/>
  <c r="N46" i="230" s="1"/>
  <c r="L47" i="230" s="1"/>
  <c r="M46" i="228"/>
  <c r="N46" i="228" s="1"/>
  <c r="L47" i="228" s="1"/>
  <c r="P46" i="228"/>
  <c r="Q46" i="228" s="1"/>
  <c r="O47" i="228" s="1"/>
  <c r="S45" i="228"/>
  <c r="T45" i="228" s="1"/>
  <c r="R46" i="228" s="1"/>
  <c r="J46" i="228"/>
  <c r="K46" i="228" s="1"/>
  <c r="I47" i="228" s="1"/>
  <c r="G45" i="228"/>
  <c r="H45" i="228" s="1"/>
  <c r="F46" i="228" s="1"/>
  <c r="G5" i="228"/>
  <c r="H5" i="228" s="1"/>
  <c r="F6" i="228" s="1"/>
  <c r="D13" i="230" l="1"/>
  <c r="E13" i="230" s="1"/>
  <c r="C14" i="230" s="1"/>
  <c r="C46" i="228"/>
  <c r="D46" i="228" s="1"/>
  <c r="E46" i="228" s="1"/>
  <c r="U45" i="228"/>
  <c r="P48" i="231"/>
  <c r="Q48" i="231" s="1"/>
  <c r="D49" i="231"/>
  <c r="E49" i="231" s="1"/>
  <c r="U44" i="231"/>
  <c r="G48" i="231"/>
  <c r="H48" i="231" s="1"/>
  <c r="J47" i="231"/>
  <c r="K47" i="231" s="1"/>
  <c r="M47" i="230"/>
  <c r="N47" i="230" s="1"/>
  <c r="L48" i="230" s="1"/>
  <c r="J46" i="230"/>
  <c r="K46" i="230" s="1"/>
  <c r="I47" i="230" s="1"/>
  <c r="P46" i="230"/>
  <c r="Q46" i="230" s="1"/>
  <c r="O47" i="230" s="1"/>
  <c r="G46" i="230"/>
  <c r="H46" i="230" s="1"/>
  <c r="F47" i="230" s="1"/>
  <c r="S44" i="230"/>
  <c r="T44" i="230" s="1"/>
  <c r="D47" i="230"/>
  <c r="E47" i="230" s="1"/>
  <c r="C48" i="230" s="1"/>
  <c r="J47" i="228"/>
  <c r="K47" i="228" s="1"/>
  <c r="I48" i="228" s="1"/>
  <c r="S46" i="228"/>
  <c r="T46" i="228" s="1"/>
  <c r="R47" i="228" s="1"/>
  <c r="P47" i="228"/>
  <c r="Q47" i="228" s="1"/>
  <c r="O48" i="228" s="1"/>
  <c r="G46" i="228"/>
  <c r="H46" i="228" s="1"/>
  <c r="F47" i="228" s="1"/>
  <c r="M47" i="228"/>
  <c r="N47" i="228" s="1"/>
  <c r="L48" i="228" s="1"/>
  <c r="G6" i="228"/>
  <c r="H6" i="228" s="1"/>
  <c r="F7" i="228" l="1"/>
  <c r="G7" i="228" s="1"/>
  <c r="H7" i="228" s="1"/>
  <c r="F8" i="228" s="1"/>
  <c r="G8" i="228" s="1"/>
  <c r="H8" i="228" s="1"/>
  <c r="F9" i="228" s="1"/>
  <c r="G9" i="228" s="1"/>
  <c r="H9" i="228" s="1"/>
  <c r="F10" i="228" s="1"/>
  <c r="D14" i="230"/>
  <c r="E14" i="230" s="1"/>
  <c r="C15" i="230" s="1"/>
  <c r="C47" i="228"/>
  <c r="D47" i="228" s="1"/>
  <c r="E47" i="228" s="1"/>
  <c r="U46" i="228"/>
  <c r="G49" i="231"/>
  <c r="H49" i="231" s="1"/>
  <c r="J48" i="231"/>
  <c r="K48" i="231" s="1"/>
  <c r="D50" i="231"/>
  <c r="E50" i="231" s="1"/>
  <c r="P49" i="231"/>
  <c r="Q49" i="231" s="1"/>
  <c r="M45" i="231"/>
  <c r="N45" i="231" s="1"/>
  <c r="S46" i="231"/>
  <c r="T46" i="231" s="1"/>
  <c r="D48" i="230"/>
  <c r="E48" i="230" s="1"/>
  <c r="C49" i="230" s="1"/>
  <c r="R45" i="230"/>
  <c r="U44" i="230"/>
  <c r="G47" i="230"/>
  <c r="H47" i="230" s="1"/>
  <c r="F48" i="230" s="1"/>
  <c r="P47" i="230"/>
  <c r="Q47" i="230" s="1"/>
  <c r="O48" i="230" s="1"/>
  <c r="M48" i="230"/>
  <c r="N48" i="230" s="1"/>
  <c r="L49" i="230" s="1"/>
  <c r="J47" i="230"/>
  <c r="K47" i="230" s="1"/>
  <c r="I48" i="230" s="1"/>
  <c r="M48" i="228"/>
  <c r="N48" i="228" s="1"/>
  <c r="L49" i="228" s="1"/>
  <c r="P48" i="228"/>
  <c r="Q48" i="228" s="1"/>
  <c r="O49" i="228" s="1"/>
  <c r="J48" i="228"/>
  <c r="K48" i="228" s="1"/>
  <c r="I49" i="228" s="1"/>
  <c r="G47" i="228"/>
  <c r="H47" i="228" s="1"/>
  <c r="F48" i="228" s="1"/>
  <c r="S47" i="228"/>
  <c r="T47" i="228" s="1"/>
  <c r="R48" i="228" s="1"/>
  <c r="D15" i="230" l="1"/>
  <c r="E15" i="230" s="1"/>
  <c r="C16" i="230" s="1"/>
  <c r="G10" i="228"/>
  <c r="H10" i="228" s="1"/>
  <c r="C48" i="228"/>
  <c r="D48" i="228" s="1"/>
  <c r="E48" i="228" s="1"/>
  <c r="U47" i="228"/>
  <c r="J49" i="231"/>
  <c r="K49" i="231" s="1"/>
  <c r="P50" i="231"/>
  <c r="Q50" i="231" s="1"/>
  <c r="G50" i="231"/>
  <c r="H50" i="231" s="1"/>
  <c r="U45" i="231"/>
  <c r="D51" i="231"/>
  <c r="E51" i="231" s="1"/>
  <c r="J48" i="230"/>
  <c r="K48" i="230" s="1"/>
  <c r="I49" i="230" s="1"/>
  <c r="D49" i="230"/>
  <c r="E49" i="230" s="1"/>
  <c r="C50" i="230" s="1"/>
  <c r="G48" i="230"/>
  <c r="H48" i="230" s="1"/>
  <c r="F49" i="230" s="1"/>
  <c r="P48" i="230"/>
  <c r="Q48" i="230" s="1"/>
  <c r="O49" i="230" s="1"/>
  <c r="M49" i="230"/>
  <c r="N49" i="230" s="1"/>
  <c r="L50" i="230" s="1"/>
  <c r="S45" i="230"/>
  <c r="T45" i="230" s="1"/>
  <c r="J49" i="228"/>
  <c r="K49" i="228" s="1"/>
  <c r="I50" i="228" s="1"/>
  <c r="G48" i="228"/>
  <c r="H48" i="228" s="1"/>
  <c r="F49" i="228" s="1"/>
  <c r="S48" i="228"/>
  <c r="T48" i="228" s="1"/>
  <c r="R49" i="228" s="1"/>
  <c r="M49" i="228"/>
  <c r="N49" i="228" s="1"/>
  <c r="L50" i="228" s="1"/>
  <c r="P49" i="228"/>
  <c r="Q49" i="228" s="1"/>
  <c r="O50" i="228" s="1"/>
  <c r="F11" i="228" l="1"/>
  <c r="G11" i="228" s="1"/>
  <c r="H11" i="228" s="1"/>
  <c r="F12" i="228" s="1"/>
  <c r="G12" i="228" s="1"/>
  <c r="H12" i="228" s="1"/>
  <c r="F13" i="228" s="1"/>
  <c r="G13" i="228" s="1"/>
  <c r="H13" i="228" s="1"/>
  <c r="F14" i="228" s="1"/>
  <c r="G14" i="228" s="1"/>
  <c r="H14" i="228" s="1"/>
  <c r="F15" i="228" s="1"/>
  <c r="G15" i="228" s="1"/>
  <c r="H15" i="228" s="1"/>
  <c r="F16" i="228" s="1"/>
  <c r="G16" i="228" s="1"/>
  <c r="H16" i="228" s="1"/>
  <c r="F17" i="228" s="1"/>
  <c r="G17" i="228" s="1"/>
  <c r="H17" i="228" s="1"/>
  <c r="F18" i="228" s="1"/>
  <c r="G18" i="228" s="1"/>
  <c r="H18" i="228" s="1"/>
  <c r="F19" i="228" s="1"/>
  <c r="K6" i="221"/>
  <c r="B6" i="221" s="1"/>
  <c r="D16" i="230"/>
  <c r="E16" i="230" s="1"/>
  <c r="C17" i="230" s="1"/>
  <c r="C49" i="228"/>
  <c r="D49" i="228" s="1"/>
  <c r="E49" i="228" s="1"/>
  <c r="U48" i="228"/>
  <c r="G51" i="231"/>
  <c r="H51" i="231" s="1"/>
  <c r="D52" i="231"/>
  <c r="E52" i="231" s="1"/>
  <c r="P51" i="231"/>
  <c r="Q51" i="231" s="1"/>
  <c r="M46" i="231"/>
  <c r="N46" i="231" s="1"/>
  <c r="S47" i="231"/>
  <c r="T47" i="231" s="1"/>
  <c r="J50" i="231"/>
  <c r="K50" i="231" s="1"/>
  <c r="R46" i="230"/>
  <c r="U45" i="230"/>
  <c r="J49" i="230"/>
  <c r="K49" i="230" s="1"/>
  <c r="I50" i="230" s="1"/>
  <c r="P49" i="230"/>
  <c r="Q49" i="230" s="1"/>
  <c r="O50" i="230" s="1"/>
  <c r="M50" i="230"/>
  <c r="N50" i="230" s="1"/>
  <c r="L51" i="230" s="1"/>
  <c r="G49" i="230"/>
  <c r="H49" i="230" s="1"/>
  <c r="F50" i="230" s="1"/>
  <c r="D50" i="230"/>
  <c r="E50" i="230" s="1"/>
  <c r="C51" i="230" s="1"/>
  <c r="M50" i="228"/>
  <c r="N50" i="228" s="1"/>
  <c r="L51" i="228" s="1"/>
  <c r="J50" i="228"/>
  <c r="K50" i="228" s="1"/>
  <c r="I51" i="228" s="1"/>
  <c r="P50" i="228"/>
  <c r="Q50" i="228" s="1"/>
  <c r="O51" i="228" s="1"/>
  <c r="G49" i="228"/>
  <c r="H49" i="228" s="1"/>
  <c r="F50" i="228" s="1"/>
  <c r="S49" i="228"/>
  <c r="T49" i="228" s="1"/>
  <c r="R50" i="228" s="1"/>
  <c r="D17" i="230" l="1"/>
  <c r="E17" i="230" s="1"/>
  <c r="C18" i="230" s="1"/>
  <c r="C50" i="228"/>
  <c r="D50" i="228" s="1"/>
  <c r="E50" i="228" s="1"/>
  <c r="U49" i="228"/>
  <c r="P52" i="231"/>
  <c r="Q52" i="231" s="1"/>
  <c r="G52" i="231"/>
  <c r="H52" i="231" s="1"/>
  <c r="U46" i="231"/>
  <c r="D53" i="231"/>
  <c r="E53" i="231" s="1"/>
  <c r="J51" i="231"/>
  <c r="K51" i="231" s="1"/>
  <c r="J50" i="230"/>
  <c r="K50" i="230" s="1"/>
  <c r="I51" i="230" s="1"/>
  <c r="P50" i="230"/>
  <c r="Q50" i="230" s="1"/>
  <c r="O51" i="230" s="1"/>
  <c r="D51" i="230"/>
  <c r="E51" i="230" s="1"/>
  <c r="C52" i="230" s="1"/>
  <c r="S46" i="230"/>
  <c r="T46" i="230" s="1"/>
  <c r="G50" i="230"/>
  <c r="H50" i="230" s="1"/>
  <c r="F51" i="230" s="1"/>
  <c r="M51" i="230"/>
  <c r="N51" i="230" s="1"/>
  <c r="L52" i="230" s="1"/>
  <c r="P51" i="228"/>
  <c r="Q51" i="228" s="1"/>
  <c r="O52" i="228" s="1"/>
  <c r="S50" i="228"/>
  <c r="T50" i="228" s="1"/>
  <c r="R51" i="228" s="1"/>
  <c r="G50" i="228"/>
  <c r="H50" i="228" s="1"/>
  <c r="F51" i="228" s="1"/>
  <c r="J51" i="228"/>
  <c r="K51" i="228" s="1"/>
  <c r="I52" i="228" s="1"/>
  <c r="M51" i="228"/>
  <c r="N51" i="228" s="1"/>
  <c r="L52" i="228" s="1"/>
  <c r="G19" i="228"/>
  <c r="H19" i="228" s="1"/>
  <c r="D18" i="230" l="1"/>
  <c r="E18" i="230" s="1"/>
  <c r="C19" i="230" s="1"/>
  <c r="X6" i="240"/>
  <c r="AJ6" i="240"/>
  <c r="L6" i="240"/>
  <c r="O6" i="240"/>
  <c r="AA6" i="240"/>
  <c r="AM6" i="240"/>
  <c r="C6" i="240"/>
  <c r="O6" i="239"/>
  <c r="X6" i="239"/>
  <c r="AJ6" i="239"/>
  <c r="AD6" i="239"/>
  <c r="F6" i="239"/>
  <c r="R6" i="239"/>
  <c r="AA6" i="239"/>
  <c r="C6" i="239"/>
  <c r="AM6" i="239"/>
  <c r="AP6" i="239"/>
  <c r="L6" i="239"/>
  <c r="R6" i="236"/>
  <c r="I6" i="236"/>
  <c r="F6" i="236"/>
  <c r="AD6" i="236"/>
  <c r="AG6" i="236"/>
  <c r="U6" i="236"/>
  <c r="I6" i="235"/>
  <c r="F6" i="235"/>
  <c r="AD6" i="235"/>
  <c r="AJ6" i="235"/>
  <c r="AP6" i="235"/>
  <c r="AG6" i="235"/>
  <c r="R6" i="235"/>
  <c r="U6" i="235"/>
  <c r="L6" i="235"/>
  <c r="X6" i="235"/>
  <c r="X6" i="234"/>
  <c r="AG6" i="234"/>
  <c r="I6" i="234"/>
  <c r="AA6" i="234"/>
  <c r="L6" i="234"/>
  <c r="C6" i="234"/>
  <c r="AJ6" i="234"/>
  <c r="AD6" i="233"/>
  <c r="AG6" i="233"/>
  <c r="AM6" i="233"/>
  <c r="O6" i="233"/>
  <c r="AA6" i="233"/>
  <c r="R6" i="233"/>
  <c r="AP6" i="233"/>
  <c r="I6" i="233"/>
  <c r="F6" i="233"/>
  <c r="U6" i="233"/>
  <c r="C51" i="228"/>
  <c r="D51" i="228" s="1"/>
  <c r="E51" i="228" s="1"/>
  <c r="U50" i="228"/>
  <c r="AE5" i="231"/>
  <c r="AF5" i="231" s="1"/>
  <c r="AD6" i="231" s="1"/>
  <c r="G53" i="231"/>
  <c r="H53" i="231" s="1"/>
  <c r="AB5" i="231"/>
  <c r="AC5" i="231" s="1"/>
  <c r="AA6" i="231" s="1"/>
  <c r="AQ5" i="231"/>
  <c r="AR5" i="231" s="1"/>
  <c r="AP6" i="231" s="1"/>
  <c r="D5" i="231"/>
  <c r="E5" i="231" s="1"/>
  <c r="S5" i="231"/>
  <c r="T5" i="231" s="1"/>
  <c r="R6" i="231" s="1"/>
  <c r="P5" i="231"/>
  <c r="Q5" i="231" s="1"/>
  <c r="G5" i="231"/>
  <c r="H5" i="231" s="1"/>
  <c r="M47" i="231"/>
  <c r="N47" i="231" s="1"/>
  <c r="AN5" i="231"/>
  <c r="AO5" i="231" s="1"/>
  <c r="AM6" i="231" s="1"/>
  <c r="D54" i="231"/>
  <c r="E54" i="231" s="1"/>
  <c r="J52" i="231"/>
  <c r="K52" i="231" s="1"/>
  <c r="P53" i="231"/>
  <c r="Q53" i="231" s="1"/>
  <c r="S48" i="231"/>
  <c r="T48" i="231" s="1"/>
  <c r="P51" i="230"/>
  <c r="Q51" i="230" s="1"/>
  <c r="O52" i="230" s="1"/>
  <c r="R47" i="230"/>
  <c r="U46" i="230"/>
  <c r="M52" i="230"/>
  <c r="N52" i="230" s="1"/>
  <c r="L53" i="230" s="1"/>
  <c r="J51" i="230"/>
  <c r="K51" i="230" s="1"/>
  <c r="I52" i="230" s="1"/>
  <c r="G51" i="230"/>
  <c r="H51" i="230" s="1"/>
  <c r="F52" i="230" s="1"/>
  <c r="D52" i="230"/>
  <c r="E52" i="230" s="1"/>
  <c r="C53" i="230" s="1"/>
  <c r="P52" i="228"/>
  <c r="Q52" i="228" s="1"/>
  <c r="O53" i="228" s="1"/>
  <c r="G51" i="228"/>
  <c r="H51" i="228" s="1"/>
  <c r="F52" i="228" s="1"/>
  <c r="J52" i="228"/>
  <c r="K52" i="228" s="1"/>
  <c r="I53" i="228" s="1"/>
  <c r="M52" i="228"/>
  <c r="N52" i="228" s="1"/>
  <c r="L53" i="228" s="1"/>
  <c r="S51" i="228"/>
  <c r="T51" i="228" s="1"/>
  <c r="R52" i="228" s="1"/>
  <c r="AB5" i="228"/>
  <c r="AC5" i="228" s="1"/>
  <c r="AA6" i="228" s="1"/>
  <c r="AE5" i="228"/>
  <c r="AF5" i="228" s="1"/>
  <c r="AD6" i="228" s="1"/>
  <c r="AN5" i="228"/>
  <c r="AO5" i="228" s="1"/>
  <c r="AM6" i="228" s="1"/>
  <c r="M5" i="228"/>
  <c r="N5" i="228" s="1"/>
  <c r="L6" i="228" s="1"/>
  <c r="S5" i="228"/>
  <c r="T5" i="228" s="1"/>
  <c r="R6" i="228" s="1"/>
  <c r="P5" i="228"/>
  <c r="Q5" i="228" s="1"/>
  <c r="O6" i="228" s="1"/>
  <c r="D19" i="230" l="1"/>
  <c r="E19" i="230" s="1"/>
  <c r="I6" i="230"/>
  <c r="M6" i="240"/>
  <c r="N6" i="240" s="1"/>
  <c r="U6" i="240"/>
  <c r="D6" i="240"/>
  <c r="E6" i="240" s="1"/>
  <c r="R6" i="240"/>
  <c r="F6" i="240"/>
  <c r="I6" i="240"/>
  <c r="AD6" i="240"/>
  <c r="AN6" i="240"/>
  <c r="AO6" i="240" s="1"/>
  <c r="P6" i="240"/>
  <c r="Q6" i="240" s="1"/>
  <c r="AG6" i="240"/>
  <c r="AK6" i="240"/>
  <c r="AL6" i="240" s="1"/>
  <c r="AP6" i="240"/>
  <c r="AB6" i="240"/>
  <c r="AC6" i="240" s="1"/>
  <c r="Y6" i="240"/>
  <c r="Z6" i="240" s="1"/>
  <c r="U6" i="239"/>
  <c r="G6" i="239"/>
  <c r="H6" i="239" s="1"/>
  <c r="AK6" i="239"/>
  <c r="AL6" i="239" s="1"/>
  <c r="I6" i="239"/>
  <c r="M6" i="239"/>
  <c r="N6" i="239" s="1"/>
  <c r="AQ6" i="239"/>
  <c r="AR6" i="239" s="1"/>
  <c r="AP7" i="239" s="1"/>
  <c r="S6" i="239"/>
  <c r="T6" i="239" s="1"/>
  <c r="D6" i="239"/>
  <c r="E6" i="239" s="1"/>
  <c r="AB6" i="239"/>
  <c r="AC6" i="239" s="1"/>
  <c r="AG6" i="239"/>
  <c r="AE6" i="239"/>
  <c r="AF6" i="239" s="1"/>
  <c r="Y6" i="239"/>
  <c r="Z6" i="239" s="1"/>
  <c r="AN6" i="239"/>
  <c r="AO6" i="239" s="1"/>
  <c r="P6" i="239"/>
  <c r="Q6" i="239" s="1"/>
  <c r="AH6" i="236"/>
  <c r="AI6" i="236" s="1"/>
  <c r="C6" i="236"/>
  <c r="O6" i="236"/>
  <c r="AA6" i="236"/>
  <c r="J6" i="236"/>
  <c r="K6" i="236" s="1"/>
  <c r="AM6" i="236"/>
  <c r="V6" i="236"/>
  <c r="W6" i="236" s="1"/>
  <c r="AJ6" i="236"/>
  <c r="AQ6" i="236"/>
  <c r="AR6" i="236" s="1"/>
  <c r="G6" i="236"/>
  <c r="H6" i="236" s="1"/>
  <c r="S6" i="236"/>
  <c r="T6" i="236" s="1"/>
  <c r="L6" i="236"/>
  <c r="X6" i="236"/>
  <c r="AE6" i="236"/>
  <c r="AF6" i="236" s="1"/>
  <c r="AH6" i="235"/>
  <c r="AI6" i="235" s="1"/>
  <c r="G6" i="235"/>
  <c r="H6" i="235" s="1"/>
  <c r="M6" i="235"/>
  <c r="N6" i="235" s="1"/>
  <c r="C6" i="235"/>
  <c r="O6" i="235"/>
  <c r="J6" i="235"/>
  <c r="K6" i="235" s="1"/>
  <c r="AQ6" i="235"/>
  <c r="AR6" i="235" s="1"/>
  <c r="AM6" i="235"/>
  <c r="Y6" i="235"/>
  <c r="Z6" i="235" s="1"/>
  <c r="AE6" i="235"/>
  <c r="AF6" i="235" s="1"/>
  <c r="AK6" i="235"/>
  <c r="AL6" i="235" s="1"/>
  <c r="V6" i="235"/>
  <c r="W6" i="235" s="1"/>
  <c r="S6" i="235"/>
  <c r="T6" i="235" s="1"/>
  <c r="AA6" i="235"/>
  <c r="AK6" i="234"/>
  <c r="AL6" i="234" s="1"/>
  <c r="AH6" i="234"/>
  <c r="AI6" i="234" s="1"/>
  <c r="AD6" i="234"/>
  <c r="J6" i="234"/>
  <c r="K6" i="234" s="1"/>
  <c r="U6" i="234"/>
  <c r="Y6" i="234"/>
  <c r="Z6" i="234" s="1"/>
  <c r="M6" i="234"/>
  <c r="N6" i="234" s="1"/>
  <c r="AP6" i="234"/>
  <c r="R6" i="234"/>
  <c r="AB6" i="234"/>
  <c r="AC6" i="234" s="1"/>
  <c r="D6" i="234"/>
  <c r="E6" i="234" s="1"/>
  <c r="F6" i="234"/>
  <c r="AM6" i="234"/>
  <c r="O6" i="234"/>
  <c r="AQ6" i="233"/>
  <c r="AR6" i="233" s="1"/>
  <c r="AJ6" i="233"/>
  <c r="J6" i="233"/>
  <c r="K6" i="233" s="1"/>
  <c r="C6" i="233"/>
  <c r="AB6" i="233"/>
  <c r="AC6" i="233" s="1"/>
  <c r="AE6" i="233"/>
  <c r="AF6" i="233" s="1"/>
  <c r="V6" i="233"/>
  <c r="W6" i="233" s="1"/>
  <c r="G6" i="233"/>
  <c r="H6" i="233" s="1"/>
  <c r="L6" i="233"/>
  <c r="S6" i="233"/>
  <c r="T6" i="233" s="1"/>
  <c r="X6" i="233"/>
  <c r="AH6" i="233"/>
  <c r="AI6" i="233" s="1"/>
  <c r="P6" i="233"/>
  <c r="Q6" i="233" s="1"/>
  <c r="AN6" i="233"/>
  <c r="AO6" i="233" s="1"/>
  <c r="C52" i="228"/>
  <c r="D52" i="228" s="1"/>
  <c r="E52" i="228" s="1"/>
  <c r="U51" i="228"/>
  <c r="J5" i="231"/>
  <c r="K5" i="231" s="1"/>
  <c r="AS5" i="231"/>
  <c r="U47" i="231"/>
  <c r="M5" i="231"/>
  <c r="N5" i="231" s="1"/>
  <c r="AK5" i="231"/>
  <c r="AL5" i="231" s="1"/>
  <c r="AJ6" i="231" s="1"/>
  <c r="AH5" i="231"/>
  <c r="AI5" i="231" s="1"/>
  <c r="AG6" i="231" s="1"/>
  <c r="P6" i="231"/>
  <c r="Q6" i="231" s="1"/>
  <c r="AB6" i="231"/>
  <c r="AC6" i="231" s="1"/>
  <c r="G54" i="231"/>
  <c r="H54" i="231" s="1"/>
  <c r="G6" i="231"/>
  <c r="H6" i="231" s="1"/>
  <c r="D6" i="231"/>
  <c r="E6" i="231" s="1"/>
  <c r="D55" i="231"/>
  <c r="E55" i="231" s="1"/>
  <c r="AQ6" i="231"/>
  <c r="AR6" i="231" s="1"/>
  <c r="V5" i="231"/>
  <c r="W5" i="231" s="1"/>
  <c r="U6" i="231" s="1"/>
  <c r="AN6" i="231"/>
  <c r="AO6" i="231" s="1"/>
  <c r="AE6" i="231"/>
  <c r="AF6" i="231" s="1"/>
  <c r="J53" i="231"/>
  <c r="K53" i="231" s="1"/>
  <c r="S6" i="231"/>
  <c r="T6" i="231" s="1"/>
  <c r="P54" i="231"/>
  <c r="Q54" i="231" s="1"/>
  <c r="Y5" i="231"/>
  <c r="Z5" i="231" s="1"/>
  <c r="X6" i="231" s="1"/>
  <c r="F6" i="230"/>
  <c r="P52" i="230"/>
  <c r="Q52" i="230" s="1"/>
  <c r="O53" i="230" s="1"/>
  <c r="D53" i="230"/>
  <c r="E53" i="230" s="1"/>
  <c r="C54" i="230" s="1"/>
  <c r="AG6" i="230"/>
  <c r="AP6" i="230"/>
  <c r="G52" i="230"/>
  <c r="H52" i="230" s="1"/>
  <c r="F53" i="230" s="1"/>
  <c r="AD6" i="230"/>
  <c r="S47" i="230"/>
  <c r="T47" i="230" s="1"/>
  <c r="M53" i="230"/>
  <c r="N53" i="230" s="1"/>
  <c r="L54" i="230" s="1"/>
  <c r="R6" i="230"/>
  <c r="J52" i="230"/>
  <c r="K52" i="230" s="1"/>
  <c r="I53" i="230" s="1"/>
  <c r="U6" i="230"/>
  <c r="P53" i="228"/>
  <c r="Q53" i="228" s="1"/>
  <c r="O54" i="228" s="1"/>
  <c r="S52" i="228"/>
  <c r="T52" i="228" s="1"/>
  <c r="R53" i="228" s="1"/>
  <c r="G52" i="228"/>
  <c r="H52" i="228" s="1"/>
  <c r="F53" i="228" s="1"/>
  <c r="J53" i="228"/>
  <c r="K53" i="228" s="1"/>
  <c r="I54" i="228" s="1"/>
  <c r="M53" i="228"/>
  <c r="N53" i="228" s="1"/>
  <c r="L54" i="228" s="1"/>
  <c r="AQ5" i="228"/>
  <c r="AR5" i="228" s="1"/>
  <c r="AP6" i="228" s="1"/>
  <c r="Y5" i="228"/>
  <c r="Z5" i="228" s="1"/>
  <c r="X6" i="228" s="1"/>
  <c r="AB6" i="228"/>
  <c r="AC6" i="228" s="1"/>
  <c r="AK5" i="228"/>
  <c r="AL5" i="228" s="1"/>
  <c r="AJ6" i="228" s="1"/>
  <c r="AN6" i="228"/>
  <c r="AO6" i="228" s="1"/>
  <c r="V5" i="228"/>
  <c r="W5" i="228" s="1"/>
  <c r="U6" i="228" s="1"/>
  <c r="AH5" i="228"/>
  <c r="AI5" i="228" s="1"/>
  <c r="AG6" i="228" s="1"/>
  <c r="AE6" i="228"/>
  <c r="AF6" i="228" s="1"/>
  <c r="P6" i="228"/>
  <c r="Q6" i="228" s="1"/>
  <c r="J5" i="228"/>
  <c r="K5" i="228" s="1"/>
  <c r="I6" i="228" s="1"/>
  <c r="S6" i="228"/>
  <c r="T6" i="228" s="1"/>
  <c r="M6" i="228"/>
  <c r="N6" i="228" s="1"/>
  <c r="O7" i="228" l="1"/>
  <c r="P7" i="228" s="1"/>
  <c r="Q7" i="228" s="1"/>
  <c r="L7" i="228"/>
  <c r="M7" i="228" s="1"/>
  <c r="N7" i="228" s="1"/>
  <c r="R7" i="228"/>
  <c r="S7" i="228" s="1"/>
  <c r="T7" i="228" s="1"/>
  <c r="AA7" i="228"/>
  <c r="AB7" i="228" s="1"/>
  <c r="AC7" i="228" s="1"/>
  <c r="AD7" i="231"/>
  <c r="AE7" i="231" s="1"/>
  <c r="AF7" i="231" s="1"/>
  <c r="AD8" i="231" s="1"/>
  <c r="AA7" i="231"/>
  <c r="AB7" i="231" s="1"/>
  <c r="AC7" i="231" s="1"/>
  <c r="AA8" i="231" s="1"/>
  <c r="AG7" i="233"/>
  <c r="AH7" i="233" s="1"/>
  <c r="AI7" i="233" s="1"/>
  <c r="AG8" i="233" s="1"/>
  <c r="F7" i="233"/>
  <c r="G7" i="233" s="1"/>
  <c r="H7" i="233" s="1"/>
  <c r="F8" i="233" s="1"/>
  <c r="AA7" i="234"/>
  <c r="AB7" i="234" s="1"/>
  <c r="AC7" i="234" s="1"/>
  <c r="AA8" i="234" s="1"/>
  <c r="X7" i="234"/>
  <c r="Y7" i="234" s="1"/>
  <c r="Z7" i="234" s="1"/>
  <c r="X8" i="234" s="1"/>
  <c r="AG7" i="234"/>
  <c r="AH7" i="234" s="1"/>
  <c r="AI7" i="234" s="1"/>
  <c r="AG8" i="234" s="1"/>
  <c r="U7" i="235"/>
  <c r="V7" i="235" s="1"/>
  <c r="W7" i="235" s="1"/>
  <c r="U8" i="235" s="1"/>
  <c r="AD7" i="236"/>
  <c r="AE7" i="236" s="1"/>
  <c r="AF7" i="236" s="1"/>
  <c r="AD8" i="236" s="1"/>
  <c r="F7" i="236"/>
  <c r="G7" i="236" s="1"/>
  <c r="H7" i="236" s="1"/>
  <c r="F8" i="236" s="1"/>
  <c r="X7" i="239"/>
  <c r="Y7" i="239" s="1"/>
  <c r="Z7" i="239" s="1"/>
  <c r="X8" i="239" s="1"/>
  <c r="C7" i="239"/>
  <c r="D7" i="239" s="1"/>
  <c r="E7" i="239" s="1"/>
  <c r="C8" i="239" s="1"/>
  <c r="X7" i="240"/>
  <c r="Y7" i="240" s="1"/>
  <c r="Z7" i="240" s="1"/>
  <c r="X8" i="240" s="1"/>
  <c r="AM7" i="231"/>
  <c r="AN7" i="231" s="1"/>
  <c r="AO7" i="231" s="1"/>
  <c r="AM8" i="231" s="1"/>
  <c r="U7" i="233"/>
  <c r="V7" i="233" s="1"/>
  <c r="W7" i="233" s="1"/>
  <c r="U8" i="233" s="1"/>
  <c r="I7" i="233"/>
  <c r="J7" i="233" s="1"/>
  <c r="K7" i="233" s="1"/>
  <c r="I8" i="233" s="1"/>
  <c r="AJ7" i="234"/>
  <c r="AK7" i="234" s="1"/>
  <c r="AL7" i="234" s="1"/>
  <c r="AJ8" i="234" s="1"/>
  <c r="AJ7" i="235"/>
  <c r="AK7" i="235" s="1"/>
  <c r="AL7" i="235" s="1"/>
  <c r="AJ8" i="235" s="1"/>
  <c r="AP7" i="235"/>
  <c r="AQ7" i="235" s="1"/>
  <c r="AR7" i="235" s="1"/>
  <c r="AP8" i="235" s="1"/>
  <c r="L7" i="235"/>
  <c r="M7" i="235" s="1"/>
  <c r="N7" i="235" s="1"/>
  <c r="L8" i="235" s="1"/>
  <c r="I7" i="236"/>
  <c r="J7" i="236" s="1"/>
  <c r="K7" i="236" s="1"/>
  <c r="I8" i="236" s="1"/>
  <c r="AG7" i="236"/>
  <c r="AH7" i="236" s="1"/>
  <c r="AI7" i="236" s="1"/>
  <c r="AG8" i="236" s="1"/>
  <c r="AD7" i="239"/>
  <c r="AE7" i="239" s="1"/>
  <c r="AF7" i="239" s="1"/>
  <c r="AD8" i="239" s="1"/>
  <c r="R7" i="239"/>
  <c r="S7" i="239" s="1"/>
  <c r="T7" i="239" s="1"/>
  <c r="R8" i="239" s="1"/>
  <c r="AJ7" i="239"/>
  <c r="AK7" i="239" s="1"/>
  <c r="AL7" i="239" s="1"/>
  <c r="AJ8" i="239" s="1"/>
  <c r="AA7" i="240"/>
  <c r="AB7" i="240" s="1"/>
  <c r="AC7" i="240" s="1"/>
  <c r="AA8" i="240" s="1"/>
  <c r="O7" i="240"/>
  <c r="P7" i="240" s="1"/>
  <c r="Q7" i="240" s="1"/>
  <c r="O8" i="240" s="1"/>
  <c r="L7" i="240"/>
  <c r="M7" i="240" s="1"/>
  <c r="N7" i="240" s="1"/>
  <c r="L8" i="240" s="1"/>
  <c r="AM7" i="228"/>
  <c r="AN7" i="228" s="1"/>
  <c r="AO7" i="228" s="1"/>
  <c r="R7" i="231"/>
  <c r="S7" i="231" s="1"/>
  <c r="T7" i="231" s="1"/>
  <c r="R8" i="231" s="1"/>
  <c r="AM7" i="233"/>
  <c r="AN7" i="233" s="1"/>
  <c r="AO7" i="233" s="1"/>
  <c r="AM8" i="233" s="1"/>
  <c r="R7" i="233"/>
  <c r="S7" i="233" s="1"/>
  <c r="T7" i="233" s="1"/>
  <c r="R8" i="233" s="1"/>
  <c r="AD7" i="233"/>
  <c r="AE7" i="233" s="1"/>
  <c r="AF7" i="233" s="1"/>
  <c r="AD8" i="233" s="1"/>
  <c r="I7" i="234"/>
  <c r="J7" i="234" s="1"/>
  <c r="K7" i="234" s="1"/>
  <c r="I8" i="234" s="1"/>
  <c r="AD7" i="235"/>
  <c r="AE7" i="235" s="1"/>
  <c r="AF7" i="235" s="1"/>
  <c r="AD8" i="235" s="1"/>
  <c r="I7" i="235"/>
  <c r="J7" i="235" s="1"/>
  <c r="K7" i="235" s="1"/>
  <c r="I8" i="235" s="1"/>
  <c r="F7" i="235"/>
  <c r="G7" i="235" s="1"/>
  <c r="H7" i="235" s="1"/>
  <c r="F8" i="235" s="1"/>
  <c r="O7" i="239"/>
  <c r="P7" i="239" s="1"/>
  <c r="Q7" i="239" s="1"/>
  <c r="O8" i="239" s="1"/>
  <c r="F7" i="239"/>
  <c r="G7" i="239" s="1"/>
  <c r="H7" i="239" s="1"/>
  <c r="F8" i="239" s="1"/>
  <c r="AM7" i="240"/>
  <c r="AN7" i="240" s="1"/>
  <c r="AO7" i="240" s="1"/>
  <c r="AM8" i="240" s="1"/>
  <c r="AD7" i="228"/>
  <c r="AE7" i="228" s="1"/>
  <c r="AF7" i="228" s="1"/>
  <c r="AP7" i="231"/>
  <c r="AQ7" i="231" s="1"/>
  <c r="AR7" i="231" s="1"/>
  <c r="AP8" i="231" s="1"/>
  <c r="O7" i="233"/>
  <c r="P7" i="233" s="1"/>
  <c r="Q7" i="233" s="1"/>
  <c r="O8" i="233" s="1"/>
  <c r="AA7" i="233"/>
  <c r="AB7" i="233" s="1"/>
  <c r="AC7" i="233" s="1"/>
  <c r="AA8" i="233" s="1"/>
  <c r="AP7" i="233"/>
  <c r="AQ7" i="233" s="1"/>
  <c r="AR7" i="233" s="1"/>
  <c r="AP8" i="233" s="1"/>
  <c r="C7" i="234"/>
  <c r="D7" i="234" s="1"/>
  <c r="E7" i="234" s="1"/>
  <c r="C8" i="234" s="1"/>
  <c r="L7" i="234"/>
  <c r="M7" i="234" s="1"/>
  <c r="N7" i="234" s="1"/>
  <c r="L8" i="234" s="1"/>
  <c r="R7" i="235"/>
  <c r="S7" i="235" s="1"/>
  <c r="T7" i="235" s="1"/>
  <c r="R8" i="235" s="1"/>
  <c r="X7" i="235"/>
  <c r="Y7" i="235" s="1"/>
  <c r="Z7" i="235" s="1"/>
  <c r="X8" i="235" s="1"/>
  <c r="AG7" i="235"/>
  <c r="AH7" i="235" s="1"/>
  <c r="AI7" i="235" s="1"/>
  <c r="AG8" i="235" s="1"/>
  <c r="R7" i="236"/>
  <c r="S7" i="236" s="1"/>
  <c r="T7" i="236" s="1"/>
  <c r="R8" i="236" s="1"/>
  <c r="U7" i="236"/>
  <c r="V7" i="236" s="1"/>
  <c r="W7" i="236" s="1"/>
  <c r="U8" i="236" s="1"/>
  <c r="AM7" i="239"/>
  <c r="AN7" i="239" s="1"/>
  <c r="AO7" i="239" s="1"/>
  <c r="AM8" i="239" s="1"/>
  <c r="AA7" i="239"/>
  <c r="AB7" i="239" s="1"/>
  <c r="AC7" i="239" s="1"/>
  <c r="AA8" i="239" s="1"/>
  <c r="L7" i="239"/>
  <c r="M7" i="239" s="1"/>
  <c r="N7" i="239" s="1"/>
  <c r="L8" i="239" s="1"/>
  <c r="AJ7" i="240"/>
  <c r="AK7" i="240" s="1"/>
  <c r="AL7" i="240" s="1"/>
  <c r="AJ8" i="240" s="1"/>
  <c r="C7" i="240"/>
  <c r="D7" i="240" s="1"/>
  <c r="E7" i="240" s="1"/>
  <c r="C8" i="240" s="1"/>
  <c r="G6" i="240"/>
  <c r="H6" i="240" s="1"/>
  <c r="J6" i="240"/>
  <c r="K6" i="240" s="1"/>
  <c r="AS6" i="240"/>
  <c r="S6" i="240"/>
  <c r="T6" i="240" s="1"/>
  <c r="AH6" i="240"/>
  <c r="AI6" i="240" s="1"/>
  <c r="V6" i="240"/>
  <c r="W6" i="240" s="1"/>
  <c r="AQ6" i="240"/>
  <c r="AR6" i="240" s="1"/>
  <c r="AE6" i="240"/>
  <c r="AF6" i="240" s="1"/>
  <c r="J6" i="239"/>
  <c r="K6" i="239" s="1"/>
  <c r="AS6" i="239"/>
  <c r="AQ7" i="239"/>
  <c r="AR7" i="239" s="1"/>
  <c r="AP8" i="239" s="1"/>
  <c r="AH6" i="239"/>
  <c r="AI6" i="239" s="1"/>
  <c r="V6" i="239"/>
  <c r="W6" i="239" s="1"/>
  <c r="M6" i="236"/>
  <c r="N6" i="236" s="1"/>
  <c r="P6" i="236"/>
  <c r="Q6" i="236" s="1"/>
  <c r="AS6" i="236"/>
  <c r="D6" i="236"/>
  <c r="E6" i="236" s="1"/>
  <c r="AQ7" i="236"/>
  <c r="AR7" i="236" s="1"/>
  <c r="AN6" i="236"/>
  <c r="AO6" i="236" s="1"/>
  <c r="Y6" i="236"/>
  <c r="Z6" i="236" s="1"/>
  <c r="AK6" i="236"/>
  <c r="AL6" i="236" s="1"/>
  <c r="AB6" i="236"/>
  <c r="AC6" i="236" s="1"/>
  <c r="AB6" i="235"/>
  <c r="AC6" i="235" s="1"/>
  <c r="AS6" i="235"/>
  <c r="D6" i="235"/>
  <c r="E6" i="235" s="1"/>
  <c r="AN6" i="235"/>
  <c r="AO6" i="235" s="1"/>
  <c r="P6" i="235"/>
  <c r="Q6" i="235" s="1"/>
  <c r="S6" i="234"/>
  <c r="T6" i="234" s="1"/>
  <c r="AS6" i="234"/>
  <c r="V6" i="234"/>
  <c r="W6" i="234" s="1"/>
  <c r="AQ6" i="234"/>
  <c r="AR6" i="234" s="1"/>
  <c r="AE6" i="234"/>
  <c r="AF6" i="234" s="1"/>
  <c r="G6" i="234"/>
  <c r="H6" i="234" s="1"/>
  <c r="P6" i="234"/>
  <c r="Q6" i="234" s="1"/>
  <c r="AN6" i="234"/>
  <c r="AO6" i="234" s="1"/>
  <c r="M6" i="233"/>
  <c r="N6" i="233" s="1"/>
  <c r="AK6" i="233"/>
  <c r="AL6" i="233" s="1"/>
  <c r="AS6" i="233"/>
  <c r="D6" i="233"/>
  <c r="E6" i="233" s="1"/>
  <c r="Y6" i="233"/>
  <c r="Z6" i="233" s="1"/>
  <c r="C53" i="228"/>
  <c r="D53" i="228" s="1"/>
  <c r="E53" i="228" s="1"/>
  <c r="U52" i="228"/>
  <c r="D56" i="231"/>
  <c r="E56" i="231" s="1"/>
  <c r="P7" i="231"/>
  <c r="Q7" i="231" s="1"/>
  <c r="D7" i="231"/>
  <c r="E7" i="231" s="1"/>
  <c r="AH6" i="231"/>
  <c r="AI6" i="231" s="1"/>
  <c r="AK6" i="231"/>
  <c r="AL6" i="231" s="1"/>
  <c r="Y6" i="231"/>
  <c r="Z6" i="231" s="1"/>
  <c r="M6" i="231"/>
  <c r="N6" i="231" s="1"/>
  <c r="J6" i="231"/>
  <c r="K6" i="231" s="1"/>
  <c r="AS6" i="231"/>
  <c r="G7" i="231"/>
  <c r="H7" i="231" s="1"/>
  <c r="J54" i="231"/>
  <c r="K54" i="231" s="1"/>
  <c r="G55" i="231"/>
  <c r="H55" i="231" s="1"/>
  <c r="M48" i="231"/>
  <c r="N48" i="231" s="1"/>
  <c r="P55" i="231"/>
  <c r="Q55" i="231" s="1"/>
  <c r="S49" i="231"/>
  <c r="T49" i="231" s="1"/>
  <c r="V6" i="231"/>
  <c r="W6" i="231" s="1"/>
  <c r="S6" i="230"/>
  <c r="T6" i="230" s="1"/>
  <c r="G6" i="230"/>
  <c r="H6" i="230" s="1"/>
  <c r="J53" i="230"/>
  <c r="K53" i="230" s="1"/>
  <c r="I54" i="230" s="1"/>
  <c r="R48" i="230"/>
  <c r="U47" i="230"/>
  <c r="AH6" i="230"/>
  <c r="AI6" i="230" s="1"/>
  <c r="L6" i="230"/>
  <c r="AJ6" i="230"/>
  <c r="M54" i="230"/>
  <c r="N54" i="230" s="1"/>
  <c r="L55" i="230" s="1"/>
  <c r="AE6" i="230"/>
  <c r="AF6" i="230" s="1"/>
  <c r="O6" i="230"/>
  <c r="V6" i="230"/>
  <c r="W6" i="230" s="1"/>
  <c r="AM6" i="230"/>
  <c r="J6" i="230"/>
  <c r="K6" i="230" s="1"/>
  <c r="D54" i="230"/>
  <c r="E54" i="230" s="1"/>
  <c r="C55" i="230" s="1"/>
  <c r="G53" i="230"/>
  <c r="H53" i="230" s="1"/>
  <c r="F54" i="230" s="1"/>
  <c r="AQ6" i="230"/>
  <c r="AR6" i="230" s="1"/>
  <c r="X6" i="230"/>
  <c r="P53" i="230"/>
  <c r="Q53" i="230" s="1"/>
  <c r="O54" i="230" s="1"/>
  <c r="AA6" i="230"/>
  <c r="P54" i="228"/>
  <c r="Q54" i="228" s="1"/>
  <c r="O55" i="228" s="1"/>
  <c r="J54" i="228"/>
  <c r="K54" i="228" s="1"/>
  <c r="I55" i="228" s="1"/>
  <c r="G53" i="228"/>
  <c r="H53" i="228" s="1"/>
  <c r="F54" i="228" s="1"/>
  <c r="M54" i="228"/>
  <c r="N54" i="228" s="1"/>
  <c r="L55" i="228" s="1"/>
  <c r="S53" i="228"/>
  <c r="T53" i="228" s="1"/>
  <c r="R54" i="228" s="1"/>
  <c r="AQ6" i="228"/>
  <c r="AR6" i="228" s="1"/>
  <c r="AH6" i="228"/>
  <c r="AI6" i="228" s="1"/>
  <c r="Y6" i="228"/>
  <c r="Z6" i="228" s="1"/>
  <c r="AK6" i="228"/>
  <c r="AL6" i="228" s="1"/>
  <c r="V6" i="228"/>
  <c r="W6" i="228" s="1"/>
  <c r="J6" i="228"/>
  <c r="K6" i="228" s="1"/>
  <c r="U7" i="228" l="1"/>
  <c r="V7" i="228" s="1"/>
  <c r="W7" i="228" s="1"/>
  <c r="AP7" i="230"/>
  <c r="AQ7" i="230" s="1"/>
  <c r="AR7" i="230" s="1"/>
  <c r="R7" i="230"/>
  <c r="S7" i="230" s="1"/>
  <c r="T7" i="230" s="1"/>
  <c r="AJ7" i="233"/>
  <c r="AK7" i="233" s="1"/>
  <c r="AL7" i="233" s="1"/>
  <c r="AJ8" i="233" s="1"/>
  <c r="AD7" i="234"/>
  <c r="AE7" i="234" s="1"/>
  <c r="AF7" i="234" s="1"/>
  <c r="AD8" i="234" s="1"/>
  <c r="AD7" i="240"/>
  <c r="AE7" i="240" s="1"/>
  <c r="AF7" i="240" s="1"/>
  <c r="AD8" i="240" s="1"/>
  <c r="AG7" i="231"/>
  <c r="AH7" i="231" s="1"/>
  <c r="AI7" i="231" s="1"/>
  <c r="AG8" i="231" s="1"/>
  <c r="AA7" i="235"/>
  <c r="AB7" i="235" s="1"/>
  <c r="AC7" i="235" s="1"/>
  <c r="AA8" i="235" s="1"/>
  <c r="U7" i="239"/>
  <c r="V7" i="239" s="1"/>
  <c r="W7" i="239" s="1"/>
  <c r="U8" i="239" s="1"/>
  <c r="X7" i="228"/>
  <c r="Y7" i="228" s="1"/>
  <c r="Z7" i="228" s="1"/>
  <c r="U7" i="230"/>
  <c r="V7" i="230" s="1"/>
  <c r="W7" i="230" s="1"/>
  <c r="U7" i="231"/>
  <c r="V7" i="231" s="1"/>
  <c r="W7" i="231" s="1"/>
  <c r="U8" i="231" s="1"/>
  <c r="L7" i="233"/>
  <c r="M7" i="233" s="1"/>
  <c r="N7" i="233" s="1"/>
  <c r="L8" i="233" s="1"/>
  <c r="AP7" i="234"/>
  <c r="AQ7" i="234" s="1"/>
  <c r="AR7" i="234" s="1"/>
  <c r="AP8" i="234" s="1"/>
  <c r="R7" i="234"/>
  <c r="S7" i="234" s="1"/>
  <c r="T7" i="234" s="1"/>
  <c r="R8" i="234" s="1"/>
  <c r="AM7" i="235"/>
  <c r="AN7" i="235" s="1"/>
  <c r="AO7" i="235" s="1"/>
  <c r="AM8" i="235" s="1"/>
  <c r="C7" i="236"/>
  <c r="D7" i="236" s="1"/>
  <c r="E7" i="236" s="1"/>
  <c r="C8" i="236" s="1"/>
  <c r="U7" i="240"/>
  <c r="V7" i="240" s="1"/>
  <c r="W7" i="240" s="1"/>
  <c r="U8" i="240" s="1"/>
  <c r="R7" i="240"/>
  <c r="S7" i="240" s="1"/>
  <c r="T7" i="240" s="1"/>
  <c r="R8" i="240" s="1"/>
  <c r="F7" i="240"/>
  <c r="G7" i="240" s="1"/>
  <c r="H7" i="240" s="1"/>
  <c r="F8" i="240" s="1"/>
  <c r="X7" i="231"/>
  <c r="AM7" i="234"/>
  <c r="AJ7" i="228"/>
  <c r="AK7" i="228" s="1"/>
  <c r="AL7" i="228" s="1"/>
  <c r="AG7" i="228"/>
  <c r="AH7" i="228" s="1"/>
  <c r="AI7" i="228" s="1"/>
  <c r="X7" i="233"/>
  <c r="Y7" i="233" s="1"/>
  <c r="Z7" i="233" s="1"/>
  <c r="X8" i="233" s="1"/>
  <c r="C7" i="233"/>
  <c r="D7" i="233" s="1"/>
  <c r="E7" i="233" s="1"/>
  <c r="C8" i="233" s="1"/>
  <c r="F7" i="234"/>
  <c r="G7" i="234" s="1"/>
  <c r="H7" i="234" s="1"/>
  <c r="F8" i="234" s="1"/>
  <c r="O7" i="235"/>
  <c r="P7" i="235" s="1"/>
  <c r="Q7" i="235" s="1"/>
  <c r="O8" i="235" s="1"/>
  <c r="AA7" i="236"/>
  <c r="AB7" i="236" s="1"/>
  <c r="AC7" i="236" s="1"/>
  <c r="AA8" i="236" s="1"/>
  <c r="X7" i="236"/>
  <c r="Y7" i="236" s="1"/>
  <c r="Z7" i="236" s="1"/>
  <c r="X8" i="236" s="1"/>
  <c r="AG7" i="239"/>
  <c r="AH7" i="239" s="1"/>
  <c r="AI7" i="239" s="1"/>
  <c r="AG8" i="239" s="1"/>
  <c r="I7" i="228"/>
  <c r="J7" i="228" s="1"/>
  <c r="K7" i="228" s="1"/>
  <c r="AP7" i="228"/>
  <c r="AQ7" i="228" s="1"/>
  <c r="AR7" i="228" s="1"/>
  <c r="I7" i="230"/>
  <c r="J7" i="230" s="1"/>
  <c r="K7" i="230" s="1"/>
  <c r="AD7" i="230"/>
  <c r="AE7" i="230" s="1"/>
  <c r="AF7" i="230" s="1"/>
  <c r="AG7" i="230"/>
  <c r="AH7" i="230" s="1"/>
  <c r="AI7" i="230" s="1"/>
  <c r="F7" i="230"/>
  <c r="G7" i="230" s="1"/>
  <c r="H7" i="230" s="1"/>
  <c r="AJ7" i="231"/>
  <c r="AK7" i="231" s="1"/>
  <c r="AL7" i="231" s="1"/>
  <c r="AJ8" i="231" s="1"/>
  <c r="O7" i="234"/>
  <c r="P7" i="234" s="1"/>
  <c r="Q7" i="234" s="1"/>
  <c r="O8" i="234" s="1"/>
  <c r="U7" i="234"/>
  <c r="V7" i="234" s="1"/>
  <c r="W7" i="234" s="1"/>
  <c r="U8" i="234" s="1"/>
  <c r="C7" i="235"/>
  <c r="AJ7" i="236"/>
  <c r="AK7" i="236" s="1"/>
  <c r="AL7" i="236" s="1"/>
  <c r="AJ8" i="236" s="1"/>
  <c r="AM7" i="236"/>
  <c r="AN7" i="236" s="1"/>
  <c r="AO7" i="236" s="1"/>
  <c r="AM8" i="236" s="1"/>
  <c r="O7" i="236"/>
  <c r="P7" i="236" s="1"/>
  <c r="Q7" i="236" s="1"/>
  <c r="O8" i="236" s="1"/>
  <c r="L7" i="236"/>
  <c r="M7" i="236" s="1"/>
  <c r="N7" i="236" s="1"/>
  <c r="L8" i="236" s="1"/>
  <c r="I7" i="239"/>
  <c r="AP7" i="240"/>
  <c r="AQ7" i="240" s="1"/>
  <c r="AR7" i="240" s="1"/>
  <c r="AP8" i="240" s="1"/>
  <c r="AG7" i="240"/>
  <c r="AH7" i="240" s="1"/>
  <c r="AI7" i="240" s="1"/>
  <c r="AG8" i="240" s="1"/>
  <c r="I7" i="240"/>
  <c r="AA8" i="228"/>
  <c r="AB8" i="228" s="1"/>
  <c r="AC8" i="228" s="1"/>
  <c r="AA9" i="228" s="1"/>
  <c r="AD8" i="228"/>
  <c r="AE8" i="228" s="1"/>
  <c r="AF8" i="228" s="1"/>
  <c r="AD9" i="228" s="1"/>
  <c r="AM8" i="228"/>
  <c r="AN8" i="228" s="1"/>
  <c r="AO8" i="228" s="1"/>
  <c r="AM9" i="228" s="1"/>
  <c r="R8" i="228"/>
  <c r="S8" i="228" s="1"/>
  <c r="T8" i="228" s="1"/>
  <c r="R9" i="228" s="1"/>
  <c r="O8" i="228"/>
  <c r="P8" i="228" s="1"/>
  <c r="Q8" i="228" s="1"/>
  <c r="O9" i="228" s="1"/>
  <c r="L8" i="228"/>
  <c r="M8" i="228" s="1"/>
  <c r="N8" i="228" s="1"/>
  <c r="L9" i="228" s="1"/>
  <c r="D8" i="240"/>
  <c r="E8" i="240" s="1"/>
  <c r="C9" i="240" s="1"/>
  <c r="AN8" i="240"/>
  <c r="AO8" i="240" s="1"/>
  <c r="AM9" i="240" s="1"/>
  <c r="M8" i="240"/>
  <c r="N8" i="240" s="1"/>
  <c r="L9" i="240" s="1"/>
  <c r="AK8" i="240"/>
  <c r="AL8" i="240" s="1"/>
  <c r="AJ9" i="240" s="1"/>
  <c r="Y8" i="240"/>
  <c r="Z8" i="240" s="1"/>
  <c r="X9" i="240" s="1"/>
  <c r="P8" i="240"/>
  <c r="Q8" i="240" s="1"/>
  <c r="O9" i="240" s="1"/>
  <c r="AB8" i="240"/>
  <c r="AC8" i="240" s="1"/>
  <c r="AA9" i="240" s="1"/>
  <c r="P8" i="239"/>
  <c r="Q8" i="239" s="1"/>
  <c r="O9" i="239" s="1"/>
  <c r="D8" i="239"/>
  <c r="E8" i="239" s="1"/>
  <c r="C9" i="239" s="1"/>
  <c r="M8" i="239"/>
  <c r="N8" i="239" s="1"/>
  <c r="L9" i="239" s="1"/>
  <c r="AK8" i="239"/>
  <c r="AL8" i="239" s="1"/>
  <c r="AJ9" i="239" s="1"/>
  <c r="S8" i="239"/>
  <c r="T8" i="239" s="1"/>
  <c r="R9" i="239" s="1"/>
  <c r="G8" i="239"/>
  <c r="H8" i="239" s="1"/>
  <c r="F9" i="239" s="1"/>
  <c r="AE8" i="239"/>
  <c r="AF8" i="239" s="1"/>
  <c r="AD9" i="239" s="1"/>
  <c r="AQ8" i="239"/>
  <c r="AR8" i="239" s="1"/>
  <c r="AP9" i="239" s="1"/>
  <c r="Y8" i="239"/>
  <c r="Z8" i="239" s="1"/>
  <c r="X9" i="239" s="1"/>
  <c r="AB8" i="239"/>
  <c r="AC8" i="239" s="1"/>
  <c r="AA9" i="239" s="1"/>
  <c r="AN8" i="239"/>
  <c r="AO8" i="239" s="1"/>
  <c r="AM9" i="239" s="1"/>
  <c r="J8" i="236"/>
  <c r="K8" i="236" s="1"/>
  <c r="I9" i="236" s="1"/>
  <c r="AH8" i="236"/>
  <c r="AI8" i="236" s="1"/>
  <c r="AG9" i="236" s="1"/>
  <c r="AE8" i="236"/>
  <c r="AF8" i="236" s="1"/>
  <c r="AD9" i="236" s="1"/>
  <c r="G8" i="236"/>
  <c r="H8" i="236" s="1"/>
  <c r="F9" i="236" s="1"/>
  <c r="S8" i="236"/>
  <c r="T8" i="236" s="1"/>
  <c r="R9" i="236" s="1"/>
  <c r="AQ8" i="236"/>
  <c r="AR8" i="236" s="1"/>
  <c r="V8" i="236"/>
  <c r="W8" i="236" s="1"/>
  <c r="U9" i="236" s="1"/>
  <c r="AK8" i="235"/>
  <c r="AL8" i="235" s="1"/>
  <c r="AJ9" i="235" s="1"/>
  <c r="J8" i="235"/>
  <c r="K8" i="235" s="1"/>
  <c r="I9" i="235" s="1"/>
  <c r="Y8" i="235"/>
  <c r="Z8" i="235" s="1"/>
  <c r="X9" i="235" s="1"/>
  <c r="M8" i="235"/>
  <c r="N8" i="235" s="1"/>
  <c r="L9" i="235" s="1"/>
  <c r="V8" i="235"/>
  <c r="W8" i="235" s="1"/>
  <c r="U9" i="235" s="1"/>
  <c r="AH8" i="235"/>
  <c r="AI8" i="235" s="1"/>
  <c r="AG9" i="235" s="1"/>
  <c r="G8" i="235"/>
  <c r="H8" i="235" s="1"/>
  <c r="F9" i="235" s="1"/>
  <c r="AQ8" i="235"/>
  <c r="AR8" i="235" s="1"/>
  <c r="AP9" i="235" s="1"/>
  <c r="AE8" i="235"/>
  <c r="AF8" i="235" s="1"/>
  <c r="AD9" i="235" s="1"/>
  <c r="S8" i="235"/>
  <c r="T8" i="235" s="1"/>
  <c r="R9" i="235" s="1"/>
  <c r="AB8" i="234"/>
  <c r="AC8" i="234" s="1"/>
  <c r="AA9" i="234" s="1"/>
  <c r="AK8" i="234"/>
  <c r="AL8" i="234" s="1"/>
  <c r="AJ9" i="234" s="1"/>
  <c r="AH8" i="234"/>
  <c r="AI8" i="234" s="1"/>
  <c r="AG9" i="234" s="1"/>
  <c r="Y8" i="234"/>
  <c r="Z8" i="234" s="1"/>
  <c r="X9" i="234" s="1"/>
  <c r="J8" i="234"/>
  <c r="K8" i="234" s="1"/>
  <c r="I9" i="234" s="1"/>
  <c r="M8" i="234"/>
  <c r="N8" i="234" s="1"/>
  <c r="L9" i="234" s="1"/>
  <c r="D8" i="234"/>
  <c r="E8" i="234" s="1"/>
  <c r="C9" i="234" s="1"/>
  <c r="J8" i="233"/>
  <c r="K8" i="233" s="1"/>
  <c r="I9" i="233" s="1"/>
  <c r="S8" i="233"/>
  <c r="T8" i="233" s="1"/>
  <c r="R9" i="233" s="1"/>
  <c r="AB8" i="233"/>
  <c r="AC8" i="233" s="1"/>
  <c r="AA9" i="233" s="1"/>
  <c r="G8" i="233"/>
  <c r="H8" i="233" s="1"/>
  <c r="F9" i="233" s="1"/>
  <c r="P8" i="233"/>
  <c r="Q8" i="233" s="1"/>
  <c r="O9" i="233" s="1"/>
  <c r="AH8" i="233"/>
  <c r="AI8" i="233" s="1"/>
  <c r="AG9" i="233" s="1"/>
  <c r="AE8" i="233"/>
  <c r="AF8" i="233" s="1"/>
  <c r="AD9" i="233" s="1"/>
  <c r="AN8" i="233"/>
  <c r="AO8" i="233" s="1"/>
  <c r="AM9" i="233" s="1"/>
  <c r="AQ8" i="233"/>
  <c r="AR8" i="233" s="1"/>
  <c r="AP9" i="233" s="1"/>
  <c r="V8" i="233"/>
  <c r="W8" i="233" s="1"/>
  <c r="U9" i="233" s="1"/>
  <c r="C54" i="228"/>
  <c r="D54" i="228" s="1"/>
  <c r="E54" i="228" s="1"/>
  <c r="U53" i="228"/>
  <c r="AB8" i="231"/>
  <c r="AC8" i="231" s="1"/>
  <c r="AA9" i="231" s="1"/>
  <c r="G8" i="231"/>
  <c r="H8" i="231" s="1"/>
  <c r="G56" i="231"/>
  <c r="H56" i="231" s="1"/>
  <c r="M7" i="231"/>
  <c r="N7" i="231" s="1"/>
  <c r="U48" i="231"/>
  <c r="S8" i="231"/>
  <c r="T8" i="231" s="1"/>
  <c r="R9" i="231" s="1"/>
  <c r="D8" i="231"/>
  <c r="E8" i="231" s="1"/>
  <c r="AE8" i="231"/>
  <c r="AF8" i="231" s="1"/>
  <c r="AD9" i="231" s="1"/>
  <c r="D57" i="231"/>
  <c r="E57" i="231" s="1"/>
  <c r="P8" i="231"/>
  <c r="Q8" i="231" s="1"/>
  <c r="AN8" i="231"/>
  <c r="AO8" i="231" s="1"/>
  <c r="AM9" i="231" s="1"/>
  <c r="AQ8" i="231"/>
  <c r="AR8" i="231" s="1"/>
  <c r="AP9" i="231" s="1"/>
  <c r="P56" i="231"/>
  <c r="Q56" i="231" s="1"/>
  <c r="J55" i="231"/>
  <c r="K55" i="231" s="1"/>
  <c r="J7" i="231"/>
  <c r="K7" i="231" s="1"/>
  <c r="D55" i="230"/>
  <c r="E55" i="230" s="1"/>
  <c r="C56" i="230" s="1"/>
  <c r="P6" i="230"/>
  <c r="Q6" i="230" s="1"/>
  <c r="AK6" i="230"/>
  <c r="AL6" i="230" s="1"/>
  <c r="G54" i="230"/>
  <c r="H54" i="230" s="1"/>
  <c r="F55" i="230" s="1"/>
  <c r="AN6" i="230"/>
  <c r="AO6" i="230" s="1"/>
  <c r="M55" i="230"/>
  <c r="N55" i="230" s="1"/>
  <c r="L56" i="230" s="1"/>
  <c r="P54" i="230"/>
  <c r="Q54" i="230" s="1"/>
  <c r="O55" i="230" s="1"/>
  <c r="S48" i="230"/>
  <c r="T48" i="230" s="1"/>
  <c r="AB6" i="230"/>
  <c r="AC6" i="230" s="1"/>
  <c r="AS6" i="230"/>
  <c r="M6" i="230"/>
  <c r="N6" i="230" s="1"/>
  <c r="Y6" i="230"/>
  <c r="Z6" i="230" s="1"/>
  <c r="J54" i="230"/>
  <c r="K54" i="230" s="1"/>
  <c r="I55" i="230" s="1"/>
  <c r="S54" i="228"/>
  <c r="T54" i="228" s="1"/>
  <c r="R55" i="228" s="1"/>
  <c r="J55" i="228"/>
  <c r="K55" i="228" s="1"/>
  <c r="I56" i="228" s="1"/>
  <c r="G54" i="228"/>
  <c r="H54" i="228" s="1"/>
  <c r="F55" i="228" s="1"/>
  <c r="M55" i="228"/>
  <c r="N55" i="228" s="1"/>
  <c r="L56" i="228" s="1"/>
  <c r="P55" i="228"/>
  <c r="Q55" i="228" s="1"/>
  <c r="O56" i="228" s="1"/>
  <c r="AS7" i="239" l="1"/>
  <c r="AS7" i="235"/>
  <c r="AS7" i="240"/>
  <c r="J7" i="239"/>
  <c r="K7" i="239" s="1"/>
  <c r="I8" i="239" s="1"/>
  <c r="AS8" i="239" s="1"/>
  <c r="AS7" i="234"/>
  <c r="AS7" i="233"/>
  <c r="AS7" i="231"/>
  <c r="Y7" i="231"/>
  <c r="Z7" i="231" s="1"/>
  <c r="X8" i="231" s="1"/>
  <c r="Y8" i="231" s="1"/>
  <c r="Z8" i="231" s="1"/>
  <c r="X9" i="231" s="1"/>
  <c r="AN7" i="234"/>
  <c r="AO7" i="234" s="1"/>
  <c r="AM8" i="234" s="1"/>
  <c r="AN8" i="234" s="1"/>
  <c r="AO8" i="234" s="1"/>
  <c r="AM9" i="234" s="1"/>
  <c r="AS7" i="236"/>
  <c r="D7" i="235"/>
  <c r="E7" i="235" s="1"/>
  <c r="C8" i="235" s="1"/>
  <c r="D8" i="235" s="1"/>
  <c r="E8" i="235" s="1"/>
  <c r="C9" i="235" s="1"/>
  <c r="J7" i="240"/>
  <c r="K7" i="240" s="1"/>
  <c r="I8" i="240" s="1"/>
  <c r="AS8" i="240" s="1"/>
  <c r="AM7" i="230"/>
  <c r="AN7" i="230" s="1"/>
  <c r="AO7" i="230" s="1"/>
  <c r="AJ7" i="230"/>
  <c r="AK7" i="230" s="1"/>
  <c r="AL7" i="230" s="1"/>
  <c r="L7" i="230"/>
  <c r="M7" i="230" s="1"/>
  <c r="N7" i="230" s="1"/>
  <c r="O7" i="230"/>
  <c r="P7" i="230" s="1"/>
  <c r="Q7" i="230" s="1"/>
  <c r="X7" i="230"/>
  <c r="Y7" i="230" s="1"/>
  <c r="Z7" i="230" s="1"/>
  <c r="AA7" i="230"/>
  <c r="AB7" i="230" s="1"/>
  <c r="AC7" i="230" s="1"/>
  <c r="X8" i="228"/>
  <c r="Y8" i="228" s="1"/>
  <c r="Z8" i="228" s="1"/>
  <c r="X9" i="228" s="1"/>
  <c r="AP8" i="230"/>
  <c r="AQ8" i="230" s="1"/>
  <c r="AR8" i="230" s="1"/>
  <c r="AP9" i="230" s="1"/>
  <c r="AG8" i="228"/>
  <c r="AH8" i="228" s="1"/>
  <c r="AI8" i="228" s="1"/>
  <c r="AG9" i="228" s="1"/>
  <c r="AJ8" i="228"/>
  <c r="AK8" i="228" s="1"/>
  <c r="AL8" i="228" s="1"/>
  <c r="AJ9" i="228" s="1"/>
  <c r="AP8" i="228"/>
  <c r="AQ8" i="228" s="1"/>
  <c r="AR8" i="228" s="1"/>
  <c r="AP9" i="228" s="1"/>
  <c r="U8" i="230"/>
  <c r="V8" i="230" s="1"/>
  <c r="W8" i="230" s="1"/>
  <c r="U9" i="230" s="1"/>
  <c r="R8" i="230"/>
  <c r="S8" i="230" s="1"/>
  <c r="U8" i="228"/>
  <c r="V8" i="228" s="1"/>
  <c r="W8" i="228" s="1"/>
  <c r="U9" i="228" s="1"/>
  <c r="AG8" i="230"/>
  <c r="AH8" i="230" s="1"/>
  <c r="AI8" i="230" s="1"/>
  <c r="AG9" i="230" s="1"/>
  <c r="AD8" i="230"/>
  <c r="AE8" i="230" s="1"/>
  <c r="AF8" i="230" s="1"/>
  <c r="AD9" i="230" s="1"/>
  <c r="I8" i="230"/>
  <c r="J8" i="230" s="1"/>
  <c r="K8" i="230" s="1"/>
  <c r="I9" i="230" s="1"/>
  <c r="I8" i="228"/>
  <c r="J8" i="228" s="1"/>
  <c r="K8" i="228" s="1"/>
  <c r="I9" i="228" s="1"/>
  <c r="F8" i="230"/>
  <c r="G8" i="230" s="1"/>
  <c r="H8" i="230" s="1"/>
  <c r="F9" i="230" s="1"/>
  <c r="AK9" i="240"/>
  <c r="AL9" i="240" s="1"/>
  <c r="AJ10" i="240" s="1"/>
  <c r="D9" i="240"/>
  <c r="E9" i="240" s="1"/>
  <c r="C10" i="240" s="1"/>
  <c r="AH8" i="240"/>
  <c r="AI8" i="240" s="1"/>
  <c r="AG9" i="240" s="1"/>
  <c r="Y9" i="240"/>
  <c r="Z9" i="240" s="1"/>
  <c r="X10" i="240" s="1"/>
  <c r="M9" i="240"/>
  <c r="N9" i="240" s="1"/>
  <c r="L10" i="240" s="1"/>
  <c r="G8" i="240"/>
  <c r="H8" i="240" s="1"/>
  <c r="F9" i="240" s="1"/>
  <c r="AQ8" i="240"/>
  <c r="AR8" i="240" s="1"/>
  <c r="AP9" i="240" s="1"/>
  <c r="V8" i="240"/>
  <c r="W8" i="240" s="1"/>
  <c r="U9" i="240" s="1"/>
  <c r="S8" i="240"/>
  <c r="T8" i="240" s="1"/>
  <c r="R9" i="240" s="1"/>
  <c r="AE8" i="240"/>
  <c r="AF8" i="240" s="1"/>
  <c r="AD9" i="240" s="1"/>
  <c r="AB9" i="240"/>
  <c r="AC9" i="240" s="1"/>
  <c r="AA10" i="240" s="1"/>
  <c r="AN9" i="240"/>
  <c r="AO9" i="240" s="1"/>
  <c r="AM10" i="240" s="1"/>
  <c r="P9" i="240"/>
  <c r="Q9" i="240" s="1"/>
  <c r="O10" i="240" s="1"/>
  <c r="AH8" i="239"/>
  <c r="AI8" i="239" s="1"/>
  <c r="AG9" i="239" s="1"/>
  <c r="G9" i="239"/>
  <c r="H9" i="239" s="1"/>
  <c r="F10" i="239" s="1"/>
  <c r="AN9" i="239"/>
  <c r="AO9" i="239" s="1"/>
  <c r="AM10" i="239" s="1"/>
  <c r="AE9" i="239"/>
  <c r="AF9" i="239" s="1"/>
  <c r="AD10" i="239" s="1"/>
  <c r="V8" i="239"/>
  <c r="W8" i="239" s="1"/>
  <c r="U9" i="239" s="1"/>
  <c r="D9" i="239"/>
  <c r="E9" i="239" s="1"/>
  <c r="C10" i="239" s="1"/>
  <c r="AB9" i="239"/>
  <c r="AC9" i="239" s="1"/>
  <c r="AA10" i="239" s="1"/>
  <c r="S9" i="239"/>
  <c r="T9" i="239" s="1"/>
  <c r="R10" i="239" s="1"/>
  <c r="P9" i="239"/>
  <c r="Q9" i="239" s="1"/>
  <c r="O10" i="239" s="1"/>
  <c r="Y9" i="239"/>
  <c r="Z9" i="239" s="1"/>
  <c r="X10" i="239" s="1"/>
  <c r="AK9" i="239"/>
  <c r="AL9" i="239" s="1"/>
  <c r="AJ10" i="239" s="1"/>
  <c r="M9" i="239"/>
  <c r="N9" i="239" s="1"/>
  <c r="L10" i="239" s="1"/>
  <c r="AQ9" i="239"/>
  <c r="AR9" i="239" s="1"/>
  <c r="AP10" i="239" s="1"/>
  <c r="AB8" i="236"/>
  <c r="AC8" i="236" s="1"/>
  <c r="AA9" i="236" s="1"/>
  <c r="V9" i="236"/>
  <c r="W9" i="236" s="1"/>
  <c r="U10" i="236" s="1"/>
  <c r="M8" i="236"/>
  <c r="N8" i="236" s="1"/>
  <c r="L9" i="236" s="1"/>
  <c r="AE9" i="236"/>
  <c r="AF9" i="236" s="1"/>
  <c r="AD10" i="236" s="1"/>
  <c r="AS8" i="236"/>
  <c r="D8" i="236"/>
  <c r="E8" i="236" s="1"/>
  <c r="C9" i="236" s="1"/>
  <c r="AQ9" i="236"/>
  <c r="AR9" i="236" s="1"/>
  <c r="G9" i="236"/>
  <c r="H9" i="236" s="1"/>
  <c r="F10" i="236" s="1"/>
  <c r="Y8" i="236"/>
  <c r="Z8" i="236" s="1"/>
  <c r="X9" i="236" s="1"/>
  <c r="S9" i="236"/>
  <c r="T9" i="236" s="1"/>
  <c r="R10" i="236" s="1"/>
  <c r="AN8" i="236"/>
  <c r="AO8" i="236" s="1"/>
  <c r="AM9" i="236" s="1"/>
  <c r="F25" i="236"/>
  <c r="P8" i="236"/>
  <c r="Q8" i="236" s="1"/>
  <c r="O9" i="236" s="1"/>
  <c r="AK8" i="236"/>
  <c r="AL8" i="236" s="1"/>
  <c r="AJ9" i="236" s="1"/>
  <c r="AH9" i="236"/>
  <c r="AI9" i="236" s="1"/>
  <c r="AG10" i="236" s="1"/>
  <c r="L25" i="236"/>
  <c r="I25" i="236"/>
  <c r="J9" i="236"/>
  <c r="K9" i="236" s="1"/>
  <c r="I10" i="236" s="1"/>
  <c r="AB8" i="235"/>
  <c r="AC8" i="235" s="1"/>
  <c r="AA9" i="235" s="1"/>
  <c r="P8" i="235"/>
  <c r="Q8" i="235" s="1"/>
  <c r="O9" i="235" s="1"/>
  <c r="M9" i="235"/>
  <c r="N9" i="235" s="1"/>
  <c r="L10" i="235" s="1"/>
  <c r="Y9" i="235"/>
  <c r="Z9" i="235" s="1"/>
  <c r="X10" i="235" s="1"/>
  <c r="AH9" i="235"/>
  <c r="AI9" i="235" s="1"/>
  <c r="AG10" i="235" s="1"/>
  <c r="J9" i="235"/>
  <c r="K9" i="235" s="1"/>
  <c r="I10" i="235" s="1"/>
  <c r="AK9" i="235"/>
  <c r="AL9" i="235" s="1"/>
  <c r="AJ10" i="235" s="1"/>
  <c r="V9" i="235"/>
  <c r="W9" i="235" s="1"/>
  <c r="U10" i="235" s="1"/>
  <c r="AQ9" i="235"/>
  <c r="AR9" i="235" s="1"/>
  <c r="AP10" i="235" s="1"/>
  <c r="AE9" i="235"/>
  <c r="AF9" i="235" s="1"/>
  <c r="AD10" i="235" s="1"/>
  <c r="AN8" i="235"/>
  <c r="AO8" i="235" s="1"/>
  <c r="AM9" i="235" s="1"/>
  <c r="G9" i="235"/>
  <c r="H9" i="235" s="1"/>
  <c r="F10" i="235" s="1"/>
  <c r="S9" i="235"/>
  <c r="T9" i="235" s="1"/>
  <c r="R10" i="235" s="1"/>
  <c r="AE8" i="234"/>
  <c r="AF8" i="234" s="1"/>
  <c r="AD9" i="234" s="1"/>
  <c r="J9" i="234"/>
  <c r="K9" i="234" s="1"/>
  <c r="I10" i="234" s="1"/>
  <c r="G8" i="234"/>
  <c r="H8" i="234" s="1"/>
  <c r="F9" i="234" s="1"/>
  <c r="P8" i="234"/>
  <c r="Q8" i="234" s="1"/>
  <c r="O9" i="234" s="1"/>
  <c r="AK9" i="234"/>
  <c r="AL9" i="234" s="1"/>
  <c r="AJ10" i="234" s="1"/>
  <c r="V8" i="234"/>
  <c r="W8" i="234" s="1"/>
  <c r="U9" i="234" s="1"/>
  <c r="AH9" i="234"/>
  <c r="AI9" i="234" s="1"/>
  <c r="AG10" i="234" s="1"/>
  <c r="D9" i="234"/>
  <c r="E9" i="234" s="1"/>
  <c r="C10" i="234" s="1"/>
  <c r="AQ8" i="234"/>
  <c r="AR8" i="234" s="1"/>
  <c r="AP9" i="234" s="1"/>
  <c r="AB9" i="234"/>
  <c r="AC9" i="234" s="1"/>
  <c r="AA10" i="234" s="1"/>
  <c r="M9" i="234"/>
  <c r="N9" i="234" s="1"/>
  <c r="L10" i="234" s="1"/>
  <c r="Y9" i="234"/>
  <c r="Z9" i="234" s="1"/>
  <c r="X10" i="234" s="1"/>
  <c r="S8" i="234"/>
  <c r="T8" i="234" s="1"/>
  <c r="R9" i="234" s="1"/>
  <c r="M8" i="233"/>
  <c r="N8" i="233" s="1"/>
  <c r="L9" i="233" s="1"/>
  <c r="P9" i="233"/>
  <c r="Q9" i="233" s="1"/>
  <c r="O10" i="233" s="1"/>
  <c r="AB9" i="233"/>
  <c r="AC9" i="233" s="1"/>
  <c r="AA10" i="233" s="1"/>
  <c r="D8" i="233"/>
  <c r="E8" i="233" s="1"/>
  <c r="C9" i="233" s="1"/>
  <c r="AS8" i="233"/>
  <c r="AK8" i="233"/>
  <c r="AL8" i="233" s="1"/>
  <c r="AJ9" i="233" s="1"/>
  <c r="Y8" i="233"/>
  <c r="Z8" i="233" s="1"/>
  <c r="X9" i="233" s="1"/>
  <c r="J9" i="233"/>
  <c r="K9" i="233" s="1"/>
  <c r="I10" i="233" s="1"/>
  <c r="V9" i="233"/>
  <c r="W9" i="233" s="1"/>
  <c r="U10" i="233" s="1"/>
  <c r="AN9" i="233"/>
  <c r="AO9" i="233" s="1"/>
  <c r="AM10" i="233" s="1"/>
  <c r="AH9" i="233"/>
  <c r="AI9" i="233" s="1"/>
  <c r="AG10" i="233" s="1"/>
  <c r="AE9" i="233"/>
  <c r="AF9" i="233" s="1"/>
  <c r="AD10" i="233" s="1"/>
  <c r="G9" i="233"/>
  <c r="H9" i="233" s="1"/>
  <c r="F10" i="233" s="1"/>
  <c r="S9" i="233"/>
  <c r="T9" i="233" s="1"/>
  <c r="R10" i="233" s="1"/>
  <c r="AQ9" i="233"/>
  <c r="AR9" i="233" s="1"/>
  <c r="AP10" i="233" s="1"/>
  <c r="C55" i="228"/>
  <c r="D55" i="228" s="1"/>
  <c r="E55" i="228" s="1"/>
  <c r="U54" i="228"/>
  <c r="G57" i="231"/>
  <c r="H57" i="231" s="1"/>
  <c r="J56" i="231"/>
  <c r="K56" i="231" s="1"/>
  <c r="D9" i="231"/>
  <c r="E9" i="231" s="1"/>
  <c r="D58" i="231"/>
  <c r="E58" i="231" s="1"/>
  <c r="AQ9" i="231"/>
  <c r="AR9" i="231" s="1"/>
  <c r="AP10" i="231" s="1"/>
  <c r="V8" i="231"/>
  <c r="W8" i="231" s="1"/>
  <c r="U9" i="231" s="1"/>
  <c r="S9" i="231"/>
  <c r="T9" i="231" s="1"/>
  <c r="R10" i="231" s="1"/>
  <c r="AN9" i="231"/>
  <c r="AO9" i="231" s="1"/>
  <c r="AM10" i="231" s="1"/>
  <c r="AH8" i="231"/>
  <c r="AI8" i="231" s="1"/>
  <c r="AG9" i="231" s="1"/>
  <c r="AK8" i="231"/>
  <c r="AL8" i="231" s="1"/>
  <c r="AJ9" i="231" s="1"/>
  <c r="M49" i="231"/>
  <c r="N49" i="231" s="1"/>
  <c r="J8" i="231"/>
  <c r="K8" i="231" s="1"/>
  <c r="P57" i="231"/>
  <c r="Q57" i="231" s="1"/>
  <c r="S50" i="231"/>
  <c r="T50" i="231" s="1"/>
  <c r="P9" i="231"/>
  <c r="Q9" i="231" s="1"/>
  <c r="AE9" i="231"/>
  <c r="AF9" i="231" s="1"/>
  <c r="AD10" i="231" s="1"/>
  <c r="M8" i="231"/>
  <c r="N8" i="231" s="1"/>
  <c r="G9" i="231"/>
  <c r="H9" i="231" s="1"/>
  <c r="AB9" i="231"/>
  <c r="AC9" i="231" s="1"/>
  <c r="AA10" i="231" s="1"/>
  <c r="P55" i="230"/>
  <c r="Q55" i="230" s="1"/>
  <c r="O56" i="230" s="1"/>
  <c r="J55" i="230"/>
  <c r="K55" i="230" s="1"/>
  <c r="I56" i="230" s="1"/>
  <c r="M56" i="230"/>
  <c r="N56" i="230" s="1"/>
  <c r="L57" i="230" s="1"/>
  <c r="G55" i="230"/>
  <c r="H55" i="230" s="1"/>
  <c r="F56" i="230" s="1"/>
  <c r="D56" i="230"/>
  <c r="E56" i="230" s="1"/>
  <c r="C57" i="230" s="1"/>
  <c r="R49" i="230"/>
  <c r="U48" i="230"/>
  <c r="J56" i="228"/>
  <c r="K56" i="228" s="1"/>
  <c r="I57" i="228" s="1"/>
  <c r="P56" i="228"/>
  <c r="Q56" i="228" s="1"/>
  <c r="O57" i="228" s="1"/>
  <c r="M56" i="228"/>
  <c r="N56" i="228" s="1"/>
  <c r="L57" i="228" s="1"/>
  <c r="G55" i="228"/>
  <c r="H55" i="228" s="1"/>
  <c r="F56" i="228" s="1"/>
  <c r="S55" i="228"/>
  <c r="T55" i="228" s="1"/>
  <c r="R56" i="228" s="1"/>
  <c r="AE9" i="228"/>
  <c r="AF9" i="228" s="1"/>
  <c r="AD10" i="228" s="1"/>
  <c r="AB9" i="228"/>
  <c r="AC9" i="228" s="1"/>
  <c r="AA10" i="228" s="1"/>
  <c r="AN9" i="228"/>
  <c r="AO9" i="228" s="1"/>
  <c r="AM10" i="228" s="1"/>
  <c r="S9" i="228"/>
  <c r="T9" i="228" s="1"/>
  <c r="R10" i="228" s="1"/>
  <c r="M9" i="228"/>
  <c r="N9" i="228" s="1"/>
  <c r="L10" i="228" s="1"/>
  <c r="P9" i="228"/>
  <c r="Q9" i="228" s="1"/>
  <c r="O10" i="228" s="1"/>
  <c r="AS8" i="231" l="1"/>
  <c r="AS8" i="234"/>
  <c r="J8" i="240"/>
  <c r="K8" i="240" s="1"/>
  <c r="I9" i="240" s="1"/>
  <c r="AS9" i="240" s="1"/>
  <c r="J8" i="239"/>
  <c r="K8" i="239" s="1"/>
  <c r="I9" i="239" s="1"/>
  <c r="AS9" i="239" s="1"/>
  <c r="AS8" i="235"/>
  <c r="AS7" i="230"/>
  <c r="AB10" i="228"/>
  <c r="AC10" i="228" s="1"/>
  <c r="AE10" i="228"/>
  <c r="AF10" i="228" s="1"/>
  <c r="T8" i="230"/>
  <c r="R9" i="230" s="1"/>
  <c r="S9" i="230" s="1"/>
  <c r="T9" i="230" s="1"/>
  <c r="R10" i="230" s="1"/>
  <c r="AM8" i="230"/>
  <c r="AN8" i="230" s="1"/>
  <c r="AO8" i="230" s="1"/>
  <c r="AM9" i="230" s="1"/>
  <c r="S10" i="228"/>
  <c r="T10" i="228" s="1"/>
  <c r="AN10" i="228"/>
  <c r="AO10" i="228" s="1"/>
  <c r="X8" i="230"/>
  <c r="Y8" i="230" s="1"/>
  <c r="Z8" i="230" s="1"/>
  <c r="X9" i="230" s="1"/>
  <c r="AJ8" i="230"/>
  <c r="AK8" i="230" s="1"/>
  <c r="AL8" i="230" s="1"/>
  <c r="AJ9" i="230" s="1"/>
  <c r="AA8" i="230"/>
  <c r="AB8" i="230" s="1"/>
  <c r="AC8" i="230" s="1"/>
  <c r="AA9" i="230" s="1"/>
  <c r="O8" i="230"/>
  <c r="P8" i="230" s="1"/>
  <c r="Q8" i="230" s="1"/>
  <c r="O9" i="230" s="1"/>
  <c r="P10" i="228"/>
  <c r="Q10" i="228" s="1"/>
  <c r="L8" i="230"/>
  <c r="M8" i="230" s="1"/>
  <c r="N8" i="230" s="1"/>
  <c r="L9" i="230" s="1"/>
  <c r="M10" i="228"/>
  <c r="N10" i="228" s="1"/>
  <c r="F25" i="240"/>
  <c r="I25" i="240"/>
  <c r="S9" i="240"/>
  <c r="T9" i="240" s="1"/>
  <c r="R10" i="240" s="1"/>
  <c r="AB10" i="240"/>
  <c r="AC10" i="240" s="1"/>
  <c r="C25" i="240"/>
  <c r="Y10" i="240"/>
  <c r="Z10" i="240" s="1"/>
  <c r="P10" i="240"/>
  <c r="Q10" i="240" s="1"/>
  <c r="AN10" i="240"/>
  <c r="AO10" i="240" s="1"/>
  <c r="AH9" i="240"/>
  <c r="AI9" i="240" s="1"/>
  <c r="AG10" i="240" s="1"/>
  <c r="V9" i="240"/>
  <c r="W9" i="240" s="1"/>
  <c r="U10" i="240" s="1"/>
  <c r="G9" i="240"/>
  <c r="H9" i="240" s="1"/>
  <c r="F10" i="240" s="1"/>
  <c r="D10" i="240"/>
  <c r="E10" i="240" s="1"/>
  <c r="AQ9" i="240"/>
  <c r="AR9" i="240" s="1"/>
  <c r="AP10" i="240" s="1"/>
  <c r="M10" i="240"/>
  <c r="N10" i="240" s="1"/>
  <c r="R25" i="240"/>
  <c r="AE9" i="240"/>
  <c r="AF9" i="240" s="1"/>
  <c r="AD10" i="240" s="1"/>
  <c r="AK10" i="240"/>
  <c r="AL10" i="240" s="1"/>
  <c r="O25" i="240"/>
  <c r="I25" i="239"/>
  <c r="L25" i="239"/>
  <c r="G10" i="239"/>
  <c r="H10" i="239" s="1"/>
  <c r="AH9" i="239"/>
  <c r="AI9" i="239" s="1"/>
  <c r="AG10" i="239" s="1"/>
  <c r="AQ10" i="239"/>
  <c r="AR10" i="239" s="1"/>
  <c r="AP11" i="239" s="1"/>
  <c r="AB10" i="239"/>
  <c r="AC10" i="239" s="1"/>
  <c r="AK10" i="239"/>
  <c r="AL10" i="239" s="1"/>
  <c r="S10" i="239"/>
  <c r="T10" i="239" s="1"/>
  <c r="AE10" i="239"/>
  <c r="AF10" i="239" s="1"/>
  <c r="P10" i="239"/>
  <c r="Q10" i="239" s="1"/>
  <c r="V9" i="239"/>
  <c r="W9" i="239" s="1"/>
  <c r="U10" i="239" s="1"/>
  <c r="AN10" i="239"/>
  <c r="AO10" i="239" s="1"/>
  <c r="M10" i="239"/>
  <c r="N10" i="239" s="1"/>
  <c r="Y10" i="239"/>
  <c r="Z10" i="239" s="1"/>
  <c r="D10" i="239"/>
  <c r="E10" i="239" s="1"/>
  <c r="J10" i="236"/>
  <c r="K10" i="236" s="1"/>
  <c r="M25" i="236"/>
  <c r="N25" i="236" s="1"/>
  <c r="L26" i="236" s="1"/>
  <c r="P9" i="236"/>
  <c r="Q9" i="236" s="1"/>
  <c r="O10" i="236" s="1"/>
  <c r="AN9" i="236"/>
  <c r="AO9" i="236" s="1"/>
  <c r="AM10" i="236" s="1"/>
  <c r="AQ10" i="236"/>
  <c r="AR10" i="236" s="1"/>
  <c r="G25" i="236"/>
  <c r="H25" i="236" s="1"/>
  <c r="F26" i="236" s="1"/>
  <c r="AS9" i="236"/>
  <c r="D9" i="236"/>
  <c r="E9" i="236" s="1"/>
  <c r="C10" i="236" s="1"/>
  <c r="M9" i="236"/>
  <c r="N9" i="236" s="1"/>
  <c r="L10" i="236" s="1"/>
  <c r="R25" i="236"/>
  <c r="J25" i="236"/>
  <c r="K25" i="236" s="1"/>
  <c r="I26" i="236" s="1"/>
  <c r="O25" i="236"/>
  <c r="S10" i="236"/>
  <c r="T10" i="236" s="1"/>
  <c r="Y9" i="236"/>
  <c r="Z9" i="236" s="1"/>
  <c r="X10" i="236" s="1"/>
  <c r="AB9" i="236"/>
  <c r="AC9" i="236" s="1"/>
  <c r="AA10" i="236" s="1"/>
  <c r="AH10" i="236"/>
  <c r="AI10" i="236" s="1"/>
  <c r="C25" i="236"/>
  <c r="AK9" i="236"/>
  <c r="AL9" i="236" s="1"/>
  <c r="AJ10" i="236" s="1"/>
  <c r="G10" i="236"/>
  <c r="H10" i="236" s="1"/>
  <c r="AE10" i="236"/>
  <c r="AF10" i="236" s="1"/>
  <c r="V10" i="236"/>
  <c r="W10" i="236" s="1"/>
  <c r="AN9" i="235"/>
  <c r="AO9" i="235" s="1"/>
  <c r="AM10" i="235" s="1"/>
  <c r="Y10" i="235"/>
  <c r="Z10" i="235" s="1"/>
  <c r="V10" i="235"/>
  <c r="W10" i="235" s="1"/>
  <c r="J10" i="235"/>
  <c r="K10" i="235" s="1"/>
  <c r="M10" i="235"/>
  <c r="N10" i="235" s="1"/>
  <c r="AB9" i="235"/>
  <c r="AC9" i="235" s="1"/>
  <c r="AA10" i="235" s="1"/>
  <c r="AS9" i="235"/>
  <c r="D9" i="235"/>
  <c r="E9" i="235" s="1"/>
  <c r="C10" i="235" s="1"/>
  <c r="F25" i="235"/>
  <c r="AH10" i="235"/>
  <c r="AI10" i="235" s="1"/>
  <c r="S10" i="235"/>
  <c r="T10" i="235" s="1"/>
  <c r="G10" i="235"/>
  <c r="H10" i="235" s="1"/>
  <c r="L25" i="235"/>
  <c r="P9" i="235"/>
  <c r="Q9" i="235" s="1"/>
  <c r="O10" i="235" s="1"/>
  <c r="AE10" i="235"/>
  <c r="AF10" i="235" s="1"/>
  <c r="AQ10" i="235"/>
  <c r="AR10" i="235" s="1"/>
  <c r="AK10" i="235"/>
  <c r="AL10" i="235" s="1"/>
  <c r="R25" i="235"/>
  <c r="S9" i="234"/>
  <c r="T9" i="234" s="1"/>
  <c r="R10" i="234" s="1"/>
  <c r="F25" i="234"/>
  <c r="AB10" i="234"/>
  <c r="AC10" i="234" s="1"/>
  <c r="AK10" i="234"/>
  <c r="AL10" i="234" s="1"/>
  <c r="P9" i="234"/>
  <c r="Q9" i="234" s="1"/>
  <c r="O10" i="234" s="1"/>
  <c r="AS9" i="234"/>
  <c r="Y10" i="234"/>
  <c r="Z10" i="234" s="1"/>
  <c r="AH10" i="234"/>
  <c r="AI10" i="234" s="1"/>
  <c r="D10" i="234"/>
  <c r="E10" i="234" s="1"/>
  <c r="V9" i="234"/>
  <c r="W9" i="234" s="1"/>
  <c r="U10" i="234" s="1"/>
  <c r="I25" i="234"/>
  <c r="AN9" i="234"/>
  <c r="AO9" i="234" s="1"/>
  <c r="AM10" i="234" s="1"/>
  <c r="G9" i="234"/>
  <c r="H9" i="234" s="1"/>
  <c r="F10" i="234" s="1"/>
  <c r="J10" i="234"/>
  <c r="K10" i="234" s="1"/>
  <c r="R25" i="234"/>
  <c r="AE9" i="234"/>
  <c r="AF9" i="234" s="1"/>
  <c r="AD10" i="234" s="1"/>
  <c r="M10" i="234"/>
  <c r="N10" i="234" s="1"/>
  <c r="AQ9" i="234"/>
  <c r="AR9" i="234" s="1"/>
  <c r="AP10" i="234" s="1"/>
  <c r="S10" i="233"/>
  <c r="T10" i="233" s="1"/>
  <c r="G10" i="233"/>
  <c r="H10" i="233" s="1"/>
  <c r="AE10" i="233"/>
  <c r="AF10" i="233" s="1"/>
  <c r="J10" i="233"/>
  <c r="K10" i="233" s="1"/>
  <c r="P10" i="233"/>
  <c r="Q10" i="233" s="1"/>
  <c r="AQ10" i="233"/>
  <c r="AR10" i="233" s="1"/>
  <c r="AH10" i="233"/>
  <c r="AI10" i="233" s="1"/>
  <c r="L25" i="233"/>
  <c r="V10" i="233"/>
  <c r="W10" i="233" s="1"/>
  <c r="AS9" i="233"/>
  <c r="D9" i="233"/>
  <c r="E9" i="233" s="1"/>
  <c r="C10" i="233" s="1"/>
  <c r="M9" i="233"/>
  <c r="N9" i="233" s="1"/>
  <c r="L10" i="233" s="1"/>
  <c r="AN10" i="233"/>
  <c r="AO10" i="233" s="1"/>
  <c r="Y9" i="233"/>
  <c r="Z9" i="233" s="1"/>
  <c r="X10" i="233" s="1"/>
  <c r="O25" i="233"/>
  <c r="C25" i="233"/>
  <c r="AK9" i="233"/>
  <c r="AL9" i="233" s="1"/>
  <c r="AJ10" i="233" s="1"/>
  <c r="AB10" i="233"/>
  <c r="AC10" i="233" s="1"/>
  <c r="C56" i="228"/>
  <c r="D56" i="228" s="1"/>
  <c r="E56" i="228" s="1"/>
  <c r="U55" i="228"/>
  <c r="P58" i="231"/>
  <c r="Q58" i="231" s="1"/>
  <c r="S10" i="231"/>
  <c r="T10" i="231" s="1"/>
  <c r="J9" i="231"/>
  <c r="K9" i="231" s="1"/>
  <c r="AS9" i="231"/>
  <c r="V9" i="231"/>
  <c r="W9" i="231" s="1"/>
  <c r="U10" i="231" s="1"/>
  <c r="P10" i="231"/>
  <c r="Q10" i="231" s="1"/>
  <c r="AK9" i="231"/>
  <c r="AL9" i="231" s="1"/>
  <c r="AJ10" i="231" s="1"/>
  <c r="G58" i="231"/>
  <c r="H58" i="231" s="1"/>
  <c r="G10" i="231"/>
  <c r="H10" i="231" s="1"/>
  <c r="AN10" i="231"/>
  <c r="AO10" i="231" s="1"/>
  <c r="AB10" i="231"/>
  <c r="AC10" i="231" s="1"/>
  <c r="M9" i="231"/>
  <c r="N9" i="231" s="1"/>
  <c r="J24" i="231"/>
  <c r="K24" i="231" s="1"/>
  <c r="I25" i="231" s="1"/>
  <c r="Y9" i="231"/>
  <c r="Z9" i="231" s="1"/>
  <c r="X10" i="231" s="1"/>
  <c r="AH9" i="231"/>
  <c r="AI9" i="231" s="1"/>
  <c r="AG10" i="231" s="1"/>
  <c r="M24" i="231"/>
  <c r="N24" i="231" s="1"/>
  <c r="L25" i="231" s="1"/>
  <c r="AQ10" i="231"/>
  <c r="AR10" i="231" s="1"/>
  <c r="D59" i="231"/>
  <c r="E59" i="231" s="1"/>
  <c r="D10" i="231"/>
  <c r="E10" i="231" s="1"/>
  <c r="AE10" i="231"/>
  <c r="AF10" i="231" s="1"/>
  <c r="U49" i="231"/>
  <c r="J57" i="231"/>
  <c r="K57" i="231" s="1"/>
  <c r="J56" i="230"/>
  <c r="K56" i="230" s="1"/>
  <c r="I57" i="230" s="1"/>
  <c r="AQ9" i="230"/>
  <c r="AR9" i="230" s="1"/>
  <c r="AP10" i="230" s="1"/>
  <c r="AH9" i="230"/>
  <c r="AI9" i="230" s="1"/>
  <c r="AG10" i="230" s="1"/>
  <c r="G9" i="230"/>
  <c r="H9" i="230" s="1"/>
  <c r="F10" i="230" s="1"/>
  <c r="M57" i="230"/>
  <c r="N57" i="230" s="1"/>
  <c r="L58" i="230" s="1"/>
  <c r="AE9" i="230"/>
  <c r="AF9" i="230" s="1"/>
  <c r="AD10" i="230" s="1"/>
  <c r="V9" i="230"/>
  <c r="W9" i="230" s="1"/>
  <c r="U10" i="230" s="1"/>
  <c r="D57" i="230"/>
  <c r="E57" i="230" s="1"/>
  <c r="C58" i="230" s="1"/>
  <c r="J9" i="230"/>
  <c r="K9" i="230" s="1"/>
  <c r="I10" i="230" s="1"/>
  <c r="P56" i="230"/>
  <c r="Q56" i="230" s="1"/>
  <c r="O57" i="230" s="1"/>
  <c r="S49" i="230"/>
  <c r="T49" i="230" s="1"/>
  <c r="G56" i="230"/>
  <c r="H56" i="230" s="1"/>
  <c r="F57" i="230" s="1"/>
  <c r="J57" i="228"/>
  <c r="K57" i="228" s="1"/>
  <c r="I58" i="228" s="1"/>
  <c r="S56" i="228"/>
  <c r="T56" i="228" s="1"/>
  <c r="R57" i="228" s="1"/>
  <c r="M57" i="228"/>
  <c r="N57" i="228" s="1"/>
  <c r="L58" i="228" s="1"/>
  <c r="G56" i="228"/>
  <c r="H56" i="228" s="1"/>
  <c r="F57" i="228" s="1"/>
  <c r="P57" i="228"/>
  <c r="Q57" i="228" s="1"/>
  <c r="O58" i="228" s="1"/>
  <c r="AQ9" i="228"/>
  <c r="AR9" i="228" s="1"/>
  <c r="AP10" i="228" s="1"/>
  <c r="AH9" i="228"/>
  <c r="AI9" i="228" s="1"/>
  <c r="AG10" i="228" s="1"/>
  <c r="AH10" i="228" s="1"/>
  <c r="AI10" i="228" s="1"/>
  <c r="Y9" i="228"/>
  <c r="Z9" i="228" s="1"/>
  <c r="X10" i="228" s="1"/>
  <c r="AK9" i="228"/>
  <c r="AL9" i="228" s="1"/>
  <c r="AJ10" i="228" s="1"/>
  <c r="V9" i="228"/>
  <c r="W9" i="228" s="1"/>
  <c r="U10" i="228" s="1"/>
  <c r="J9" i="228"/>
  <c r="K9" i="228" s="1"/>
  <c r="I10" i="228" s="1"/>
  <c r="J10" i="228" s="1"/>
  <c r="K10" i="228" s="1"/>
  <c r="AM11" i="231" l="1"/>
  <c r="AN11" i="231" s="1"/>
  <c r="AO11" i="231" s="1"/>
  <c r="AM12" i="231" s="1"/>
  <c r="K55" i="221"/>
  <c r="B55" i="221" s="1"/>
  <c r="R11" i="231"/>
  <c r="S11" i="231" s="1"/>
  <c r="T11" i="231" s="1"/>
  <c r="R12" i="231" s="1"/>
  <c r="K48" i="221"/>
  <c r="AP11" i="233"/>
  <c r="AQ11" i="233" s="1"/>
  <c r="AR11" i="233" s="1"/>
  <c r="AP12" i="233" s="1"/>
  <c r="L56" i="221"/>
  <c r="C56" i="221" s="1"/>
  <c r="AG11" i="234"/>
  <c r="AH11" i="234" s="1"/>
  <c r="AI11" i="234" s="1"/>
  <c r="AG12" i="234" s="1"/>
  <c r="M53" i="221"/>
  <c r="D53" i="221" s="1"/>
  <c r="AG11" i="235"/>
  <c r="AH11" i="235" s="1"/>
  <c r="AI11" i="235" s="1"/>
  <c r="AG12" i="235" s="1"/>
  <c r="N53" i="221"/>
  <c r="E53" i="221" s="1"/>
  <c r="X11" i="235"/>
  <c r="Y11" i="235" s="1"/>
  <c r="Z11" i="235" s="1"/>
  <c r="X12" i="235" s="1"/>
  <c r="N50" i="221"/>
  <c r="E50" i="221" s="1"/>
  <c r="X11" i="239"/>
  <c r="Y11" i="239" s="1"/>
  <c r="Z11" i="239" s="1"/>
  <c r="X12" i="239" s="1"/>
  <c r="K89" i="221"/>
  <c r="B89" i="221" s="1"/>
  <c r="AA11" i="239"/>
  <c r="AB11" i="239" s="1"/>
  <c r="AC11" i="239" s="1"/>
  <c r="AA12" i="239" s="1"/>
  <c r="K90" i="221"/>
  <c r="B90" i="221" s="1"/>
  <c r="AM11" i="240"/>
  <c r="AN11" i="240" s="1"/>
  <c r="AO11" i="240" s="1"/>
  <c r="AM12" i="240" s="1"/>
  <c r="L94" i="221"/>
  <c r="C94" i="221" s="1"/>
  <c r="L11" i="228"/>
  <c r="M11" i="228" s="1"/>
  <c r="N11" i="228" s="1"/>
  <c r="L12" i="228" s="1"/>
  <c r="K8" i="221"/>
  <c r="B8" i="221" s="1"/>
  <c r="R11" i="228"/>
  <c r="S11" i="228" s="1"/>
  <c r="T11" i="228" s="1"/>
  <c r="R12" i="228" s="1"/>
  <c r="S12" i="228" s="1"/>
  <c r="T12" i="228" s="1"/>
  <c r="R13" i="228" s="1"/>
  <c r="K10" i="221"/>
  <c r="B10" i="221" s="1"/>
  <c r="AA11" i="234"/>
  <c r="AB11" i="234" s="1"/>
  <c r="AC11" i="234" s="1"/>
  <c r="AA12" i="234" s="1"/>
  <c r="M51" i="221"/>
  <c r="D51" i="221" s="1"/>
  <c r="AM11" i="233"/>
  <c r="AN11" i="233" s="1"/>
  <c r="AO11" i="233" s="1"/>
  <c r="AM12" i="233" s="1"/>
  <c r="L55" i="221"/>
  <c r="C55" i="221" s="1"/>
  <c r="O11" i="233"/>
  <c r="P11" i="233" s="1"/>
  <c r="Q11" i="233" s="1"/>
  <c r="O12" i="233" s="1"/>
  <c r="L47" i="221"/>
  <c r="C47" i="221" s="1"/>
  <c r="X11" i="234"/>
  <c r="Y11" i="234" s="1"/>
  <c r="Z11" i="234" s="1"/>
  <c r="X12" i="234" s="1"/>
  <c r="M50" i="221"/>
  <c r="D50" i="221" s="1"/>
  <c r="AJ11" i="235"/>
  <c r="AK11" i="235" s="1"/>
  <c r="AL11" i="235" s="1"/>
  <c r="AJ12" i="235" s="1"/>
  <c r="N54" i="221"/>
  <c r="E54" i="221" s="1"/>
  <c r="L11" i="239"/>
  <c r="M11" i="239" s="1"/>
  <c r="N11" i="239" s="1"/>
  <c r="L12" i="239" s="1"/>
  <c r="K85" i="221"/>
  <c r="B85" i="221" s="1"/>
  <c r="O11" i="240"/>
  <c r="P11" i="240" s="1"/>
  <c r="Q11" i="240" s="1"/>
  <c r="O12" i="240" s="1"/>
  <c r="L86" i="221"/>
  <c r="C86" i="221" s="1"/>
  <c r="AJ11" i="234"/>
  <c r="AK11" i="234" s="1"/>
  <c r="AL11" i="234" s="1"/>
  <c r="AJ12" i="234" s="1"/>
  <c r="M54" i="221"/>
  <c r="D54" i="221" s="1"/>
  <c r="U11" i="233"/>
  <c r="V11" i="233" s="1"/>
  <c r="W11" i="233" s="1"/>
  <c r="U12" i="233" s="1"/>
  <c r="L49" i="221"/>
  <c r="C49" i="221" s="1"/>
  <c r="AG11" i="228"/>
  <c r="AH11" i="228" s="1"/>
  <c r="AI11" i="228" s="1"/>
  <c r="AG12" i="228" s="1"/>
  <c r="AH12" i="228" s="1"/>
  <c r="AI12" i="228" s="1"/>
  <c r="AG13" i="228" s="1"/>
  <c r="AH13" i="228" s="1"/>
  <c r="AI13" i="228" s="1"/>
  <c r="AG14" i="228" s="1"/>
  <c r="AH14" i="228" s="1"/>
  <c r="AI14" i="228" s="1"/>
  <c r="AG15" i="228" s="1"/>
  <c r="AH15" i="228" s="1"/>
  <c r="AI15" i="228" s="1"/>
  <c r="AG16" i="228" s="1"/>
  <c r="AH16" i="228" s="1"/>
  <c r="AI16" i="228" s="1"/>
  <c r="AG17" i="228" s="1"/>
  <c r="K15" i="221"/>
  <c r="B15" i="221" s="1"/>
  <c r="AP11" i="231"/>
  <c r="AQ11" i="231" s="1"/>
  <c r="AR11" i="231" s="1"/>
  <c r="AP12" i="231" s="1"/>
  <c r="K56" i="221"/>
  <c r="B56" i="221" s="1"/>
  <c r="I11" i="233"/>
  <c r="J11" i="233" s="1"/>
  <c r="K11" i="233" s="1"/>
  <c r="I12" i="233" s="1"/>
  <c r="L45" i="221"/>
  <c r="C45" i="221" s="1"/>
  <c r="I11" i="234"/>
  <c r="J11" i="234" s="1"/>
  <c r="K11" i="234" s="1"/>
  <c r="I12" i="234" s="1"/>
  <c r="M45" i="221"/>
  <c r="D45" i="221" s="1"/>
  <c r="AP11" i="235"/>
  <c r="AQ11" i="235" s="1"/>
  <c r="AR11" i="235" s="1"/>
  <c r="AP12" i="235" s="1"/>
  <c r="N56" i="221"/>
  <c r="E56" i="221" s="1"/>
  <c r="U11" i="236"/>
  <c r="V11" i="236" s="1"/>
  <c r="W11" i="236" s="1"/>
  <c r="U12" i="236" s="1"/>
  <c r="O49" i="221"/>
  <c r="F49" i="221" s="1"/>
  <c r="R11" i="236"/>
  <c r="S11" i="236" s="1"/>
  <c r="T11" i="236" s="1"/>
  <c r="R12" i="236" s="1"/>
  <c r="O48" i="221"/>
  <c r="F48" i="221" s="1"/>
  <c r="AM11" i="239"/>
  <c r="AN11" i="239" s="1"/>
  <c r="AO11" i="239" s="1"/>
  <c r="AM12" i="239" s="1"/>
  <c r="K94" i="221"/>
  <c r="B94" i="221" s="1"/>
  <c r="L11" i="240"/>
  <c r="M11" i="240" s="1"/>
  <c r="N11" i="240" s="1"/>
  <c r="L12" i="240" s="1"/>
  <c r="L85" i="221"/>
  <c r="C85" i="221" s="1"/>
  <c r="X11" i="240"/>
  <c r="Y11" i="240" s="1"/>
  <c r="Z11" i="240" s="1"/>
  <c r="X12" i="240" s="1"/>
  <c r="L89" i="221"/>
  <c r="C89" i="221" s="1"/>
  <c r="O11" i="228"/>
  <c r="P11" i="228" s="1"/>
  <c r="Q11" i="228" s="1"/>
  <c r="O12" i="228" s="1"/>
  <c r="P12" i="228" s="1"/>
  <c r="Q12" i="228" s="1"/>
  <c r="O13" i="228" s="1"/>
  <c r="P13" i="228" s="1"/>
  <c r="Q13" i="228" s="1"/>
  <c r="O14" i="228" s="1"/>
  <c r="P14" i="228" s="1"/>
  <c r="Q14" i="228" s="1"/>
  <c r="O15" i="228" s="1"/>
  <c r="K9" i="221"/>
  <c r="B9" i="221" s="1"/>
  <c r="F11" i="233"/>
  <c r="G11" i="233" s="1"/>
  <c r="H11" i="233" s="1"/>
  <c r="F12" i="233" s="1"/>
  <c r="L44" i="221"/>
  <c r="F11" i="236"/>
  <c r="G11" i="236" s="1"/>
  <c r="H11" i="236" s="1"/>
  <c r="F12" i="236" s="1"/>
  <c r="O44" i="221"/>
  <c r="L11" i="235"/>
  <c r="M11" i="235" s="1"/>
  <c r="N11" i="235" s="1"/>
  <c r="L12" i="235" s="1"/>
  <c r="N46" i="221"/>
  <c r="E46" i="221" s="1"/>
  <c r="AD11" i="233"/>
  <c r="AE11" i="233" s="1"/>
  <c r="AF11" i="233" s="1"/>
  <c r="AD12" i="233" s="1"/>
  <c r="L52" i="221"/>
  <c r="C52" i="221" s="1"/>
  <c r="AD11" i="235"/>
  <c r="AE11" i="235" s="1"/>
  <c r="AF11" i="235" s="1"/>
  <c r="AD12" i="235" s="1"/>
  <c r="N52" i="221"/>
  <c r="E52" i="221" s="1"/>
  <c r="AD11" i="236"/>
  <c r="AE11" i="236" s="1"/>
  <c r="AF11" i="236" s="1"/>
  <c r="AD12" i="236" s="1"/>
  <c r="O52" i="221"/>
  <c r="F52" i="221" s="1"/>
  <c r="F11" i="239"/>
  <c r="G11" i="239" s="1"/>
  <c r="H11" i="239" s="1"/>
  <c r="F12" i="239" s="1"/>
  <c r="K83" i="221"/>
  <c r="B83" i="221" s="1"/>
  <c r="AD11" i="228"/>
  <c r="AE11" i="228" s="1"/>
  <c r="AF11" i="228" s="1"/>
  <c r="AD12" i="228" s="1"/>
  <c r="AE12" i="228" s="1"/>
  <c r="AF12" i="228" s="1"/>
  <c r="AD13" i="228" s="1"/>
  <c r="K14" i="221"/>
  <c r="B14" i="221" s="1"/>
  <c r="O11" i="239"/>
  <c r="P11" i="239" s="1"/>
  <c r="Q11" i="239" s="1"/>
  <c r="O12" i="239" s="1"/>
  <c r="K86" i="221"/>
  <c r="B86" i="221" s="1"/>
  <c r="C11" i="240"/>
  <c r="D11" i="240" s="1"/>
  <c r="E11" i="240" s="1"/>
  <c r="C12" i="240" s="1"/>
  <c r="L82" i="221"/>
  <c r="AA11" i="240"/>
  <c r="AB11" i="240" s="1"/>
  <c r="AC11" i="240" s="1"/>
  <c r="AA12" i="240" s="1"/>
  <c r="L90" i="221"/>
  <c r="C90" i="221" s="1"/>
  <c r="AA11" i="228"/>
  <c r="AB11" i="228" s="1"/>
  <c r="AC11" i="228" s="1"/>
  <c r="AA12" i="228" s="1"/>
  <c r="AB12" i="228" s="1"/>
  <c r="AC12" i="228" s="1"/>
  <c r="AA13" i="228" s="1"/>
  <c r="AB13" i="228" s="1"/>
  <c r="AC13" i="228" s="1"/>
  <c r="AA14" i="228" s="1"/>
  <c r="AB14" i="228" s="1"/>
  <c r="AC14" i="228" s="1"/>
  <c r="AA15" i="228" s="1"/>
  <c r="K13" i="221"/>
  <c r="B13" i="221" s="1"/>
  <c r="I11" i="228"/>
  <c r="J11" i="228" s="1"/>
  <c r="K11" i="228" s="1"/>
  <c r="I12" i="228" s="1"/>
  <c r="J12" i="228" s="1"/>
  <c r="K12" i="228" s="1"/>
  <c r="I13" i="228" s="1"/>
  <c r="J13" i="228" s="1"/>
  <c r="K13" i="228" s="1"/>
  <c r="I14" i="228" s="1"/>
  <c r="J14" i="228" s="1"/>
  <c r="K14" i="228" s="1"/>
  <c r="I15" i="228" s="1"/>
  <c r="K7" i="221"/>
  <c r="B7" i="221" s="1"/>
  <c r="R11" i="233"/>
  <c r="S11" i="233" s="1"/>
  <c r="T11" i="233" s="1"/>
  <c r="R12" i="233" s="1"/>
  <c r="L48" i="221"/>
  <c r="C48" i="221" s="1"/>
  <c r="AD11" i="239"/>
  <c r="AE11" i="239" s="1"/>
  <c r="AF11" i="239" s="1"/>
  <c r="AD12" i="239" s="1"/>
  <c r="K91" i="221"/>
  <c r="B91" i="221" s="1"/>
  <c r="AD11" i="231"/>
  <c r="AE11" i="231" s="1"/>
  <c r="AF11" i="231" s="1"/>
  <c r="AD12" i="231" s="1"/>
  <c r="K52" i="221"/>
  <c r="B52" i="221" s="1"/>
  <c r="F11" i="235"/>
  <c r="G11" i="235" s="1"/>
  <c r="H11" i="235" s="1"/>
  <c r="F12" i="235" s="1"/>
  <c r="N44" i="221"/>
  <c r="I11" i="235"/>
  <c r="J11" i="235" s="1"/>
  <c r="K11" i="235" s="1"/>
  <c r="I12" i="235" s="1"/>
  <c r="N45" i="221"/>
  <c r="E45" i="221" s="1"/>
  <c r="I11" i="236"/>
  <c r="J11" i="236" s="1"/>
  <c r="K11" i="236" s="1"/>
  <c r="I12" i="236" s="1"/>
  <c r="O45" i="221"/>
  <c r="F45" i="221" s="1"/>
  <c r="R11" i="239"/>
  <c r="S11" i="239" s="1"/>
  <c r="T11" i="239" s="1"/>
  <c r="R12" i="239" s="1"/>
  <c r="K87" i="221"/>
  <c r="B87" i="221" s="1"/>
  <c r="AA11" i="233"/>
  <c r="AB11" i="233" s="1"/>
  <c r="AC11" i="233" s="1"/>
  <c r="AA12" i="233" s="1"/>
  <c r="L51" i="221"/>
  <c r="C51" i="221" s="1"/>
  <c r="AA11" i="231"/>
  <c r="AB11" i="231" s="1"/>
  <c r="AC11" i="231" s="1"/>
  <c r="AA12" i="231" s="1"/>
  <c r="K51" i="221"/>
  <c r="B51" i="221" s="1"/>
  <c r="AG11" i="233"/>
  <c r="AH11" i="233" s="1"/>
  <c r="AI11" i="233" s="1"/>
  <c r="AG12" i="233" s="1"/>
  <c r="L53" i="221"/>
  <c r="C53" i="221" s="1"/>
  <c r="L11" i="234"/>
  <c r="M11" i="234" s="1"/>
  <c r="N11" i="234" s="1"/>
  <c r="L12" i="234" s="1"/>
  <c r="M46" i="221"/>
  <c r="D46" i="221" s="1"/>
  <c r="C11" i="234"/>
  <c r="D11" i="234" s="1"/>
  <c r="E11" i="234" s="1"/>
  <c r="C12" i="234" s="1"/>
  <c r="M43" i="221"/>
  <c r="D43" i="221" s="1"/>
  <c r="R11" i="235"/>
  <c r="S11" i="235" s="1"/>
  <c r="T11" i="235" s="1"/>
  <c r="R12" i="235" s="1"/>
  <c r="N48" i="221"/>
  <c r="E48" i="221" s="1"/>
  <c r="U11" i="235"/>
  <c r="V11" i="235" s="1"/>
  <c r="W11" i="235" s="1"/>
  <c r="U12" i="235" s="1"/>
  <c r="N49" i="221"/>
  <c r="E49" i="221" s="1"/>
  <c r="AG11" i="236"/>
  <c r="AH11" i="236" s="1"/>
  <c r="AI11" i="236" s="1"/>
  <c r="AG12" i="236" s="1"/>
  <c r="O53" i="221"/>
  <c r="F53" i="221" s="1"/>
  <c r="C11" i="239"/>
  <c r="D11" i="239" s="1"/>
  <c r="E11" i="239" s="1"/>
  <c r="C12" i="239" s="1"/>
  <c r="K82" i="221"/>
  <c r="AJ11" i="239"/>
  <c r="AK11" i="239" s="1"/>
  <c r="AL11" i="239" s="1"/>
  <c r="AJ12" i="239" s="1"/>
  <c r="K93" i="221"/>
  <c r="B93" i="221" s="1"/>
  <c r="AJ11" i="240"/>
  <c r="AK11" i="240" s="1"/>
  <c r="AL11" i="240" s="1"/>
  <c r="AJ12" i="240" s="1"/>
  <c r="L93" i="221"/>
  <c r="C93" i="221" s="1"/>
  <c r="AM11" i="228"/>
  <c r="AN11" i="228" s="1"/>
  <c r="AO11" i="228" s="1"/>
  <c r="AM12" i="228" s="1"/>
  <c r="AN12" i="228" s="1"/>
  <c r="AO12" i="228" s="1"/>
  <c r="AM13" i="228" s="1"/>
  <c r="AN13" i="228" s="1"/>
  <c r="AO13" i="228" s="1"/>
  <c r="AM14" i="228" s="1"/>
  <c r="AN14" i="228" s="1"/>
  <c r="AO14" i="228" s="1"/>
  <c r="AM15" i="228" s="1"/>
  <c r="K17" i="221"/>
  <c r="B17" i="221" s="1"/>
  <c r="J9" i="240"/>
  <c r="K9" i="240" s="1"/>
  <c r="I10" i="240" s="1"/>
  <c r="J10" i="240" s="1"/>
  <c r="K10" i="240" s="1"/>
  <c r="J9" i="239"/>
  <c r="K9" i="239" s="1"/>
  <c r="I10" i="239" s="1"/>
  <c r="AS10" i="239" s="1"/>
  <c r="Y10" i="228"/>
  <c r="Z10" i="228" s="1"/>
  <c r="AS8" i="230"/>
  <c r="V10" i="228"/>
  <c r="W10" i="228" s="1"/>
  <c r="AK10" i="228"/>
  <c r="AL10" i="228" s="1"/>
  <c r="AQ10" i="228"/>
  <c r="AR10" i="228" s="1"/>
  <c r="AE10" i="240"/>
  <c r="AF10" i="240" s="1"/>
  <c r="P25" i="240"/>
  <c r="Q25" i="240" s="1"/>
  <c r="S25" i="240"/>
  <c r="T25" i="240" s="1"/>
  <c r="G10" i="240"/>
  <c r="H10" i="240" s="1"/>
  <c r="L25" i="240"/>
  <c r="G25" i="240"/>
  <c r="H25" i="240" s="1"/>
  <c r="AQ10" i="240"/>
  <c r="AR10" i="240" s="1"/>
  <c r="V10" i="240"/>
  <c r="W10" i="240" s="1"/>
  <c r="AH10" i="240"/>
  <c r="AI10" i="240" s="1"/>
  <c r="J25" i="240"/>
  <c r="K25" i="240" s="1"/>
  <c r="D25" i="240"/>
  <c r="E25" i="240" s="1"/>
  <c r="S10" i="240"/>
  <c r="T10" i="240" s="1"/>
  <c r="M25" i="239"/>
  <c r="N25" i="239" s="1"/>
  <c r="O25" i="239"/>
  <c r="J25" i="239"/>
  <c r="K25" i="239" s="1"/>
  <c r="R25" i="239"/>
  <c r="F25" i="239"/>
  <c r="C25" i="239"/>
  <c r="AQ11" i="239"/>
  <c r="AR11" i="239" s="1"/>
  <c r="AP12" i="239" s="1"/>
  <c r="V10" i="239"/>
  <c r="W10" i="239" s="1"/>
  <c r="AH10" i="239"/>
  <c r="AI10" i="239" s="1"/>
  <c r="Y10" i="236"/>
  <c r="Z10" i="236" s="1"/>
  <c r="P25" i="236"/>
  <c r="Q25" i="236" s="1"/>
  <c r="O26" i="236" s="1"/>
  <c r="AK10" i="236"/>
  <c r="AL10" i="236" s="1"/>
  <c r="M10" i="236"/>
  <c r="N10" i="236" s="1"/>
  <c r="M26" i="236"/>
  <c r="N26" i="236" s="1"/>
  <c r="D10" i="236"/>
  <c r="E10" i="236" s="1"/>
  <c r="AS10" i="236"/>
  <c r="AN10" i="236"/>
  <c r="AO10" i="236" s="1"/>
  <c r="S25" i="236"/>
  <c r="T25" i="236" s="1"/>
  <c r="R26" i="236" s="1"/>
  <c r="D25" i="236"/>
  <c r="E25" i="236" s="1"/>
  <c r="C26" i="236" s="1"/>
  <c r="AB10" i="236"/>
  <c r="AC10" i="236" s="1"/>
  <c r="J26" i="236"/>
  <c r="K26" i="236" s="1"/>
  <c r="G26" i="236"/>
  <c r="H26" i="236" s="1"/>
  <c r="AQ11" i="236"/>
  <c r="AR11" i="236" s="1"/>
  <c r="P10" i="236"/>
  <c r="Q10" i="236" s="1"/>
  <c r="AN10" i="235"/>
  <c r="AO10" i="235" s="1"/>
  <c r="O25" i="235"/>
  <c r="I25" i="235"/>
  <c r="P10" i="235"/>
  <c r="Q10" i="235" s="1"/>
  <c r="AS10" i="235"/>
  <c r="D10" i="235"/>
  <c r="E10" i="235" s="1"/>
  <c r="AB10" i="235"/>
  <c r="AC10" i="235" s="1"/>
  <c r="M25" i="235"/>
  <c r="N25" i="235" s="1"/>
  <c r="S25" i="235"/>
  <c r="T25" i="235" s="1"/>
  <c r="G25" i="235"/>
  <c r="H25" i="235" s="1"/>
  <c r="C25" i="235"/>
  <c r="AN10" i="234"/>
  <c r="AO10" i="234" s="1"/>
  <c r="P10" i="234"/>
  <c r="Q10" i="234" s="1"/>
  <c r="AS10" i="234"/>
  <c r="G25" i="234"/>
  <c r="H25" i="234" s="1"/>
  <c r="AE10" i="234"/>
  <c r="AF10" i="234" s="1"/>
  <c r="J25" i="234"/>
  <c r="K25" i="234" s="1"/>
  <c r="L25" i="234"/>
  <c r="AQ10" i="234"/>
  <c r="AR10" i="234" s="1"/>
  <c r="G10" i="234"/>
  <c r="H10" i="234" s="1"/>
  <c r="S10" i="234"/>
  <c r="T10" i="234" s="1"/>
  <c r="C25" i="234"/>
  <c r="S25" i="234"/>
  <c r="T25" i="234" s="1"/>
  <c r="V10" i="234"/>
  <c r="W10" i="234" s="1"/>
  <c r="F25" i="233"/>
  <c r="M25" i="233"/>
  <c r="N25" i="233" s="1"/>
  <c r="I25" i="233"/>
  <c r="D25" i="233"/>
  <c r="E25" i="233" s="1"/>
  <c r="M10" i="233"/>
  <c r="N10" i="233" s="1"/>
  <c r="R25" i="233"/>
  <c r="P25" i="233"/>
  <c r="Q25" i="233" s="1"/>
  <c r="D10" i="233"/>
  <c r="E10" i="233" s="1"/>
  <c r="AS10" i="233"/>
  <c r="Y10" i="233"/>
  <c r="Z10" i="233" s="1"/>
  <c r="AK10" i="233"/>
  <c r="AL10" i="233" s="1"/>
  <c r="C57" i="228"/>
  <c r="D57" i="228" s="1"/>
  <c r="E57" i="228" s="1"/>
  <c r="U56" i="228"/>
  <c r="J58" i="231"/>
  <c r="K58" i="231" s="1"/>
  <c r="P24" i="231"/>
  <c r="Q24" i="231" s="1"/>
  <c r="O25" i="231" s="1"/>
  <c r="J25" i="231"/>
  <c r="K25" i="231" s="1"/>
  <c r="P11" i="231"/>
  <c r="Q11" i="231" s="1"/>
  <c r="AH10" i="231"/>
  <c r="AI10" i="231" s="1"/>
  <c r="P59" i="231"/>
  <c r="Q59" i="231" s="1"/>
  <c r="D11" i="231"/>
  <c r="E11" i="231" s="1"/>
  <c r="AS10" i="231"/>
  <c r="V10" i="231"/>
  <c r="W10" i="231" s="1"/>
  <c r="M50" i="231"/>
  <c r="N50" i="231" s="1"/>
  <c r="S51" i="231"/>
  <c r="T51" i="231" s="1"/>
  <c r="G24" i="231"/>
  <c r="H24" i="231" s="1"/>
  <c r="F25" i="231" s="1"/>
  <c r="J10" i="231"/>
  <c r="K10" i="231" s="1"/>
  <c r="D60" i="231"/>
  <c r="E60" i="231" s="1"/>
  <c r="M25" i="231"/>
  <c r="N25" i="231" s="1"/>
  <c r="Y10" i="231"/>
  <c r="Z10" i="231" s="1"/>
  <c r="M10" i="231"/>
  <c r="N10" i="231" s="1"/>
  <c r="G11" i="231"/>
  <c r="H11" i="231" s="1"/>
  <c r="G59" i="231"/>
  <c r="H59" i="231" s="1"/>
  <c r="AK10" i="231"/>
  <c r="AL10" i="231" s="1"/>
  <c r="D24" i="231"/>
  <c r="E24" i="231" s="1"/>
  <c r="C25" i="231" s="1"/>
  <c r="Y9" i="230"/>
  <c r="Z9" i="230" s="1"/>
  <c r="X10" i="230" s="1"/>
  <c r="O25" i="230"/>
  <c r="AS9" i="230"/>
  <c r="D58" i="230"/>
  <c r="E58" i="230" s="1"/>
  <c r="C59" i="230" s="1"/>
  <c r="C25" i="230"/>
  <c r="AQ10" i="230"/>
  <c r="AR10" i="230" s="1"/>
  <c r="M58" i="230"/>
  <c r="N58" i="230" s="1"/>
  <c r="L59" i="230" s="1"/>
  <c r="J57" i="230"/>
  <c r="K57" i="230" s="1"/>
  <c r="I58" i="230" s="1"/>
  <c r="G57" i="230"/>
  <c r="H57" i="230" s="1"/>
  <c r="F58" i="230" s="1"/>
  <c r="R50" i="230"/>
  <c r="U49" i="230"/>
  <c r="AE10" i="230"/>
  <c r="AF10" i="230" s="1"/>
  <c r="AN9" i="230"/>
  <c r="AO9" i="230" s="1"/>
  <c r="AM10" i="230" s="1"/>
  <c r="G10" i="230"/>
  <c r="H10" i="230" s="1"/>
  <c r="S10" i="230"/>
  <c r="T10" i="230" s="1"/>
  <c r="P57" i="230"/>
  <c r="Q57" i="230" s="1"/>
  <c r="O58" i="230" s="1"/>
  <c r="AB9" i="230"/>
  <c r="AC9" i="230" s="1"/>
  <c r="AA10" i="230" s="1"/>
  <c r="J10" i="230"/>
  <c r="K10" i="230" s="1"/>
  <c r="M9" i="230"/>
  <c r="N9" i="230" s="1"/>
  <c r="L10" i="230" s="1"/>
  <c r="AK9" i="230"/>
  <c r="AL9" i="230" s="1"/>
  <c r="AJ10" i="230" s="1"/>
  <c r="AH10" i="230"/>
  <c r="AI10" i="230" s="1"/>
  <c r="L25" i="230"/>
  <c r="V10" i="230"/>
  <c r="W10" i="230" s="1"/>
  <c r="P9" i="230"/>
  <c r="Q9" i="230" s="1"/>
  <c r="O10" i="230" s="1"/>
  <c r="S57" i="228"/>
  <c r="T57" i="228" s="1"/>
  <c r="R58" i="228" s="1"/>
  <c r="P58" i="228"/>
  <c r="Q58" i="228" s="1"/>
  <c r="O59" i="228" s="1"/>
  <c r="G57" i="228"/>
  <c r="H57" i="228" s="1"/>
  <c r="F58" i="228" s="1"/>
  <c r="M58" i="228"/>
  <c r="N58" i="228" s="1"/>
  <c r="L59" i="228" s="1"/>
  <c r="J58" i="228"/>
  <c r="K58" i="228" s="1"/>
  <c r="I59" i="228" s="1"/>
  <c r="P24" i="228"/>
  <c r="Q24" i="228" s="1"/>
  <c r="O25" i="228" s="1"/>
  <c r="M24" i="228"/>
  <c r="N24" i="228" s="1"/>
  <c r="L25" i="228" s="1"/>
  <c r="G24" i="228"/>
  <c r="H24" i="228" s="1"/>
  <c r="F25" i="228" s="1"/>
  <c r="O11" i="234" l="1"/>
  <c r="P11" i="234" s="1"/>
  <c r="Q11" i="234" s="1"/>
  <c r="O12" i="234" s="1"/>
  <c r="M47" i="221"/>
  <c r="D47" i="221" s="1"/>
  <c r="O11" i="236"/>
  <c r="P11" i="236" s="1"/>
  <c r="Q11" i="236" s="1"/>
  <c r="O12" i="236" s="1"/>
  <c r="O47" i="221"/>
  <c r="F47" i="221" s="1"/>
  <c r="L11" i="236"/>
  <c r="M11" i="236" s="1"/>
  <c r="N11" i="236" s="1"/>
  <c r="L12" i="236" s="1"/>
  <c r="O46" i="221"/>
  <c r="F46" i="221" s="1"/>
  <c r="U11" i="239"/>
  <c r="V11" i="239" s="1"/>
  <c r="W11" i="239" s="1"/>
  <c r="U12" i="239" s="1"/>
  <c r="K88" i="221"/>
  <c r="B88" i="221" s="1"/>
  <c r="AP11" i="240"/>
  <c r="AQ11" i="240" s="1"/>
  <c r="AR11" i="240" s="1"/>
  <c r="AP12" i="240" s="1"/>
  <c r="C95" i="221"/>
  <c r="L95" i="221"/>
  <c r="B82" i="221"/>
  <c r="E44" i="221"/>
  <c r="C44" i="221"/>
  <c r="L11" i="233"/>
  <c r="M11" i="233" s="1"/>
  <c r="N11" i="233" s="1"/>
  <c r="L12" i="233" s="1"/>
  <c r="L46" i="221"/>
  <c r="C46" i="221" s="1"/>
  <c r="AD11" i="230"/>
  <c r="AE11" i="230" s="1"/>
  <c r="AF11" i="230" s="1"/>
  <c r="AD12" i="230" s="1"/>
  <c r="L14" i="221"/>
  <c r="C14" i="221" s="1"/>
  <c r="AG11" i="231"/>
  <c r="AH11" i="231" s="1"/>
  <c r="AI11" i="231" s="1"/>
  <c r="AG12" i="231" s="1"/>
  <c r="K53" i="221"/>
  <c r="B53" i="221" s="1"/>
  <c r="AJ11" i="233"/>
  <c r="AK11" i="233" s="1"/>
  <c r="AL11" i="233" s="1"/>
  <c r="AJ12" i="233" s="1"/>
  <c r="L54" i="221"/>
  <c r="C54" i="221" s="1"/>
  <c r="R11" i="234"/>
  <c r="S11" i="234" s="1"/>
  <c r="T11" i="234" s="1"/>
  <c r="R12" i="234" s="1"/>
  <c r="M48" i="221"/>
  <c r="D48" i="221" s="1"/>
  <c r="AM11" i="234"/>
  <c r="AN11" i="234" s="1"/>
  <c r="AO11" i="234" s="1"/>
  <c r="AM12" i="234" s="1"/>
  <c r="M55" i="221"/>
  <c r="D55" i="221" s="1"/>
  <c r="O11" i="235"/>
  <c r="P11" i="235" s="1"/>
  <c r="Q11" i="235" s="1"/>
  <c r="O12" i="235" s="1"/>
  <c r="N47" i="221"/>
  <c r="E47" i="221" s="1"/>
  <c r="AJ11" i="236"/>
  <c r="AK11" i="236" s="1"/>
  <c r="AL11" i="236" s="1"/>
  <c r="AJ12" i="236" s="1"/>
  <c r="O54" i="221"/>
  <c r="F54" i="221" s="1"/>
  <c r="AD11" i="240"/>
  <c r="AE11" i="240" s="1"/>
  <c r="AF11" i="240" s="1"/>
  <c r="AD12" i="240" s="1"/>
  <c r="L91" i="221"/>
  <c r="C91" i="221" s="1"/>
  <c r="I11" i="240"/>
  <c r="J11" i="240" s="1"/>
  <c r="K11" i="240" s="1"/>
  <c r="I12" i="240" s="1"/>
  <c r="L84" i="221"/>
  <c r="C84" i="221" s="1"/>
  <c r="F11" i="234"/>
  <c r="G11" i="234" s="1"/>
  <c r="H11" i="234" s="1"/>
  <c r="F12" i="234" s="1"/>
  <c r="M44" i="221"/>
  <c r="AG11" i="230"/>
  <c r="AH11" i="230" s="1"/>
  <c r="AI11" i="230" s="1"/>
  <c r="AG12" i="230" s="1"/>
  <c r="L15" i="221"/>
  <c r="C15" i="221" s="1"/>
  <c r="X11" i="231"/>
  <c r="Y11" i="231" s="1"/>
  <c r="Z11" i="231" s="1"/>
  <c r="X12" i="231" s="1"/>
  <c r="K50" i="221"/>
  <c r="B50" i="221" s="1"/>
  <c r="X11" i="233"/>
  <c r="Y11" i="233" s="1"/>
  <c r="Z11" i="233" s="1"/>
  <c r="X12" i="233" s="1"/>
  <c r="L50" i="221"/>
  <c r="C50" i="221" s="1"/>
  <c r="R11" i="240"/>
  <c r="S11" i="240" s="1"/>
  <c r="T11" i="240" s="1"/>
  <c r="R12" i="240" s="1"/>
  <c r="L87" i="221"/>
  <c r="C87" i="221" s="1"/>
  <c r="X11" i="228"/>
  <c r="Y11" i="228" s="1"/>
  <c r="Z11" i="228" s="1"/>
  <c r="X12" i="228" s="1"/>
  <c r="Y12" i="228" s="1"/>
  <c r="Z12" i="228" s="1"/>
  <c r="X13" i="228" s="1"/>
  <c r="K12" i="221"/>
  <c r="B12" i="221" s="1"/>
  <c r="I11" i="230"/>
  <c r="J11" i="230" s="1"/>
  <c r="K11" i="230" s="1"/>
  <c r="I12" i="230" s="1"/>
  <c r="L7" i="221"/>
  <c r="C7" i="221" s="1"/>
  <c r="AD11" i="234"/>
  <c r="AE11" i="234" s="1"/>
  <c r="AF11" i="234" s="1"/>
  <c r="AD12" i="234" s="1"/>
  <c r="M52" i="221"/>
  <c r="D52" i="221" s="1"/>
  <c r="AM11" i="236"/>
  <c r="AN11" i="236" s="1"/>
  <c r="AO11" i="236" s="1"/>
  <c r="AM12" i="236" s="1"/>
  <c r="O55" i="221"/>
  <c r="F55" i="221" s="1"/>
  <c r="X11" i="236"/>
  <c r="Y11" i="236" s="1"/>
  <c r="Z11" i="236" s="1"/>
  <c r="X12" i="236" s="1"/>
  <c r="O50" i="221"/>
  <c r="F50" i="221" s="1"/>
  <c r="U11" i="231"/>
  <c r="V11" i="231" s="1"/>
  <c r="W11" i="231" s="1"/>
  <c r="U12" i="231" s="1"/>
  <c r="K49" i="221"/>
  <c r="B49" i="221" s="1"/>
  <c r="B48" i="221"/>
  <c r="AA11" i="236"/>
  <c r="AB11" i="236" s="1"/>
  <c r="AC11" i="236" s="1"/>
  <c r="AA12" i="236" s="1"/>
  <c r="O51" i="221"/>
  <c r="F51" i="221" s="1"/>
  <c r="C11" i="236"/>
  <c r="O43" i="221"/>
  <c r="F43" i="221" s="1"/>
  <c r="AG11" i="239"/>
  <c r="AH11" i="239" s="1"/>
  <c r="AI11" i="239" s="1"/>
  <c r="AG12" i="239" s="1"/>
  <c r="K92" i="221"/>
  <c r="B92" i="221" s="1"/>
  <c r="AG11" i="240"/>
  <c r="AH11" i="240" s="1"/>
  <c r="AI11" i="240" s="1"/>
  <c r="AG12" i="240" s="1"/>
  <c r="L92" i="221"/>
  <c r="C92" i="221" s="1"/>
  <c r="F11" i="240"/>
  <c r="L83" i="221"/>
  <c r="C83" i="221" s="1"/>
  <c r="AP11" i="228"/>
  <c r="AQ11" i="228" s="1"/>
  <c r="AR11" i="228" s="1"/>
  <c r="AP12" i="228" s="1"/>
  <c r="AQ12" i="228" s="1"/>
  <c r="AR12" i="228" s="1"/>
  <c r="AP13" i="228" s="1"/>
  <c r="AQ13" i="228" s="1"/>
  <c r="AR13" i="228" s="1"/>
  <c r="AP14" i="228" s="1"/>
  <c r="AQ14" i="228" s="1"/>
  <c r="AR14" i="228" s="1"/>
  <c r="AP15" i="228" s="1"/>
  <c r="AQ15" i="228" s="1"/>
  <c r="AR15" i="228" s="1"/>
  <c r="AP16" i="228" s="1"/>
  <c r="AQ16" i="228" s="1"/>
  <c r="AR16" i="228" s="1"/>
  <c r="AP17" i="228" s="1"/>
  <c r="AQ17" i="228" s="1"/>
  <c r="AR17" i="228" s="1"/>
  <c r="AP18" i="228" s="1"/>
  <c r="AQ18" i="228" s="1"/>
  <c r="AR18" i="228" s="1"/>
  <c r="AP19" i="228" s="1"/>
  <c r="AQ19" i="228" s="1"/>
  <c r="AR19" i="228" s="1"/>
  <c r="K18" i="221"/>
  <c r="B18" i="221" s="1"/>
  <c r="AP11" i="234"/>
  <c r="AQ11" i="234" s="1"/>
  <c r="AR11" i="234" s="1"/>
  <c r="AP12" i="234" s="1"/>
  <c r="M56" i="221"/>
  <c r="D56" i="221" s="1"/>
  <c r="U11" i="230"/>
  <c r="V11" i="230" s="1"/>
  <c r="W11" i="230" s="1"/>
  <c r="U12" i="230" s="1"/>
  <c r="L11" i="221"/>
  <c r="C11" i="221" s="1"/>
  <c r="AA11" i="235"/>
  <c r="AB11" i="235" s="1"/>
  <c r="AC11" i="235" s="1"/>
  <c r="AA12" i="235" s="1"/>
  <c r="N51" i="221"/>
  <c r="E51" i="221" s="1"/>
  <c r="AM11" i="235"/>
  <c r="AN11" i="235" s="1"/>
  <c r="AO11" i="235" s="1"/>
  <c r="AM12" i="235" s="1"/>
  <c r="N55" i="221"/>
  <c r="E55" i="221" s="1"/>
  <c r="AJ11" i="228"/>
  <c r="AK11" i="228" s="1"/>
  <c r="AL11" i="228" s="1"/>
  <c r="AJ12" i="228" s="1"/>
  <c r="K16" i="221"/>
  <c r="B16" i="221" s="1"/>
  <c r="C82" i="221"/>
  <c r="F44" i="221"/>
  <c r="C11" i="233"/>
  <c r="D11" i="233" s="1"/>
  <c r="E11" i="233" s="1"/>
  <c r="C12" i="233" s="1"/>
  <c r="L43" i="221"/>
  <c r="C43" i="221" s="1"/>
  <c r="R11" i="230"/>
  <c r="S11" i="230" s="1"/>
  <c r="T11" i="230" s="1"/>
  <c r="R12" i="230" s="1"/>
  <c r="L10" i="221"/>
  <c r="C10" i="221" s="1"/>
  <c r="AJ11" i="231"/>
  <c r="AK11" i="231" s="1"/>
  <c r="AL11" i="231" s="1"/>
  <c r="AJ12" i="231" s="1"/>
  <c r="K54" i="221"/>
  <c r="B54" i="221" s="1"/>
  <c r="U11" i="234"/>
  <c r="V11" i="234" s="1"/>
  <c r="W11" i="234" s="1"/>
  <c r="U12" i="234" s="1"/>
  <c r="M49" i="221"/>
  <c r="D49" i="221" s="1"/>
  <c r="F11" i="230"/>
  <c r="G11" i="230" s="1"/>
  <c r="H11" i="230" s="1"/>
  <c r="F12" i="230" s="1"/>
  <c r="L6" i="221"/>
  <c r="AP11" i="230"/>
  <c r="AQ11" i="230" s="1"/>
  <c r="AR11" i="230" s="1"/>
  <c r="AP12" i="230" s="1"/>
  <c r="L18" i="221"/>
  <c r="C18" i="221" s="1"/>
  <c r="C11" i="235"/>
  <c r="N43" i="221"/>
  <c r="E43" i="221" s="1"/>
  <c r="U11" i="240"/>
  <c r="V11" i="240" s="1"/>
  <c r="W11" i="240" s="1"/>
  <c r="U12" i="240" s="1"/>
  <c r="L88" i="221"/>
  <c r="C88" i="221" s="1"/>
  <c r="U11" i="228"/>
  <c r="V11" i="228" s="1"/>
  <c r="W11" i="228" s="1"/>
  <c r="U12" i="228" s="1"/>
  <c r="V12" i="228" s="1"/>
  <c r="W12" i="228" s="1"/>
  <c r="U13" i="228" s="1"/>
  <c r="V13" i="228" s="1"/>
  <c r="W13" i="228" s="1"/>
  <c r="U14" i="228" s="1"/>
  <c r="V14" i="228" s="1"/>
  <c r="W14" i="228" s="1"/>
  <c r="U15" i="228" s="1"/>
  <c r="V15" i="228" s="1"/>
  <c r="W15" i="228" s="1"/>
  <c r="U16" i="228" s="1"/>
  <c r="K11" i="221"/>
  <c r="B11" i="221" s="1"/>
  <c r="AS10" i="240"/>
  <c r="J10" i="239"/>
  <c r="K10" i="239" s="1"/>
  <c r="C26" i="233"/>
  <c r="D26" i="233" s="1"/>
  <c r="E26" i="233" s="1"/>
  <c r="C27" i="233" s="1"/>
  <c r="I26" i="234"/>
  <c r="J26" i="234" s="1"/>
  <c r="K26" i="234" s="1"/>
  <c r="I27" i="234" s="1"/>
  <c r="F26" i="235"/>
  <c r="G26" i="235" s="1"/>
  <c r="H26" i="235" s="1"/>
  <c r="F27" i="235" s="1"/>
  <c r="O26" i="233"/>
  <c r="P26" i="233" s="1"/>
  <c r="Q26" i="233" s="1"/>
  <c r="O27" i="233" s="1"/>
  <c r="L26" i="235"/>
  <c r="M26" i="235" s="1"/>
  <c r="N26" i="235" s="1"/>
  <c r="L27" i="235" s="1"/>
  <c r="F27" i="236"/>
  <c r="G27" i="236" s="1"/>
  <c r="H27" i="236" s="1"/>
  <c r="F28" i="236" s="1"/>
  <c r="I26" i="239"/>
  <c r="J26" i="239" s="1"/>
  <c r="K26" i="239" s="1"/>
  <c r="I27" i="239" s="1"/>
  <c r="C26" i="240"/>
  <c r="D26" i="240" s="1"/>
  <c r="E26" i="240" s="1"/>
  <c r="C27" i="240" s="1"/>
  <c r="F26" i="240"/>
  <c r="G26" i="240" s="1"/>
  <c r="H26" i="240" s="1"/>
  <c r="F27" i="240" s="1"/>
  <c r="R26" i="240"/>
  <c r="S26" i="240" s="1"/>
  <c r="T26" i="240" s="1"/>
  <c r="R27" i="240" s="1"/>
  <c r="L26" i="231"/>
  <c r="M26" i="231" s="1"/>
  <c r="N26" i="231" s="1"/>
  <c r="L27" i="231" s="1"/>
  <c r="R26" i="234"/>
  <c r="S26" i="234" s="1"/>
  <c r="T26" i="234" s="1"/>
  <c r="R27" i="234" s="1"/>
  <c r="L27" i="236"/>
  <c r="M27" i="236" s="1"/>
  <c r="N27" i="236" s="1"/>
  <c r="L28" i="236" s="1"/>
  <c r="I26" i="240"/>
  <c r="J26" i="240" s="1"/>
  <c r="K26" i="240" s="1"/>
  <c r="I27" i="240" s="1"/>
  <c r="O26" i="240"/>
  <c r="P26" i="240" s="1"/>
  <c r="Q26" i="240" s="1"/>
  <c r="O27" i="240" s="1"/>
  <c r="I26" i="231"/>
  <c r="J26" i="231" s="1"/>
  <c r="K26" i="231" s="1"/>
  <c r="I27" i="231" s="1"/>
  <c r="L26" i="233"/>
  <c r="M26" i="233" s="1"/>
  <c r="N26" i="233" s="1"/>
  <c r="L27" i="233" s="1"/>
  <c r="F26" i="234"/>
  <c r="G26" i="234" s="1"/>
  <c r="H26" i="234" s="1"/>
  <c r="F27" i="234" s="1"/>
  <c r="R26" i="235"/>
  <c r="S26" i="235" s="1"/>
  <c r="T26" i="235" s="1"/>
  <c r="R27" i="235" s="1"/>
  <c r="I27" i="236"/>
  <c r="J27" i="236" s="1"/>
  <c r="K27" i="236" s="1"/>
  <c r="I28" i="236" s="1"/>
  <c r="L26" i="239"/>
  <c r="M26" i="239" s="1"/>
  <c r="N26" i="239" s="1"/>
  <c r="L27" i="239" s="1"/>
  <c r="AB15" i="228"/>
  <c r="AC15" i="228" s="1"/>
  <c r="AA16" i="228" s="1"/>
  <c r="AB16" i="228" s="1"/>
  <c r="AC16" i="228" s="1"/>
  <c r="AA17" i="228" s="1"/>
  <c r="AB17" i="228" s="1"/>
  <c r="AC17" i="228" s="1"/>
  <c r="AA18" i="228" s="1"/>
  <c r="AN15" i="228"/>
  <c r="AO15" i="228" s="1"/>
  <c r="AM16" i="228" s="1"/>
  <c r="AN16" i="228" s="1"/>
  <c r="AO16" i="228" s="1"/>
  <c r="AM17" i="228" s="1"/>
  <c r="AN17" i="228" s="1"/>
  <c r="AO17" i="228" s="1"/>
  <c r="AM18" i="228" s="1"/>
  <c r="V24" i="228"/>
  <c r="AH17" i="228"/>
  <c r="AI17" i="228" s="1"/>
  <c r="AG18" i="228" s="1"/>
  <c r="AH18" i="228" s="1"/>
  <c r="AI18" i="228" s="1"/>
  <c r="AG19" i="228" s="1"/>
  <c r="S13" i="228"/>
  <c r="T13" i="228" s="1"/>
  <c r="R14" i="228" s="1"/>
  <c r="S14" i="228" s="1"/>
  <c r="T14" i="228" s="1"/>
  <c r="R15" i="228" s="1"/>
  <c r="S15" i="228" s="1"/>
  <c r="T15" i="228" s="1"/>
  <c r="R16" i="228" s="1"/>
  <c r="S16" i="228" s="1"/>
  <c r="T16" i="228" s="1"/>
  <c r="R17" i="228" s="1"/>
  <c r="S17" i="228" s="1"/>
  <c r="T17" i="228" s="1"/>
  <c r="R18" i="228" s="1"/>
  <c r="S18" i="228" s="1"/>
  <c r="T18" i="228" s="1"/>
  <c r="R19" i="228" s="1"/>
  <c r="S19" i="228" s="1"/>
  <c r="T19" i="228" s="1"/>
  <c r="AE13" i="228"/>
  <c r="AF13" i="228" s="1"/>
  <c r="AD14" i="228" s="1"/>
  <c r="AE14" i="228" s="1"/>
  <c r="AF14" i="228" s="1"/>
  <c r="AD15" i="228" s="1"/>
  <c r="AE15" i="228" s="1"/>
  <c r="AF15" i="228" s="1"/>
  <c r="AD16" i="228" s="1"/>
  <c r="P15" i="228"/>
  <c r="Q15" i="228" s="1"/>
  <c r="O16" i="228" s="1"/>
  <c r="M12" i="228"/>
  <c r="N12" i="228" s="1"/>
  <c r="L13" i="228" s="1"/>
  <c r="M13" i="228" s="1"/>
  <c r="N13" i="228" s="1"/>
  <c r="L14" i="228" s="1"/>
  <c r="J15" i="228"/>
  <c r="K15" i="228" s="1"/>
  <c r="I16" i="228" s="1"/>
  <c r="J16" i="228" s="1"/>
  <c r="K16" i="228" s="1"/>
  <c r="I17" i="228" s="1"/>
  <c r="J17" i="228" s="1"/>
  <c r="K17" i="228" s="1"/>
  <c r="I18" i="228" s="1"/>
  <c r="M12" i="240"/>
  <c r="N12" i="240" s="1"/>
  <c r="L13" i="240" s="1"/>
  <c r="AN12" i="240"/>
  <c r="AO12" i="240" s="1"/>
  <c r="AM13" i="240" s="1"/>
  <c r="P12" i="240"/>
  <c r="Q12" i="240" s="1"/>
  <c r="O13" i="240" s="1"/>
  <c r="M25" i="240"/>
  <c r="N25" i="240" s="1"/>
  <c r="AB12" i="240"/>
  <c r="AC12" i="240" s="1"/>
  <c r="AA13" i="240" s="1"/>
  <c r="D12" i="240"/>
  <c r="E12" i="240" s="1"/>
  <c r="C13" i="240" s="1"/>
  <c r="G11" i="240"/>
  <c r="H11" i="240" s="1"/>
  <c r="F12" i="240" s="1"/>
  <c r="AK12" i="240"/>
  <c r="AL12" i="240" s="1"/>
  <c r="AJ13" i="240" s="1"/>
  <c r="Y12" i="240"/>
  <c r="Z12" i="240" s="1"/>
  <c r="X13" i="240" s="1"/>
  <c r="G25" i="239"/>
  <c r="H25" i="239" s="1"/>
  <c r="D25" i="239"/>
  <c r="E25" i="239" s="1"/>
  <c r="S25" i="239"/>
  <c r="T25" i="239" s="1"/>
  <c r="P25" i="239"/>
  <c r="Q25" i="239" s="1"/>
  <c r="M12" i="239"/>
  <c r="N12" i="239" s="1"/>
  <c r="L13" i="239" s="1"/>
  <c r="P12" i="239"/>
  <c r="Q12" i="239" s="1"/>
  <c r="O13" i="239" s="1"/>
  <c r="AB12" i="239"/>
  <c r="AC12" i="239" s="1"/>
  <c r="AA13" i="239" s="1"/>
  <c r="S12" i="239"/>
  <c r="T12" i="239" s="1"/>
  <c r="R13" i="239" s="1"/>
  <c r="AQ12" i="239"/>
  <c r="AR12" i="239" s="1"/>
  <c r="AP13" i="239" s="1"/>
  <c r="Y12" i="239"/>
  <c r="Z12" i="239" s="1"/>
  <c r="X13" i="239" s="1"/>
  <c r="D12" i="239"/>
  <c r="E12" i="239" s="1"/>
  <c r="C13" i="239" s="1"/>
  <c r="AK12" i="239"/>
  <c r="AL12" i="239" s="1"/>
  <c r="AJ13" i="239" s="1"/>
  <c r="AE12" i="239"/>
  <c r="AF12" i="239" s="1"/>
  <c r="AD13" i="239" s="1"/>
  <c r="G12" i="239"/>
  <c r="H12" i="239" s="1"/>
  <c r="F13" i="239" s="1"/>
  <c r="AN12" i="239"/>
  <c r="AO12" i="239" s="1"/>
  <c r="AM13" i="239" s="1"/>
  <c r="G12" i="236"/>
  <c r="H12" i="236" s="1"/>
  <c r="F13" i="236" s="1"/>
  <c r="AE12" i="236"/>
  <c r="AF12" i="236" s="1"/>
  <c r="AD13" i="236" s="1"/>
  <c r="J12" i="236"/>
  <c r="K12" i="236" s="1"/>
  <c r="I13" i="236" s="1"/>
  <c r="P26" i="236"/>
  <c r="Q26" i="236" s="1"/>
  <c r="D26" i="236"/>
  <c r="E26" i="236" s="1"/>
  <c r="AQ12" i="236"/>
  <c r="AR12" i="236" s="1"/>
  <c r="S26" i="236"/>
  <c r="T26" i="236" s="1"/>
  <c r="S12" i="236"/>
  <c r="T12" i="236" s="1"/>
  <c r="R13" i="236" s="1"/>
  <c r="AH12" i="236"/>
  <c r="AI12" i="236" s="1"/>
  <c r="AG13" i="236" s="1"/>
  <c r="V12" i="236"/>
  <c r="W12" i="236" s="1"/>
  <c r="U13" i="236" s="1"/>
  <c r="P25" i="235"/>
  <c r="Q25" i="235" s="1"/>
  <c r="AE12" i="235"/>
  <c r="AF12" i="235" s="1"/>
  <c r="AD13" i="235" s="1"/>
  <c r="AQ12" i="235"/>
  <c r="AR12" i="235" s="1"/>
  <c r="AP13" i="235" s="1"/>
  <c r="D25" i="235"/>
  <c r="E25" i="235" s="1"/>
  <c r="J25" i="235"/>
  <c r="K25" i="235" s="1"/>
  <c r="Y12" i="235"/>
  <c r="Z12" i="235" s="1"/>
  <c r="X13" i="235" s="1"/>
  <c r="AH12" i="235"/>
  <c r="AI12" i="235" s="1"/>
  <c r="AG13" i="235" s="1"/>
  <c r="J12" i="235"/>
  <c r="K12" i="235" s="1"/>
  <c r="I13" i="235" s="1"/>
  <c r="G12" i="235"/>
  <c r="H12" i="235" s="1"/>
  <c r="F13" i="235" s="1"/>
  <c r="M12" i="235"/>
  <c r="N12" i="235" s="1"/>
  <c r="L13" i="235" s="1"/>
  <c r="V12" i="235"/>
  <c r="W12" i="235" s="1"/>
  <c r="U13" i="235" s="1"/>
  <c r="S12" i="235"/>
  <c r="T12" i="235" s="1"/>
  <c r="R13" i="235" s="1"/>
  <c r="AK12" i="235"/>
  <c r="AL12" i="235" s="1"/>
  <c r="AJ13" i="235" s="1"/>
  <c r="M12" i="234"/>
  <c r="N12" i="234" s="1"/>
  <c r="L13" i="234" s="1"/>
  <c r="AK12" i="234"/>
  <c r="AL12" i="234" s="1"/>
  <c r="AJ13" i="234" s="1"/>
  <c r="M25" i="234"/>
  <c r="N25" i="234" s="1"/>
  <c r="AB12" i="234"/>
  <c r="AC12" i="234" s="1"/>
  <c r="AA13" i="234" s="1"/>
  <c r="D25" i="234"/>
  <c r="E25" i="234" s="1"/>
  <c r="D12" i="234"/>
  <c r="E12" i="234" s="1"/>
  <c r="C13" i="234" s="1"/>
  <c r="Y12" i="234"/>
  <c r="Z12" i="234" s="1"/>
  <c r="X13" i="234" s="1"/>
  <c r="AH12" i="234"/>
  <c r="AI12" i="234" s="1"/>
  <c r="AG13" i="234" s="1"/>
  <c r="J12" i="234"/>
  <c r="K12" i="234" s="1"/>
  <c r="I13" i="234" s="1"/>
  <c r="S25" i="233"/>
  <c r="T25" i="233" s="1"/>
  <c r="S12" i="233"/>
  <c r="T12" i="233" s="1"/>
  <c r="R13" i="233" s="1"/>
  <c r="G12" i="233"/>
  <c r="H12" i="233" s="1"/>
  <c r="F13" i="233" s="1"/>
  <c r="G25" i="233"/>
  <c r="H25" i="233" s="1"/>
  <c r="AE12" i="233"/>
  <c r="AF12" i="233" s="1"/>
  <c r="AD13" i="233" s="1"/>
  <c r="J12" i="233"/>
  <c r="K12" i="233" s="1"/>
  <c r="I13" i="233" s="1"/>
  <c r="AH12" i="233"/>
  <c r="AI12" i="233" s="1"/>
  <c r="AG13" i="233" s="1"/>
  <c r="AN12" i="233"/>
  <c r="AO12" i="233" s="1"/>
  <c r="AM13" i="233" s="1"/>
  <c r="AB12" i="233"/>
  <c r="AC12" i="233" s="1"/>
  <c r="AA13" i="233" s="1"/>
  <c r="AQ12" i="233"/>
  <c r="AR12" i="233" s="1"/>
  <c r="AP13" i="233" s="1"/>
  <c r="P12" i="233"/>
  <c r="Q12" i="233" s="1"/>
  <c r="O13" i="233" s="1"/>
  <c r="V12" i="233"/>
  <c r="W12" i="233" s="1"/>
  <c r="U13" i="233" s="1"/>
  <c r="J25" i="233"/>
  <c r="K25" i="233" s="1"/>
  <c r="C58" i="228"/>
  <c r="D58" i="228" s="1"/>
  <c r="E58" i="228" s="1"/>
  <c r="U57" i="228"/>
  <c r="G60" i="231"/>
  <c r="H60" i="231" s="1"/>
  <c r="AN12" i="231"/>
  <c r="AO12" i="231" s="1"/>
  <c r="AM13" i="231" s="1"/>
  <c r="D25" i="231"/>
  <c r="E25" i="231" s="1"/>
  <c r="AQ12" i="231"/>
  <c r="AR12" i="231" s="1"/>
  <c r="AP13" i="231" s="1"/>
  <c r="J11" i="231"/>
  <c r="K11" i="231" s="1"/>
  <c r="D12" i="231"/>
  <c r="E12" i="231" s="1"/>
  <c r="J59" i="231"/>
  <c r="K59" i="231" s="1"/>
  <c r="M11" i="231"/>
  <c r="N11" i="231" s="1"/>
  <c r="AE12" i="231"/>
  <c r="AF12" i="231" s="1"/>
  <c r="AD13" i="231" s="1"/>
  <c r="S24" i="231"/>
  <c r="T24" i="231" s="1"/>
  <c r="R25" i="231" s="1"/>
  <c r="AB12" i="231"/>
  <c r="AC12" i="231" s="1"/>
  <c r="AA13" i="231" s="1"/>
  <c r="G25" i="231"/>
  <c r="H25" i="231" s="1"/>
  <c r="P12" i="231"/>
  <c r="Q12" i="231" s="1"/>
  <c r="P60" i="231"/>
  <c r="Q60" i="231" s="1"/>
  <c r="S12" i="231"/>
  <c r="T12" i="231" s="1"/>
  <c r="R13" i="231" s="1"/>
  <c r="G12" i="231"/>
  <c r="H12" i="231" s="1"/>
  <c r="D61" i="231"/>
  <c r="E61" i="231" s="1"/>
  <c r="U50" i="231"/>
  <c r="P25" i="231"/>
  <c r="Q25" i="231" s="1"/>
  <c r="R25" i="230"/>
  <c r="F25" i="230"/>
  <c r="P25" i="230"/>
  <c r="Q25" i="230" s="1"/>
  <c r="M25" i="230"/>
  <c r="N25" i="230" s="1"/>
  <c r="J58" i="230"/>
  <c r="K58" i="230" s="1"/>
  <c r="I59" i="230" s="1"/>
  <c r="Y10" i="230"/>
  <c r="Z10" i="230" s="1"/>
  <c r="P10" i="230"/>
  <c r="Q10" i="230" s="1"/>
  <c r="M10" i="230"/>
  <c r="N10" i="230" s="1"/>
  <c r="S50" i="230"/>
  <c r="T50" i="230" s="1"/>
  <c r="D59" i="230"/>
  <c r="E59" i="230" s="1"/>
  <c r="C60" i="230" s="1"/>
  <c r="AK10" i="230"/>
  <c r="AL10" i="230" s="1"/>
  <c r="P58" i="230"/>
  <c r="Q58" i="230" s="1"/>
  <c r="O59" i="230" s="1"/>
  <c r="G58" i="230"/>
  <c r="H58" i="230" s="1"/>
  <c r="F59" i="230" s="1"/>
  <c r="M59" i="230"/>
  <c r="N59" i="230" s="1"/>
  <c r="L60" i="230" s="1"/>
  <c r="D25" i="230"/>
  <c r="E25" i="230" s="1"/>
  <c r="AS10" i="230"/>
  <c r="AB10" i="230"/>
  <c r="AC10" i="230" s="1"/>
  <c r="AN10" i="230"/>
  <c r="AO10" i="230" s="1"/>
  <c r="I25" i="230"/>
  <c r="G58" i="228"/>
  <c r="H58" i="228" s="1"/>
  <c r="F59" i="228" s="1"/>
  <c r="J59" i="228"/>
  <c r="K59" i="228" s="1"/>
  <c r="I60" i="228" s="1"/>
  <c r="M59" i="228"/>
  <c r="N59" i="228" s="1"/>
  <c r="L60" i="228" s="1"/>
  <c r="P59" i="228"/>
  <c r="Q59" i="228" s="1"/>
  <c r="O60" i="228" s="1"/>
  <c r="S58" i="228"/>
  <c r="T58" i="228" s="1"/>
  <c r="R59" i="228" s="1"/>
  <c r="J24" i="228"/>
  <c r="K24" i="228" s="1"/>
  <c r="I25" i="228" s="1"/>
  <c r="S24" i="228"/>
  <c r="T24" i="228" s="1"/>
  <c r="R25" i="228" s="1"/>
  <c r="M25" i="228"/>
  <c r="N25" i="228" s="1"/>
  <c r="P25" i="228"/>
  <c r="Q25" i="228" s="1"/>
  <c r="G25" i="228"/>
  <c r="H25" i="228" s="1"/>
  <c r="D24" i="228"/>
  <c r="E24" i="228" s="1"/>
  <c r="C25" i="228" s="1"/>
  <c r="AS11" i="236" l="1"/>
  <c r="AS11" i="233"/>
  <c r="AS11" i="231"/>
  <c r="AS11" i="240"/>
  <c r="D11" i="236"/>
  <c r="E11" i="236" s="1"/>
  <c r="C12" i="236" s="1"/>
  <c r="D12" i="236" s="1"/>
  <c r="E12" i="236" s="1"/>
  <c r="C13" i="236" s="1"/>
  <c r="C96" i="221"/>
  <c r="AS11" i="235"/>
  <c r="AS11" i="234"/>
  <c r="AA11" i="230"/>
  <c r="AB11" i="230" s="1"/>
  <c r="AC11" i="230" s="1"/>
  <c r="AA12" i="230" s="1"/>
  <c r="L13" i="221"/>
  <c r="C13" i="221" s="1"/>
  <c r="AJ11" i="230"/>
  <c r="AK11" i="230" s="1"/>
  <c r="AL11" i="230" s="1"/>
  <c r="AJ12" i="230" s="1"/>
  <c r="L16" i="221"/>
  <c r="C16" i="221" s="1"/>
  <c r="I11" i="239"/>
  <c r="J11" i="239" s="1"/>
  <c r="K11" i="239" s="1"/>
  <c r="I12" i="239" s="1"/>
  <c r="J12" i="239" s="1"/>
  <c r="K12" i="239" s="1"/>
  <c r="I13" i="239" s="1"/>
  <c r="K84" i="221"/>
  <c r="D11" i="235"/>
  <c r="E11" i="235" s="1"/>
  <c r="C12" i="235" s="1"/>
  <c r="D12" i="235" s="1"/>
  <c r="E12" i="235" s="1"/>
  <c r="C13" i="235" s="1"/>
  <c r="O57" i="221"/>
  <c r="F57" i="221" s="1"/>
  <c r="D44" i="221"/>
  <c r="M57" i="221"/>
  <c r="D57" i="221" s="1"/>
  <c r="N57" i="221"/>
  <c r="E57" i="221" s="1"/>
  <c r="L11" i="230"/>
  <c r="M11" i="230" s="1"/>
  <c r="N11" i="230" s="1"/>
  <c r="L12" i="230" s="1"/>
  <c r="L8" i="221"/>
  <c r="C8" i="221" s="1"/>
  <c r="L96" i="221"/>
  <c r="K57" i="221"/>
  <c r="B57" i="221" s="1"/>
  <c r="O11" i="230"/>
  <c r="P11" i="230" s="1"/>
  <c r="Q11" i="230" s="1"/>
  <c r="O12" i="230" s="1"/>
  <c r="L9" i="221"/>
  <c r="C9" i="221" s="1"/>
  <c r="X11" i="230"/>
  <c r="L12" i="221"/>
  <c r="C12" i="221" s="1"/>
  <c r="AM11" i="230"/>
  <c r="AN11" i="230" s="1"/>
  <c r="AO11" i="230" s="1"/>
  <c r="AM12" i="230" s="1"/>
  <c r="L17" i="221"/>
  <c r="C17" i="221" s="1"/>
  <c r="C6" i="221"/>
  <c r="L57" i="221"/>
  <c r="C57" i="221" s="1"/>
  <c r="I26" i="233"/>
  <c r="J26" i="233" s="1"/>
  <c r="K26" i="233" s="1"/>
  <c r="I27" i="233" s="1"/>
  <c r="R26" i="233"/>
  <c r="S26" i="233" s="1"/>
  <c r="T26" i="233" s="1"/>
  <c r="R27" i="233" s="1"/>
  <c r="O27" i="236"/>
  <c r="P27" i="236" s="1"/>
  <c r="Q27" i="236" s="1"/>
  <c r="O28" i="236" s="1"/>
  <c r="R26" i="239"/>
  <c r="S26" i="239" s="1"/>
  <c r="T26" i="239" s="1"/>
  <c r="R27" i="239" s="1"/>
  <c r="O26" i="228"/>
  <c r="P26" i="228" s="1"/>
  <c r="Q26" i="228" s="1"/>
  <c r="O27" i="228" s="1"/>
  <c r="O26" i="230"/>
  <c r="P26" i="230" s="1"/>
  <c r="Q26" i="230" s="1"/>
  <c r="O27" i="230" s="1"/>
  <c r="O26" i="231"/>
  <c r="P26" i="231" s="1"/>
  <c r="Q26" i="231" s="1"/>
  <c r="O27" i="231" s="1"/>
  <c r="F26" i="231"/>
  <c r="G26" i="231" s="1"/>
  <c r="H26" i="231" s="1"/>
  <c r="F27" i="231" s="1"/>
  <c r="F26" i="233"/>
  <c r="G26" i="233" s="1"/>
  <c r="H26" i="233" s="1"/>
  <c r="F27" i="233" s="1"/>
  <c r="C26" i="234"/>
  <c r="D26" i="234" s="1"/>
  <c r="E26" i="234" s="1"/>
  <c r="C27" i="234" s="1"/>
  <c r="I26" i="235"/>
  <c r="J26" i="235" s="1"/>
  <c r="K26" i="235" s="1"/>
  <c r="I27" i="235" s="1"/>
  <c r="C26" i="239"/>
  <c r="D26" i="239" s="1"/>
  <c r="E26" i="239" s="1"/>
  <c r="C27" i="239" s="1"/>
  <c r="C26" i="231"/>
  <c r="D26" i="231" s="1"/>
  <c r="E26" i="231" s="1"/>
  <c r="C27" i="231" s="1"/>
  <c r="L26" i="234"/>
  <c r="M26" i="234" s="1"/>
  <c r="N26" i="234" s="1"/>
  <c r="L27" i="234" s="1"/>
  <c r="C26" i="235"/>
  <c r="D26" i="235" s="1"/>
  <c r="E26" i="235" s="1"/>
  <c r="C27" i="235" s="1"/>
  <c r="R27" i="236"/>
  <c r="S27" i="236" s="1"/>
  <c r="T27" i="236" s="1"/>
  <c r="R28" i="236" s="1"/>
  <c r="O26" i="239"/>
  <c r="P26" i="239" s="1"/>
  <c r="Q26" i="239" s="1"/>
  <c r="O27" i="239" s="1"/>
  <c r="L26" i="240"/>
  <c r="M26" i="240" s="1"/>
  <c r="N26" i="240" s="1"/>
  <c r="L27" i="240" s="1"/>
  <c r="F26" i="228"/>
  <c r="G26" i="228" s="1"/>
  <c r="H26" i="228" s="1"/>
  <c r="F27" i="228" s="1"/>
  <c r="L26" i="230"/>
  <c r="M26" i="230" s="1"/>
  <c r="N26" i="230" s="1"/>
  <c r="L27" i="230" s="1"/>
  <c r="L26" i="228"/>
  <c r="M26" i="228" s="1"/>
  <c r="N26" i="228" s="1"/>
  <c r="L27" i="228" s="1"/>
  <c r="C26" i="230"/>
  <c r="D26" i="230" s="1"/>
  <c r="E26" i="230" s="1"/>
  <c r="C27" i="230" s="1"/>
  <c r="O26" i="235"/>
  <c r="P26" i="235" s="1"/>
  <c r="Q26" i="235" s="1"/>
  <c r="O27" i="235" s="1"/>
  <c r="C27" i="236"/>
  <c r="D27" i="236" s="1"/>
  <c r="E27" i="236" s="1"/>
  <c r="C28" i="236" s="1"/>
  <c r="F26" i="239"/>
  <c r="G26" i="239" s="1"/>
  <c r="H26" i="239" s="1"/>
  <c r="F27" i="239" s="1"/>
  <c r="AE16" i="228"/>
  <c r="AF16" i="228" s="1"/>
  <c r="AD17" i="228" s="1"/>
  <c r="AB18" i="228"/>
  <c r="AC18" i="228" s="1"/>
  <c r="AA19" i="228" s="1"/>
  <c r="W24" i="228"/>
  <c r="V16" i="228"/>
  <c r="W16" i="228" s="1"/>
  <c r="U17" i="228" s="1"/>
  <c r="AK12" i="228"/>
  <c r="AL12" i="228" s="1"/>
  <c r="AJ13" i="228" s="1"/>
  <c r="AK13" i="228" s="1"/>
  <c r="AL13" i="228" s="1"/>
  <c r="AJ14" i="228" s="1"/>
  <c r="Y13" i="228"/>
  <c r="Z13" i="228" s="1"/>
  <c r="X14" i="228" s="1"/>
  <c r="AH19" i="228"/>
  <c r="AI19" i="228" s="1"/>
  <c r="AN18" i="228"/>
  <c r="AO18" i="228" s="1"/>
  <c r="AM19" i="228" s="1"/>
  <c r="P16" i="228"/>
  <c r="Q16" i="228" s="1"/>
  <c r="O17" i="228" s="1"/>
  <c r="P17" i="228" s="1"/>
  <c r="Q17" i="228" s="1"/>
  <c r="O18" i="228" s="1"/>
  <c r="M14" i="228"/>
  <c r="N14" i="228" s="1"/>
  <c r="L15" i="228" s="1"/>
  <c r="M15" i="228" s="1"/>
  <c r="N15" i="228" s="1"/>
  <c r="L16" i="228" s="1"/>
  <c r="M16" i="228" s="1"/>
  <c r="N16" i="228" s="1"/>
  <c r="L17" i="228" s="1"/>
  <c r="M17" i="228" s="1"/>
  <c r="N17" i="228" s="1"/>
  <c r="L18" i="228" s="1"/>
  <c r="J18" i="228"/>
  <c r="K18" i="228" s="1"/>
  <c r="I19" i="228" s="1"/>
  <c r="V12" i="240"/>
  <c r="W12" i="240" s="1"/>
  <c r="U13" i="240" s="1"/>
  <c r="P13" i="240"/>
  <c r="Q13" i="240" s="1"/>
  <c r="O14" i="240" s="1"/>
  <c r="J12" i="240"/>
  <c r="K12" i="240" s="1"/>
  <c r="I13" i="240" s="1"/>
  <c r="AS12" i="240"/>
  <c r="AB13" i="240"/>
  <c r="AC13" i="240" s="1"/>
  <c r="AA14" i="240" s="1"/>
  <c r="S12" i="240"/>
  <c r="T12" i="240" s="1"/>
  <c r="R13" i="240" s="1"/>
  <c r="D13" i="240"/>
  <c r="E13" i="240" s="1"/>
  <c r="C14" i="240" s="1"/>
  <c r="AN13" i="240"/>
  <c r="AO13" i="240" s="1"/>
  <c r="AM14" i="240" s="1"/>
  <c r="AQ12" i="240"/>
  <c r="AR12" i="240" s="1"/>
  <c r="AP13" i="240" s="1"/>
  <c r="G27" i="240"/>
  <c r="H27" i="240" s="1"/>
  <c r="F28" i="240" s="1"/>
  <c r="AK13" i="240"/>
  <c r="AL13" i="240" s="1"/>
  <c r="AJ14" i="240" s="1"/>
  <c r="G12" i="240"/>
  <c r="H12" i="240" s="1"/>
  <c r="F13" i="240" s="1"/>
  <c r="J27" i="240"/>
  <c r="K27" i="240" s="1"/>
  <c r="I28" i="240" s="1"/>
  <c r="AE12" i="240"/>
  <c r="AF12" i="240" s="1"/>
  <c r="AD13" i="240" s="1"/>
  <c r="AH12" i="240"/>
  <c r="AI12" i="240" s="1"/>
  <c r="AG13" i="240" s="1"/>
  <c r="Y13" i="240"/>
  <c r="Z13" i="240" s="1"/>
  <c r="X14" i="240" s="1"/>
  <c r="D27" i="240"/>
  <c r="E27" i="240" s="1"/>
  <c r="C28" i="240" s="1"/>
  <c r="P27" i="240"/>
  <c r="Q27" i="240" s="1"/>
  <c r="O28" i="240" s="1"/>
  <c r="S27" i="240"/>
  <c r="T27" i="240" s="1"/>
  <c r="R28" i="240" s="1"/>
  <c r="M13" i="240"/>
  <c r="N13" i="240" s="1"/>
  <c r="L14" i="240" s="1"/>
  <c r="M27" i="239"/>
  <c r="N27" i="239" s="1"/>
  <c r="L28" i="239" s="1"/>
  <c r="J27" i="239"/>
  <c r="K27" i="239" s="1"/>
  <c r="I28" i="239" s="1"/>
  <c r="G13" i="239"/>
  <c r="H13" i="239" s="1"/>
  <c r="F14" i="239" s="1"/>
  <c r="D13" i="239"/>
  <c r="E13" i="239" s="1"/>
  <c r="C14" i="239" s="1"/>
  <c r="P13" i="239"/>
  <c r="Q13" i="239" s="1"/>
  <c r="O14" i="239" s="1"/>
  <c r="S13" i="239"/>
  <c r="T13" i="239" s="1"/>
  <c r="R14" i="239" s="1"/>
  <c r="Y13" i="239"/>
  <c r="Z13" i="239" s="1"/>
  <c r="X14" i="239" s="1"/>
  <c r="AE13" i="239"/>
  <c r="AF13" i="239" s="1"/>
  <c r="AD14" i="239" s="1"/>
  <c r="AK13" i="239"/>
  <c r="AL13" i="239" s="1"/>
  <c r="AJ14" i="239" s="1"/>
  <c r="AQ13" i="239"/>
  <c r="AR13" i="239" s="1"/>
  <c r="AP14" i="239" s="1"/>
  <c r="AB13" i="239"/>
  <c r="AC13" i="239" s="1"/>
  <c r="AA14" i="239" s="1"/>
  <c r="AH12" i="239"/>
  <c r="AI12" i="239" s="1"/>
  <c r="AG13" i="239" s="1"/>
  <c r="V12" i="239"/>
  <c r="W12" i="239" s="1"/>
  <c r="U13" i="239" s="1"/>
  <c r="AN13" i="239"/>
  <c r="AO13" i="239" s="1"/>
  <c r="AM14" i="239" s="1"/>
  <c r="M13" i="239"/>
  <c r="N13" i="239" s="1"/>
  <c r="L14" i="239" s="1"/>
  <c r="J13" i="236"/>
  <c r="K13" i="236" s="1"/>
  <c r="I14" i="236" s="1"/>
  <c r="M28" i="236"/>
  <c r="N28" i="236" s="1"/>
  <c r="L29" i="236" s="1"/>
  <c r="AH13" i="236"/>
  <c r="AI13" i="236" s="1"/>
  <c r="AG14" i="236" s="1"/>
  <c r="Y12" i="236"/>
  <c r="Z12" i="236" s="1"/>
  <c r="X13" i="236" s="1"/>
  <c r="V13" i="236"/>
  <c r="W13" i="236" s="1"/>
  <c r="U14" i="236" s="1"/>
  <c r="S13" i="236"/>
  <c r="T13" i="236" s="1"/>
  <c r="R14" i="236" s="1"/>
  <c r="J28" i="236"/>
  <c r="K28" i="236" s="1"/>
  <c r="I29" i="236" s="1"/>
  <c r="AE13" i="236"/>
  <c r="AF13" i="236" s="1"/>
  <c r="AD14" i="236" s="1"/>
  <c r="P12" i="236"/>
  <c r="Q12" i="236" s="1"/>
  <c r="O13" i="236" s="1"/>
  <c r="G28" i="236"/>
  <c r="H28" i="236" s="1"/>
  <c r="F29" i="236" s="1"/>
  <c r="AK12" i="236"/>
  <c r="AL12" i="236" s="1"/>
  <c r="AJ13" i="236" s="1"/>
  <c r="AQ13" i="236"/>
  <c r="AR13" i="236" s="1"/>
  <c r="AN12" i="236"/>
  <c r="AO12" i="236" s="1"/>
  <c r="AM13" i="236" s="1"/>
  <c r="G13" i="236"/>
  <c r="H13" i="236" s="1"/>
  <c r="F14" i="236" s="1"/>
  <c r="M12" i="236"/>
  <c r="N12" i="236" s="1"/>
  <c r="L13" i="236" s="1"/>
  <c r="AB12" i="236"/>
  <c r="AC12" i="236" s="1"/>
  <c r="AA13" i="236" s="1"/>
  <c r="AB12" i="235"/>
  <c r="AC12" i="235" s="1"/>
  <c r="AA13" i="235" s="1"/>
  <c r="J13" i="235"/>
  <c r="K13" i="235" s="1"/>
  <c r="I14" i="235" s="1"/>
  <c r="V13" i="235"/>
  <c r="W13" i="235" s="1"/>
  <c r="U14" i="235" s="1"/>
  <c r="AH13" i="235"/>
  <c r="AI13" i="235" s="1"/>
  <c r="AG14" i="235" s="1"/>
  <c r="P12" i="235"/>
  <c r="Q12" i="235" s="1"/>
  <c r="O13" i="235" s="1"/>
  <c r="AN12" i="235"/>
  <c r="AO12" i="235" s="1"/>
  <c r="AM13" i="235" s="1"/>
  <c r="AK13" i="235"/>
  <c r="AL13" i="235" s="1"/>
  <c r="AJ14" i="235" s="1"/>
  <c r="S27" i="235"/>
  <c r="T27" i="235" s="1"/>
  <c r="R28" i="235" s="1"/>
  <c r="G13" i="235"/>
  <c r="H13" i="235" s="1"/>
  <c r="F14" i="235" s="1"/>
  <c r="S13" i="235"/>
  <c r="T13" i="235" s="1"/>
  <c r="R14" i="235" s="1"/>
  <c r="M13" i="235"/>
  <c r="N13" i="235" s="1"/>
  <c r="L14" i="235" s="1"/>
  <c r="G27" i="235"/>
  <c r="H27" i="235" s="1"/>
  <c r="F28" i="235" s="1"/>
  <c r="AE13" i="235"/>
  <c r="AF13" i="235" s="1"/>
  <c r="AD14" i="235" s="1"/>
  <c r="Y13" i="235"/>
  <c r="Z13" i="235" s="1"/>
  <c r="X14" i="235" s="1"/>
  <c r="AQ13" i="235"/>
  <c r="AR13" i="235" s="1"/>
  <c r="AP14" i="235" s="1"/>
  <c r="M27" i="235"/>
  <c r="N27" i="235" s="1"/>
  <c r="L28" i="235" s="1"/>
  <c r="S27" i="234"/>
  <c r="T27" i="234" s="1"/>
  <c r="R28" i="234" s="1"/>
  <c r="Y13" i="234"/>
  <c r="Z13" i="234" s="1"/>
  <c r="X14" i="234" s="1"/>
  <c r="AH13" i="234"/>
  <c r="AI13" i="234" s="1"/>
  <c r="AG14" i="234" s="1"/>
  <c r="G12" i="234"/>
  <c r="H12" i="234" s="1"/>
  <c r="F13" i="234" s="1"/>
  <c r="AK13" i="234"/>
  <c r="AL13" i="234" s="1"/>
  <c r="AJ14" i="234" s="1"/>
  <c r="J27" i="234"/>
  <c r="K27" i="234" s="1"/>
  <c r="I28" i="234" s="1"/>
  <c r="AN12" i="234"/>
  <c r="AO12" i="234" s="1"/>
  <c r="AM13" i="234" s="1"/>
  <c r="D13" i="234"/>
  <c r="E13" i="234" s="1"/>
  <c r="C14" i="234" s="1"/>
  <c r="P12" i="234"/>
  <c r="Q12" i="234" s="1"/>
  <c r="O13" i="234" s="1"/>
  <c r="AS12" i="234"/>
  <c r="M13" i="234"/>
  <c r="N13" i="234" s="1"/>
  <c r="L14" i="234" s="1"/>
  <c r="S12" i="234"/>
  <c r="T12" i="234" s="1"/>
  <c r="R13" i="234" s="1"/>
  <c r="J13" i="234"/>
  <c r="K13" i="234" s="1"/>
  <c r="I14" i="234" s="1"/>
  <c r="AE12" i="234"/>
  <c r="AF12" i="234" s="1"/>
  <c r="AD13" i="234" s="1"/>
  <c r="AQ12" i="234"/>
  <c r="AR12" i="234" s="1"/>
  <c r="AP13" i="234" s="1"/>
  <c r="G27" i="234"/>
  <c r="H27" i="234" s="1"/>
  <c r="F28" i="234" s="1"/>
  <c r="V12" i="234"/>
  <c r="W12" i="234" s="1"/>
  <c r="U13" i="234" s="1"/>
  <c r="AB13" i="234"/>
  <c r="AC13" i="234" s="1"/>
  <c r="AA14" i="234" s="1"/>
  <c r="AK12" i="233"/>
  <c r="AL12" i="233" s="1"/>
  <c r="AJ13" i="233" s="1"/>
  <c r="S13" i="233"/>
  <c r="T13" i="233" s="1"/>
  <c r="R14" i="233" s="1"/>
  <c r="V13" i="233"/>
  <c r="W13" i="233" s="1"/>
  <c r="U14" i="233" s="1"/>
  <c r="AN13" i="233"/>
  <c r="AO13" i="233" s="1"/>
  <c r="AM14" i="233" s="1"/>
  <c r="M12" i="233"/>
  <c r="N12" i="233" s="1"/>
  <c r="L13" i="233" s="1"/>
  <c r="P13" i="233"/>
  <c r="Q13" i="233" s="1"/>
  <c r="O14" i="233" s="1"/>
  <c r="G13" i="233"/>
  <c r="H13" i="233" s="1"/>
  <c r="F14" i="233" s="1"/>
  <c r="D27" i="233"/>
  <c r="E27" i="233" s="1"/>
  <c r="C28" i="233" s="1"/>
  <c r="AH13" i="233"/>
  <c r="AI13" i="233" s="1"/>
  <c r="AG14" i="233" s="1"/>
  <c r="AB13" i="233"/>
  <c r="AC13" i="233" s="1"/>
  <c r="AA14" i="233" s="1"/>
  <c r="D12" i="233"/>
  <c r="E12" i="233" s="1"/>
  <c r="C13" i="233" s="1"/>
  <c r="AS12" i="233"/>
  <c r="AQ13" i="233"/>
  <c r="AR13" i="233" s="1"/>
  <c r="AP14" i="233" s="1"/>
  <c r="J13" i="233"/>
  <c r="K13" i="233" s="1"/>
  <c r="I14" i="233" s="1"/>
  <c r="M27" i="233"/>
  <c r="N27" i="233" s="1"/>
  <c r="L28" i="233" s="1"/>
  <c r="AE13" i="233"/>
  <c r="AF13" i="233" s="1"/>
  <c r="AD14" i="233" s="1"/>
  <c r="P27" i="233"/>
  <c r="Q27" i="233" s="1"/>
  <c r="O28" i="233" s="1"/>
  <c r="Y12" i="233"/>
  <c r="Z12" i="233" s="1"/>
  <c r="X13" i="233" s="1"/>
  <c r="C59" i="228"/>
  <c r="D59" i="228" s="1"/>
  <c r="E59" i="228" s="1"/>
  <c r="U58" i="228"/>
  <c r="S13" i="231"/>
  <c r="T13" i="231" s="1"/>
  <c r="R14" i="231" s="1"/>
  <c r="D13" i="231"/>
  <c r="E13" i="231" s="1"/>
  <c r="V12" i="231"/>
  <c r="W12" i="231" s="1"/>
  <c r="U13" i="231" s="1"/>
  <c r="AH12" i="231"/>
  <c r="AI12" i="231" s="1"/>
  <c r="AG13" i="231" s="1"/>
  <c r="S25" i="231"/>
  <c r="T25" i="231" s="1"/>
  <c r="J60" i="231"/>
  <c r="K60" i="231" s="1"/>
  <c r="J12" i="231"/>
  <c r="K12" i="231" s="1"/>
  <c r="AS12" i="231"/>
  <c r="Y12" i="231"/>
  <c r="Z12" i="231" s="1"/>
  <c r="X13" i="231" s="1"/>
  <c r="AQ13" i="231"/>
  <c r="AR13" i="231" s="1"/>
  <c r="AP14" i="231" s="1"/>
  <c r="P61" i="231"/>
  <c r="Q61" i="231" s="1"/>
  <c r="P13" i="231"/>
  <c r="Q13" i="231" s="1"/>
  <c r="M12" i="231"/>
  <c r="N12" i="231" s="1"/>
  <c r="G61" i="231"/>
  <c r="H61" i="231" s="1"/>
  <c r="D62" i="231"/>
  <c r="E62" i="231" s="1"/>
  <c r="AB13" i="231"/>
  <c r="AC13" i="231" s="1"/>
  <c r="AA14" i="231" s="1"/>
  <c r="M27" i="231"/>
  <c r="N27" i="231" s="1"/>
  <c r="L28" i="231" s="1"/>
  <c r="G13" i="231"/>
  <c r="H13" i="231" s="1"/>
  <c r="AK12" i="231"/>
  <c r="AL12" i="231" s="1"/>
  <c r="AJ13" i="231" s="1"/>
  <c r="AE13" i="231"/>
  <c r="AF13" i="231" s="1"/>
  <c r="AD14" i="231" s="1"/>
  <c r="S52" i="231"/>
  <c r="T52" i="231" s="1"/>
  <c r="AN13" i="231"/>
  <c r="AO13" i="231" s="1"/>
  <c r="AM14" i="231" s="1"/>
  <c r="J27" i="231"/>
  <c r="K27" i="231" s="1"/>
  <c r="I28" i="231" s="1"/>
  <c r="M51" i="231"/>
  <c r="N51" i="231" s="1"/>
  <c r="J12" i="230"/>
  <c r="K12" i="230" s="1"/>
  <c r="I13" i="230" s="1"/>
  <c r="AH12" i="230"/>
  <c r="AI12" i="230" s="1"/>
  <c r="AG13" i="230" s="1"/>
  <c r="J25" i="230"/>
  <c r="K25" i="230" s="1"/>
  <c r="S12" i="230"/>
  <c r="T12" i="230" s="1"/>
  <c r="R13" i="230" s="1"/>
  <c r="V12" i="230"/>
  <c r="W12" i="230" s="1"/>
  <c r="U13" i="230" s="1"/>
  <c r="Y11" i="230"/>
  <c r="Z11" i="230" s="1"/>
  <c r="X12" i="230" s="1"/>
  <c r="D60" i="230"/>
  <c r="E60" i="230" s="1"/>
  <c r="C61" i="230" s="1"/>
  <c r="S25" i="230"/>
  <c r="T25" i="230" s="1"/>
  <c r="G25" i="230"/>
  <c r="H25" i="230" s="1"/>
  <c r="G59" i="230"/>
  <c r="H59" i="230" s="1"/>
  <c r="F60" i="230" s="1"/>
  <c r="M60" i="230"/>
  <c r="N60" i="230" s="1"/>
  <c r="L61" i="230" s="1"/>
  <c r="J59" i="230"/>
  <c r="K59" i="230" s="1"/>
  <c r="I60" i="230" s="1"/>
  <c r="AE12" i="230"/>
  <c r="AF12" i="230" s="1"/>
  <c r="AD13" i="230" s="1"/>
  <c r="AQ12" i="230"/>
  <c r="AR12" i="230" s="1"/>
  <c r="AP13" i="230" s="1"/>
  <c r="G12" i="230"/>
  <c r="H12" i="230" s="1"/>
  <c r="F13" i="230" s="1"/>
  <c r="P59" i="230"/>
  <c r="Q59" i="230" s="1"/>
  <c r="O60" i="230" s="1"/>
  <c r="R51" i="230"/>
  <c r="U50" i="230"/>
  <c r="S59" i="228"/>
  <c r="T59" i="228" s="1"/>
  <c r="R60" i="228" s="1"/>
  <c r="P60" i="228"/>
  <c r="Q60" i="228" s="1"/>
  <c r="O61" i="228" s="1"/>
  <c r="M60" i="228"/>
  <c r="N60" i="228" s="1"/>
  <c r="L61" i="228" s="1"/>
  <c r="J60" i="228"/>
  <c r="K60" i="228" s="1"/>
  <c r="I61" i="228" s="1"/>
  <c r="G59" i="228"/>
  <c r="H59" i="228" s="1"/>
  <c r="F60" i="228" s="1"/>
  <c r="S25" i="228"/>
  <c r="T25" i="228" s="1"/>
  <c r="J25" i="228"/>
  <c r="K25" i="228" s="1"/>
  <c r="D25" i="228"/>
  <c r="E25" i="228" s="1"/>
  <c r="AS12" i="235" l="1"/>
  <c r="AS12" i="236"/>
  <c r="AS11" i="239"/>
  <c r="AS12" i="239"/>
  <c r="AS11" i="230"/>
  <c r="L19" i="221"/>
  <c r="C19" i="221" s="1"/>
  <c r="B84" i="221"/>
  <c r="B96" i="221" s="1"/>
  <c r="K96" i="221"/>
  <c r="F26" i="230"/>
  <c r="G26" i="230" s="1"/>
  <c r="H26" i="230" s="1"/>
  <c r="F27" i="230" s="1"/>
  <c r="I26" i="230"/>
  <c r="J26" i="230" s="1"/>
  <c r="K26" i="230" s="1"/>
  <c r="I27" i="230" s="1"/>
  <c r="R26" i="230"/>
  <c r="S26" i="230" s="1"/>
  <c r="T26" i="230" s="1"/>
  <c r="R27" i="230" s="1"/>
  <c r="I26" i="228"/>
  <c r="J26" i="228" s="1"/>
  <c r="K26" i="228" s="1"/>
  <c r="I27" i="228" s="1"/>
  <c r="R26" i="231"/>
  <c r="S26" i="231" s="1"/>
  <c r="T26" i="231" s="1"/>
  <c r="R27" i="231" s="1"/>
  <c r="C26" i="228"/>
  <c r="D26" i="228" s="1"/>
  <c r="E26" i="228" s="1"/>
  <c r="R26" i="228"/>
  <c r="S26" i="228" s="1"/>
  <c r="T26" i="228" s="1"/>
  <c r="R27" i="228" s="1"/>
  <c r="AE17" i="228"/>
  <c r="AF17" i="228" s="1"/>
  <c r="AD18" i="228" s="1"/>
  <c r="AE18" i="228" s="1"/>
  <c r="AF18" i="228" s="1"/>
  <c r="AD19" i="228" s="1"/>
  <c r="AE19" i="228" s="1"/>
  <c r="AF19" i="228" s="1"/>
  <c r="AN19" i="228"/>
  <c r="AO19" i="228" s="1"/>
  <c r="AB19" i="228"/>
  <c r="AC19" i="228" s="1"/>
  <c r="V17" i="228"/>
  <c r="W17" i="228" s="1"/>
  <c r="U18" i="228" s="1"/>
  <c r="V18" i="228" s="1"/>
  <c r="W18" i="228" s="1"/>
  <c r="U19" i="228" s="1"/>
  <c r="AK14" i="228"/>
  <c r="AL14" i="228" s="1"/>
  <c r="AJ15" i="228" s="1"/>
  <c r="AK15" i="228" s="1"/>
  <c r="AL15" i="228" s="1"/>
  <c r="AJ16" i="228" s="1"/>
  <c r="Y14" i="228"/>
  <c r="Z14" i="228" s="1"/>
  <c r="X15" i="228" s="1"/>
  <c r="Y15" i="228" s="1"/>
  <c r="Z15" i="228" s="1"/>
  <c r="X16" i="228" s="1"/>
  <c r="U25" i="228"/>
  <c r="V25" i="228" s="1"/>
  <c r="W25" i="228" s="1"/>
  <c r="X24" i="228"/>
  <c r="P18" i="228"/>
  <c r="Q18" i="228" s="1"/>
  <c r="O19" i="228" s="1"/>
  <c r="M18" i="228"/>
  <c r="N18" i="228" s="1"/>
  <c r="L19" i="228" s="1"/>
  <c r="M19" i="228" s="1"/>
  <c r="N19" i="228" s="1"/>
  <c r="J19" i="228"/>
  <c r="K19" i="228" s="1"/>
  <c r="Y14" i="240"/>
  <c r="Z14" i="240" s="1"/>
  <c r="X15" i="240" s="1"/>
  <c r="AE13" i="240"/>
  <c r="AF13" i="240" s="1"/>
  <c r="AD14" i="240" s="1"/>
  <c r="AH13" i="240"/>
  <c r="AI13" i="240" s="1"/>
  <c r="AG14" i="240" s="1"/>
  <c r="AQ13" i="240"/>
  <c r="AR13" i="240" s="1"/>
  <c r="AP14" i="240" s="1"/>
  <c r="S13" i="240"/>
  <c r="T13" i="240" s="1"/>
  <c r="R14" i="240" s="1"/>
  <c r="P14" i="240"/>
  <c r="Q14" i="240" s="1"/>
  <c r="O15" i="240" s="1"/>
  <c r="D28" i="240"/>
  <c r="E28" i="240" s="1"/>
  <c r="C29" i="240" s="1"/>
  <c r="M27" i="240"/>
  <c r="N27" i="240" s="1"/>
  <c r="L28" i="240" s="1"/>
  <c r="AK14" i="240"/>
  <c r="AL14" i="240" s="1"/>
  <c r="AJ15" i="240" s="1"/>
  <c r="AN14" i="240"/>
  <c r="AO14" i="240" s="1"/>
  <c r="AM15" i="240" s="1"/>
  <c r="AB14" i="240"/>
  <c r="AC14" i="240" s="1"/>
  <c r="AA15" i="240" s="1"/>
  <c r="S28" i="240"/>
  <c r="T28" i="240" s="1"/>
  <c r="R29" i="240" s="1"/>
  <c r="J28" i="240"/>
  <c r="K28" i="240" s="1"/>
  <c r="I29" i="240" s="1"/>
  <c r="D14" i="240"/>
  <c r="E14" i="240" s="1"/>
  <c r="C15" i="240" s="1"/>
  <c r="J13" i="240"/>
  <c r="K13" i="240" s="1"/>
  <c r="I14" i="240" s="1"/>
  <c r="V13" i="240"/>
  <c r="W13" i="240" s="1"/>
  <c r="U14" i="240" s="1"/>
  <c r="M14" i="240"/>
  <c r="N14" i="240" s="1"/>
  <c r="L15" i="240" s="1"/>
  <c r="P28" i="240"/>
  <c r="Q28" i="240" s="1"/>
  <c r="O29" i="240" s="1"/>
  <c r="G13" i="240"/>
  <c r="H13" i="240" s="1"/>
  <c r="F14" i="240" s="1"/>
  <c r="G28" i="240"/>
  <c r="H28" i="240" s="1"/>
  <c r="F29" i="240" s="1"/>
  <c r="AS13" i="240"/>
  <c r="S27" i="239"/>
  <c r="T27" i="239" s="1"/>
  <c r="R28" i="239" s="1"/>
  <c r="J28" i="239"/>
  <c r="K28" i="239" s="1"/>
  <c r="I29" i="239" s="1"/>
  <c r="D27" i="239"/>
  <c r="E27" i="239" s="1"/>
  <c r="C28" i="239" s="1"/>
  <c r="G27" i="239"/>
  <c r="H27" i="239" s="1"/>
  <c r="F28" i="239" s="1"/>
  <c r="M28" i="239"/>
  <c r="N28" i="239" s="1"/>
  <c r="L29" i="239" s="1"/>
  <c r="P27" i="239"/>
  <c r="Q27" i="239" s="1"/>
  <c r="O28" i="239" s="1"/>
  <c r="AB14" i="239"/>
  <c r="AC14" i="239" s="1"/>
  <c r="AA15" i="239" s="1"/>
  <c r="AE14" i="239"/>
  <c r="AF14" i="239" s="1"/>
  <c r="AD15" i="239" s="1"/>
  <c r="Y14" i="239"/>
  <c r="Z14" i="239" s="1"/>
  <c r="X15" i="239" s="1"/>
  <c r="AQ14" i="239"/>
  <c r="AR14" i="239" s="1"/>
  <c r="AP15" i="239" s="1"/>
  <c r="M14" i="239"/>
  <c r="N14" i="239" s="1"/>
  <c r="L15" i="239" s="1"/>
  <c r="AN14" i="239"/>
  <c r="AO14" i="239" s="1"/>
  <c r="AM15" i="239" s="1"/>
  <c r="J13" i="239"/>
  <c r="K13" i="239" s="1"/>
  <c r="I14" i="239" s="1"/>
  <c r="AK14" i="239"/>
  <c r="AL14" i="239" s="1"/>
  <c r="AJ15" i="239" s="1"/>
  <c r="S14" i="239"/>
  <c r="T14" i="239" s="1"/>
  <c r="R15" i="239" s="1"/>
  <c r="P14" i="239"/>
  <c r="Q14" i="239" s="1"/>
  <c r="O15" i="239" s="1"/>
  <c r="D14" i="239"/>
  <c r="E14" i="239" s="1"/>
  <c r="C15" i="239" s="1"/>
  <c r="V13" i="239"/>
  <c r="W13" i="239" s="1"/>
  <c r="U14" i="239" s="1"/>
  <c r="AH13" i="239"/>
  <c r="AI13" i="239" s="1"/>
  <c r="AG14" i="239" s="1"/>
  <c r="G14" i="239"/>
  <c r="H14" i="239" s="1"/>
  <c r="F15" i="239" s="1"/>
  <c r="AS13" i="239"/>
  <c r="AN13" i="236"/>
  <c r="AO13" i="236" s="1"/>
  <c r="AM14" i="236" s="1"/>
  <c r="S28" i="236"/>
  <c r="T28" i="236" s="1"/>
  <c r="R29" i="236" s="1"/>
  <c r="AH14" i="236"/>
  <c r="AI14" i="236" s="1"/>
  <c r="AG15" i="236" s="1"/>
  <c r="AS13" i="236"/>
  <c r="D13" i="236"/>
  <c r="E13" i="236" s="1"/>
  <c r="C14" i="236" s="1"/>
  <c r="AE14" i="236"/>
  <c r="AF14" i="236" s="1"/>
  <c r="AD15" i="236" s="1"/>
  <c r="V14" i="236"/>
  <c r="W14" i="236" s="1"/>
  <c r="U15" i="236" s="1"/>
  <c r="M29" i="236"/>
  <c r="N29" i="236" s="1"/>
  <c r="L30" i="236" s="1"/>
  <c r="J14" i="236"/>
  <c r="K14" i="236" s="1"/>
  <c r="I15" i="236" s="1"/>
  <c r="AB13" i="236"/>
  <c r="AC13" i="236" s="1"/>
  <c r="AA14" i="236" s="1"/>
  <c r="G14" i="236"/>
  <c r="H14" i="236" s="1"/>
  <c r="F15" i="236" s="1"/>
  <c r="AQ14" i="236"/>
  <c r="AR14" i="236" s="1"/>
  <c r="AK13" i="236"/>
  <c r="AL13" i="236" s="1"/>
  <c r="AJ14" i="236" s="1"/>
  <c r="J29" i="236"/>
  <c r="K29" i="236" s="1"/>
  <c r="I30" i="236" s="1"/>
  <c r="M13" i="236"/>
  <c r="N13" i="236" s="1"/>
  <c r="L14" i="236" s="1"/>
  <c r="D28" i="236"/>
  <c r="E28" i="236" s="1"/>
  <c r="C29" i="236" s="1"/>
  <c r="G29" i="236"/>
  <c r="H29" i="236" s="1"/>
  <c r="F30" i="236" s="1"/>
  <c r="P13" i="236"/>
  <c r="Q13" i="236" s="1"/>
  <c r="O14" i="236" s="1"/>
  <c r="S14" i="236"/>
  <c r="T14" i="236" s="1"/>
  <c r="R15" i="236" s="1"/>
  <c r="Y13" i="236"/>
  <c r="Z13" i="236" s="1"/>
  <c r="X14" i="236" s="1"/>
  <c r="P28" i="236"/>
  <c r="Q28" i="236" s="1"/>
  <c r="O29" i="236" s="1"/>
  <c r="AS13" i="235"/>
  <c r="D13" i="235"/>
  <c r="E13" i="235" s="1"/>
  <c r="C14" i="235" s="1"/>
  <c r="P13" i="235"/>
  <c r="Q13" i="235" s="1"/>
  <c r="O14" i="235" s="1"/>
  <c r="J14" i="235"/>
  <c r="K14" i="235" s="1"/>
  <c r="I15" i="235" s="1"/>
  <c r="AH14" i="235"/>
  <c r="AI14" i="235" s="1"/>
  <c r="AG15" i="235" s="1"/>
  <c r="P27" i="235"/>
  <c r="Q27" i="235" s="1"/>
  <c r="O28" i="235" s="1"/>
  <c r="AN13" i="235"/>
  <c r="AO13" i="235" s="1"/>
  <c r="AM14" i="235" s="1"/>
  <c r="J27" i="235"/>
  <c r="K27" i="235" s="1"/>
  <c r="I28" i="235" s="1"/>
  <c r="AE14" i="235"/>
  <c r="AF14" i="235" s="1"/>
  <c r="AD15" i="235" s="1"/>
  <c r="S14" i="235"/>
  <c r="T14" i="235" s="1"/>
  <c r="R15" i="235" s="1"/>
  <c r="M28" i="235"/>
  <c r="N28" i="235" s="1"/>
  <c r="L29" i="235" s="1"/>
  <c r="S28" i="235"/>
  <c r="T28" i="235" s="1"/>
  <c r="R29" i="235" s="1"/>
  <c r="D27" i="235"/>
  <c r="E27" i="235" s="1"/>
  <c r="C28" i="235" s="1"/>
  <c r="V14" i="235"/>
  <c r="W14" i="235" s="1"/>
  <c r="U15" i="235" s="1"/>
  <c r="AB13" i="235"/>
  <c r="AC13" i="235" s="1"/>
  <c r="AA14" i="235" s="1"/>
  <c r="G28" i="235"/>
  <c r="H28" i="235" s="1"/>
  <c r="F29" i="235" s="1"/>
  <c r="AQ14" i="235"/>
  <c r="AR14" i="235" s="1"/>
  <c r="AP15" i="235" s="1"/>
  <c r="G14" i="235"/>
  <c r="H14" i="235" s="1"/>
  <c r="F15" i="235" s="1"/>
  <c r="Y14" i="235"/>
  <c r="Z14" i="235" s="1"/>
  <c r="X15" i="235" s="1"/>
  <c r="M14" i="235"/>
  <c r="N14" i="235" s="1"/>
  <c r="L15" i="235" s="1"/>
  <c r="AK14" i="235"/>
  <c r="AL14" i="235" s="1"/>
  <c r="AJ15" i="235" s="1"/>
  <c r="AE13" i="234"/>
  <c r="AF13" i="234" s="1"/>
  <c r="AD14" i="234" s="1"/>
  <c r="AB14" i="234"/>
  <c r="AC14" i="234" s="1"/>
  <c r="AA15" i="234" s="1"/>
  <c r="V13" i="234"/>
  <c r="W13" i="234" s="1"/>
  <c r="U14" i="234" s="1"/>
  <c r="AK14" i="234"/>
  <c r="AL14" i="234" s="1"/>
  <c r="AJ15" i="234" s="1"/>
  <c r="Y14" i="234"/>
  <c r="Z14" i="234" s="1"/>
  <c r="X15" i="234" s="1"/>
  <c r="D27" i="234"/>
  <c r="E27" i="234" s="1"/>
  <c r="C28" i="234" s="1"/>
  <c r="G28" i="234"/>
  <c r="H28" i="234" s="1"/>
  <c r="F29" i="234" s="1"/>
  <c r="G13" i="234"/>
  <c r="H13" i="234" s="1"/>
  <c r="F14" i="234" s="1"/>
  <c r="J28" i="234"/>
  <c r="K28" i="234" s="1"/>
  <c r="I29" i="234" s="1"/>
  <c r="AH14" i="234"/>
  <c r="AI14" i="234" s="1"/>
  <c r="AG15" i="234" s="1"/>
  <c r="S28" i="234"/>
  <c r="T28" i="234" s="1"/>
  <c r="R29" i="234" s="1"/>
  <c r="S13" i="234"/>
  <c r="T13" i="234" s="1"/>
  <c r="R14" i="234" s="1"/>
  <c r="D14" i="234"/>
  <c r="E14" i="234" s="1"/>
  <c r="C15" i="234" s="1"/>
  <c r="M27" i="234"/>
  <c r="N27" i="234" s="1"/>
  <c r="L28" i="234" s="1"/>
  <c r="P13" i="234"/>
  <c r="Q13" i="234" s="1"/>
  <c r="O14" i="234" s="1"/>
  <c r="AS13" i="234"/>
  <c r="AQ13" i="234"/>
  <c r="AR13" i="234" s="1"/>
  <c r="AP14" i="234" s="1"/>
  <c r="J14" i="234"/>
  <c r="K14" i="234" s="1"/>
  <c r="I15" i="234" s="1"/>
  <c r="M14" i="234"/>
  <c r="N14" i="234" s="1"/>
  <c r="L15" i="234" s="1"/>
  <c r="AN13" i="234"/>
  <c r="AO13" i="234" s="1"/>
  <c r="AM14" i="234" s="1"/>
  <c r="AQ14" i="233"/>
  <c r="AR14" i="233" s="1"/>
  <c r="AP15" i="233" s="1"/>
  <c r="AB14" i="233"/>
  <c r="AC14" i="233" s="1"/>
  <c r="AA15" i="233" s="1"/>
  <c r="V14" i="233"/>
  <c r="W14" i="233" s="1"/>
  <c r="U15" i="233" s="1"/>
  <c r="P28" i="233"/>
  <c r="Q28" i="233" s="1"/>
  <c r="O29" i="233" s="1"/>
  <c r="S27" i="233"/>
  <c r="T27" i="233" s="1"/>
  <c r="R28" i="233" s="1"/>
  <c r="Y13" i="233"/>
  <c r="Z13" i="233" s="1"/>
  <c r="X14" i="233" s="1"/>
  <c r="G14" i="233"/>
  <c r="H14" i="233" s="1"/>
  <c r="F15" i="233" s="1"/>
  <c r="AE14" i="233"/>
  <c r="AF14" i="233" s="1"/>
  <c r="AD15" i="233" s="1"/>
  <c r="J14" i="233"/>
  <c r="K14" i="233" s="1"/>
  <c r="I15" i="233" s="1"/>
  <c r="M28" i="233"/>
  <c r="N28" i="233" s="1"/>
  <c r="L29" i="233" s="1"/>
  <c r="AS13" i="233"/>
  <c r="D13" i="233"/>
  <c r="E13" i="233" s="1"/>
  <c r="C14" i="233" s="1"/>
  <c r="D28" i="233"/>
  <c r="E28" i="233" s="1"/>
  <c r="C29" i="233" s="1"/>
  <c r="J27" i="233"/>
  <c r="K27" i="233" s="1"/>
  <c r="I28" i="233" s="1"/>
  <c r="P14" i="233"/>
  <c r="Q14" i="233" s="1"/>
  <c r="O15" i="233" s="1"/>
  <c r="M13" i="233"/>
  <c r="N13" i="233" s="1"/>
  <c r="L14" i="233" s="1"/>
  <c r="AN14" i="233"/>
  <c r="AO14" i="233" s="1"/>
  <c r="AM15" i="233" s="1"/>
  <c r="S14" i="233"/>
  <c r="T14" i="233" s="1"/>
  <c r="R15" i="233" s="1"/>
  <c r="AH14" i="233"/>
  <c r="AI14" i="233" s="1"/>
  <c r="AG15" i="233" s="1"/>
  <c r="G27" i="233"/>
  <c r="H27" i="233" s="1"/>
  <c r="F28" i="233" s="1"/>
  <c r="AK13" i="233"/>
  <c r="AL13" i="233" s="1"/>
  <c r="AJ14" i="233" s="1"/>
  <c r="C60" i="228"/>
  <c r="D60" i="228" s="1"/>
  <c r="E60" i="228" s="1"/>
  <c r="U59" i="228"/>
  <c r="AB14" i="231"/>
  <c r="AC14" i="231" s="1"/>
  <c r="AA15" i="231" s="1"/>
  <c r="AH13" i="231"/>
  <c r="AI13" i="231" s="1"/>
  <c r="AG14" i="231" s="1"/>
  <c r="AE14" i="231"/>
  <c r="AF14" i="231" s="1"/>
  <c r="AD15" i="231" s="1"/>
  <c r="P14" i="231"/>
  <c r="Q14" i="231" s="1"/>
  <c r="V13" i="231"/>
  <c r="W13" i="231" s="1"/>
  <c r="U14" i="231" s="1"/>
  <c r="P62" i="231"/>
  <c r="Q62" i="231" s="1"/>
  <c r="U51" i="231"/>
  <c r="AK13" i="231"/>
  <c r="AL13" i="231" s="1"/>
  <c r="AJ14" i="231" s="1"/>
  <c r="G62" i="231"/>
  <c r="H62" i="231" s="1"/>
  <c r="J61" i="231"/>
  <c r="K61" i="231" s="1"/>
  <c r="S14" i="231"/>
  <c r="T14" i="231" s="1"/>
  <c r="R15" i="231" s="1"/>
  <c r="AN14" i="231"/>
  <c r="AO14" i="231" s="1"/>
  <c r="AM15" i="231" s="1"/>
  <c r="M28" i="231"/>
  <c r="N28" i="231" s="1"/>
  <c r="L29" i="231" s="1"/>
  <c r="M13" i="231"/>
  <c r="N13" i="231" s="1"/>
  <c r="P27" i="231"/>
  <c r="Q27" i="231" s="1"/>
  <c r="O28" i="231" s="1"/>
  <c r="AS13" i="231"/>
  <c r="G27" i="231"/>
  <c r="H27" i="231" s="1"/>
  <c r="F28" i="231" s="1"/>
  <c r="J13" i="231"/>
  <c r="K13" i="231" s="1"/>
  <c r="D27" i="231"/>
  <c r="E27" i="231" s="1"/>
  <c r="C28" i="231" s="1"/>
  <c r="D14" i="231"/>
  <c r="E14" i="231" s="1"/>
  <c r="J28" i="231"/>
  <c r="K28" i="231" s="1"/>
  <c r="I29" i="231" s="1"/>
  <c r="D63" i="231"/>
  <c r="E63" i="231" s="1"/>
  <c r="Y13" i="231"/>
  <c r="Z13" i="231" s="1"/>
  <c r="X14" i="231" s="1"/>
  <c r="G14" i="231"/>
  <c r="H14" i="231" s="1"/>
  <c r="AQ14" i="231"/>
  <c r="AR14" i="231" s="1"/>
  <c r="AP15" i="231" s="1"/>
  <c r="AQ13" i="230"/>
  <c r="AR13" i="230" s="1"/>
  <c r="AP14" i="230" s="1"/>
  <c r="M12" i="230"/>
  <c r="N12" i="230" s="1"/>
  <c r="L13" i="230" s="1"/>
  <c r="P27" i="230"/>
  <c r="Q27" i="230" s="1"/>
  <c r="O28" i="230" s="1"/>
  <c r="S13" i="230"/>
  <c r="T13" i="230" s="1"/>
  <c r="R14" i="230" s="1"/>
  <c r="G13" i="230"/>
  <c r="H13" i="230" s="1"/>
  <c r="F14" i="230" s="1"/>
  <c r="AE13" i="230"/>
  <c r="AF13" i="230" s="1"/>
  <c r="AD14" i="230" s="1"/>
  <c r="Y12" i="230"/>
  <c r="Z12" i="230" s="1"/>
  <c r="X13" i="230" s="1"/>
  <c r="AK12" i="230"/>
  <c r="AL12" i="230" s="1"/>
  <c r="AJ13" i="230" s="1"/>
  <c r="D27" i="230"/>
  <c r="E27" i="230" s="1"/>
  <c r="C28" i="230" s="1"/>
  <c r="P12" i="230"/>
  <c r="Q12" i="230" s="1"/>
  <c r="O13" i="230" s="1"/>
  <c r="J13" i="230"/>
  <c r="K13" i="230" s="1"/>
  <c r="I14" i="230" s="1"/>
  <c r="AN12" i="230"/>
  <c r="AO12" i="230" s="1"/>
  <c r="AM13" i="230" s="1"/>
  <c r="J60" i="230"/>
  <c r="K60" i="230" s="1"/>
  <c r="I61" i="230" s="1"/>
  <c r="AB12" i="230"/>
  <c r="AC12" i="230" s="1"/>
  <c r="AA13" i="230" s="1"/>
  <c r="G60" i="230"/>
  <c r="H60" i="230" s="1"/>
  <c r="F61" i="230" s="1"/>
  <c r="AS12" i="230"/>
  <c r="M27" i="230"/>
  <c r="N27" i="230" s="1"/>
  <c r="L28" i="230" s="1"/>
  <c r="D61" i="230"/>
  <c r="E61" i="230" s="1"/>
  <c r="C62" i="230" s="1"/>
  <c r="AH13" i="230"/>
  <c r="AI13" i="230" s="1"/>
  <c r="AG14" i="230" s="1"/>
  <c r="P60" i="230"/>
  <c r="Q60" i="230" s="1"/>
  <c r="O61" i="230" s="1"/>
  <c r="S51" i="230"/>
  <c r="T51" i="230" s="1"/>
  <c r="M61" i="230"/>
  <c r="N61" i="230" s="1"/>
  <c r="L62" i="230" s="1"/>
  <c r="V13" i="230"/>
  <c r="W13" i="230" s="1"/>
  <c r="U14" i="230" s="1"/>
  <c r="G60" i="228"/>
  <c r="H60" i="228" s="1"/>
  <c r="F61" i="228" s="1"/>
  <c r="J61" i="228"/>
  <c r="K61" i="228" s="1"/>
  <c r="I62" i="228" s="1"/>
  <c r="M61" i="228"/>
  <c r="N61" i="228" s="1"/>
  <c r="L62" i="228" s="1"/>
  <c r="P61" i="228"/>
  <c r="Q61" i="228" s="1"/>
  <c r="O62" i="228" s="1"/>
  <c r="S60" i="228"/>
  <c r="T60" i="228" s="1"/>
  <c r="R61" i="228" s="1"/>
  <c r="M27" i="228"/>
  <c r="N27" i="228" s="1"/>
  <c r="L28" i="228" s="1"/>
  <c r="P27" i="228"/>
  <c r="Q27" i="228" s="1"/>
  <c r="O28" i="228" s="1"/>
  <c r="G27" i="228"/>
  <c r="H27" i="228" s="1"/>
  <c r="F28" i="228" s="1"/>
  <c r="Y16" i="228" l="1"/>
  <c r="Z16" i="228" s="1"/>
  <c r="X17" i="228" s="1"/>
  <c r="Y17" i="228" s="1"/>
  <c r="Z17" i="228" s="1"/>
  <c r="X18" i="228" s="1"/>
  <c r="AK16" i="228"/>
  <c r="AL16" i="228" s="1"/>
  <c r="AJ17" i="228" s="1"/>
  <c r="V19" i="228"/>
  <c r="W19" i="228" s="1"/>
  <c r="C27" i="228"/>
  <c r="D27" i="228" s="1"/>
  <c r="E27" i="228" s="1"/>
  <c r="C28" i="228" s="1"/>
  <c r="U26" i="228"/>
  <c r="X25" i="228"/>
  <c r="P19" i="228"/>
  <c r="Q19" i="228" s="1"/>
  <c r="P29" i="240"/>
  <c r="Q29" i="240" s="1"/>
  <c r="J29" i="240"/>
  <c r="K29" i="240" s="1"/>
  <c r="AB15" i="240"/>
  <c r="AC15" i="240" s="1"/>
  <c r="AA16" i="240" s="1"/>
  <c r="AQ14" i="240"/>
  <c r="AR14" i="240" s="1"/>
  <c r="AP15" i="240" s="1"/>
  <c r="G29" i="240"/>
  <c r="H29" i="240" s="1"/>
  <c r="J14" i="240"/>
  <c r="K14" i="240" s="1"/>
  <c r="I15" i="240" s="1"/>
  <c r="AS14" i="240"/>
  <c r="M28" i="240"/>
  <c r="N28" i="240" s="1"/>
  <c r="L29" i="240" s="1"/>
  <c r="Y15" i="240"/>
  <c r="Z15" i="240" s="1"/>
  <c r="X16" i="240" s="1"/>
  <c r="G14" i="240"/>
  <c r="H14" i="240" s="1"/>
  <c r="F15" i="240" s="1"/>
  <c r="M15" i="240"/>
  <c r="N15" i="240" s="1"/>
  <c r="L16" i="240" s="1"/>
  <c r="V14" i="240"/>
  <c r="W14" i="240" s="1"/>
  <c r="U15" i="240" s="1"/>
  <c r="D15" i="240"/>
  <c r="E15" i="240" s="1"/>
  <c r="C16" i="240" s="1"/>
  <c r="AK15" i="240"/>
  <c r="AL15" i="240" s="1"/>
  <c r="AJ16" i="240" s="1"/>
  <c r="D29" i="240"/>
  <c r="E29" i="240" s="1"/>
  <c r="S14" i="240"/>
  <c r="T14" i="240" s="1"/>
  <c r="R15" i="240" s="1"/>
  <c r="AE14" i="240"/>
  <c r="AF14" i="240" s="1"/>
  <c r="AD15" i="240" s="1"/>
  <c r="S29" i="240"/>
  <c r="T29" i="240" s="1"/>
  <c r="AN15" i="240"/>
  <c r="AO15" i="240" s="1"/>
  <c r="AM16" i="240" s="1"/>
  <c r="P15" i="240"/>
  <c r="Q15" i="240" s="1"/>
  <c r="O16" i="240" s="1"/>
  <c r="AH14" i="240"/>
  <c r="AI14" i="240" s="1"/>
  <c r="AG15" i="240" s="1"/>
  <c r="M29" i="239"/>
  <c r="N29" i="239" s="1"/>
  <c r="D28" i="239"/>
  <c r="E28" i="239" s="1"/>
  <c r="C29" i="239" s="1"/>
  <c r="G28" i="239"/>
  <c r="H28" i="239" s="1"/>
  <c r="F29" i="239" s="1"/>
  <c r="S28" i="239"/>
  <c r="T28" i="239" s="1"/>
  <c r="R29" i="239" s="1"/>
  <c r="P28" i="239"/>
  <c r="Q28" i="239" s="1"/>
  <c r="O29" i="239" s="1"/>
  <c r="J29" i="239"/>
  <c r="K29" i="239" s="1"/>
  <c r="P15" i="239"/>
  <c r="Q15" i="239" s="1"/>
  <c r="O16" i="239" s="1"/>
  <c r="AB15" i="239"/>
  <c r="AC15" i="239" s="1"/>
  <c r="AA16" i="239" s="1"/>
  <c r="AQ15" i="239"/>
  <c r="AR15" i="239" s="1"/>
  <c r="AP16" i="239" s="1"/>
  <c r="S15" i="239"/>
  <c r="T15" i="239" s="1"/>
  <c r="R16" i="239" s="1"/>
  <c r="G15" i="239"/>
  <c r="H15" i="239" s="1"/>
  <c r="F16" i="239" s="1"/>
  <c r="AN15" i="239"/>
  <c r="AO15" i="239" s="1"/>
  <c r="AM16" i="239" s="1"/>
  <c r="D15" i="239"/>
  <c r="E15" i="239" s="1"/>
  <c r="C16" i="239" s="1"/>
  <c r="AH14" i="239"/>
  <c r="AI14" i="239" s="1"/>
  <c r="AG15" i="239" s="1"/>
  <c r="M15" i="239"/>
  <c r="N15" i="239" s="1"/>
  <c r="L16" i="239" s="1"/>
  <c r="V14" i="239"/>
  <c r="W14" i="239" s="1"/>
  <c r="U15" i="239" s="1"/>
  <c r="J14" i="239"/>
  <c r="K14" i="239" s="1"/>
  <c r="I15" i="239" s="1"/>
  <c r="AE15" i="239"/>
  <c r="AF15" i="239" s="1"/>
  <c r="AD16" i="239" s="1"/>
  <c r="AK15" i="239"/>
  <c r="AL15" i="239" s="1"/>
  <c r="AJ16" i="239" s="1"/>
  <c r="Y15" i="239"/>
  <c r="Z15" i="239" s="1"/>
  <c r="X16" i="239" s="1"/>
  <c r="AS14" i="239"/>
  <c r="Y14" i="236"/>
  <c r="Z14" i="236" s="1"/>
  <c r="X15" i="236" s="1"/>
  <c r="M14" i="236"/>
  <c r="N14" i="236" s="1"/>
  <c r="L15" i="236" s="1"/>
  <c r="AB14" i="236"/>
  <c r="AC14" i="236" s="1"/>
  <c r="AA15" i="236" s="1"/>
  <c r="AQ15" i="236"/>
  <c r="AR15" i="236" s="1"/>
  <c r="AN14" i="236"/>
  <c r="AO14" i="236" s="1"/>
  <c r="AM15" i="236" s="1"/>
  <c r="G30" i="236"/>
  <c r="H30" i="236" s="1"/>
  <c r="AE15" i="236"/>
  <c r="AF15" i="236" s="1"/>
  <c r="AD16" i="236" s="1"/>
  <c r="AH15" i="236"/>
  <c r="AI15" i="236" s="1"/>
  <c r="AG16" i="236" s="1"/>
  <c r="P29" i="236"/>
  <c r="Q29" i="236" s="1"/>
  <c r="O30" i="236" s="1"/>
  <c r="P14" i="236"/>
  <c r="Q14" i="236" s="1"/>
  <c r="O15" i="236" s="1"/>
  <c r="D29" i="236"/>
  <c r="E29" i="236" s="1"/>
  <c r="C30" i="236" s="1"/>
  <c r="M30" i="236"/>
  <c r="N30" i="236" s="1"/>
  <c r="S15" i="236"/>
  <c r="T15" i="236" s="1"/>
  <c r="R16" i="236" s="1"/>
  <c r="AK14" i="236"/>
  <c r="AL14" i="236" s="1"/>
  <c r="AJ15" i="236" s="1"/>
  <c r="G15" i="236"/>
  <c r="H15" i="236" s="1"/>
  <c r="F16" i="236" s="1"/>
  <c r="J15" i="236"/>
  <c r="K15" i="236" s="1"/>
  <c r="I16" i="236" s="1"/>
  <c r="V15" i="236"/>
  <c r="W15" i="236" s="1"/>
  <c r="U16" i="236" s="1"/>
  <c r="AS14" i="236"/>
  <c r="D14" i="236"/>
  <c r="E14" i="236" s="1"/>
  <c r="C15" i="236" s="1"/>
  <c r="J30" i="236"/>
  <c r="K30" i="236" s="1"/>
  <c r="S29" i="236"/>
  <c r="T29" i="236" s="1"/>
  <c r="R30" i="236" s="1"/>
  <c r="D28" i="235"/>
  <c r="E28" i="235" s="1"/>
  <c r="C29" i="235" s="1"/>
  <c r="J15" i="235"/>
  <c r="K15" i="235" s="1"/>
  <c r="I16" i="235" s="1"/>
  <c r="AB14" i="235"/>
  <c r="AC14" i="235" s="1"/>
  <c r="AA15" i="235" s="1"/>
  <c r="V15" i="235"/>
  <c r="W15" i="235" s="1"/>
  <c r="U16" i="235" s="1"/>
  <c r="AN14" i="235"/>
  <c r="AO14" i="235" s="1"/>
  <c r="AM15" i="235" s="1"/>
  <c r="AH15" i="235"/>
  <c r="AI15" i="235" s="1"/>
  <c r="AG16" i="235" s="1"/>
  <c r="P14" i="235"/>
  <c r="Q14" i="235" s="1"/>
  <c r="O15" i="235" s="1"/>
  <c r="AS14" i="235"/>
  <c r="D14" i="235"/>
  <c r="E14" i="235" s="1"/>
  <c r="C15" i="235" s="1"/>
  <c r="P28" i="235"/>
  <c r="Q28" i="235" s="1"/>
  <c r="O29" i="235" s="1"/>
  <c r="J28" i="235"/>
  <c r="K28" i="235" s="1"/>
  <c r="I29" i="235" s="1"/>
  <c r="G29" i="235"/>
  <c r="H29" i="235" s="1"/>
  <c r="M15" i="235"/>
  <c r="N15" i="235" s="1"/>
  <c r="L16" i="235" s="1"/>
  <c r="M29" i="235"/>
  <c r="N29" i="235" s="1"/>
  <c r="AE15" i="235"/>
  <c r="AF15" i="235" s="1"/>
  <c r="AD16" i="235" s="1"/>
  <c r="G15" i="235"/>
  <c r="H15" i="235" s="1"/>
  <c r="F16" i="235" s="1"/>
  <c r="AK15" i="235"/>
  <c r="AL15" i="235" s="1"/>
  <c r="AJ16" i="235" s="1"/>
  <c r="Y15" i="235"/>
  <c r="Z15" i="235" s="1"/>
  <c r="X16" i="235" s="1"/>
  <c r="AQ15" i="235"/>
  <c r="AR15" i="235" s="1"/>
  <c r="AP16" i="235" s="1"/>
  <c r="S29" i="235"/>
  <c r="T29" i="235" s="1"/>
  <c r="S15" i="235"/>
  <c r="T15" i="235" s="1"/>
  <c r="R16" i="235" s="1"/>
  <c r="AN14" i="234"/>
  <c r="AO14" i="234" s="1"/>
  <c r="AM15" i="234" s="1"/>
  <c r="J15" i="234"/>
  <c r="K15" i="234" s="1"/>
  <c r="I16" i="234" s="1"/>
  <c r="S29" i="234"/>
  <c r="T29" i="234" s="1"/>
  <c r="AK15" i="234"/>
  <c r="AL15" i="234" s="1"/>
  <c r="AJ16" i="234" s="1"/>
  <c r="P14" i="234"/>
  <c r="Q14" i="234" s="1"/>
  <c r="O15" i="234" s="1"/>
  <c r="AS14" i="234"/>
  <c r="S14" i="234"/>
  <c r="T14" i="234" s="1"/>
  <c r="R15" i="234" s="1"/>
  <c r="G29" i="234"/>
  <c r="H29" i="234" s="1"/>
  <c r="M28" i="234"/>
  <c r="N28" i="234" s="1"/>
  <c r="L29" i="234" s="1"/>
  <c r="D28" i="234"/>
  <c r="E28" i="234" s="1"/>
  <c r="C29" i="234" s="1"/>
  <c r="AB15" i="234"/>
  <c r="AC15" i="234" s="1"/>
  <c r="AA16" i="234" s="1"/>
  <c r="D15" i="234"/>
  <c r="E15" i="234" s="1"/>
  <c r="C16" i="234" s="1"/>
  <c r="AE14" i="234"/>
  <c r="AF14" i="234" s="1"/>
  <c r="AD15" i="234" s="1"/>
  <c r="AQ14" i="234"/>
  <c r="AR14" i="234" s="1"/>
  <c r="AP15" i="234" s="1"/>
  <c r="AH15" i="234"/>
  <c r="AI15" i="234" s="1"/>
  <c r="AG16" i="234" s="1"/>
  <c r="G14" i="234"/>
  <c r="H14" i="234" s="1"/>
  <c r="F15" i="234" s="1"/>
  <c r="Y15" i="234"/>
  <c r="Z15" i="234" s="1"/>
  <c r="X16" i="234" s="1"/>
  <c r="M15" i="234"/>
  <c r="N15" i="234" s="1"/>
  <c r="L16" i="234" s="1"/>
  <c r="V14" i="234"/>
  <c r="W14" i="234" s="1"/>
  <c r="U15" i="234" s="1"/>
  <c r="J29" i="234"/>
  <c r="K29" i="234" s="1"/>
  <c r="G28" i="233"/>
  <c r="H28" i="233" s="1"/>
  <c r="F29" i="233" s="1"/>
  <c r="AS14" i="233"/>
  <c r="D14" i="233"/>
  <c r="E14" i="233" s="1"/>
  <c r="C15" i="233" s="1"/>
  <c r="J15" i="233"/>
  <c r="K15" i="233" s="1"/>
  <c r="I16" i="233" s="1"/>
  <c r="S28" i="233"/>
  <c r="T28" i="233" s="1"/>
  <c r="R29" i="233" s="1"/>
  <c r="G15" i="233"/>
  <c r="H15" i="233" s="1"/>
  <c r="F16" i="233" s="1"/>
  <c r="AK14" i="233"/>
  <c r="AL14" i="233" s="1"/>
  <c r="AJ15" i="233" s="1"/>
  <c r="D29" i="233"/>
  <c r="E29" i="233" s="1"/>
  <c r="Y14" i="233"/>
  <c r="Z14" i="233" s="1"/>
  <c r="X15" i="233" s="1"/>
  <c r="V15" i="233"/>
  <c r="W15" i="233" s="1"/>
  <c r="U16" i="233" s="1"/>
  <c r="AH15" i="233"/>
  <c r="AI15" i="233" s="1"/>
  <c r="AG16" i="233" s="1"/>
  <c r="AN15" i="233"/>
  <c r="AO15" i="233" s="1"/>
  <c r="AM16" i="233" s="1"/>
  <c r="P15" i="233"/>
  <c r="Q15" i="233" s="1"/>
  <c r="O16" i="233" s="1"/>
  <c r="S15" i="233"/>
  <c r="T15" i="233" s="1"/>
  <c r="R16" i="233" s="1"/>
  <c r="M14" i="233"/>
  <c r="N14" i="233" s="1"/>
  <c r="L15" i="233" s="1"/>
  <c r="J28" i="233"/>
  <c r="K28" i="233" s="1"/>
  <c r="I29" i="233" s="1"/>
  <c r="M29" i="233"/>
  <c r="N29" i="233" s="1"/>
  <c r="AE15" i="233"/>
  <c r="AF15" i="233" s="1"/>
  <c r="AD16" i="233" s="1"/>
  <c r="P29" i="233"/>
  <c r="Q29" i="233" s="1"/>
  <c r="AB15" i="233"/>
  <c r="AC15" i="233" s="1"/>
  <c r="AA16" i="233" s="1"/>
  <c r="AQ15" i="233"/>
  <c r="AR15" i="233" s="1"/>
  <c r="AP16" i="233" s="1"/>
  <c r="C61" i="228"/>
  <c r="D61" i="228" s="1"/>
  <c r="E61" i="228" s="1"/>
  <c r="U60" i="228"/>
  <c r="V14" i="231"/>
  <c r="W14" i="231" s="1"/>
  <c r="U15" i="231" s="1"/>
  <c r="S27" i="231"/>
  <c r="T27" i="231" s="1"/>
  <c r="R28" i="231" s="1"/>
  <c r="P28" i="231"/>
  <c r="Q28" i="231" s="1"/>
  <c r="O29" i="231" s="1"/>
  <c r="AH14" i="231"/>
  <c r="AI14" i="231" s="1"/>
  <c r="AG15" i="231" s="1"/>
  <c r="J29" i="231"/>
  <c r="K29" i="231" s="1"/>
  <c r="P63" i="231"/>
  <c r="Q63" i="231" s="1"/>
  <c r="AB15" i="231"/>
  <c r="AC15" i="231" s="1"/>
  <c r="AA16" i="231" s="1"/>
  <c r="D64" i="231"/>
  <c r="E64" i="231" s="1"/>
  <c r="J14" i="231"/>
  <c r="K14" i="231" s="1"/>
  <c r="S53" i="231"/>
  <c r="T53" i="231" s="1"/>
  <c r="D28" i="231"/>
  <c r="E28" i="231" s="1"/>
  <c r="C29" i="231" s="1"/>
  <c r="G28" i="231"/>
  <c r="H28" i="231" s="1"/>
  <c r="F29" i="231" s="1"/>
  <c r="M52" i="231"/>
  <c r="N52" i="231" s="1"/>
  <c r="AQ15" i="231"/>
  <c r="AR15" i="231" s="1"/>
  <c r="AP16" i="231" s="1"/>
  <c r="S15" i="231"/>
  <c r="T15" i="231" s="1"/>
  <c r="R16" i="231" s="1"/>
  <c r="AS14" i="231"/>
  <c r="M14" i="231"/>
  <c r="N14" i="231" s="1"/>
  <c r="AN15" i="231"/>
  <c r="AO15" i="231" s="1"/>
  <c r="AM16" i="231" s="1"/>
  <c r="J62" i="231"/>
  <c r="K62" i="231" s="1"/>
  <c r="AK14" i="231"/>
  <c r="AL14" i="231" s="1"/>
  <c r="AJ15" i="231" s="1"/>
  <c r="P15" i="231"/>
  <c r="Q15" i="231" s="1"/>
  <c r="Y14" i="231"/>
  <c r="Z14" i="231" s="1"/>
  <c r="X15" i="231" s="1"/>
  <c r="D15" i="231"/>
  <c r="E15" i="231" s="1"/>
  <c r="M29" i="231"/>
  <c r="N29" i="231" s="1"/>
  <c r="G63" i="231"/>
  <c r="H63" i="231" s="1"/>
  <c r="AE15" i="231"/>
  <c r="AF15" i="231" s="1"/>
  <c r="AD16" i="231" s="1"/>
  <c r="G15" i="231"/>
  <c r="H15" i="231" s="1"/>
  <c r="G61" i="230"/>
  <c r="H61" i="230" s="1"/>
  <c r="F62" i="230" s="1"/>
  <c r="J14" i="230"/>
  <c r="K14" i="230" s="1"/>
  <c r="I15" i="230" s="1"/>
  <c r="D28" i="230"/>
  <c r="E28" i="230" s="1"/>
  <c r="C29" i="230" s="1"/>
  <c r="AB13" i="230"/>
  <c r="AC13" i="230" s="1"/>
  <c r="AA14" i="230" s="1"/>
  <c r="AS13" i="230"/>
  <c r="J61" i="230"/>
  <c r="K61" i="230" s="1"/>
  <c r="I62" i="230" s="1"/>
  <c r="S27" i="230"/>
  <c r="T27" i="230" s="1"/>
  <c r="R28" i="230" s="1"/>
  <c r="AN13" i="230"/>
  <c r="AO13" i="230" s="1"/>
  <c r="AM14" i="230" s="1"/>
  <c r="P28" i="230"/>
  <c r="Q28" i="230" s="1"/>
  <c r="O29" i="230" s="1"/>
  <c r="J27" i="230"/>
  <c r="K27" i="230" s="1"/>
  <c r="I28" i="230" s="1"/>
  <c r="V14" i="230"/>
  <c r="W14" i="230" s="1"/>
  <c r="U15" i="230" s="1"/>
  <c r="R52" i="230"/>
  <c r="U51" i="230"/>
  <c r="AH14" i="230"/>
  <c r="AI14" i="230" s="1"/>
  <c r="AG15" i="230" s="1"/>
  <c r="M28" i="230"/>
  <c r="N28" i="230" s="1"/>
  <c r="L29" i="230" s="1"/>
  <c r="AK13" i="230"/>
  <c r="AL13" i="230" s="1"/>
  <c r="AJ14" i="230" s="1"/>
  <c r="AE14" i="230"/>
  <c r="AF14" i="230" s="1"/>
  <c r="AD15" i="230" s="1"/>
  <c r="S14" i="230"/>
  <c r="T14" i="230" s="1"/>
  <c r="R15" i="230" s="1"/>
  <c r="M13" i="230"/>
  <c r="N13" i="230" s="1"/>
  <c r="L14" i="230" s="1"/>
  <c r="G27" i="230"/>
  <c r="H27" i="230" s="1"/>
  <c r="F28" i="230" s="1"/>
  <c r="AQ14" i="230"/>
  <c r="AR14" i="230" s="1"/>
  <c r="AP15" i="230" s="1"/>
  <c r="M62" i="230"/>
  <c r="N62" i="230" s="1"/>
  <c r="L63" i="230" s="1"/>
  <c r="P61" i="230"/>
  <c r="Q61" i="230" s="1"/>
  <c r="O62" i="230" s="1"/>
  <c r="D62" i="230"/>
  <c r="E62" i="230" s="1"/>
  <c r="C63" i="230" s="1"/>
  <c r="P13" i="230"/>
  <c r="Q13" i="230" s="1"/>
  <c r="O14" i="230" s="1"/>
  <c r="Y13" i="230"/>
  <c r="Z13" i="230" s="1"/>
  <c r="X14" i="230" s="1"/>
  <c r="G14" i="230"/>
  <c r="H14" i="230" s="1"/>
  <c r="F15" i="230" s="1"/>
  <c r="J62" i="228"/>
  <c r="K62" i="228" s="1"/>
  <c r="I63" i="228" s="1"/>
  <c r="S61" i="228"/>
  <c r="T61" i="228" s="1"/>
  <c r="R62" i="228" s="1"/>
  <c r="P62" i="228"/>
  <c r="Q62" i="228" s="1"/>
  <c r="O63" i="228" s="1"/>
  <c r="M62" i="228"/>
  <c r="N62" i="228" s="1"/>
  <c r="L63" i="228" s="1"/>
  <c r="G61" i="228"/>
  <c r="H61" i="228" s="1"/>
  <c r="F62" i="228" s="1"/>
  <c r="J27" i="228"/>
  <c r="K27" i="228" s="1"/>
  <c r="I28" i="228" s="1"/>
  <c r="M28" i="228"/>
  <c r="N28" i="228" s="1"/>
  <c r="L29" i="228" s="1"/>
  <c r="S27" i="228"/>
  <c r="T27" i="228" s="1"/>
  <c r="R28" i="228" s="1"/>
  <c r="P28" i="228"/>
  <c r="Q28" i="228" s="1"/>
  <c r="O29" i="228" s="1"/>
  <c r="G28" i="228"/>
  <c r="H28" i="228" s="1"/>
  <c r="F29" i="228" s="1"/>
  <c r="I31" i="236" l="1"/>
  <c r="J31" i="236" s="1"/>
  <c r="K31" i="236" s="1"/>
  <c r="I32" i="236" s="1"/>
  <c r="O61" i="221"/>
  <c r="F61" i="221" s="1"/>
  <c r="L31" i="236"/>
  <c r="M31" i="236" s="1"/>
  <c r="N31" i="236" s="1"/>
  <c r="L32" i="236" s="1"/>
  <c r="O62" i="221"/>
  <c r="F62" i="221" s="1"/>
  <c r="L30" i="239"/>
  <c r="M30" i="239" s="1"/>
  <c r="N30" i="239" s="1"/>
  <c r="L31" i="239" s="1"/>
  <c r="K101" i="221"/>
  <c r="B101" i="221" s="1"/>
  <c r="L30" i="235"/>
  <c r="M30" i="235" s="1"/>
  <c r="N30" i="235" s="1"/>
  <c r="L31" i="235" s="1"/>
  <c r="N62" i="221"/>
  <c r="E62" i="221" s="1"/>
  <c r="F30" i="240"/>
  <c r="G30" i="240" s="1"/>
  <c r="H30" i="240" s="1"/>
  <c r="F31" i="240" s="1"/>
  <c r="L99" i="221"/>
  <c r="C99" i="221" s="1"/>
  <c r="I30" i="231"/>
  <c r="J30" i="231" s="1"/>
  <c r="K30" i="231" s="1"/>
  <c r="I31" i="231" s="1"/>
  <c r="K61" i="221"/>
  <c r="B61" i="221" s="1"/>
  <c r="F30" i="234"/>
  <c r="G30" i="234" s="1"/>
  <c r="H30" i="234" s="1"/>
  <c r="F31" i="234" s="1"/>
  <c r="M60" i="221"/>
  <c r="D60" i="221" s="1"/>
  <c r="O30" i="233"/>
  <c r="P30" i="233" s="1"/>
  <c r="Q30" i="233" s="1"/>
  <c r="O31" i="233" s="1"/>
  <c r="L63" i="221"/>
  <c r="C63" i="221" s="1"/>
  <c r="R30" i="235"/>
  <c r="S30" i="235" s="1"/>
  <c r="T30" i="235" s="1"/>
  <c r="R31" i="235" s="1"/>
  <c r="N64" i="221"/>
  <c r="E64" i="221" s="1"/>
  <c r="F30" i="235"/>
  <c r="G30" i="235" s="1"/>
  <c r="H30" i="235" s="1"/>
  <c r="F31" i="235" s="1"/>
  <c r="N60" i="221"/>
  <c r="E60" i="221" s="1"/>
  <c r="I30" i="239"/>
  <c r="J30" i="239" s="1"/>
  <c r="K30" i="239" s="1"/>
  <c r="I31" i="239" s="1"/>
  <c r="K100" i="221"/>
  <c r="B100" i="221" s="1"/>
  <c r="R30" i="240"/>
  <c r="S30" i="240" s="1"/>
  <c r="T30" i="240" s="1"/>
  <c r="R31" i="240" s="1"/>
  <c r="L103" i="221"/>
  <c r="C103" i="221" s="1"/>
  <c r="I30" i="240"/>
  <c r="J30" i="240" s="1"/>
  <c r="K30" i="240" s="1"/>
  <c r="I31" i="240" s="1"/>
  <c r="L100" i="221"/>
  <c r="C100" i="221" s="1"/>
  <c r="C30" i="233"/>
  <c r="D30" i="233" s="1"/>
  <c r="E30" i="233" s="1"/>
  <c r="C31" i="233" s="1"/>
  <c r="L59" i="221"/>
  <c r="C59" i="221" s="1"/>
  <c r="I30" i="234"/>
  <c r="J30" i="234" s="1"/>
  <c r="K30" i="234" s="1"/>
  <c r="I31" i="234" s="1"/>
  <c r="M61" i="221"/>
  <c r="D61" i="221" s="1"/>
  <c r="F31" i="236"/>
  <c r="G31" i="236" s="1"/>
  <c r="H31" i="236" s="1"/>
  <c r="F32" i="236" s="1"/>
  <c r="O60" i="221"/>
  <c r="F60" i="221" s="1"/>
  <c r="L30" i="233"/>
  <c r="M30" i="233" s="1"/>
  <c r="N30" i="233" s="1"/>
  <c r="L31" i="233" s="1"/>
  <c r="L62" i="221"/>
  <c r="C62" i="221" s="1"/>
  <c r="O30" i="240"/>
  <c r="P30" i="240" s="1"/>
  <c r="Q30" i="240" s="1"/>
  <c r="O31" i="240" s="1"/>
  <c r="L102" i="221"/>
  <c r="C102" i="221" s="1"/>
  <c r="L30" i="231"/>
  <c r="M30" i="231" s="1"/>
  <c r="N30" i="231" s="1"/>
  <c r="L31" i="231" s="1"/>
  <c r="K62" i="221"/>
  <c r="B62" i="221" s="1"/>
  <c r="R30" i="234"/>
  <c r="S30" i="234" s="1"/>
  <c r="T30" i="234" s="1"/>
  <c r="R31" i="234" s="1"/>
  <c r="M64" i="221"/>
  <c r="D64" i="221" s="1"/>
  <c r="C30" i="240"/>
  <c r="D30" i="240" s="1"/>
  <c r="E30" i="240" s="1"/>
  <c r="C31" i="240" s="1"/>
  <c r="L98" i="221"/>
  <c r="C98" i="221" s="1"/>
  <c r="AK17" i="228"/>
  <c r="AL17" i="228" s="1"/>
  <c r="AJ18" i="228" s="1"/>
  <c r="V26" i="228"/>
  <c r="W26" i="228" s="1"/>
  <c r="Y18" i="228"/>
  <c r="Z18" i="228" s="1"/>
  <c r="X19" i="228" s="1"/>
  <c r="Y19" i="228" s="1"/>
  <c r="Z19" i="228" s="1"/>
  <c r="M29" i="240"/>
  <c r="N29" i="240" s="1"/>
  <c r="P16" i="240"/>
  <c r="Q16" i="240" s="1"/>
  <c r="O17" i="240" s="1"/>
  <c r="AK16" i="240"/>
  <c r="AL16" i="240" s="1"/>
  <c r="AJ17" i="240" s="1"/>
  <c r="S15" i="240"/>
  <c r="T15" i="240" s="1"/>
  <c r="R16" i="240" s="1"/>
  <c r="G15" i="240"/>
  <c r="H15" i="240" s="1"/>
  <c r="F16" i="240" s="1"/>
  <c r="J15" i="240"/>
  <c r="K15" i="240" s="1"/>
  <c r="I16" i="240" s="1"/>
  <c r="AS15" i="240"/>
  <c r="V15" i="240"/>
  <c r="W15" i="240" s="1"/>
  <c r="U16" i="240" s="1"/>
  <c r="AH15" i="240"/>
  <c r="AI15" i="240" s="1"/>
  <c r="AG16" i="240" s="1"/>
  <c r="AN16" i="240"/>
  <c r="AO16" i="240" s="1"/>
  <c r="AM17" i="240" s="1"/>
  <c r="D16" i="240"/>
  <c r="E16" i="240" s="1"/>
  <c r="C17" i="240" s="1"/>
  <c r="M16" i="240"/>
  <c r="N16" i="240" s="1"/>
  <c r="L17" i="240" s="1"/>
  <c r="Y16" i="240"/>
  <c r="Z16" i="240" s="1"/>
  <c r="X17" i="240" s="1"/>
  <c r="AB16" i="240"/>
  <c r="AC16" i="240" s="1"/>
  <c r="AA17" i="240" s="1"/>
  <c r="AE15" i="240"/>
  <c r="AF15" i="240" s="1"/>
  <c r="AD16" i="240" s="1"/>
  <c r="AQ15" i="240"/>
  <c r="AR15" i="240" s="1"/>
  <c r="AP16" i="240" s="1"/>
  <c r="P29" i="239"/>
  <c r="Q29" i="239" s="1"/>
  <c r="S29" i="239"/>
  <c r="T29" i="239" s="1"/>
  <c r="G29" i="239"/>
  <c r="H29" i="239" s="1"/>
  <c r="D29" i="239"/>
  <c r="E29" i="239" s="1"/>
  <c r="G16" i="239"/>
  <c r="H16" i="239" s="1"/>
  <c r="F17" i="239" s="1"/>
  <c r="V15" i="239"/>
  <c r="W15" i="239" s="1"/>
  <c r="U16" i="239" s="1"/>
  <c r="AS15" i="239"/>
  <c r="AH15" i="239"/>
  <c r="AI15" i="239" s="1"/>
  <c r="AG16" i="239" s="1"/>
  <c r="AN16" i="239"/>
  <c r="AO16" i="239" s="1"/>
  <c r="AM17" i="239" s="1"/>
  <c r="AQ16" i="239"/>
  <c r="AR16" i="239" s="1"/>
  <c r="AP17" i="239" s="1"/>
  <c r="AB16" i="239"/>
  <c r="AC16" i="239" s="1"/>
  <c r="AA17" i="239" s="1"/>
  <c r="AK16" i="239"/>
  <c r="AL16" i="239" s="1"/>
  <c r="AJ17" i="239" s="1"/>
  <c r="P16" i="239"/>
  <c r="Q16" i="239" s="1"/>
  <c r="O17" i="239" s="1"/>
  <c r="M16" i="239"/>
  <c r="N16" i="239" s="1"/>
  <c r="L17" i="239" s="1"/>
  <c r="D16" i="239"/>
  <c r="E16" i="239" s="1"/>
  <c r="C17" i="239" s="1"/>
  <c r="J15" i="239"/>
  <c r="K15" i="239" s="1"/>
  <c r="I16" i="239" s="1"/>
  <c r="Y16" i="239"/>
  <c r="Z16" i="239" s="1"/>
  <c r="X17" i="239" s="1"/>
  <c r="AE16" i="239"/>
  <c r="AF16" i="239" s="1"/>
  <c r="AD17" i="239" s="1"/>
  <c r="S16" i="239"/>
  <c r="T16" i="239" s="1"/>
  <c r="R17" i="239" s="1"/>
  <c r="AS15" i="236"/>
  <c r="D15" i="236"/>
  <c r="E15" i="236" s="1"/>
  <c r="C16" i="236" s="1"/>
  <c r="J16" i="236"/>
  <c r="K16" i="236" s="1"/>
  <c r="I17" i="236" s="1"/>
  <c r="AH16" i="236"/>
  <c r="AI16" i="236" s="1"/>
  <c r="AG17" i="236" s="1"/>
  <c r="V16" i="236"/>
  <c r="W16" i="236" s="1"/>
  <c r="U17" i="236" s="1"/>
  <c r="Y15" i="236"/>
  <c r="Z15" i="236" s="1"/>
  <c r="X16" i="236" s="1"/>
  <c r="D30" i="236"/>
  <c r="E30" i="236" s="1"/>
  <c r="AQ16" i="236"/>
  <c r="AR16" i="236" s="1"/>
  <c r="P30" i="236"/>
  <c r="Q30" i="236" s="1"/>
  <c r="G16" i="236"/>
  <c r="H16" i="236" s="1"/>
  <c r="F17" i="236" s="1"/>
  <c r="S16" i="236"/>
  <c r="T16" i="236" s="1"/>
  <c r="R17" i="236" s="1"/>
  <c r="P15" i="236"/>
  <c r="Q15" i="236" s="1"/>
  <c r="O16" i="236" s="1"/>
  <c r="AE16" i="236"/>
  <c r="AF16" i="236" s="1"/>
  <c r="AD17" i="236" s="1"/>
  <c r="AN15" i="236"/>
  <c r="AO15" i="236" s="1"/>
  <c r="AM16" i="236" s="1"/>
  <c r="AB15" i="236"/>
  <c r="AC15" i="236" s="1"/>
  <c r="AA16" i="236" s="1"/>
  <c r="S30" i="236"/>
  <c r="T30" i="236" s="1"/>
  <c r="AK15" i="236"/>
  <c r="AL15" i="236" s="1"/>
  <c r="AJ16" i="236" s="1"/>
  <c r="M15" i="236"/>
  <c r="N15" i="236" s="1"/>
  <c r="L16" i="236" s="1"/>
  <c r="AN15" i="235"/>
  <c r="AO15" i="235" s="1"/>
  <c r="AM16" i="235" s="1"/>
  <c r="AS15" i="235"/>
  <c r="D15" i="235"/>
  <c r="E15" i="235" s="1"/>
  <c r="C16" i="235" s="1"/>
  <c r="AB15" i="235"/>
  <c r="AC15" i="235" s="1"/>
  <c r="AA16" i="235" s="1"/>
  <c r="P29" i="235"/>
  <c r="Q29" i="235" s="1"/>
  <c r="P15" i="235"/>
  <c r="Q15" i="235" s="1"/>
  <c r="O16" i="235" s="1"/>
  <c r="J29" i="235"/>
  <c r="K29" i="235" s="1"/>
  <c r="D29" i="235"/>
  <c r="E29" i="235" s="1"/>
  <c r="G16" i="235"/>
  <c r="H16" i="235" s="1"/>
  <c r="F17" i="235" s="1"/>
  <c r="S16" i="235"/>
  <c r="T16" i="235" s="1"/>
  <c r="R17" i="235" s="1"/>
  <c r="Y16" i="235"/>
  <c r="Z16" i="235" s="1"/>
  <c r="X17" i="235" s="1"/>
  <c r="AH16" i="235"/>
  <c r="AI16" i="235" s="1"/>
  <c r="AG17" i="235" s="1"/>
  <c r="V16" i="235"/>
  <c r="W16" i="235" s="1"/>
  <c r="U17" i="235" s="1"/>
  <c r="J16" i="235"/>
  <c r="K16" i="235" s="1"/>
  <c r="I17" i="235" s="1"/>
  <c r="AE16" i="235"/>
  <c r="AF16" i="235" s="1"/>
  <c r="AD17" i="235" s="1"/>
  <c r="AQ16" i="235"/>
  <c r="AR16" i="235" s="1"/>
  <c r="AP17" i="235" s="1"/>
  <c r="AK16" i="235"/>
  <c r="AL16" i="235" s="1"/>
  <c r="AJ17" i="235" s="1"/>
  <c r="M16" i="235"/>
  <c r="N16" i="235" s="1"/>
  <c r="L17" i="235" s="1"/>
  <c r="AH16" i="234"/>
  <c r="AI16" i="234" s="1"/>
  <c r="AG17" i="234" s="1"/>
  <c r="V15" i="234"/>
  <c r="W15" i="234" s="1"/>
  <c r="U16" i="234" s="1"/>
  <c r="D16" i="234"/>
  <c r="E16" i="234" s="1"/>
  <c r="C17" i="234" s="1"/>
  <c r="AK16" i="234"/>
  <c r="AL16" i="234" s="1"/>
  <c r="AJ17" i="234" s="1"/>
  <c r="Y16" i="234"/>
  <c r="Z16" i="234" s="1"/>
  <c r="X17" i="234" s="1"/>
  <c r="AB16" i="234"/>
  <c r="AC16" i="234" s="1"/>
  <c r="AA17" i="234" s="1"/>
  <c r="S15" i="234"/>
  <c r="T15" i="234" s="1"/>
  <c r="R16" i="234" s="1"/>
  <c r="AQ15" i="234"/>
  <c r="AR15" i="234" s="1"/>
  <c r="AP16" i="234" s="1"/>
  <c r="D29" i="234"/>
  <c r="E29" i="234" s="1"/>
  <c r="M29" i="234"/>
  <c r="N29" i="234" s="1"/>
  <c r="P15" i="234"/>
  <c r="Q15" i="234" s="1"/>
  <c r="O16" i="234" s="1"/>
  <c r="AS15" i="234"/>
  <c r="G15" i="234"/>
  <c r="H15" i="234" s="1"/>
  <c r="F16" i="234" s="1"/>
  <c r="M16" i="234"/>
  <c r="N16" i="234" s="1"/>
  <c r="L17" i="234" s="1"/>
  <c r="AE15" i="234"/>
  <c r="AF15" i="234" s="1"/>
  <c r="AD16" i="234" s="1"/>
  <c r="J16" i="234"/>
  <c r="K16" i="234" s="1"/>
  <c r="I17" i="234" s="1"/>
  <c r="AN15" i="234"/>
  <c r="AO15" i="234" s="1"/>
  <c r="AM16" i="234" s="1"/>
  <c r="AN16" i="233"/>
  <c r="AO16" i="233" s="1"/>
  <c r="AM17" i="233" s="1"/>
  <c r="AS15" i="233"/>
  <c r="D15" i="233"/>
  <c r="E15" i="233" s="1"/>
  <c r="C16" i="233" s="1"/>
  <c r="S29" i="233"/>
  <c r="T29" i="233" s="1"/>
  <c r="AE16" i="233"/>
  <c r="AF16" i="233" s="1"/>
  <c r="AD17" i="233" s="1"/>
  <c r="M15" i="233"/>
  <c r="N15" i="233" s="1"/>
  <c r="L16" i="233" s="1"/>
  <c r="AQ16" i="233"/>
  <c r="AR16" i="233" s="1"/>
  <c r="AP17" i="233" s="1"/>
  <c r="S16" i="233"/>
  <c r="T16" i="233" s="1"/>
  <c r="R17" i="233" s="1"/>
  <c r="AH16" i="233"/>
  <c r="AI16" i="233" s="1"/>
  <c r="AG17" i="233" s="1"/>
  <c r="G16" i="233"/>
  <c r="H16" i="233" s="1"/>
  <c r="F17" i="233" s="1"/>
  <c r="J16" i="233"/>
  <c r="K16" i="233" s="1"/>
  <c r="I17" i="233" s="1"/>
  <c r="AB16" i="233"/>
  <c r="AC16" i="233" s="1"/>
  <c r="AA17" i="233" s="1"/>
  <c r="AK15" i="233"/>
  <c r="AL15" i="233" s="1"/>
  <c r="AJ16" i="233" s="1"/>
  <c r="J29" i="233"/>
  <c r="K29" i="233" s="1"/>
  <c r="V16" i="233"/>
  <c r="W16" i="233" s="1"/>
  <c r="U17" i="233" s="1"/>
  <c r="P16" i="233"/>
  <c r="Q16" i="233" s="1"/>
  <c r="O17" i="233" s="1"/>
  <c r="Y15" i="233"/>
  <c r="Z15" i="233" s="1"/>
  <c r="X16" i="233" s="1"/>
  <c r="G29" i="233"/>
  <c r="H29" i="233" s="1"/>
  <c r="C62" i="228"/>
  <c r="D62" i="228" s="1"/>
  <c r="E62" i="228" s="1"/>
  <c r="U61" i="228"/>
  <c r="Y15" i="231"/>
  <c r="Z15" i="231" s="1"/>
  <c r="X16" i="231" s="1"/>
  <c r="U52" i="231"/>
  <c r="AN16" i="231"/>
  <c r="AO16" i="231" s="1"/>
  <c r="AM17" i="231" s="1"/>
  <c r="G29" i="231"/>
  <c r="H29" i="231" s="1"/>
  <c r="J63" i="231"/>
  <c r="K63" i="231" s="1"/>
  <c r="D65" i="231"/>
  <c r="E65" i="231" s="1"/>
  <c r="P16" i="231"/>
  <c r="Q16" i="231" s="1"/>
  <c r="M15" i="231"/>
  <c r="N15" i="231" s="1"/>
  <c r="G64" i="231"/>
  <c r="H64" i="231" s="1"/>
  <c r="D16" i="231"/>
  <c r="E16" i="231" s="1"/>
  <c r="AQ16" i="231"/>
  <c r="AR16" i="231" s="1"/>
  <c r="AP17" i="231" s="1"/>
  <c r="AH15" i="231"/>
  <c r="AI15" i="231" s="1"/>
  <c r="AG16" i="231" s="1"/>
  <c r="S16" i="231"/>
  <c r="T16" i="231" s="1"/>
  <c r="R17" i="231" s="1"/>
  <c r="J15" i="231"/>
  <c r="K15" i="231" s="1"/>
  <c r="AB16" i="231"/>
  <c r="AC16" i="231" s="1"/>
  <c r="AA17" i="231" s="1"/>
  <c r="P29" i="231"/>
  <c r="Q29" i="231" s="1"/>
  <c r="G16" i="231"/>
  <c r="H16" i="231" s="1"/>
  <c r="P64" i="231"/>
  <c r="Q64" i="231" s="1"/>
  <c r="S28" i="231"/>
  <c r="T28" i="231" s="1"/>
  <c r="R29" i="231" s="1"/>
  <c r="AS15" i="231"/>
  <c r="AK15" i="231"/>
  <c r="AL15" i="231" s="1"/>
  <c r="AJ16" i="231" s="1"/>
  <c r="AE16" i="231"/>
  <c r="AF16" i="231" s="1"/>
  <c r="AD17" i="231" s="1"/>
  <c r="D29" i="231"/>
  <c r="E29" i="231" s="1"/>
  <c r="V15" i="231"/>
  <c r="W15" i="231" s="1"/>
  <c r="U16" i="231" s="1"/>
  <c r="Y14" i="230"/>
  <c r="Z14" i="230" s="1"/>
  <c r="X15" i="230" s="1"/>
  <c r="S15" i="230"/>
  <c r="T15" i="230" s="1"/>
  <c r="R16" i="230" s="1"/>
  <c r="P14" i="230"/>
  <c r="Q14" i="230" s="1"/>
  <c r="O15" i="230" s="1"/>
  <c r="AE15" i="230"/>
  <c r="AF15" i="230" s="1"/>
  <c r="AD16" i="230" s="1"/>
  <c r="G15" i="230"/>
  <c r="H15" i="230" s="1"/>
  <c r="F16" i="230" s="1"/>
  <c r="P62" i="230"/>
  <c r="Q62" i="230" s="1"/>
  <c r="O63" i="230" s="1"/>
  <c r="M14" i="230"/>
  <c r="N14" i="230" s="1"/>
  <c r="L15" i="230" s="1"/>
  <c r="AN14" i="230"/>
  <c r="AO14" i="230" s="1"/>
  <c r="AM15" i="230" s="1"/>
  <c r="M63" i="230"/>
  <c r="N63" i="230" s="1"/>
  <c r="L64" i="230" s="1"/>
  <c r="AQ15" i="230"/>
  <c r="AR15" i="230" s="1"/>
  <c r="AP16" i="230" s="1"/>
  <c r="AH15" i="230"/>
  <c r="AI15" i="230" s="1"/>
  <c r="AG16" i="230" s="1"/>
  <c r="D63" i="230"/>
  <c r="E63" i="230" s="1"/>
  <c r="C64" i="230" s="1"/>
  <c r="G28" i="230"/>
  <c r="H28" i="230" s="1"/>
  <c r="F29" i="230" s="1"/>
  <c r="AK14" i="230"/>
  <c r="AL14" i="230" s="1"/>
  <c r="AJ15" i="230" s="1"/>
  <c r="V15" i="230"/>
  <c r="W15" i="230" s="1"/>
  <c r="U16" i="230" s="1"/>
  <c r="AS14" i="230"/>
  <c r="G62" i="230"/>
  <c r="H62" i="230" s="1"/>
  <c r="F63" i="230" s="1"/>
  <c r="J15" i="230"/>
  <c r="K15" i="230" s="1"/>
  <c r="I16" i="230" s="1"/>
  <c r="J28" i="230"/>
  <c r="K28" i="230" s="1"/>
  <c r="I29" i="230" s="1"/>
  <c r="S28" i="230"/>
  <c r="T28" i="230" s="1"/>
  <c r="R29" i="230" s="1"/>
  <c r="AB14" i="230"/>
  <c r="AC14" i="230" s="1"/>
  <c r="AA15" i="230" s="1"/>
  <c r="S52" i="230"/>
  <c r="T52" i="230" s="1"/>
  <c r="D29" i="230"/>
  <c r="E29" i="230" s="1"/>
  <c r="M29" i="230"/>
  <c r="N29" i="230" s="1"/>
  <c r="P29" i="230"/>
  <c r="Q29" i="230" s="1"/>
  <c r="J62" i="230"/>
  <c r="K62" i="230" s="1"/>
  <c r="I63" i="230" s="1"/>
  <c r="J63" i="228"/>
  <c r="K63" i="228" s="1"/>
  <c r="I64" i="228" s="1"/>
  <c r="G62" i="228"/>
  <c r="H62" i="228" s="1"/>
  <c r="F63" i="228" s="1"/>
  <c r="S62" i="228"/>
  <c r="T62" i="228" s="1"/>
  <c r="R63" i="228" s="1"/>
  <c r="M63" i="228"/>
  <c r="N63" i="228" s="1"/>
  <c r="L64" i="228" s="1"/>
  <c r="P63" i="228"/>
  <c r="Q63" i="228" s="1"/>
  <c r="O64" i="228" s="1"/>
  <c r="M29" i="228"/>
  <c r="N29" i="228" s="1"/>
  <c r="P29" i="228"/>
  <c r="Q29" i="228" s="1"/>
  <c r="S28" i="228"/>
  <c r="T28" i="228" s="1"/>
  <c r="R29" i="228" s="1"/>
  <c r="J28" i="228"/>
  <c r="K28" i="228" s="1"/>
  <c r="I29" i="228" s="1"/>
  <c r="G29" i="228"/>
  <c r="H29" i="228" s="1"/>
  <c r="D28" i="228"/>
  <c r="E28" i="228" s="1"/>
  <c r="C29" i="228" s="1"/>
  <c r="F30" i="231" l="1"/>
  <c r="G30" i="231" s="1"/>
  <c r="H30" i="231" s="1"/>
  <c r="F31" i="231" s="1"/>
  <c r="K60" i="221"/>
  <c r="B60" i="221" s="1"/>
  <c r="C31" i="236"/>
  <c r="D31" i="236" s="1"/>
  <c r="E31" i="236" s="1"/>
  <c r="C32" i="236" s="1"/>
  <c r="O59" i="221"/>
  <c r="F59" i="221" s="1"/>
  <c r="C30" i="239"/>
  <c r="D30" i="239" s="1"/>
  <c r="E30" i="239" s="1"/>
  <c r="C31" i="239" s="1"/>
  <c r="K98" i="221"/>
  <c r="B98" i="221" s="1"/>
  <c r="O30" i="228"/>
  <c r="P30" i="228" s="1"/>
  <c r="Q30" i="228" s="1"/>
  <c r="O31" i="228" s="1"/>
  <c r="K25" i="221"/>
  <c r="B25" i="221" s="1"/>
  <c r="O30" i="230"/>
  <c r="P30" i="230" s="1"/>
  <c r="Q30" i="230" s="1"/>
  <c r="O31" i="230" s="1"/>
  <c r="L25" i="221"/>
  <c r="C25" i="221" s="1"/>
  <c r="F30" i="239"/>
  <c r="G30" i="239" s="1"/>
  <c r="H30" i="239" s="1"/>
  <c r="F31" i="239" s="1"/>
  <c r="K99" i="221"/>
  <c r="B99" i="221" s="1"/>
  <c r="L30" i="240"/>
  <c r="M30" i="240" s="1"/>
  <c r="N30" i="240" s="1"/>
  <c r="L31" i="240" s="1"/>
  <c r="L101" i="221"/>
  <c r="C101" i="221" s="1"/>
  <c r="L30" i="230"/>
  <c r="M30" i="230" s="1"/>
  <c r="N30" i="230" s="1"/>
  <c r="L31" i="230" s="1"/>
  <c r="L24" i="221"/>
  <c r="C24" i="221" s="1"/>
  <c r="R30" i="239"/>
  <c r="S30" i="239" s="1"/>
  <c r="T30" i="239" s="1"/>
  <c r="R31" i="239" s="1"/>
  <c r="K103" i="221"/>
  <c r="B103" i="221" s="1"/>
  <c r="C30" i="230"/>
  <c r="D30" i="230" s="1"/>
  <c r="E30" i="230" s="1"/>
  <c r="C31" i="230" s="1"/>
  <c r="L21" i="221"/>
  <c r="C21" i="221" s="1"/>
  <c r="C30" i="231"/>
  <c r="D30" i="231" s="1"/>
  <c r="E30" i="231" s="1"/>
  <c r="C31" i="231" s="1"/>
  <c r="K59" i="221"/>
  <c r="B59" i="221" s="1"/>
  <c r="O30" i="231"/>
  <c r="P30" i="231" s="1"/>
  <c r="Q30" i="231" s="1"/>
  <c r="O31" i="231" s="1"/>
  <c r="K63" i="221"/>
  <c r="B63" i="221" s="1"/>
  <c r="L30" i="234"/>
  <c r="M30" i="234" s="1"/>
  <c r="N30" i="234" s="1"/>
  <c r="L31" i="234" s="1"/>
  <c r="M62" i="221"/>
  <c r="D62" i="221" s="1"/>
  <c r="O30" i="239"/>
  <c r="P30" i="239" s="1"/>
  <c r="Q30" i="239" s="1"/>
  <c r="O31" i="239" s="1"/>
  <c r="K102" i="221"/>
  <c r="B102" i="221" s="1"/>
  <c r="I30" i="233"/>
  <c r="J30" i="233" s="1"/>
  <c r="K30" i="233" s="1"/>
  <c r="I31" i="233" s="1"/>
  <c r="L61" i="221"/>
  <c r="C61" i="221" s="1"/>
  <c r="C30" i="235"/>
  <c r="D30" i="235" s="1"/>
  <c r="E30" i="235" s="1"/>
  <c r="C31" i="235" s="1"/>
  <c r="N59" i="221"/>
  <c r="E59" i="221" s="1"/>
  <c r="C30" i="234"/>
  <c r="D30" i="234" s="1"/>
  <c r="E30" i="234" s="1"/>
  <c r="C31" i="234" s="1"/>
  <c r="M59" i="221"/>
  <c r="D59" i="221" s="1"/>
  <c r="I30" i="235"/>
  <c r="J30" i="235" s="1"/>
  <c r="K30" i="235" s="1"/>
  <c r="I31" i="235" s="1"/>
  <c r="N61" i="221"/>
  <c r="E61" i="221" s="1"/>
  <c r="O31" i="236"/>
  <c r="P31" i="236" s="1"/>
  <c r="Q31" i="236" s="1"/>
  <c r="O32" i="236" s="1"/>
  <c r="O63" i="221"/>
  <c r="F63" i="221" s="1"/>
  <c r="L30" i="228"/>
  <c r="M30" i="228" s="1"/>
  <c r="N30" i="228" s="1"/>
  <c r="L31" i="228" s="1"/>
  <c r="K24" i="221"/>
  <c r="B24" i="221" s="1"/>
  <c r="R31" i="236"/>
  <c r="S31" i="236" s="1"/>
  <c r="T31" i="236" s="1"/>
  <c r="R32" i="236" s="1"/>
  <c r="O64" i="221"/>
  <c r="F64" i="221" s="1"/>
  <c r="F30" i="228"/>
  <c r="G30" i="228" s="1"/>
  <c r="H30" i="228" s="1"/>
  <c r="F31" i="228" s="1"/>
  <c r="K22" i="221"/>
  <c r="B22" i="221" s="1"/>
  <c r="F30" i="233"/>
  <c r="G30" i="233" s="1"/>
  <c r="H30" i="233" s="1"/>
  <c r="F31" i="233" s="1"/>
  <c r="L60" i="221"/>
  <c r="C60" i="221" s="1"/>
  <c r="R30" i="233"/>
  <c r="S30" i="233" s="1"/>
  <c r="T30" i="233" s="1"/>
  <c r="R31" i="233" s="1"/>
  <c r="L64" i="221"/>
  <c r="C64" i="221" s="1"/>
  <c r="O30" i="235"/>
  <c r="P30" i="235" s="1"/>
  <c r="Q30" i="235" s="1"/>
  <c r="O31" i="235" s="1"/>
  <c r="N63" i="221"/>
  <c r="E63" i="221" s="1"/>
  <c r="U27" i="228"/>
  <c r="V27" i="228" s="1"/>
  <c r="W27" i="228" s="1"/>
  <c r="X26" i="228"/>
  <c r="AK18" i="228"/>
  <c r="AL18" i="228" s="1"/>
  <c r="AJ19" i="228" s="1"/>
  <c r="AK19" i="228" s="1"/>
  <c r="AL19" i="228" s="1"/>
  <c r="Y17" i="240"/>
  <c r="Z17" i="240" s="1"/>
  <c r="X18" i="240" s="1"/>
  <c r="V16" i="240"/>
  <c r="W16" i="240" s="1"/>
  <c r="U17" i="240" s="1"/>
  <c r="AQ16" i="240"/>
  <c r="AR16" i="240" s="1"/>
  <c r="AP17" i="240" s="1"/>
  <c r="AN17" i="240"/>
  <c r="AO17" i="240" s="1"/>
  <c r="AM18" i="240" s="1"/>
  <c r="S31" i="240"/>
  <c r="T31" i="240" s="1"/>
  <c r="R32" i="240" s="1"/>
  <c r="S16" i="240"/>
  <c r="T16" i="240" s="1"/>
  <c r="R17" i="240" s="1"/>
  <c r="AS16" i="240"/>
  <c r="D31" i="240"/>
  <c r="E31" i="240" s="1"/>
  <c r="C32" i="240" s="1"/>
  <c r="D17" i="240"/>
  <c r="E17" i="240" s="1"/>
  <c r="C18" i="240" s="1"/>
  <c r="AE16" i="240"/>
  <c r="AF16" i="240" s="1"/>
  <c r="AD17" i="240" s="1"/>
  <c r="M17" i="240"/>
  <c r="N17" i="240" s="1"/>
  <c r="L18" i="240" s="1"/>
  <c r="AH16" i="240"/>
  <c r="AI16" i="240" s="1"/>
  <c r="AG17" i="240" s="1"/>
  <c r="G16" i="240"/>
  <c r="H16" i="240" s="1"/>
  <c r="F17" i="240" s="1"/>
  <c r="P31" i="240"/>
  <c r="Q31" i="240" s="1"/>
  <c r="O32" i="240" s="1"/>
  <c r="AK17" i="240"/>
  <c r="AL17" i="240" s="1"/>
  <c r="AJ18" i="240" s="1"/>
  <c r="AB17" i="240"/>
  <c r="AC17" i="240" s="1"/>
  <c r="AA18" i="240" s="1"/>
  <c r="J16" i="240"/>
  <c r="K16" i="240" s="1"/>
  <c r="I17" i="240" s="1"/>
  <c r="P17" i="240"/>
  <c r="Q17" i="240" s="1"/>
  <c r="O18" i="240" s="1"/>
  <c r="J31" i="240"/>
  <c r="K31" i="240" s="1"/>
  <c r="I32" i="240" s="1"/>
  <c r="G31" i="240"/>
  <c r="H31" i="240" s="1"/>
  <c r="F32" i="240" s="1"/>
  <c r="M31" i="239"/>
  <c r="N31" i="239" s="1"/>
  <c r="L32" i="239" s="1"/>
  <c r="J31" i="239"/>
  <c r="K31" i="239" s="1"/>
  <c r="I32" i="239" s="1"/>
  <c r="M17" i="239"/>
  <c r="N17" i="239" s="1"/>
  <c r="L18" i="239" s="1"/>
  <c r="P17" i="239"/>
  <c r="Q17" i="239" s="1"/>
  <c r="O18" i="239" s="1"/>
  <c r="AK17" i="239"/>
  <c r="AL17" i="239" s="1"/>
  <c r="AJ18" i="239" s="1"/>
  <c r="AH16" i="239"/>
  <c r="AI16" i="239" s="1"/>
  <c r="AG17" i="239" s="1"/>
  <c r="AB17" i="239"/>
  <c r="AC17" i="239" s="1"/>
  <c r="AA18" i="239" s="1"/>
  <c r="AN17" i="239"/>
  <c r="AO17" i="239" s="1"/>
  <c r="AM18" i="239" s="1"/>
  <c r="J16" i="239"/>
  <c r="K16" i="239" s="1"/>
  <c r="I17" i="239" s="1"/>
  <c r="D17" i="239"/>
  <c r="E17" i="239" s="1"/>
  <c r="C18" i="239" s="1"/>
  <c r="AQ17" i="239"/>
  <c r="AR17" i="239" s="1"/>
  <c r="AP18" i="239" s="1"/>
  <c r="V16" i="239"/>
  <c r="W16" i="239" s="1"/>
  <c r="U17" i="239" s="1"/>
  <c r="S17" i="239"/>
  <c r="T17" i="239" s="1"/>
  <c r="R18" i="239" s="1"/>
  <c r="AE17" i="239"/>
  <c r="AF17" i="239" s="1"/>
  <c r="AD18" i="239" s="1"/>
  <c r="Y17" i="239"/>
  <c r="Z17" i="239" s="1"/>
  <c r="X18" i="239" s="1"/>
  <c r="AS16" i="239"/>
  <c r="G17" i="239"/>
  <c r="H17" i="239" s="1"/>
  <c r="F18" i="239" s="1"/>
  <c r="J32" i="236"/>
  <c r="K32" i="236" s="1"/>
  <c r="I33" i="236" s="1"/>
  <c r="M16" i="236"/>
  <c r="N16" i="236" s="1"/>
  <c r="L17" i="236" s="1"/>
  <c r="AK16" i="236"/>
  <c r="AL16" i="236" s="1"/>
  <c r="AJ17" i="236" s="1"/>
  <c r="AB16" i="236"/>
  <c r="AC16" i="236" s="1"/>
  <c r="AA17" i="236" s="1"/>
  <c r="AE17" i="236"/>
  <c r="AF17" i="236" s="1"/>
  <c r="AD18" i="236" s="1"/>
  <c r="S17" i="236"/>
  <c r="T17" i="236" s="1"/>
  <c r="R18" i="236" s="1"/>
  <c r="Y16" i="236"/>
  <c r="Z16" i="236" s="1"/>
  <c r="X17" i="236" s="1"/>
  <c r="V17" i="236"/>
  <c r="W17" i="236" s="1"/>
  <c r="U18" i="236" s="1"/>
  <c r="M32" i="236"/>
  <c r="N32" i="236" s="1"/>
  <c r="L33" i="236" s="1"/>
  <c r="J17" i="236"/>
  <c r="K17" i="236" s="1"/>
  <c r="I18" i="236" s="1"/>
  <c r="AN16" i="236"/>
  <c r="AO16" i="236" s="1"/>
  <c r="AM17" i="236" s="1"/>
  <c r="G17" i="236"/>
  <c r="H17" i="236" s="1"/>
  <c r="F18" i="236" s="1"/>
  <c r="AH17" i="236"/>
  <c r="AI17" i="236" s="1"/>
  <c r="AG18" i="236" s="1"/>
  <c r="G32" i="236"/>
  <c r="H32" i="236" s="1"/>
  <c r="F33" i="236" s="1"/>
  <c r="AS16" i="236"/>
  <c r="D16" i="236"/>
  <c r="E16" i="236" s="1"/>
  <c r="C17" i="236" s="1"/>
  <c r="P16" i="236"/>
  <c r="Q16" i="236" s="1"/>
  <c r="O17" i="236" s="1"/>
  <c r="AQ17" i="236"/>
  <c r="AR17" i="236" s="1"/>
  <c r="G31" i="235"/>
  <c r="H31" i="235" s="1"/>
  <c r="F32" i="235" s="1"/>
  <c r="S31" i="235"/>
  <c r="T31" i="235" s="1"/>
  <c r="R32" i="235" s="1"/>
  <c r="AH17" i="235"/>
  <c r="AI17" i="235" s="1"/>
  <c r="AG18" i="235" s="1"/>
  <c r="P16" i="235"/>
  <c r="Q16" i="235" s="1"/>
  <c r="O17" i="235" s="1"/>
  <c r="AK17" i="235"/>
  <c r="AL17" i="235" s="1"/>
  <c r="AJ18" i="235" s="1"/>
  <c r="J17" i="235"/>
  <c r="K17" i="235" s="1"/>
  <c r="I18" i="235" s="1"/>
  <c r="AN16" i="235"/>
  <c r="AO16" i="235" s="1"/>
  <c r="AM17" i="235" s="1"/>
  <c r="M31" i="235"/>
  <c r="N31" i="235" s="1"/>
  <c r="L32" i="235" s="1"/>
  <c r="Y17" i="235"/>
  <c r="Z17" i="235" s="1"/>
  <c r="X18" i="235" s="1"/>
  <c r="AS16" i="235"/>
  <c r="D16" i="235"/>
  <c r="E16" i="235" s="1"/>
  <c r="C17" i="235" s="1"/>
  <c r="V17" i="235"/>
  <c r="W17" i="235" s="1"/>
  <c r="U18" i="235" s="1"/>
  <c r="AB16" i="235"/>
  <c r="AC16" i="235" s="1"/>
  <c r="AA17" i="235" s="1"/>
  <c r="M17" i="235"/>
  <c r="N17" i="235" s="1"/>
  <c r="L18" i="235" s="1"/>
  <c r="AQ17" i="235"/>
  <c r="AR17" i="235" s="1"/>
  <c r="AP18" i="235" s="1"/>
  <c r="AE17" i="235"/>
  <c r="AF17" i="235" s="1"/>
  <c r="AD18" i="235" s="1"/>
  <c r="S17" i="235"/>
  <c r="T17" i="235" s="1"/>
  <c r="R18" i="235" s="1"/>
  <c r="G17" i="235"/>
  <c r="H17" i="235" s="1"/>
  <c r="F18" i="235" s="1"/>
  <c r="S16" i="234"/>
  <c r="T16" i="234" s="1"/>
  <c r="R17" i="234" s="1"/>
  <c r="AB17" i="234"/>
  <c r="AC17" i="234" s="1"/>
  <c r="AA18" i="234" s="1"/>
  <c r="G16" i="234"/>
  <c r="H16" i="234" s="1"/>
  <c r="F17" i="234" s="1"/>
  <c r="J17" i="234"/>
  <c r="K17" i="234" s="1"/>
  <c r="I18" i="234" s="1"/>
  <c r="P16" i="234"/>
  <c r="Q16" i="234" s="1"/>
  <c r="O17" i="234" s="1"/>
  <c r="AS16" i="234"/>
  <c r="AE16" i="234"/>
  <c r="AF16" i="234" s="1"/>
  <c r="AD17" i="234" s="1"/>
  <c r="Y17" i="234"/>
  <c r="Z17" i="234" s="1"/>
  <c r="X18" i="234" s="1"/>
  <c r="D17" i="234"/>
  <c r="E17" i="234" s="1"/>
  <c r="C18" i="234" s="1"/>
  <c r="AH17" i="234"/>
  <c r="AI17" i="234" s="1"/>
  <c r="AG18" i="234" s="1"/>
  <c r="J31" i="234"/>
  <c r="K31" i="234" s="1"/>
  <c r="I32" i="234" s="1"/>
  <c r="AQ16" i="234"/>
  <c r="AR16" i="234" s="1"/>
  <c r="AP17" i="234" s="1"/>
  <c r="AK17" i="234"/>
  <c r="AL17" i="234" s="1"/>
  <c r="AJ18" i="234" s="1"/>
  <c r="M17" i="234"/>
  <c r="N17" i="234" s="1"/>
  <c r="L18" i="234" s="1"/>
  <c r="S31" i="234"/>
  <c r="T31" i="234" s="1"/>
  <c r="R32" i="234" s="1"/>
  <c r="AN16" i="234"/>
  <c r="AO16" i="234" s="1"/>
  <c r="AM17" i="234" s="1"/>
  <c r="V16" i="234"/>
  <c r="W16" i="234" s="1"/>
  <c r="U17" i="234" s="1"/>
  <c r="G31" i="234"/>
  <c r="H31" i="234" s="1"/>
  <c r="F32" i="234" s="1"/>
  <c r="P17" i="233"/>
  <c r="Q17" i="233" s="1"/>
  <c r="O18" i="233" s="1"/>
  <c r="D31" i="233"/>
  <c r="E31" i="233" s="1"/>
  <c r="C32" i="233" s="1"/>
  <c r="AK16" i="233"/>
  <c r="AL16" i="233" s="1"/>
  <c r="AJ17" i="233" s="1"/>
  <c r="M16" i="233"/>
  <c r="N16" i="233" s="1"/>
  <c r="L17" i="233" s="1"/>
  <c r="P31" i="233"/>
  <c r="Q31" i="233" s="1"/>
  <c r="O32" i="233" s="1"/>
  <c r="AE17" i="233"/>
  <c r="AF17" i="233" s="1"/>
  <c r="AD18" i="233" s="1"/>
  <c r="M31" i="233"/>
  <c r="N31" i="233" s="1"/>
  <c r="L32" i="233" s="1"/>
  <c r="AQ17" i="233"/>
  <c r="AR17" i="233" s="1"/>
  <c r="AP18" i="233" s="1"/>
  <c r="AN17" i="233"/>
  <c r="AO17" i="233" s="1"/>
  <c r="AM18" i="233" s="1"/>
  <c r="S17" i="233"/>
  <c r="T17" i="233" s="1"/>
  <c r="R18" i="233" s="1"/>
  <c r="AB17" i="233"/>
  <c r="AC17" i="233" s="1"/>
  <c r="AA18" i="233" s="1"/>
  <c r="AS16" i="233"/>
  <c r="D16" i="233"/>
  <c r="E16" i="233" s="1"/>
  <c r="C17" i="233" s="1"/>
  <c r="Y16" i="233"/>
  <c r="Z16" i="233" s="1"/>
  <c r="X17" i="233" s="1"/>
  <c r="G17" i="233"/>
  <c r="H17" i="233" s="1"/>
  <c r="F18" i="233" s="1"/>
  <c r="V17" i="233"/>
  <c r="W17" i="233" s="1"/>
  <c r="U18" i="233" s="1"/>
  <c r="J17" i="233"/>
  <c r="K17" i="233" s="1"/>
  <c r="I18" i="233" s="1"/>
  <c r="AH17" i="233"/>
  <c r="AI17" i="233" s="1"/>
  <c r="AG18" i="233" s="1"/>
  <c r="C63" i="228"/>
  <c r="D63" i="228" s="1"/>
  <c r="E63" i="228" s="1"/>
  <c r="U62" i="228"/>
  <c r="S29" i="231"/>
  <c r="T29" i="231" s="1"/>
  <c r="J64" i="231"/>
  <c r="K64" i="231" s="1"/>
  <c r="P65" i="231"/>
  <c r="Q65" i="231" s="1"/>
  <c r="V16" i="231"/>
  <c r="W16" i="231" s="1"/>
  <c r="U17" i="231" s="1"/>
  <c r="AS16" i="231"/>
  <c r="AB17" i="231"/>
  <c r="AC17" i="231" s="1"/>
  <c r="AA18" i="231" s="1"/>
  <c r="D17" i="231"/>
  <c r="E17" i="231" s="1"/>
  <c r="P17" i="231"/>
  <c r="Q17" i="231" s="1"/>
  <c r="AH16" i="231"/>
  <c r="AI16" i="231" s="1"/>
  <c r="AG17" i="231" s="1"/>
  <c r="G65" i="231"/>
  <c r="H65" i="231" s="1"/>
  <c r="D66" i="231"/>
  <c r="E66" i="231" s="1"/>
  <c r="AN17" i="231"/>
  <c r="AO17" i="231" s="1"/>
  <c r="AM18" i="231" s="1"/>
  <c r="M31" i="231"/>
  <c r="N31" i="231" s="1"/>
  <c r="L32" i="231" s="1"/>
  <c r="G17" i="231"/>
  <c r="H17" i="231" s="1"/>
  <c r="S17" i="231"/>
  <c r="T17" i="231" s="1"/>
  <c r="R18" i="231" s="1"/>
  <c r="AQ17" i="231"/>
  <c r="AR17" i="231" s="1"/>
  <c r="AP18" i="231" s="1"/>
  <c r="M53" i="231"/>
  <c r="N53" i="231" s="1"/>
  <c r="J31" i="231"/>
  <c r="K31" i="231" s="1"/>
  <c r="I32" i="231" s="1"/>
  <c r="AE17" i="231"/>
  <c r="AF17" i="231" s="1"/>
  <c r="AD18" i="231" s="1"/>
  <c r="AK16" i="231"/>
  <c r="AL16" i="231" s="1"/>
  <c r="AJ17" i="231" s="1"/>
  <c r="M16" i="231"/>
  <c r="N16" i="231" s="1"/>
  <c r="Y16" i="231"/>
  <c r="Z16" i="231" s="1"/>
  <c r="X17" i="231" s="1"/>
  <c r="S54" i="231"/>
  <c r="T54" i="231" s="1"/>
  <c r="J16" i="231"/>
  <c r="K16" i="231" s="1"/>
  <c r="AK15" i="230"/>
  <c r="AL15" i="230" s="1"/>
  <c r="AJ16" i="230" s="1"/>
  <c r="J16" i="230"/>
  <c r="K16" i="230" s="1"/>
  <c r="I17" i="230" s="1"/>
  <c r="G29" i="230"/>
  <c r="H29" i="230" s="1"/>
  <c r="J63" i="230"/>
  <c r="K63" i="230" s="1"/>
  <c r="I64" i="230" s="1"/>
  <c r="J29" i="230"/>
  <c r="K29" i="230" s="1"/>
  <c r="V16" i="230"/>
  <c r="W16" i="230" s="1"/>
  <c r="U17" i="230" s="1"/>
  <c r="AH16" i="230"/>
  <c r="AI16" i="230" s="1"/>
  <c r="AG17" i="230" s="1"/>
  <c r="P15" i="230"/>
  <c r="Q15" i="230" s="1"/>
  <c r="O16" i="230" s="1"/>
  <c r="AQ16" i="230"/>
  <c r="AR16" i="230" s="1"/>
  <c r="AP17" i="230" s="1"/>
  <c r="S16" i="230"/>
  <c r="T16" i="230" s="1"/>
  <c r="R17" i="230" s="1"/>
  <c r="AB15" i="230"/>
  <c r="AC15" i="230" s="1"/>
  <c r="AA16" i="230" s="1"/>
  <c r="AS15" i="230"/>
  <c r="M64" i="230"/>
  <c r="N64" i="230" s="1"/>
  <c r="L65" i="230" s="1"/>
  <c r="S29" i="230"/>
  <c r="T29" i="230" s="1"/>
  <c r="D64" i="230"/>
  <c r="E64" i="230" s="1"/>
  <c r="C65" i="230" s="1"/>
  <c r="AE16" i="230"/>
  <c r="AF16" i="230" s="1"/>
  <c r="AD17" i="230" s="1"/>
  <c r="G63" i="230"/>
  <c r="H63" i="230" s="1"/>
  <c r="F64" i="230" s="1"/>
  <c r="AN15" i="230"/>
  <c r="AO15" i="230" s="1"/>
  <c r="AM16" i="230" s="1"/>
  <c r="P63" i="230"/>
  <c r="Q63" i="230" s="1"/>
  <c r="O64" i="230" s="1"/>
  <c r="M15" i="230"/>
  <c r="N15" i="230" s="1"/>
  <c r="L16" i="230" s="1"/>
  <c r="G16" i="230"/>
  <c r="H16" i="230" s="1"/>
  <c r="F17" i="230" s="1"/>
  <c r="Y15" i="230"/>
  <c r="Z15" i="230" s="1"/>
  <c r="X16" i="230" s="1"/>
  <c r="R53" i="230"/>
  <c r="U52" i="230"/>
  <c r="G63" i="228"/>
  <c r="H63" i="228" s="1"/>
  <c r="F64" i="228" s="1"/>
  <c r="P64" i="228"/>
  <c r="Q64" i="228" s="1"/>
  <c r="O65" i="228" s="1"/>
  <c r="M64" i="228"/>
  <c r="N64" i="228" s="1"/>
  <c r="L65" i="228" s="1"/>
  <c r="S63" i="228"/>
  <c r="T63" i="228" s="1"/>
  <c r="R64" i="228" s="1"/>
  <c r="J64" i="228"/>
  <c r="K64" i="228" s="1"/>
  <c r="I65" i="228" s="1"/>
  <c r="J29" i="228"/>
  <c r="K29" i="228" s="1"/>
  <c r="S29" i="228"/>
  <c r="T29" i="228" s="1"/>
  <c r="D29" i="228"/>
  <c r="E29" i="228" s="1"/>
  <c r="R30" i="230" l="1"/>
  <c r="S30" i="230" s="1"/>
  <c r="T30" i="230" s="1"/>
  <c r="R31" i="230" s="1"/>
  <c r="L26" i="221"/>
  <c r="C26" i="221" s="1"/>
  <c r="I30" i="228"/>
  <c r="J30" i="228" s="1"/>
  <c r="K30" i="228" s="1"/>
  <c r="I31" i="228" s="1"/>
  <c r="K23" i="221"/>
  <c r="B23" i="221" s="1"/>
  <c r="C30" i="228"/>
  <c r="D30" i="228" s="1"/>
  <c r="E30" i="228" s="1"/>
  <c r="C31" i="228" s="1"/>
  <c r="K21" i="221"/>
  <c r="I30" i="230"/>
  <c r="J30" i="230" s="1"/>
  <c r="K30" i="230" s="1"/>
  <c r="I31" i="230" s="1"/>
  <c r="L23" i="221"/>
  <c r="C23" i="221" s="1"/>
  <c r="R30" i="231"/>
  <c r="K64" i="221"/>
  <c r="B64" i="221" s="1"/>
  <c r="F30" i="230"/>
  <c r="G30" i="230" s="1"/>
  <c r="H30" i="230" s="1"/>
  <c r="F31" i="230" s="1"/>
  <c r="L22" i="221"/>
  <c r="C22" i="221" s="1"/>
  <c r="R30" i="228"/>
  <c r="S30" i="228" s="1"/>
  <c r="T30" i="228" s="1"/>
  <c r="R31" i="228" s="1"/>
  <c r="K26" i="221"/>
  <c r="B26" i="221" s="1"/>
  <c r="AS17" i="240"/>
  <c r="U28" i="228"/>
  <c r="V28" i="228" s="1"/>
  <c r="W28" i="228" s="1"/>
  <c r="X27" i="228"/>
  <c r="AB18" i="240"/>
  <c r="AC18" i="240" s="1"/>
  <c r="AA19" i="240" s="1"/>
  <c r="G17" i="240"/>
  <c r="H17" i="240" s="1"/>
  <c r="F18" i="240" s="1"/>
  <c r="D32" i="240"/>
  <c r="E32" i="240" s="1"/>
  <c r="C33" i="240" s="1"/>
  <c r="S32" i="240"/>
  <c r="T32" i="240" s="1"/>
  <c r="R33" i="240" s="1"/>
  <c r="P18" i="240"/>
  <c r="Q18" i="240" s="1"/>
  <c r="O19" i="240" s="1"/>
  <c r="AK18" i="240"/>
  <c r="AL18" i="240" s="1"/>
  <c r="AJ19" i="240" s="1"/>
  <c r="AH17" i="240"/>
  <c r="AI17" i="240" s="1"/>
  <c r="AG18" i="240" s="1"/>
  <c r="AE17" i="240"/>
  <c r="AF17" i="240" s="1"/>
  <c r="AD18" i="240" s="1"/>
  <c r="M18" i="240"/>
  <c r="N18" i="240" s="1"/>
  <c r="L19" i="240" s="1"/>
  <c r="D18" i="240"/>
  <c r="E18" i="240" s="1"/>
  <c r="C19" i="240" s="1"/>
  <c r="Y18" i="240"/>
  <c r="Z18" i="240" s="1"/>
  <c r="X19" i="240" s="1"/>
  <c r="M31" i="240"/>
  <c r="N31" i="240" s="1"/>
  <c r="L32" i="240" s="1"/>
  <c r="J32" i="240"/>
  <c r="K32" i="240" s="1"/>
  <c r="I33" i="240" s="1"/>
  <c r="J17" i="240"/>
  <c r="K17" i="240" s="1"/>
  <c r="I18" i="240" s="1"/>
  <c r="V17" i="240"/>
  <c r="W17" i="240" s="1"/>
  <c r="U18" i="240" s="1"/>
  <c r="G32" i="240"/>
  <c r="H32" i="240" s="1"/>
  <c r="F33" i="240" s="1"/>
  <c r="P32" i="240"/>
  <c r="Q32" i="240" s="1"/>
  <c r="O33" i="240" s="1"/>
  <c r="S17" i="240"/>
  <c r="T17" i="240" s="1"/>
  <c r="R18" i="240" s="1"/>
  <c r="AQ17" i="240"/>
  <c r="AR17" i="240" s="1"/>
  <c r="AP18" i="240" s="1"/>
  <c r="AN18" i="240"/>
  <c r="AO18" i="240" s="1"/>
  <c r="AM19" i="240" s="1"/>
  <c r="M32" i="239"/>
  <c r="N32" i="239" s="1"/>
  <c r="L33" i="239" s="1"/>
  <c r="J32" i="239"/>
  <c r="K32" i="239" s="1"/>
  <c r="I33" i="239" s="1"/>
  <c r="G31" i="239"/>
  <c r="H31" i="239" s="1"/>
  <c r="F32" i="239" s="1"/>
  <c r="S31" i="239"/>
  <c r="T31" i="239" s="1"/>
  <c r="R32" i="239" s="1"/>
  <c r="P31" i="239"/>
  <c r="Q31" i="239" s="1"/>
  <c r="O32" i="239" s="1"/>
  <c r="D31" i="239"/>
  <c r="E31" i="239" s="1"/>
  <c r="C32" i="239" s="1"/>
  <c r="J17" i="239"/>
  <c r="K17" i="239" s="1"/>
  <c r="I18" i="239" s="1"/>
  <c r="AS17" i="239"/>
  <c r="AB18" i="239"/>
  <c r="AC18" i="239" s="1"/>
  <c r="AA19" i="239" s="1"/>
  <c r="AH17" i="239"/>
  <c r="AI17" i="239" s="1"/>
  <c r="AG18" i="239" s="1"/>
  <c r="AQ18" i="239"/>
  <c r="AR18" i="239" s="1"/>
  <c r="AP19" i="239" s="1"/>
  <c r="G18" i="239"/>
  <c r="H18" i="239" s="1"/>
  <c r="F19" i="239" s="1"/>
  <c r="AN18" i="239"/>
  <c r="AO18" i="239" s="1"/>
  <c r="AM19" i="239" s="1"/>
  <c r="P18" i="239"/>
  <c r="Q18" i="239" s="1"/>
  <c r="O19" i="239" s="1"/>
  <c r="AK18" i="239"/>
  <c r="AL18" i="239" s="1"/>
  <c r="AJ19" i="239" s="1"/>
  <c r="M18" i="239"/>
  <c r="N18" i="239" s="1"/>
  <c r="L19" i="239" s="1"/>
  <c r="AE18" i="239"/>
  <c r="AF18" i="239" s="1"/>
  <c r="AD19" i="239" s="1"/>
  <c r="V17" i="239"/>
  <c r="W17" i="239" s="1"/>
  <c r="U18" i="239" s="1"/>
  <c r="D18" i="239"/>
  <c r="E18" i="239" s="1"/>
  <c r="C19" i="239" s="1"/>
  <c r="Y18" i="239"/>
  <c r="Z18" i="239" s="1"/>
  <c r="X19" i="239" s="1"/>
  <c r="S18" i="239"/>
  <c r="T18" i="239" s="1"/>
  <c r="R19" i="239" s="1"/>
  <c r="AN17" i="236"/>
  <c r="AO17" i="236" s="1"/>
  <c r="AM18" i="236" s="1"/>
  <c r="J18" i="236"/>
  <c r="K18" i="236" s="1"/>
  <c r="I19" i="236" s="1"/>
  <c r="G33" i="236"/>
  <c r="H33" i="236" s="1"/>
  <c r="F34" i="236" s="1"/>
  <c r="M33" i="236"/>
  <c r="N33" i="236" s="1"/>
  <c r="L34" i="236" s="1"/>
  <c r="AE18" i="236"/>
  <c r="AF18" i="236" s="1"/>
  <c r="AD19" i="236" s="1"/>
  <c r="AH18" i="236"/>
  <c r="AI18" i="236" s="1"/>
  <c r="AG19" i="236" s="1"/>
  <c r="V18" i="236"/>
  <c r="W18" i="236" s="1"/>
  <c r="U19" i="236" s="1"/>
  <c r="AB17" i="236"/>
  <c r="AC17" i="236" s="1"/>
  <c r="AA18" i="236" s="1"/>
  <c r="AQ18" i="236"/>
  <c r="AR18" i="236" s="1"/>
  <c r="S32" i="236"/>
  <c r="T32" i="236" s="1"/>
  <c r="R33" i="236" s="1"/>
  <c r="Y17" i="236"/>
  <c r="Z17" i="236" s="1"/>
  <c r="X18" i="236" s="1"/>
  <c r="S18" i="236"/>
  <c r="T18" i="236" s="1"/>
  <c r="R19" i="236" s="1"/>
  <c r="M17" i="236"/>
  <c r="N17" i="236" s="1"/>
  <c r="L18" i="236" s="1"/>
  <c r="J33" i="236"/>
  <c r="K33" i="236" s="1"/>
  <c r="I34" i="236" s="1"/>
  <c r="P17" i="236"/>
  <c r="Q17" i="236" s="1"/>
  <c r="O18" i="236" s="1"/>
  <c r="AK17" i="236"/>
  <c r="AL17" i="236" s="1"/>
  <c r="AJ18" i="236" s="1"/>
  <c r="D32" i="236"/>
  <c r="E32" i="236" s="1"/>
  <c r="C33" i="236" s="1"/>
  <c r="P32" i="236"/>
  <c r="Q32" i="236" s="1"/>
  <c r="O33" i="236" s="1"/>
  <c r="AS17" i="236"/>
  <c r="D17" i="236"/>
  <c r="E17" i="236" s="1"/>
  <c r="C18" i="236" s="1"/>
  <c r="G18" i="236"/>
  <c r="H18" i="236" s="1"/>
  <c r="F19" i="236" s="1"/>
  <c r="D31" i="235"/>
  <c r="E31" i="235" s="1"/>
  <c r="C32" i="235" s="1"/>
  <c r="V18" i="235"/>
  <c r="W18" i="235" s="1"/>
  <c r="U19" i="235" s="1"/>
  <c r="J31" i="235"/>
  <c r="K31" i="235" s="1"/>
  <c r="I32" i="235" s="1"/>
  <c r="Y18" i="235"/>
  <c r="Z18" i="235" s="1"/>
  <c r="X19" i="235" s="1"/>
  <c r="G18" i="235"/>
  <c r="H18" i="235" s="1"/>
  <c r="F19" i="235" s="1"/>
  <c r="S18" i="235"/>
  <c r="T18" i="235" s="1"/>
  <c r="R19" i="235" s="1"/>
  <c r="P31" i="235"/>
  <c r="Q31" i="235" s="1"/>
  <c r="O32" i="235" s="1"/>
  <c r="AS17" i="235"/>
  <c r="D17" i="235"/>
  <c r="E17" i="235" s="1"/>
  <c r="C18" i="235" s="1"/>
  <c r="S32" i="235"/>
  <c r="T32" i="235" s="1"/>
  <c r="R33" i="235" s="1"/>
  <c r="AE18" i="235"/>
  <c r="AF18" i="235" s="1"/>
  <c r="AD19" i="235" s="1"/>
  <c r="AB17" i="235"/>
  <c r="AC17" i="235" s="1"/>
  <c r="AA18" i="235" s="1"/>
  <c r="M32" i="235"/>
  <c r="N32" i="235" s="1"/>
  <c r="L33" i="235" s="1"/>
  <c r="AK18" i="235"/>
  <c r="AL18" i="235" s="1"/>
  <c r="AJ19" i="235" s="1"/>
  <c r="G32" i="235"/>
  <c r="H32" i="235" s="1"/>
  <c r="F33" i="235" s="1"/>
  <c r="AQ18" i="235"/>
  <c r="AR18" i="235" s="1"/>
  <c r="AP19" i="235" s="1"/>
  <c r="AN17" i="235"/>
  <c r="AO17" i="235" s="1"/>
  <c r="AM18" i="235" s="1"/>
  <c r="J18" i="235"/>
  <c r="K18" i="235" s="1"/>
  <c r="I19" i="235" s="1"/>
  <c r="P17" i="235"/>
  <c r="Q17" i="235" s="1"/>
  <c r="O18" i="235" s="1"/>
  <c r="M18" i="235"/>
  <c r="N18" i="235" s="1"/>
  <c r="L19" i="235" s="1"/>
  <c r="AH18" i="235"/>
  <c r="AI18" i="235" s="1"/>
  <c r="AG19" i="235" s="1"/>
  <c r="G32" i="234"/>
  <c r="H32" i="234" s="1"/>
  <c r="F33" i="234" s="1"/>
  <c r="G17" i="234"/>
  <c r="H17" i="234" s="1"/>
  <c r="F18" i="234" s="1"/>
  <c r="AQ17" i="234"/>
  <c r="AR17" i="234" s="1"/>
  <c r="AP18" i="234" s="1"/>
  <c r="AB18" i="234"/>
  <c r="AC18" i="234" s="1"/>
  <c r="AA19" i="234" s="1"/>
  <c r="V17" i="234"/>
  <c r="W17" i="234" s="1"/>
  <c r="U18" i="234" s="1"/>
  <c r="P17" i="234"/>
  <c r="Q17" i="234" s="1"/>
  <c r="O18" i="234" s="1"/>
  <c r="AS17" i="234"/>
  <c r="AN17" i="234"/>
  <c r="AO17" i="234" s="1"/>
  <c r="AM18" i="234" s="1"/>
  <c r="D31" i="234"/>
  <c r="E31" i="234" s="1"/>
  <c r="C32" i="234" s="1"/>
  <c r="AK18" i="234"/>
  <c r="AL18" i="234" s="1"/>
  <c r="AJ19" i="234" s="1"/>
  <c r="Y18" i="234"/>
  <c r="Z18" i="234" s="1"/>
  <c r="X19" i="234" s="1"/>
  <c r="J18" i="234"/>
  <c r="K18" i="234" s="1"/>
  <c r="I19" i="234" s="1"/>
  <c r="S17" i="234"/>
  <c r="T17" i="234" s="1"/>
  <c r="R18" i="234" s="1"/>
  <c r="M18" i="234"/>
  <c r="N18" i="234" s="1"/>
  <c r="L19" i="234" s="1"/>
  <c r="AH18" i="234"/>
  <c r="AI18" i="234" s="1"/>
  <c r="AG19" i="234" s="1"/>
  <c r="AE17" i="234"/>
  <c r="AF17" i="234" s="1"/>
  <c r="AD18" i="234" s="1"/>
  <c r="J32" i="234"/>
  <c r="K32" i="234" s="1"/>
  <c r="I33" i="234" s="1"/>
  <c r="D18" i="234"/>
  <c r="E18" i="234" s="1"/>
  <c r="C19" i="234" s="1"/>
  <c r="S32" i="234"/>
  <c r="T32" i="234" s="1"/>
  <c r="R33" i="234" s="1"/>
  <c r="M31" i="234"/>
  <c r="N31" i="234" s="1"/>
  <c r="L32" i="234" s="1"/>
  <c r="J18" i="233"/>
  <c r="K18" i="233" s="1"/>
  <c r="I19" i="233" s="1"/>
  <c r="M17" i="233"/>
  <c r="N17" i="233" s="1"/>
  <c r="L18" i="233" s="1"/>
  <c r="AB18" i="233"/>
  <c r="AC18" i="233" s="1"/>
  <c r="AA19" i="233" s="1"/>
  <c r="M32" i="233"/>
  <c r="N32" i="233" s="1"/>
  <c r="L33" i="233" s="1"/>
  <c r="AQ18" i="233"/>
  <c r="AR18" i="233" s="1"/>
  <c r="AP19" i="233" s="1"/>
  <c r="AH18" i="233"/>
  <c r="AI18" i="233" s="1"/>
  <c r="AG19" i="233" s="1"/>
  <c r="V18" i="233"/>
  <c r="W18" i="233" s="1"/>
  <c r="U19" i="233" s="1"/>
  <c r="J31" i="233"/>
  <c r="K31" i="233" s="1"/>
  <c r="I32" i="233" s="1"/>
  <c r="D17" i="233"/>
  <c r="E17" i="233" s="1"/>
  <c r="C18" i="233" s="1"/>
  <c r="AS17" i="233"/>
  <c r="Y17" i="233"/>
  <c r="Z17" i="233" s="1"/>
  <c r="X18" i="233" s="1"/>
  <c r="P32" i="233"/>
  <c r="Q32" i="233" s="1"/>
  <c r="O33" i="233" s="1"/>
  <c r="S31" i="233"/>
  <c r="T31" i="233" s="1"/>
  <c r="R32" i="233" s="1"/>
  <c r="G31" i="233"/>
  <c r="H31" i="233" s="1"/>
  <c r="F32" i="233" s="1"/>
  <c r="S18" i="233"/>
  <c r="T18" i="233" s="1"/>
  <c r="R19" i="233" s="1"/>
  <c r="AN18" i="233"/>
  <c r="AO18" i="233" s="1"/>
  <c r="AM19" i="233" s="1"/>
  <c r="AE18" i="233"/>
  <c r="AF18" i="233" s="1"/>
  <c r="AD19" i="233" s="1"/>
  <c r="AK17" i="233"/>
  <c r="AL17" i="233" s="1"/>
  <c r="AJ18" i="233" s="1"/>
  <c r="P18" i="233"/>
  <c r="Q18" i="233" s="1"/>
  <c r="O19" i="233" s="1"/>
  <c r="G18" i="233"/>
  <c r="H18" i="233" s="1"/>
  <c r="F19" i="233" s="1"/>
  <c r="D32" i="233"/>
  <c r="E32" i="233" s="1"/>
  <c r="C33" i="233" s="1"/>
  <c r="C64" i="228"/>
  <c r="D64" i="228" s="1"/>
  <c r="E64" i="228" s="1"/>
  <c r="U63" i="228"/>
  <c r="J17" i="231"/>
  <c r="K17" i="231" s="1"/>
  <c r="AS17" i="231"/>
  <c r="J32" i="231"/>
  <c r="K32" i="231" s="1"/>
  <c r="I33" i="231" s="1"/>
  <c r="AN18" i="231"/>
  <c r="AO18" i="231" s="1"/>
  <c r="AM19" i="231" s="1"/>
  <c r="D18" i="231"/>
  <c r="E18" i="231" s="1"/>
  <c r="V17" i="231"/>
  <c r="W17" i="231" s="1"/>
  <c r="U18" i="231" s="1"/>
  <c r="M17" i="231"/>
  <c r="N17" i="231" s="1"/>
  <c r="S18" i="231"/>
  <c r="T18" i="231" s="1"/>
  <c r="R19" i="231" s="1"/>
  <c r="D67" i="231"/>
  <c r="E67" i="231" s="1"/>
  <c r="P31" i="231"/>
  <c r="Q31" i="231" s="1"/>
  <c r="O32" i="231" s="1"/>
  <c r="AK17" i="231"/>
  <c r="AL17" i="231" s="1"/>
  <c r="AJ18" i="231" s="1"/>
  <c r="G18" i="231"/>
  <c r="H18" i="231" s="1"/>
  <c r="G66" i="231"/>
  <c r="H66" i="231" s="1"/>
  <c r="D31" i="231"/>
  <c r="E31" i="231" s="1"/>
  <c r="C32" i="231" s="1"/>
  <c r="P66" i="231"/>
  <c r="Q66" i="231" s="1"/>
  <c r="AE18" i="231"/>
  <c r="AF18" i="231" s="1"/>
  <c r="AD19" i="231" s="1"/>
  <c r="M32" i="231"/>
  <c r="N32" i="231" s="1"/>
  <c r="L33" i="231" s="1"/>
  <c r="AH17" i="231"/>
  <c r="AI17" i="231" s="1"/>
  <c r="AG18" i="231" s="1"/>
  <c r="P18" i="231"/>
  <c r="Q18" i="231" s="1"/>
  <c r="J65" i="231"/>
  <c r="K65" i="231" s="1"/>
  <c r="G31" i="231"/>
  <c r="H31" i="231" s="1"/>
  <c r="F32" i="231" s="1"/>
  <c r="U53" i="231"/>
  <c r="AB18" i="231"/>
  <c r="AC18" i="231" s="1"/>
  <c r="AA19" i="231" s="1"/>
  <c r="Y17" i="231"/>
  <c r="Z17" i="231" s="1"/>
  <c r="X18" i="231" s="1"/>
  <c r="AQ18" i="231"/>
  <c r="AR18" i="231" s="1"/>
  <c r="AP19" i="231" s="1"/>
  <c r="S30" i="231"/>
  <c r="T30" i="231" s="1"/>
  <c r="R31" i="231" s="1"/>
  <c r="D65" i="230"/>
  <c r="E65" i="230" s="1"/>
  <c r="C66" i="230" s="1"/>
  <c r="S17" i="230"/>
  <c r="T17" i="230" s="1"/>
  <c r="R18" i="230" s="1"/>
  <c r="G17" i="230"/>
  <c r="H17" i="230" s="1"/>
  <c r="F18" i="230" s="1"/>
  <c r="AE17" i="230"/>
  <c r="AF17" i="230" s="1"/>
  <c r="AD18" i="230" s="1"/>
  <c r="AH17" i="230"/>
  <c r="AI17" i="230" s="1"/>
  <c r="AG18" i="230" s="1"/>
  <c r="Y16" i="230"/>
  <c r="Z16" i="230" s="1"/>
  <c r="X17" i="230" s="1"/>
  <c r="AS16" i="230"/>
  <c r="AN16" i="230"/>
  <c r="AO16" i="230" s="1"/>
  <c r="AM17" i="230" s="1"/>
  <c r="M16" i="230"/>
  <c r="N16" i="230" s="1"/>
  <c r="L17" i="230" s="1"/>
  <c r="G64" i="230"/>
  <c r="H64" i="230" s="1"/>
  <c r="F65" i="230" s="1"/>
  <c r="M31" i="230"/>
  <c r="N31" i="230" s="1"/>
  <c r="L32" i="230" s="1"/>
  <c r="D31" i="230"/>
  <c r="E31" i="230" s="1"/>
  <c r="C32" i="230" s="1"/>
  <c r="AQ17" i="230"/>
  <c r="AR17" i="230" s="1"/>
  <c r="AP18" i="230" s="1"/>
  <c r="J64" i="230"/>
  <c r="K64" i="230" s="1"/>
  <c r="I65" i="230" s="1"/>
  <c r="P31" i="230"/>
  <c r="Q31" i="230" s="1"/>
  <c r="O32" i="230" s="1"/>
  <c r="S53" i="230"/>
  <c r="T53" i="230" s="1"/>
  <c r="V17" i="230"/>
  <c r="W17" i="230" s="1"/>
  <c r="U18" i="230" s="1"/>
  <c r="AK16" i="230"/>
  <c r="AL16" i="230" s="1"/>
  <c r="AJ17" i="230" s="1"/>
  <c r="P16" i="230"/>
  <c r="Q16" i="230" s="1"/>
  <c r="O17" i="230" s="1"/>
  <c r="AB16" i="230"/>
  <c r="AC16" i="230" s="1"/>
  <c r="AA17" i="230" s="1"/>
  <c r="J17" i="230"/>
  <c r="K17" i="230" s="1"/>
  <c r="I18" i="230" s="1"/>
  <c r="P64" i="230"/>
  <c r="Q64" i="230" s="1"/>
  <c r="O65" i="230" s="1"/>
  <c r="M65" i="230"/>
  <c r="N65" i="230" s="1"/>
  <c r="L66" i="230" s="1"/>
  <c r="M65" i="228"/>
  <c r="N65" i="228" s="1"/>
  <c r="L66" i="228" s="1"/>
  <c r="J65" i="228"/>
  <c r="K65" i="228" s="1"/>
  <c r="I66" i="228" s="1"/>
  <c r="S64" i="228"/>
  <c r="T64" i="228" s="1"/>
  <c r="R65" i="228" s="1"/>
  <c r="P65" i="228"/>
  <c r="Q65" i="228" s="1"/>
  <c r="O66" i="228" s="1"/>
  <c r="G64" i="228"/>
  <c r="H64" i="228" s="1"/>
  <c r="F65" i="228" s="1"/>
  <c r="M31" i="228"/>
  <c r="N31" i="228" s="1"/>
  <c r="L32" i="228" s="1"/>
  <c r="P31" i="228"/>
  <c r="Q31" i="228" s="1"/>
  <c r="O32" i="228" s="1"/>
  <c r="G31" i="228"/>
  <c r="H31" i="228" s="1"/>
  <c r="F32" i="228" s="1"/>
  <c r="B21" i="221" l="1"/>
  <c r="U29" i="228"/>
  <c r="V29" i="228" s="1"/>
  <c r="W29" i="228" s="1"/>
  <c r="K27" i="221" s="1"/>
  <c r="B27" i="221" s="1"/>
  <c r="X28" i="228"/>
  <c r="AQ18" i="240"/>
  <c r="AR18" i="240" s="1"/>
  <c r="AP19" i="240" s="1"/>
  <c r="M32" i="240"/>
  <c r="N32" i="240" s="1"/>
  <c r="L33" i="240" s="1"/>
  <c r="D19" i="240"/>
  <c r="E19" i="240" s="1"/>
  <c r="G33" i="240"/>
  <c r="H33" i="240" s="1"/>
  <c r="F34" i="240" s="1"/>
  <c r="J33" i="240"/>
  <c r="K33" i="240" s="1"/>
  <c r="I34" i="240" s="1"/>
  <c r="M19" i="240"/>
  <c r="N19" i="240" s="1"/>
  <c r="V18" i="240"/>
  <c r="W18" i="240" s="1"/>
  <c r="U19" i="240" s="1"/>
  <c r="S33" i="240"/>
  <c r="T33" i="240" s="1"/>
  <c r="R34" i="240" s="1"/>
  <c r="Y19" i="240"/>
  <c r="Z19" i="240" s="1"/>
  <c r="D33" i="240"/>
  <c r="E33" i="240" s="1"/>
  <c r="C34" i="240" s="1"/>
  <c r="AK19" i="240"/>
  <c r="AL19" i="240" s="1"/>
  <c r="S18" i="240"/>
  <c r="T18" i="240" s="1"/>
  <c r="R19" i="240" s="1"/>
  <c r="P33" i="240"/>
  <c r="Q33" i="240" s="1"/>
  <c r="O34" i="240" s="1"/>
  <c r="G18" i="240"/>
  <c r="H18" i="240" s="1"/>
  <c r="F19" i="240" s="1"/>
  <c r="AH18" i="240"/>
  <c r="AI18" i="240" s="1"/>
  <c r="AG19" i="240" s="1"/>
  <c r="P19" i="240"/>
  <c r="Q19" i="240" s="1"/>
  <c r="AB19" i="240"/>
  <c r="AC19" i="240" s="1"/>
  <c r="AN19" i="240"/>
  <c r="AO19" i="240" s="1"/>
  <c r="J18" i="240"/>
  <c r="K18" i="240" s="1"/>
  <c r="I19" i="240" s="1"/>
  <c r="AE18" i="240"/>
  <c r="AF18" i="240" s="1"/>
  <c r="AD19" i="240" s="1"/>
  <c r="AS18" i="240"/>
  <c r="S32" i="239"/>
  <c r="T32" i="239" s="1"/>
  <c r="R33" i="239" s="1"/>
  <c r="P32" i="239"/>
  <c r="Q32" i="239" s="1"/>
  <c r="O33" i="239" s="1"/>
  <c r="D32" i="239"/>
  <c r="E32" i="239" s="1"/>
  <c r="C33" i="239" s="1"/>
  <c r="M33" i="239"/>
  <c r="N33" i="239" s="1"/>
  <c r="L34" i="239" s="1"/>
  <c r="G32" i="239"/>
  <c r="H32" i="239" s="1"/>
  <c r="F33" i="239" s="1"/>
  <c r="J33" i="239"/>
  <c r="K33" i="239" s="1"/>
  <c r="I34" i="239" s="1"/>
  <c r="AH18" i="239"/>
  <c r="AI18" i="239" s="1"/>
  <c r="AG19" i="239" s="1"/>
  <c r="M19" i="239"/>
  <c r="N19" i="239" s="1"/>
  <c r="P19" i="239"/>
  <c r="Q19" i="239" s="1"/>
  <c r="D19" i="239"/>
  <c r="E19" i="239" s="1"/>
  <c r="S19" i="239"/>
  <c r="T19" i="239" s="1"/>
  <c r="V18" i="239"/>
  <c r="W18" i="239" s="1"/>
  <c r="U19" i="239" s="1"/>
  <c r="AQ19" i="239"/>
  <c r="AR19" i="239" s="1"/>
  <c r="AE19" i="239"/>
  <c r="AF19" i="239" s="1"/>
  <c r="AK19" i="239"/>
  <c r="AL19" i="239" s="1"/>
  <c r="Y19" i="239"/>
  <c r="Z19" i="239" s="1"/>
  <c r="AN19" i="239"/>
  <c r="AO19" i="239" s="1"/>
  <c r="G19" i="239"/>
  <c r="H19" i="239" s="1"/>
  <c r="AB19" i="239"/>
  <c r="AC19" i="239" s="1"/>
  <c r="J18" i="239"/>
  <c r="K18" i="239" s="1"/>
  <c r="I19" i="239" s="1"/>
  <c r="AS18" i="239"/>
  <c r="AH19" i="236"/>
  <c r="AI19" i="236" s="1"/>
  <c r="G34" i="236"/>
  <c r="H34" i="236" s="1"/>
  <c r="F35" i="236" s="1"/>
  <c r="AQ19" i="236"/>
  <c r="AR19" i="236" s="1"/>
  <c r="J34" i="236"/>
  <c r="K34" i="236" s="1"/>
  <c r="I35" i="236" s="1"/>
  <c r="Y18" i="236"/>
  <c r="Z18" i="236" s="1"/>
  <c r="X19" i="236" s="1"/>
  <c r="AE19" i="236"/>
  <c r="AF19" i="236" s="1"/>
  <c r="D33" i="236"/>
  <c r="E33" i="236" s="1"/>
  <c r="C34" i="236" s="1"/>
  <c r="M18" i="236"/>
  <c r="N18" i="236" s="1"/>
  <c r="L19" i="236" s="1"/>
  <c r="P18" i="236"/>
  <c r="Q18" i="236" s="1"/>
  <c r="O19" i="236" s="1"/>
  <c r="AB18" i="236"/>
  <c r="AC18" i="236" s="1"/>
  <c r="AA19" i="236" s="1"/>
  <c r="D18" i="236"/>
  <c r="E18" i="236" s="1"/>
  <c r="C19" i="236" s="1"/>
  <c r="AS18" i="236"/>
  <c r="M34" i="236"/>
  <c r="N34" i="236" s="1"/>
  <c r="L35" i="236" s="1"/>
  <c r="AK18" i="236"/>
  <c r="AL18" i="236" s="1"/>
  <c r="AJ19" i="236" s="1"/>
  <c r="V19" i="236"/>
  <c r="W19" i="236" s="1"/>
  <c r="J19" i="236"/>
  <c r="K19" i="236" s="1"/>
  <c r="AN18" i="236"/>
  <c r="AO18" i="236" s="1"/>
  <c r="AM19" i="236" s="1"/>
  <c r="G19" i="236"/>
  <c r="H19" i="236" s="1"/>
  <c r="S19" i="236"/>
  <c r="T19" i="236" s="1"/>
  <c r="S33" i="236"/>
  <c r="T33" i="236" s="1"/>
  <c r="R34" i="236" s="1"/>
  <c r="P33" i="236"/>
  <c r="Q33" i="236" s="1"/>
  <c r="O34" i="236" s="1"/>
  <c r="J32" i="235"/>
  <c r="K32" i="235" s="1"/>
  <c r="I33" i="235" s="1"/>
  <c r="M19" i="235"/>
  <c r="N19" i="235" s="1"/>
  <c r="AN18" i="235"/>
  <c r="AO18" i="235" s="1"/>
  <c r="AM19" i="235" s="1"/>
  <c r="AS18" i="235"/>
  <c r="D18" i="235"/>
  <c r="E18" i="235" s="1"/>
  <c r="C19" i="235" s="1"/>
  <c r="V19" i="235"/>
  <c r="W19" i="235" s="1"/>
  <c r="P18" i="235"/>
  <c r="Q18" i="235" s="1"/>
  <c r="O19" i="235" s="1"/>
  <c r="AK19" i="235"/>
  <c r="AL19" i="235" s="1"/>
  <c r="G19" i="235"/>
  <c r="H19" i="235" s="1"/>
  <c r="D32" i="235"/>
  <c r="E32" i="235" s="1"/>
  <c r="C33" i="235" s="1"/>
  <c r="P32" i="235"/>
  <c r="Q32" i="235" s="1"/>
  <c r="O33" i="235" s="1"/>
  <c r="Y19" i="235"/>
  <c r="Z19" i="235" s="1"/>
  <c r="AH19" i="235"/>
  <c r="AI19" i="235" s="1"/>
  <c r="J19" i="235"/>
  <c r="K19" i="235" s="1"/>
  <c r="AB18" i="235"/>
  <c r="AC18" i="235" s="1"/>
  <c r="AA19" i="235" s="1"/>
  <c r="AE19" i="235"/>
  <c r="AF19" i="235" s="1"/>
  <c r="AQ19" i="235"/>
  <c r="AR19" i="235" s="1"/>
  <c r="G33" i="235"/>
  <c r="H33" i="235" s="1"/>
  <c r="F34" i="235" s="1"/>
  <c r="M33" i="235"/>
  <c r="N33" i="235" s="1"/>
  <c r="L34" i="235" s="1"/>
  <c r="S33" i="235"/>
  <c r="T33" i="235" s="1"/>
  <c r="R34" i="235" s="1"/>
  <c r="S19" i="235"/>
  <c r="T19" i="235" s="1"/>
  <c r="M32" i="234"/>
  <c r="N32" i="234" s="1"/>
  <c r="L33" i="234" s="1"/>
  <c r="J33" i="234"/>
  <c r="K33" i="234" s="1"/>
  <c r="I34" i="234" s="1"/>
  <c r="M19" i="234"/>
  <c r="N19" i="234" s="1"/>
  <c r="AE18" i="234"/>
  <c r="AF18" i="234" s="1"/>
  <c r="AD19" i="234" s="1"/>
  <c r="V18" i="234"/>
  <c r="W18" i="234" s="1"/>
  <c r="U19" i="234" s="1"/>
  <c r="G18" i="234"/>
  <c r="H18" i="234" s="1"/>
  <c r="F19" i="234" s="1"/>
  <c r="D32" i="234"/>
  <c r="E32" i="234" s="1"/>
  <c r="C33" i="234" s="1"/>
  <c r="P18" i="234"/>
  <c r="Q18" i="234" s="1"/>
  <c r="O19" i="234" s="1"/>
  <c r="AS18" i="234"/>
  <c r="G33" i="234"/>
  <c r="H33" i="234" s="1"/>
  <c r="F34" i="234" s="1"/>
  <c r="Y19" i="234"/>
  <c r="Z19" i="234" s="1"/>
  <c r="D19" i="234"/>
  <c r="E19" i="234" s="1"/>
  <c r="AH19" i="234"/>
  <c r="AI19" i="234" s="1"/>
  <c r="S18" i="234"/>
  <c r="T18" i="234" s="1"/>
  <c r="R19" i="234" s="1"/>
  <c r="J19" i="234"/>
  <c r="K19" i="234" s="1"/>
  <c r="AK19" i="234"/>
  <c r="AL19" i="234" s="1"/>
  <c r="AN18" i="234"/>
  <c r="AO18" i="234" s="1"/>
  <c r="AM19" i="234" s="1"/>
  <c r="AB19" i="234"/>
  <c r="AC19" i="234" s="1"/>
  <c r="AQ18" i="234"/>
  <c r="AR18" i="234" s="1"/>
  <c r="AP19" i="234" s="1"/>
  <c r="S33" i="234"/>
  <c r="T33" i="234" s="1"/>
  <c r="R34" i="234" s="1"/>
  <c r="AH19" i="233"/>
  <c r="AI19" i="233" s="1"/>
  <c r="S19" i="233"/>
  <c r="T19" i="233" s="1"/>
  <c r="AQ19" i="233"/>
  <c r="AR19" i="233" s="1"/>
  <c r="M18" i="233"/>
  <c r="N18" i="233" s="1"/>
  <c r="L19" i="233" s="1"/>
  <c r="P19" i="233"/>
  <c r="Q19" i="233" s="1"/>
  <c r="G19" i="233"/>
  <c r="H19" i="233" s="1"/>
  <c r="AB19" i="233"/>
  <c r="AC19" i="233" s="1"/>
  <c r="J32" i="233"/>
  <c r="K32" i="233" s="1"/>
  <c r="I33" i="233" s="1"/>
  <c r="P33" i="233"/>
  <c r="Q33" i="233" s="1"/>
  <c r="O34" i="233" s="1"/>
  <c r="AS18" i="233"/>
  <c r="D18" i="233"/>
  <c r="E18" i="233" s="1"/>
  <c r="C19" i="233" s="1"/>
  <c r="AN19" i="233"/>
  <c r="AO19" i="233" s="1"/>
  <c r="Y18" i="233"/>
  <c r="Z18" i="233" s="1"/>
  <c r="X19" i="233" s="1"/>
  <c r="M33" i="233"/>
  <c r="N33" i="233" s="1"/>
  <c r="L34" i="233" s="1"/>
  <c r="S32" i="233"/>
  <c r="T32" i="233" s="1"/>
  <c r="R33" i="233" s="1"/>
  <c r="AE19" i="233"/>
  <c r="AF19" i="233" s="1"/>
  <c r="J19" i="233"/>
  <c r="K19" i="233" s="1"/>
  <c r="D33" i="233"/>
  <c r="E33" i="233" s="1"/>
  <c r="C34" i="233" s="1"/>
  <c r="AK18" i="233"/>
  <c r="AL18" i="233" s="1"/>
  <c r="AJ19" i="233" s="1"/>
  <c r="G32" i="233"/>
  <c r="H32" i="233" s="1"/>
  <c r="F33" i="233" s="1"/>
  <c r="V19" i="233"/>
  <c r="W19" i="233" s="1"/>
  <c r="C65" i="228"/>
  <c r="D65" i="228" s="1"/>
  <c r="E65" i="228" s="1"/>
  <c r="U64" i="228"/>
  <c r="P67" i="231"/>
  <c r="Q67" i="231" s="1"/>
  <c r="P32" i="231"/>
  <c r="Q32" i="231" s="1"/>
  <c r="O33" i="231" s="1"/>
  <c r="J33" i="231"/>
  <c r="K33" i="231" s="1"/>
  <c r="I34" i="231" s="1"/>
  <c r="S31" i="231"/>
  <c r="T31" i="231" s="1"/>
  <c r="R32" i="231" s="1"/>
  <c r="AB19" i="231"/>
  <c r="AC19" i="231" s="1"/>
  <c r="P19" i="231"/>
  <c r="Q19" i="231" s="1"/>
  <c r="AE19" i="231"/>
  <c r="AF19" i="231" s="1"/>
  <c r="D32" i="231"/>
  <c r="E32" i="231" s="1"/>
  <c r="C33" i="231" s="1"/>
  <c r="D19" i="231"/>
  <c r="E19" i="231" s="1"/>
  <c r="AQ19" i="231"/>
  <c r="AR19" i="231" s="1"/>
  <c r="AH18" i="231"/>
  <c r="AI18" i="231" s="1"/>
  <c r="AG19" i="231" s="1"/>
  <c r="J18" i="231"/>
  <c r="K18" i="231" s="1"/>
  <c r="AS18" i="231"/>
  <c r="J66" i="231"/>
  <c r="K66" i="231" s="1"/>
  <c r="G67" i="231"/>
  <c r="H67" i="231" s="1"/>
  <c r="Y18" i="231"/>
  <c r="Z18" i="231" s="1"/>
  <c r="X19" i="231" s="1"/>
  <c r="G32" i="231"/>
  <c r="H32" i="231" s="1"/>
  <c r="F33" i="231" s="1"/>
  <c r="M33" i="231"/>
  <c r="N33" i="231" s="1"/>
  <c r="L34" i="231" s="1"/>
  <c r="G19" i="231"/>
  <c r="H19" i="231" s="1"/>
  <c r="S19" i="231"/>
  <c r="T19" i="231" s="1"/>
  <c r="V18" i="231"/>
  <c r="W18" i="231" s="1"/>
  <c r="U19" i="231" s="1"/>
  <c r="M54" i="231"/>
  <c r="N54" i="231" s="1"/>
  <c r="AK18" i="231"/>
  <c r="AL18" i="231" s="1"/>
  <c r="AJ19" i="231" s="1"/>
  <c r="D68" i="231"/>
  <c r="E68" i="231" s="1"/>
  <c r="M18" i="231"/>
  <c r="N18" i="231" s="1"/>
  <c r="AN19" i="231"/>
  <c r="AO19" i="231" s="1"/>
  <c r="S55" i="231"/>
  <c r="T55" i="231" s="1"/>
  <c r="J31" i="230"/>
  <c r="K31" i="230" s="1"/>
  <c r="I32" i="230" s="1"/>
  <c r="G65" i="230"/>
  <c r="H65" i="230" s="1"/>
  <c r="F66" i="230" s="1"/>
  <c r="P17" i="230"/>
  <c r="Q17" i="230" s="1"/>
  <c r="O18" i="230" s="1"/>
  <c r="AQ18" i="230"/>
  <c r="AR18" i="230" s="1"/>
  <c r="AP19" i="230" s="1"/>
  <c r="S18" i="230"/>
  <c r="T18" i="230" s="1"/>
  <c r="R19" i="230" s="1"/>
  <c r="P65" i="230"/>
  <c r="Q65" i="230" s="1"/>
  <c r="O66" i="230" s="1"/>
  <c r="G31" i="230"/>
  <c r="H31" i="230" s="1"/>
  <c r="F32" i="230" s="1"/>
  <c r="P32" i="230"/>
  <c r="Q32" i="230" s="1"/>
  <c r="O33" i="230" s="1"/>
  <c r="M32" i="230"/>
  <c r="N32" i="230" s="1"/>
  <c r="L33" i="230" s="1"/>
  <c r="AS17" i="230"/>
  <c r="AH18" i="230"/>
  <c r="AI18" i="230" s="1"/>
  <c r="AG19" i="230" s="1"/>
  <c r="J18" i="230"/>
  <c r="K18" i="230" s="1"/>
  <c r="I19" i="230" s="1"/>
  <c r="J65" i="230"/>
  <c r="K65" i="230" s="1"/>
  <c r="I66" i="230" s="1"/>
  <c r="S31" i="230"/>
  <c r="T31" i="230" s="1"/>
  <c r="R32" i="230" s="1"/>
  <c r="AB17" i="230"/>
  <c r="AC17" i="230" s="1"/>
  <c r="AA18" i="230" s="1"/>
  <c r="V18" i="230"/>
  <c r="W18" i="230" s="1"/>
  <c r="U19" i="230" s="1"/>
  <c r="M17" i="230"/>
  <c r="N17" i="230" s="1"/>
  <c r="L18" i="230" s="1"/>
  <c r="M66" i="230"/>
  <c r="N66" i="230" s="1"/>
  <c r="L67" i="230" s="1"/>
  <c r="R54" i="230"/>
  <c r="U53" i="230"/>
  <c r="D32" i="230"/>
  <c r="E32" i="230" s="1"/>
  <c r="C33" i="230" s="1"/>
  <c r="AN17" i="230"/>
  <c r="AO17" i="230" s="1"/>
  <c r="AM18" i="230" s="1"/>
  <c r="D66" i="230"/>
  <c r="E66" i="230" s="1"/>
  <c r="C67" i="230" s="1"/>
  <c r="AE18" i="230"/>
  <c r="AF18" i="230" s="1"/>
  <c r="AD19" i="230" s="1"/>
  <c r="G18" i="230"/>
  <c r="H18" i="230" s="1"/>
  <c r="F19" i="230" s="1"/>
  <c r="AK17" i="230"/>
  <c r="AL17" i="230" s="1"/>
  <c r="AJ18" i="230" s="1"/>
  <c r="Y17" i="230"/>
  <c r="Z17" i="230" s="1"/>
  <c r="X18" i="230" s="1"/>
  <c r="P66" i="228"/>
  <c r="Q66" i="228" s="1"/>
  <c r="O67" i="228" s="1"/>
  <c r="G65" i="228"/>
  <c r="H65" i="228" s="1"/>
  <c r="F66" i="228" s="1"/>
  <c r="S65" i="228"/>
  <c r="T65" i="228" s="1"/>
  <c r="R66" i="228" s="1"/>
  <c r="J66" i="228"/>
  <c r="K66" i="228" s="1"/>
  <c r="I67" i="228" s="1"/>
  <c r="M66" i="228"/>
  <c r="N66" i="228" s="1"/>
  <c r="L67" i="228" s="1"/>
  <c r="M32" i="228"/>
  <c r="N32" i="228" s="1"/>
  <c r="L33" i="228" s="1"/>
  <c r="J31" i="228"/>
  <c r="K31" i="228" s="1"/>
  <c r="I32" i="228" s="1"/>
  <c r="P32" i="228"/>
  <c r="Q32" i="228" s="1"/>
  <c r="O33" i="228" s="1"/>
  <c r="S31" i="228"/>
  <c r="T31" i="228" s="1"/>
  <c r="R32" i="228" s="1"/>
  <c r="G32" i="228"/>
  <c r="H32" i="228" s="1"/>
  <c r="F33" i="228" s="1"/>
  <c r="D31" i="228"/>
  <c r="E31" i="228" s="1"/>
  <c r="C32" i="228" s="1"/>
  <c r="K28" i="221" l="1"/>
  <c r="B28" i="221" s="1"/>
  <c r="U30" i="228"/>
  <c r="V30" i="228" s="1"/>
  <c r="W30" i="228" s="1"/>
  <c r="X29" i="228"/>
  <c r="AH19" i="240"/>
  <c r="AI19" i="240" s="1"/>
  <c r="S19" i="240"/>
  <c r="T19" i="240" s="1"/>
  <c r="M33" i="240"/>
  <c r="N33" i="240" s="1"/>
  <c r="L34" i="240" s="1"/>
  <c r="AE19" i="240"/>
  <c r="AF19" i="240" s="1"/>
  <c r="V19" i="240"/>
  <c r="W19" i="240" s="1"/>
  <c r="J19" i="240"/>
  <c r="K19" i="240" s="1"/>
  <c r="AS19" i="240"/>
  <c r="J34" i="240"/>
  <c r="K34" i="240" s="1"/>
  <c r="I35" i="240" s="1"/>
  <c r="G19" i="240"/>
  <c r="H19" i="240" s="1"/>
  <c r="P34" i="240"/>
  <c r="Q34" i="240" s="1"/>
  <c r="O35" i="240" s="1"/>
  <c r="D34" i="240"/>
  <c r="E34" i="240" s="1"/>
  <c r="C35" i="240" s="1"/>
  <c r="S34" i="240"/>
  <c r="T34" i="240" s="1"/>
  <c r="R35" i="240" s="1"/>
  <c r="G34" i="240"/>
  <c r="H34" i="240" s="1"/>
  <c r="F35" i="240" s="1"/>
  <c r="AQ19" i="240"/>
  <c r="AR19" i="240" s="1"/>
  <c r="J34" i="239"/>
  <c r="K34" i="239" s="1"/>
  <c r="I35" i="239" s="1"/>
  <c r="M34" i="239"/>
  <c r="N34" i="239" s="1"/>
  <c r="L35" i="239" s="1"/>
  <c r="D33" i="239"/>
  <c r="E33" i="239" s="1"/>
  <c r="C34" i="239" s="1"/>
  <c r="S33" i="239"/>
  <c r="T33" i="239" s="1"/>
  <c r="R34" i="239" s="1"/>
  <c r="G33" i="239"/>
  <c r="H33" i="239" s="1"/>
  <c r="F34" i="239" s="1"/>
  <c r="P33" i="239"/>
  <c r="Q33" i="239" s="1"/>
  <c r="O34" i="239" s="1"/>
  <c r="J19" i="239"/>
  <c r="K19" i="239" s="1"/>
  <c r="AS19" i="239"/>
  <c r="V19" i="239"/>
  <c r="W19" i="239" s="1"/>
  <c r="AH19" i="239"/>
  <c r="AI19" i="239" s="1"/>
  <c r="D19" i="236"/>
  <c r="E19" i="236" s="1"/>
  <c r="AS19" i="236"/>
  <c r="P34" i="236"/>
  <c r="Q34" i="236" s="1"/>
  <c r="O35" i="236" s="1"/>
  <c r="P19" i="236"/>
  <c r="Q19" i="236" s="1"/>
  <c r="AK19" i="236"/>
  <c r="AL19" i="236" s="1"/>
  <c r="S34" i="236"/>
  <c r="T34" i="236" s="1"/>
  <c r="R35" i="236" s="1"/>
  <c r="AN19" i="236"/>
  <c r="AO19" i="236" s="1"/>
  <c r="M35" i="236"/>
  <c r="N35" i="236" s="1"/>
  <c r="L36" i="236" s="1"/>
  <c r="M19" i="236"/>
  <c r="N19" i="236" s="1"/>
  <c r="Y19" i="236"/>
  <c r="Z19" i="236" s="1"/>
  <c r="G35" i="236"/>
  <c r="H35" i="236" s="1"/>
  <c r="F36" i="236" s="1"/>
  <c r="AB19" i="236"/>
  <c r="AC19" i="236" s="1"/>
  <c r="D34" i="236"/>
  <c r="E34" i="236" s="1"/>
  <c r="C35" i="236" s="1"/>
  <c r="J35" i="236"/>
  <c r="K35" i="236" s="1"/>
  <c r="I36" i="236" s="1"/>
  <c r="AB19" i="235"/>
  <c r="AC19" i="235" s="1"/>
  <c r="P33" i="235"/>
  <c r="Q33" i="235" s="1"/>
  <c r="O34" i="235" s="1"/>
  <c r="M34" i="235"/>
  <c r="N34" i="235" s="1"/>
  <c r="L35" i="235" s="1"/>
  <c r="D33" i="235"/>
  <c r="E33" i="235" s="1"/>
  <c r="C34" i="235" s="1"/>
  <c r="AS19" i="235"/>
  <c r="D19" i="235"/>
  <c r="E19" i="235" s="1"/>
  <c r="AN19" i="235"/>
  <c r="AO19" i="235" s="1"/>
  <c r="J33" i="235"/>
  <c r="K33" i="235" s="1"/>
  <c r="I34" i="235" s="1"/>
  <c r="P19" i="235"/>
  <c r="Q19" i="235" s="1"/>
  <c r="S34" i="235"/>
  <c r="T34" i="235" s="1"/>
  <c r="R35" i="235" s="1"/>
  <c r="G34" i="235"/>
  <c r="H34" i="235" s="1"/>
  <c r="F35" i="235" s="1"/>
  <c r="P19" i="234"/>
  <c r="Q19" i="234" s="1"/>
  <c r="AS19" i="234"/>
  <c r="G19" i="234"/>
  <c r="H19" i="234" s="1"/>
  <c r="S34" i="234"/>
  <c r="T34" i="234" s="1"/>
  <c r="R35" i="234" s="1"/>
  <c r="V19" i="234"/>
  <c r="W19" i="234" s="1"/>
  <c r="G34" i="234"/>
  <c r="H34" i="234" s="1"/>
  <c r="F35" i="234" s="1"/>
  <c r="AE19" i="234"/>
  <c r="AF19" i="234" s="1"/>
  <c r="AN19" i="234"/>
  <c r="AO19" i="234" s="1"/>
  <c r="D33" i="234"/>
  <c r="E33" i="234" s="1"/>
  <c r="C34" i="234" s="1"/>
  <c r="J34" i="234"/>
  <c r="K34" i="234" s="1"/>
  <c r="I35" i="234" s="1"/>
  <c r="AQ19" i="234"/>
  <c r="AR19" i="234" s="1"/>
  <c r="S19" i="234"/>
  <c r="T19" i="234" s="1"/>
  <c r="M33" i="234"/>
  <c r="N33" i="234" s="1"/>
  <c r="L34" i="234" s="1"/>
  <c r="AK19" i="233"/>
  <c r="AL19" i="233" s="1"/>
  <c r="M34" i="233"/>
  <c r="N34" i="233" s="1"/>
  <c r="L35" i="233" s="1"/>
  <c r="P34" i="233"/>
  <c r="Q34" i="233" s="1"/>
  <c r="O35" i="233" s="1"/>
  <c r="D34" i="233"/>
  <c r="E34" i="233" s="1"/>
  <c r="C35" i="233" s="1"/>
  <c r="S33" i="233"/>
  <c r="T33" i="233" s="1"/>
  <c r="R34" i="233" s="1"/>
  <c r="J33" i="233"/>
  <c r="K33" i="233" s="1"/>
  <c r="I34" i="233" s="1"/>
  <c r="D19" i="233"/>
  <c r="E19" i="233" s="1"/>
  <c r="AS19" i="233"/>
  <c r="M19" i="233"/>
  <c r="N19" i="233" s="1"/>
  <c r="G33" i="233"/>
  <c r="H33" i="233" s="1"/>
  <c r="F34" i="233" s="1"/>
  <c r="Y19" i="233"/>
  <c r="Z19" i="233" s="1"/>
  <c r="C66" i="228"/>
  <c r="D66" i="228" s="1"/>
  <c r="E66" i="228" s="1"/>
  <c r="U65" i="228"/>
  <c r="AK19" i="231"/>
  <c r="AL19" i="231" s="1"/>
  <c r="M34" i="231"/>
  <c r="N34" i="231" s="1"/>
  <c r="L35" i="231" s="1"/>
  <c r="AH19" i="231"/>
  <c r="AI19" i="231" s="1"/>
  <c r="Y19" i="231"/>
  <c r="Z19" i="231" s="1"/>
  <c r="U54" i="231"/>
  <c r="G68" i="231"/>
  <c r="H68" i="231" s="1"/>
  <c r="V19" i="231"/>
  <c r="W19" i="231" s="1"/>
  <c r="J67" i="231"/>
  <c r="K67" i="231" s="1"/>
  <c r="D69" i="231"/>
  <c r="E69" i="231" s="1"/>
  <c r="G33" i="231"/>
  <c r="H33" i="231" s="1"/>
  <c r="F34" i="231" s="1"/>
  <c r="J34" i="231"/>
  <c r="K34" i="231" s="1"/>
  <c r="I35" i="231" s="1"/>
  <c r="P68" i="231"/>
  <c r="Q68" i="231" s="1"/>
  <c r="M19" i="231"/>
  <c r="N19" i="231" s="1"/>
  <c r="P33" i="231"/>
  <c r="Q33" i="231" s="1"/>
  <c r="O34" i="231" s="1"/>
  <c r="J19" i="231"/>
  <c r="K19" i="231" s="1"/>
  <c r="D33" i="231"/>
  <c r="E33" i="231" s="1"/>
  <c r="C34" i="231" s="1"/>
  <c r="S32" i="231"/>
  <c r="T32" i="231" s="1"/>
  <c r="R33" i="231" s="1"/>
  <c r="AS19" i="231"/>
  <c r="AK18" i="230"/>
  <c r="AL18" i="230" s="1"/>
  <c r="AJ19" i="230" s="1"/>
  <c r="M67" i="230"/>
  <c r="N67" i="230" s="1"/>
  <c r="L68" i="230" s="1"/>
  <c r="G32" i="230"/>
  <c r="H32" i="230" s="1"/>
  <c r="F33" i="230" s="1"/>
  <c r="G19" i="230"/>
  <c r="H19" i="230" s="1"/>
  <c r="Y18" i="230"/>
  <c r="Z18" i="230" s="1"/>
  <c r="X19" i="230" s="1"/>
  <c r="D67" i="230"/>
  <c r="E67" i="230" s="1"/>
  <c r="C68" i="230" s="1"/>
  <c r="AB18" i="230"/>
  <c r="AC18" i="230" s="1"/>
  <c r="AA19" i="230" s="1"/>
  <c r="AS18" i="230"/>
  <c r="P33" i="230"/>
  <c r="Q33" i="230" s="1"/>
  <c r="O34" i="230" s="1"/>
  <c r="S19" i="230"/>
  <c r="T19" i="230" s="1"/>
  <c r="AN18" i="230"/>
  <c r="AO18" i="230" s="1"/>
  <c r="AM19" i="230" s="1"/>
  <c r="J19" i="230"/>
  <c r="K19" i="230" s="1"/>
  <c r="M18" i="230"/>
  <c r="N18" i="230" s="1"/>
  <c r="L19" i="230" s="1"/>
  <c r="AE19" i="230"/>
  <c r="AF19" i="230" s="1"/>
  <c r="V19" i="230"/>
  <c r="W19" i="230" s="1"/>
  <c r="P18" i="230"/>
  <c r="Q18" i="230" s="1"/>
  <c r="O19" i="230" s="1"/>
  <c r="G66" i="230"/>
  <c r="H66" i="230" s="1"/>
  <c r="F67" i="230" s="1"/>
  <c r="AQ19" i="230"/>
  <c r="AR19" i="230" s="1"/>
  <c r="AH19" i="230"/>
  <c r="AI19" i="230" s="1"/>
  <c r="M33" i="230"/>
  <c r="N33" i="230" s="1"/>
  <c r="L34" i="230" s="1"/>
  <c r="J32" i="230"/>
  <c r="K32" i="230" s="1"/>
  <c r="I33" i="230" s="1"/>
  <c r="J66" i="230"/>
  <c r="K66" i="230" s="1"/>
  <c r="I67" i="230" s="1"/>
  <c r="P66" i="230"/>
  <c r="Q66" i="230" s="1"/>
  <c r="O67" i="230" s="1"/>
  <c r="S54" i="230"/>
  <c r="T54" i="230" s="1"/>
  <c r="D33" i="230"/>
  <c r="E33" i="230" s="1"/>
  <c r="C34" i="230" s="1"/>
  <c r="S32" i="230"/>
  <c r="T32" i="230" s="1"/>
  <c r="R33" i="230" s="1"/>
  <c r="M67" i="228"/>
  <c r="N67" i="228" s="1"/>
  <c r="L68" i="228" s="1"/>
  <c r="J67" i="228"/>
  <c r="K67" i="228" s="1"/>
  <c r="I68" i="228" s="1"/>
  <c r="S66" i="228"/>
  <c r="T66" i="228" s="1"/>
  <c r="R67" i="228" s="1"/>
  <c r="G66" i="228"/>
  <c r="H66" i="228" s="1"/>
  <c r="F67" i="228" s="1"/>
  <c r="P67" i="228"/>
  <c r="Q67" i="228" s="1"/>
  <c r="O68" i="228" s="1"/>
  <c r="S32" i="228"/>
  <c r="T32" i="228" s="1"/>
  <c r="R33" i="228" s="1"/>
  <c r="J32" i="228"/>
  <c r="K32" i="228" s="1"/>
  <c r="I33" i="228" s="1"/>
  <c r="P33" i="228"/>
  <c r="Q33" i="228" s="1"/>
  <c r="O34" i="228" s="1"/>
  <c r="M33" i="228"/>
  <c r="N33" i="228" s="1"/>
  <c r="L34" i="228" s="1"/>
  <c r="G33" i="228"/>
  <c r="H33" i="228" s="1"/>
  <c r="F34" i="228" s="1"/>
  <c r="D32" i="228"/>
  <c r="E32" i="228" s="1"/>
  <c r="C33" i="228" s="1"/>
  <c r="U31" i="228" l="1"/>
  <c r="V31" i="228" s="1"/>
  <c r="W31" i="228" s="1"/>
  <c r="X30" i="228"/>
  <c r="P35" i="240"/>
  <c r="Q35" i="240" s="1"/>
  <c r="O36" i="240" s="1"/>
  <c r="M34" i="240"/>
  <c r="N34" i="240" s="1"/>
  <c r="L35" i="240" s="1"/>
  <c r="S35" i="240"/>
  <c r="T35" i="240" s="1"/>
  <c r="R36" i="240" s="1"/>
  <c r="D35" i="240"/>
  <c r="E35" i="240" s="1"/>
  <c r="C36" i="240" s="1"/>
  <c r="G35" i="240"/>
  <c r="H35" i="240" s="1"/>
  <c r="F36" i="240" s="1"/>
  <c r="J35" i="240"/>
  <c r="K35" i="240" s="1"/>
  <c r="I36" i="240" s="1"/>
  <c r="D34" i="239"/>
  <c r="E34" i="239" s="1"/>
  <c r="C35" i="239" s="1"/>
  <c r="M35" i="239"/>
  <c r="N35" i="239" s="1"/>
  <c r="L36" i="239" s="1"/>
  <c r="S34" i="239"/>
  <c r="T34" i="239" s="1"/>
  <c r="R35" i="239" s="1"/>
  <c r="P34" i="239"/>
  <c r="Q34" i="239" s="1"/>
  <c r="O35" i="239" s="1"/>
  <c r="J35" i="239"/>
  <c r="K35" i="239" s="1"/>
  <c r="I36" i="239" s="1"/>
  <c r="G34" i="239"/>
  <c r="H34" i="239" s="1"/>
  <c r="F35" i="239" s="1"/>
  <c r="D35" i="236"/>
  <c r="E35" i="236" s="1"/>
  <c r="C36" i="236" s="1"/>
  <c r="G36" i="236"/>
  <c r="H36" i="236" s="1"/>
  <c r="F37" i="236" s="1"/>
  <c r="M36" i="236"/>
  <c r="N36" i="236" s="1"/>
  <c r="L37" i="236" s="1"/>
  <c r="S35" i="236"/>
  <c r="T35" i="236" s="1"/>
  <c r="R36" i="236" s="1"/>
  <c r="J36" i="236"/>
  <c r="K36" i="236" s="1"/>
  <c r="I37" i="236" s="1"/>
  <c r="P35" i="236"/>
  <c r="Q35" i="236" s="1"/>
  <c r="O36" i="236" s="1"/>
  <c r="G35" i="235"/>
  <c r="H35" i="235" s="1"/>
  <c r="F36" i="235" s="1"/>
  <c r="S35" i="235"/>
  <c r="T35" i="235" s="1"/>
  <c r="R36" i="235" s="1"/>
  <c r="P34" i="235"/>
  <c r="Q34" i="235" s="1"/>
  <c r="O35" i="235" s="1"/>
  <c r="D34" i="235"/>
  <c r="E34" i="235" s="1"/>
  <c r="C35" i="235" s="1"/>
  <c r="M35" i="235"/>
  <c r="N35" i="235" s="1"/>
  <c r="L36" i="235" s="1"/>
  <c r="J34" i="235"/>
  <c r="K34" i="235" s="1"/>
  <c r="I35" i="235" s="1"/>
  <c r="G35" i="234"/>
  <c r="H35" i="234" s="1"/>
  <c r="F36" i="234" s="1"/>
  <c r="M34" i="234"/>
  <c r="N34" i="234" s="1"/>
  <c r="L35" i="234" s="1"/>
  <c r="J35" i="234"/>
  <c r="K35" i="234" s="1"/>
  <c r="I36" i="234" s="1"/>
  <c r="S35" i="234"/>
  <c r="T35" i="234" s="1"/>
  <c r="R36" i="234" s="1"/>
  <c r="D34" i="234"/>
  <c r="E34" i="234" s="1"/>
  <c r="C35" i="234" s="1"/>
  <c r="D35" i="233"/>
  <c r="E35" i="233" s="1"/>
  <c r="C36" i="233" s="1"/>
  <c r="J34" i="233"/>
  <c r="K34" i="233" s="1"/>
  <c r="I35" i="233" s="1"/>
  <c r="S34" i="233"/>
  <c r="T34" i="233" s="1"/>
  <c r="R35" i="233" s="1"/>
  <c r="M35" i="233"/>
  <c r="N35" i="233" s="1"/>
  <c r="L36" i="233" s="1"/>
  <c r="G34" i="233"/>
  <c r="H34" i="233" s="1"/>
  <c r="F35" i="233" s="1"/>
  <c r="P35" i="233"/>
  <c r="Q35" i="233" s="1"/>
  <c r="O36" i="233" s="1"/>
  <c r="C67" i="228"/>
  <c r="D67" i="228" s="1"/>
  <c r="U66" i="228"/>
  <c r="S33" i="231"/>
  <c r="T33" i="231" s="1"/>
  <c r="R34" i="231" s="1"/>
  <c r="P34" i="231"/>
  <c r="Q34" i="231" s="1"/>
  <c r="O35" i="231" s="1"/>
  <c r="D34" i="231"/>
  <c r="E34" i="231" s="1"/>
  <c r="C35" i="231" s="1"/>
  <c r="P69" i="231"/>
  <c r="Q69" i="231" s="1"/>
  <c r="D70" i="231"/>
  <c r="E70" i="231" s="1"/>
  <c r="G69" i="231"/>
  <c r="H69" i="231" s="1"/>
  <c r="J35" i="231"/>
  <c r="K35" i="231" s="1"/>
  <c r="I36" i="231" s="1"/>
  <c r="J68" i="231"/>
  <c r="K68" i="231" s="1"/>
  <c r="S56" i="231"/>
  <c r="T56" i="231" s="1"/>
  <c r="M35" i="231"/>
  <c r="N35" i="231" s="1"/>
  <c r="L36" i="231" s="1"/>
  <c r="G34" i="231"/>
  <c r="H34" i="231" s="1"/>
  <c r="F35" i="231" s="1"/>
  <c r="M55" i="231"/>
  <c r="N55" i="231" s="1"/>
  <c r="D34" i="230"/>
  <c r="E34" i="230" s="1"/>
  <c r="C35" i="230" s="1"/>
  <c r="AN19" i="230"/>
  <c r="AO19" i="230" s="1"/>
  <c r="M19" i="230"/>
  <c r="N19" i="230" s="1"/>
  <c r="P67" i="230"/>
  <c r="Q67" i="230" s="1"/>
  <c r="O68" i="230" s="1"/>
  <c r="AB19" i="230"/>
  <c r="AC19" i="230" s="1"/>
  <c r="G33" i="230"/>
  <c r="H33" i="230" s="1"/>
  <c r="F34" i="230" s="1"/>
  <c r="G67" i="230"/>
  <c r="H67" i="230" s="1"/>
  <c r="F68" i="230" s="1"/>
  <c r="J33" i="230"/>
  <c r="K33" i="230" s="1"/>
  <c r="I34" i="230" s="1"/>
  <c r="AK19" i="230"/>
  <c r="AL19" i="230" s="1"/>
  <c r="S33" i="230"/>
  <c r="T33" i="230" s="1"/>
  <c r="R34" i="230" s="1"/>
  <c r="R55" i="230"/>
  <c r="U54" i="230"/>
  <c r="J67" i="230"/>
  <c r="K67" i="230" s="1"/>
  <c r="I68" i="230" s="1"/>
  <c r="M34" i="230"/>
  <c r="N34" i="230" s="1"/>
  <c r="L35" i="230" s="1"/>
  <c r="P34" i="230"/>
  <c r="Q34" i="230" s="1"/>
  <c r="O35" i="230" s="1"/>
  <c r="P19" i="230"/>
  <c r="Q19" i="230" s="1"/>
  <c r="Y19" i="230"/>
  <c r="Z19" i="230" s="1"/>
  <c r="AS19" i="230"/>
  <c r="M68" i="230"/>
  <c r="N68" i="230" s="1"/>
  <c r="L69" i="230" s="1"/>
  <c r="D68" i="230"/>
  <c r="E68" i="230" s="1"/>
  <c r="C69" i="230" s="1"/>
  <c r="J68" i="228"/>
  <c r="K68" i="228" s="1"/>
  <c r="I69" i="228" s="1"/>
  <c r="P68" i="228"/>
  <c r="Q68" i="228" s="1"/>
  <c r="O69" i="228" s="1"/>
  <c r="G67" i="228"/>
  <c r="H67" i="228" s="1"/>
  <c r="F68" i="228" s="1"/>
  <c r="S67" i="228"/>
  <c r="T67" i="228" s="1"/>
  <c r="R68" i="228" s="1"/>
  <c r="M68" i="228"/>
  <c r="N68" i="228" s="1"/>
  <c r="L69" i="228" s="1"/>
  <c r="P34" i="228"/>
  <c r="Q34" i="228" s="1"/>
  <c r="O35" i="228" s="1"/>
  <c r="S33" i="228"/>
  <c r="T33" i="228" s="1"/>
  <c r="R34" i="228" s="1"/>
  <c r="J33" i="228"/>
  <c r="K33" i="228" s="1"/>
  <c r="I34" i="228" s="1"/>
  <c r="M34" i="228"/>
  <c r="N34" i="228" s="1"/>
  <c r="L35" i="228" s="1"/>
  <c r="G34" i="228"/>
  <c r="H34" i="228" s="1"/>
  <c r="F35" i="228" s="1"/>
  <c r="D33" i="228"/>
  <c r="E33" i="228" s="1"/>
  <c r="C34" i="228" s="1"/>
  <c r="E67" i="228" l="1"/>
  <c r="C68" i="228" s="1"/>
  <c r="D68" i="228" s="1"/>
  <c r="E68" i="228" s="1"/>
  <c r="D34" i="228"/>
  <c r="E34" i="228" s="1"/>
  <c r="C35" i="228" s="1"/>
  <c r="U32" i="228"/>
  <c r="V32" i="228" s="1"/>
  <c r="W32" i="228" s="1"/>
  <c r="X31" i="228"/>
  <c r="M35" i="240"/>
  <c r="N35" i="240" s="1"/>
  <c r="L36" i="240" s="1"/>
  <c r="D36" i="240"/>
  <c r="E36" i="240" s="1"/>
  <c r="C37" i="240" s="1"/>
  <c r="J36" i="240"/>
  <c r="K36" i="240" s="1"/>
  <c r="I37" i="240" s="1"/>
  <c r="G36" i="240"/>
  <c r="H36" i="240" s="1"/>
  <c r="F37" i="240" s="1"/>
  <c r="S36" i="240"/>
  <c r="T36" i="240" s="1"/>
  <c r="R37" i="240" s="1"/>
  <c r="P36" i="240"/>
  <c r="Q36" i="240" s="1"/>
  <c r="O37" i="240" s="1"/>
  <c r="P35" i="239"/>
  <c r="Q35" i="239" s="1"/>
  <c r="O36" i="239" s="1"/>
  <c r="D35" i="239"/>
  <c r="E35" i="239" s="1"/>
  <c r="C36" i="239" s="1"/>
  <c r="G35" i="239"/>
  <c r="H35" i="239" s="1"/>
  <c r="F36" i="239" s="1"/>
  <c r="S35" i="239"/>
  <c r="T35" i="239" s="1"/>
  <c r="R36" i="239" s="1"/>
  <c r="M36" i="239"/>
  <c r="N36" i="239" s="1"/>
  <c r="L37" i="239" s="1"/>
  <c r="J36" i="239"/>
  <c r="K36" i="239" s="1"/>
  <c r="I37" i="239" s="1"/>
  <c r="M37" i="236"/>
  <c r="N37" i="236" s="1"/>
  <c r="L38" i="236" s="1"/>
  <c r="G37" i="236"/>
  <c r="H37" i="236" s="1"/>
  <c r="F38" i="236" s="1"/>
  <c r="P36" i="236"/>
  <c r="Q36" i="236" s="1"/>
  <c r="O37" i="236" s="1"/>
  <c r="J37" i="236"/>
  <c r="K37" i="236" s="1"/>
  <c r="I38" i="236" s="1"/>
  <c r="D36" i="236"/>
  <c r="E36" i="236" s="1"/>
  <c r="C37" i="236" s="1"/>
  <c r="S36" i="236"/>
  <c r="T36" i="236" s="1"/>
  <c r="R37" i="236" s="1"/>
  <c r="G36" i="235"/>
  <c r="H36" i="235" s="1"/>
  <c r="F37" i="235" s="1"/>
  <c r="J35" i="235"/>
  <c r="K35" i="235" s="1"/>
  <c r="I36" i="235" s="1"/>
  <c r="D35" i="235"/>
  <c r="E35" i="235" s="1"/>
  <c r="C36" i="235" s="1"/>
  <c r="P35" i="235"/>
  <c r="Q35" i="235" s="1"/>
  <c r="O36" i="235" s="1"/>
  <c r="M36" i="235"/>
  <c r="N36" i="235" s="1"/>
  <c r="L37" i="235" s="1"/>
  <c r="S36" i="235"/>
  <c r="T36" i="235" s="1"/>
  <c r="R37" i="235" s="1"/>
  <c r="D35" i="234"/>
  <c r="E35" i="234" s="1"/>
  <c r="C36" i="234" s="1"/>
  <c r="J36" i="234"/>
  <c r="K36" i="234" s="1"/>
  <c r="I37" i="234" s="1"/>
  <c r="M35" i="234"/>
  <c r="N35" i="234" s="1"/>
  <c r="L36" i="234" s="1"/>
  <c r="S36" i="234"/>
  <c r="T36" i="234" s="1"/>
  <c r="R37" i="234" s="1"/>
  <c r="G36" i="234"/>
  <c r="H36" i="234" s="1"/>
  <c r="F37" i="234" s="1"/>
  <c r="D36" i="233"/>
  <c r="E36" i="233" s="1"/>
  <c r="C37" i="233" s="1"/>
  <c r="J35" i="233"/>
  <c r="K35" i="233" s="1"/>
  <c r="I36" i="233" s="1"/>
  <c r="P36" i="233"/>
  <c r="Q36" i="233" s="1"/>
  <c r="O37" i="233" s="1"/>
  <c r="M36" i="233"/>
  <c r="N36" i="233" s="1"/>
  <c r="L37" i="233" s="1"/>
  <c r="S35" i="233"/>
  <c r="T35" i="233" s="1"/>
  <c r="R36" i="233" s="1"/>
  <c r="G35" i="233"/>
  <c r="H35" i="233" s="1"/>
  <c r="F36" i="233" s="1"/>
  <c r="D71" i="231"/>
  <c r="E71" i="231" s="1"/>
  <c r="P70" i="231"/>
  <c r="Q70" i="231" s="1"/>
  <c r="J69" i="231"/>
  <c r="K69" i="231" s="1"/>
  <c r="U55" i="231"/>
  <c r="M36" i="231"/>
  <c r="N36" i="231" s="1"/>
  <c r="L37" i="231" s="1"/>
  <c r="G35" i="231"/>
  <c r="H35" i="231" s="1"/>
  <c r="F36" i="231" s="1"/>
  <c r="G70" i="231"/>
  <c r="H70" i="231" s="1"/>
  <c r="P35" i="231"/>
  <c r="Q35" i="231" s="1"/>
  <c r="O36" i="231" s="1"/>
  <c r="J36" i="231"/>
  <c r="K36" i="231" s="1"/>
  <c r="I37" i="231" s="1"/>
  <c r="D35" i="231"/>
  <c r="E35" i="231" s="1"/>
  <c r="C36" i="231" s="1"/>
  <c r="S34" i="231"/>
  <c r="T34" i="231" s="1"/>
  <c r="R35" i="231" s="1"/>
  <c r="J68" i="230"/>
  <c r="K68" i="230" s="1"/>
  <c r="I69" i="230" s="1"/>
  <c r="S34" i="230"/>
  <c r="T34" i="230" s="1"/>
  <c r="R35" i="230" s="1"/>
  <c r="G34" i="230"/>
  <c r="H34" i="230" s="1"/>
  <c r="F35" i="230" s="1"/>
  <c r="G68" i="230"/>
  <c r="H68" i="230" s="1"/>
  <c r="F69" i="230" s="1"/>
  <c r="P68" i="230"/>
  <c r="Q68" i="230" s="1"/>
  <c r="O69" i="230" s="1"/>
  <c r="M35" i="230"/>
  <c r="N35" i="230" s="1"/>
  <c r="L36" i="230" s="1"/>
  <c r="D69" i="230"/>
  <c r="E69" i="230" s="1"/>
  <c r="C70" i="230" s="1"/>
  <c r="M69" i="230"/>
  <c r="N69" i="230" s="1"/>
  <c r="L70" i="230" s="1"/>
  <c r="S55" i="230"/>
  <c r="T55" i="230" s="1"/>
  <c r="P35" i="230"/>
  <c r="Q35" i="230" s="1"/>
  <c r="O36" i="230" s="1"/>
  <c r="J34" i="230"/>
  <c r="K34" i="230" s="1"/>
  <c r="I35" i="230" s="1"/>
  <c r="D35" i="230"/>
  <c r="E35" i="230" s="1"/>
  <c r="C36" i="230" s="1"/>
  <c r="M69" i="228"/>
  <c r="N69" i="228" s="1"/>
  <c r="L70" i="228" s="1"/>
  <c r="J69" i="228"/>
  <c r="K69" i="228" s="1"/>
  <c r="I70" i="228" s="1"/>
  <c r="G68" i="228"/>
  <c r="H68" i="228" s="1"/>
  <c r="F69" i="228" s="1"/>
  <c r="S68" i="228"/>
  <c r="T68" i="228" s="1"/>
  <c r="R69" i="228" s="1"/>
  <c r="P69" i="228"/>
  <c r="Q69" i="228" s="1"/>
  <c r="O70" i="228" s="1"/>
  <c r="S34" i="228"/>
  <c r="T34" i="228" s="1"/>
  <c r="R35" i="228" s="1"/>
  <c r="J34" i="228"/>
  <c r="K34" i="228" s="1"/>
  <c r="I35" i="228" s="1"/>
  <c r="P35" i="228"/>
  <c r="Q35" i="228" s="1"/>
  <c r="O36" i="228" s="1"/>
  <c r="M35" i="228"/>
  <c r="N35" i="228" s="1"/>
  <c r="L36" i="228" s="1"/>
  <c r="G35" i="228"/>
  <c r="H35" i="228" s="1"/>
  <c r="F36" i="228" s="1"/>
  <c r="U67" i="228" l="1"/>
  <c r="U33" i="228"/>
  <c r="V33" i="228" s="1"/>
  <c r="W33" i="228" s="1"/>
  <c r="X32" i="228"/>
  <c r="D35" i="228"/>
  <c r="E35" i="228" s="1"/>
  <c r="C36" i="228" s="1"/>
  <c r="D36" i="228" s="1"/>
  <c r="E36" i="228" s="1"/>
  <c r="C37" i="228" s="1"/>
  <c r="D37" i="228" s="1"/>
  <c r="E37" i="228" s="1"/>
  <c r="C38" i="228" s="1"/>
  <c r="S37" i="240"/>
  <c r="T37" i="240" s="1"/>
  <c r="R38" i="240" s="1"/>
  <c r="M36" i="240"/>
  <c r="N36" i="240" s="1"/>
  <c r="L37" i="240" s="1"/>
  <c r="G37" i="240"/>
  <c r="H37" i="240" s="1"/>
  <c r="F38" i="240" s="1"/>
  <c r="P37" i="240"/>
  <c r="Q37" i="240" s="1"/>
  <c r="O38" i="240" s="1"/>
  <c r="D37" i="240"/>
  <c r="E37" i="240" s="1"/>
  <c r="C38" i="240" s="1"/>
  <c r="J37" i="240"/>
  <c r="K37" i="240" s="1"/>
  <c r="I38" i="240" s="1"/>
  <c r="D36" i="239"/>
  <c r="E36" i="239" s="1"/>
  <c r="C37" i="239" s="1"/>
  <c r="P36" i="239"/>
  <c r="Q36" i="239" s="1"/>
  <c r="O37" i="239" s="1"/>
  <c r="S36" i="239"/>
  <c r="T36" i="239" s="1"/>
  <c r="R37" i="239" s="1"/>
  <c r="J37" i="239"/>
  <c r="K37" i="239" s="1"/>
  <c r="I38" i="239" s="1"/>
  <c r="G36" i="239"/>
  <c r="H36" i="239" s="1"/>
  <c r="F37" i="239" s="1"/>
  <c r="M37" i="239"/>
  <c r="N37" i="239" s="1"/>
  <c r="L38" i="239" s="1"/>
  <c r="J38" i="236"/>
  <c r="K38" i="236" s="1"/>
  <c r="I39" i="236" s="1"/>
  <c r="M38" i="236"/>
  <c r="N38" i="236" s="1"/>
  <c r="L39" i="236" s="1"/>
  <c r="S37" i="236"/>
  <c r="T37" i="236" s="1"/>
  <c r="R38" i="236" s="1"/>
  <c r="G38" i="236"/>
  <c r="H38" i="236" s="1"/>
  <c r="F39" i="236" s="1"/>
  <c r="D37" i="236"/>
  <c r="E37" i="236" s="1"/>
  <c r="C38" i="236" s="1"/>
  <c r="P37" i="236"/>
  <c r="Q37" i="236" s="1"/>
  <c r="O38" i="236" s="1"/>
  <c r="M37" i="235"/>
  <c r="N37" i="235" s="1"/>
  <c r="L38" i="235" s="1"/>
  <c r="D36" i="235"/>
  <c r="E36" i="235" s="1"/>
  <c r="C37" i="235" s="1"/>
  <c r="P36" i="235"/>
  <c r="Q36" i="235" s="1"/>
  <c r="O37" i="235" s="1"/>
  <c r="S37" i="235"/>
  <c r="T37" i="235" s="1"/>
  <c r="R38" i="235" s="1"/>
  <c r="J36" i="235"/>
  <c r="K36" i="235" s="1"/>
  <c r="I37" i="235" s="1"/>
  <c r="G37" i="235"/>
  <c r="H37" i="235" s="1"/>
  <c r="F38" i="235" s="1"/>
  <c r="M36" i="234"/>
  <c r="N36" i="234" s="1"/>
  <c r="L37" i="234" s="1"/>
  <c r="J37" i="234"/>
  <c r="K37" i="234" s="1"/>
  <c r="I38" i="234" s="1"/>
  <c r="G37" i="234"/>
  <c r="H37" i="234" s="1"/>
  <c r="F38" i="234" s="1"/>
  <c r="D36" i="234"/>
  <c r="E36" i="234" s="1"/>
  <c r="C37" i="234" s="1"/>
  <c r="S37" i="234"/>
  <c r="T37" i="234" s="1"/>
  <c r="R38" i="234" s="1"/>
  <c r="J36" i="233"/>
  <c r="K36" i="233" s="1"/>
  <c r="I37" i="233" s="1"/>
  <c r="G36" i="233"/>
  <c r="H36" i="233" s="1"/>
  <c r="F37" i="233" s="1"/>
  <c r="P37" i="233"/>
  <c r="Q37" i="233" s="1"/>
  <c r="O38" i="233" s="1"/>
  <c r="S36" i="233"/>
  <c r="T36" i="233" s="1"/>
  <c r="R37" i="233" s="1"/>
  <c r="D37" i="233"/>
  <c r="E37" i="233" s="1"/>
  <c r="C38" i="233" s="1"/>
  <c r="M37" i="233"/>
  <c r="N37" i="233" s="1"/>
  <c r="L38" i="233" s="1"/>
  <c r="C69" i="228"/>
  <c r="D69" i="228" s="1"/>
  <c r="E69" i="228" s="1"/>
  <c r="U68" i="228"/>
  <c r="P36" i="231"/>
  <c r="Q36" i="231" s="1"/>
  <c r="O37" i="231" s="1"/>
  <c r="J37" i="231"/>
  <c r="K37" i="231" s="1"/>
  <c r="I38" i="231" s="1"/>
  <c r="P71" i="231"/>
  <c r="Q71" i="231" s="1"/>
  <c r="S35" i="231"/>
  <c r="T35" i="231" s="1"/>
  <c r="R36" i="231" s="1"/>
  <c r="D36" i="231"/>
  <c r="E36" i="231" s="1"/>
  <c r="C37" i="231" s="1"/>
  <c r="J70" i="231"/>
  <c r="K70" i="231" s="1"/>
  <c r="D72" i="231"/>
  <c r="E72" i="231" s="1"/>
  <c r="S57" i="231"/>
  <c r="T57" i="231" s="1"/>
  <c r="G71" i="231"/>
  <c r="H71" i="231" s="1"/>
  <c r="G36" i="231"/>
  <c r="H36" i="231" s="1"/>
  <c r="F37" i="231" s="1"/>
  <c r="M56" i="231"/>
  <c r="N56" i="231" s="1"/>
  <c r="M37" i="231"/>
  <c r="N37" i="231" s="1"/>
  <c r="L38" i="231" s="1"/>
  <c r="D36" i="230"/>
  <c r="E36" i="230" s="1"/>
  <c r="C37" i="230" s="1"/>
  <c r="P36" i="230"/>
  <c r="Q36" i="230" s="1"/>
  <c r="O37" i="230" s="1"/>
  <c r="G35" i="230"/>
  <c r="H35" i="230" s="1"/>
  <c r="F36" i="230" s="1"/>
  <c r="P69" i="230"/>
  <c r="Q69" i="230" s="1"/>
  <c r="O70" i="230" s="1"/>
  <c r="D70" i="230"/>
  <c r="E70" i="230" s="1"/>
  <c r="C71" i="230" s="1"/>
  <c r="M70" i="230"/>
  <c r="N70" i="230" s="1"/>
  <c r="L71" i="230" s="1"/>
  <c r="J69" i="230"/>
  <c r="K69" i="230" s="1"/>
  <c r="I70" i="230" s="1"/>
  <c r="R56" i="230"/>
  <c r="U55" i="230"/>
  <c r="G69" i="230"/>
  <c r="H69" i="230" s="1"/>
  <c r="F70" i="230" s="1"/>
  <c r="J35" i="230"/>
  <c r="K35" i="230" s="1"/>
  <c r="I36" i="230" s="1"/>
  <c r="M36" i="230"/>
  <c r="N36" i="230" s="1"/>
  <c r="L37" i="230" s="1"/>
  <c r="S35" i="230"/>
  <c r="T35" i="230" s="1"/>
  <c r="R36" i="230" s="1"/>
  <c r="J70" i="228"/>
  <c r="K70" i="228" s="1"/>
  <c r="I71" i="228" s="1"/>
  <c r="P70" i="228"/>
  <c r="Q70" i="228" s="1"/>
  <c r="O71" i="228" s="1"/>
  <c r="S69" i="228"/>
  <c r="T69" i="228" s="1"/>
  <c r="R70" i="228" s="1"/>
  <c r="G69" i="228"/>
  <c r="H69" i="228" s="1"/>
  <c r="F70" i="228" s="1"/>
  <c r="M70" i="228"/>
  <c r="N70" i="228" s="1"/>
  <c r="L71" i="228" s="1"/>
  <c r="J35" i="228"/>
  <c r="K35" i="228" s="1"/>
  <c r="I36" i="228" s="1"/>
  <c r="P36" i="228"/>
  <c r="Q36" i="228" s="1"/>
  <c r="O37" i="228" s="1"/>
  <c r="S35" i="228"/>
  <c r="T35" i="228" s="1"/>
  <c r="R36" i="228" s="1"/>
  <c r="M36" i="228"/>
  <c r="N36" i="228" s="1"/>
  <c r="L37" i="228" s="1"/>
  <c r="G36" i="228"/>
  <c r="H36" i="228" s="1"/>
  <c r="F37" i="228" s="1"/>
  <c r="D38" i="228" l="1"/>
  <c r="E38" i="228" s="1"/>
  <c r="U34" i="228"/>
  <c r="V34" i="228" s="1"/>
  <c r="W34" i="228" s="1"/>
  <c r="X33" i="228"/>
  <c r="J38" i="240"/>
  <c r="K38" i="240" s="1"/>
  <c r="P38" i="240"/>
  <c r="Q38" i="240" s="1"/>
  <c r="M37" i="240"/>
  <c r="N37" i="240" s="1"/>
  <c r="L38" i="240" s="1"/>
  <c r="D38" i="240"/>
  <c r="E38" i="240" s="1"/>
  <c r="G38" i="240"/>
  <c r="H38" i="240" s="1"/>
  <c r="S38" i="240"/>
  <c r="T38" i="240" s="1"/>
  <c r="D37" i="239"/>
  <c r="E37" i="239" s="1"/>
  <c r="C38" i="239" s="1"/>
  <c r="P37" i="239"/>
  <c r="Q37" i="239" s="1"/>
  <c r="O38" i="239" s="1"/>
  <c r="J38" i="239"/>
  <c r="K38" i="239" s="1"/>
  <c r="M38" i="239"/>
  <c r="N38" i="239" s="1"/>
  <c r="G37" i="239"/>
  <c r="H37" i="239" s="1"/>
  <c r="F38" i="239" s="1"/>
  <c r="S37" i="239"/>
  <c r="T37" i="239" s="1"/>
  <c r="R38" i="239" s="1"/>
  <c r="P38" i="236"/>
  <c r="Q38" i="236" s="1"/>
  <c r="O39" i="236" s="1"/>
  <c r="S38" i="236"/>
  <c r="T38" i="236" s="1"/>
  <c r="R39" i="236" s="1"/>
  <c r="G39" i="236"/>
  <c r="H39" i="236" s="1"/>
  <c r="M39" i="236"/>
  <c r="N39" i="236" s="1"/>
  <c r="D38" i="236"/>
  <c r="E38" i="236" s="1"/>
  <c r="C39" i="236" s="1"/>
  <c r="J39" i="236"/>
  <c r="K39" i="236" s="1"/>
  <c r="G38" i="235"/>
  <c r="H38" i="235" s="1"/>
  <c r="S38" i="235"/>
  <c r="T38" i="235" s="1"/>
  <c r="J37" i="235"/>
  <c r="K37" i="235" s="1"/>
  <c r="I38" i="235" s="1"/>
  <c r="P37" i="235"/>
  <c r="Q37" i="235" s="1"/>
  <c r="O38" i="235" s="1"/>
  <c r="M38" i="235"/>
  <c r="N38" i="235" s="1"/>
  <c r="D37" i="235"/>
  <c r="E37" i="235" s="1"/>
  <c r="C38" i="235" s="1"/>
  <c r="G38" i="234"/>
  <c r="H38" i="234" s="1"/>
  <c r="S38" i="234"/>
  <c r="T38" i="234" s="1"/>
  <c r="D37" i="234"/>
  <c r="E37" i="234" s="1"/>
  <c r="C38" i="234" s="1"/>
  <c r="J38" i="234"/>
  <c r="K38" i="234" s="1"/>
  <c r="M37" i="234"/>
  <c r="N37" i="234" s="1"/>
  <c r="L38" i="234" s="1"/>
  <c r="P38" i="233"/>
  <c r="Q38" i="233" s="1"/>
  <c r="J37" i="233"/>
  <c r="K37" i="233" s="1"/>
  <c r="I38" i="233" s="1"/>
  <c r="D38" i="233"/>
  <c r="E38" i="233" s="1"/>
  <c r="M38" i="233"/>
  <c r="N38" i="233" s="1"/>
  <c r="S37" i="233"/>
  <c r="T37" i="233" s="1"/>
  <c r="R38" i="233" s="1"/>
  <c r="G37" i="233"/>
  <c r="H37" i="233" s="1"/>
  <c r="F38" i="233" s="1"/>
  <c r="C70" i="228"/>
  <c r="D70" i="228" s="1"/>
  <c r="E70" i="228" s="1"/>
  <c r="U69" i="228"/>
  <c r="G72" i="231"/>
  <c r="H72" i="231" s="1"/>
  <c r="M38" i="231"/>
  <c r="N38" i="231" s="1"/>
  <c r="G37" i="231"/>
  <c r="H37" i="231" s="1"/>
  <c r="F38" i="231" s="1"/>
  <c r="J71" i="231"/>
  <c r="K71" i="231" s="1"/>
  <c r="D37" i="231"/>
  <c r="E37" i="231" s="1"/>
  <c r="C38" i="231" s="1"/>
  <c r="P72" i="231"/>
  <c r="Q72" i="231" s="1"/>
  <c r="J38" i="231"/>
  <c r="K38" i="231" s="1"/>
  <c r="U56" i="231"/>
  <c r="S36" i="231"/>
  <c r="T36" i="231" s="1"/>
  <c r="R37" i="231" s="1"/>
  <c r="P37" i="231"/>
  <c r="Q37" i="231" s="1"/>
  <c r="O38" i="231" s="1"/>
  <c r="M37" i="230"/>
  <c r="N37" i="230" s="1"/>
  <c r="L38" i="230" s="1"/>
  <c r="G36" i="230"/>
  <c r="H36" i="230" s="1"/>
  <c r="F37" i="230" s="1"/>
  <c r="D71" i="230"/>
  <c r="E71" i="230" s="1"/>
  <c r="C72" i="230" s="1"/>
  <c r="P37" i="230"/>
  <c r="Q37" i="230" s="1"/>
  <c r="O38" i="230" s="1"/>
  <c r="G70" i="230"/>
  <c r="H70" i="230" s="1"/>
  <c r="F71" i="230" s="1"/>
  <c r="S56" i="230"/>
  <c r="T56" i="230" s="1"/>
  <c r="P70" i="230"/>
  <c r="Q70" i="230" s="1"/>
  <c r="O71" i="230" s="1"/>
  <c r="S36" i="230"/>
  <c r="T36" i="230" s="1"/>
  <c r="R37" i="230" s="1"/>
  <c r="J36" i="230"/>
  <c r="K36" i="230" s="1"/>
  <c r="I37" i="230" s="1"/>
  <c r="J70" i="230"/>
  <c r="K70" i="230" s="1"/>
  <c r="I71" i="230" s="1"/>
  <c r="M71" i="230"/>
  <c r="N71" i="230" s="1"/>
  <c r="L72" i="230" s="1"/>
  <c r="D37" i="230"/>
  <c r="E37" i="230" s="1"/>
  <c r="C38" i="230" s="1"/>
  <c r="J71" i="228"/>
  <c r="K71" i="228" s="1"/>
  <c r="I72" i="228" s="1"/>
  <c r="M71" i="228"/>
  <c r="N71" i="228" s="1"/>
  <c r="L72" i="228" s="1"/>
  <c r="S70" i="228"/>
  <c r="T70" i="228" s="1"/>
  <c r="R71" i="228" s="1"/>
  <c r="G70" i="228"/>
  <c r="H70" i="228" s="1"/>
  <c r="F71" i="228" s="1"/>
  <c r="P71" i="228"/>
  <c r="Q71" i="228" s="1"/>
  <c r="O72" i="228" s="1"/>
  <c r="P37" i="228"/>
  <c r="Q37" i="228" s="1"/>
  <c r="O38" i="228" s="1"/>
  <c r="M37" i="228"/>
  <c r="N37" i="228" s="1"/>
  <c r="L38" i="228" s="1"/>
  <c r="S36" i="228"/>
  <c r="T36" i="228" s="1"/>
  <c r="R37" i="228" s="1"/>
  <c r="J36" i="228"/>
  <c r="K36" i="228" s="1"/>
  <c r="I37" i="228" s="1"/>
  <c r="G37" i="228"/>
  <c r="H37" i="228" s="1"/>
  <c r="F38" i="228" s="1"/>
  <c r="U35" i="228" l="1"/>
  <c r="V35" i="228" s="1"/>
  <c r="W35" i="228" s="1"/>
  <c r="X34" i="228"/>
  <c r="M38" i="240"/>
  <c r="N38" i="240" s="1"/>
  <c r="D38" i="239"/>
  <c r="E38" i="239" s="1"/>
  <c r="S38" i="239"/>
  <c r="T38" i="239" s="1"/>
  <c r="G38" i="239"/>
  <c r="H38" i="239" s="1"/>
  <c r="P38" i="239"/>
  <c r="Q38" i="239" s="1"/>
  <c r="S39" i="236"/>
  <c r="T39" i="236" s="1"/>
  <c r="P39" i="236"/>
  <c r="Q39" i="236" s="1"/>
  <c r="D39" i="236"/>
  <c r="E39" i="236" s="1"/>
  <c r="U25" i="236"/>
  <c r="J38" i="235"/>
  <c r="K38" i="235" s="1"/>
  <c r="D38" i="235"/>
  <c r="E38" i="235" s="1"/>
  <c r="P38" i="235"/>
  <c r="Q38" i="235" s="1"/>
  <c r="M38" i="234"/>
  <c r="N38" i="234" s="1"/>
  <c r="D38" i="234"/>
  <c r="E38" i="234" s="1"/>
  <c r="S38" i="233"/>
  <c r="T38" i="233" s="1"/>
  <c r="G38" i="233"/>
  <c r="H38" i="233" s="1"/>
  <c r="J38" i="233"/>
  <c r="K38" i="233" s="1"/>
  <c r="C71" i="228"/>
  <c r="D71" i="228" s="1"/>
  <c r="E71" i="228" s="1"/>
  <c r="U70" i="228"/>
  <c r="J72" i="231"/>
  <c r="K72" i="231" s="1"/>
  <c r="D38" i="231"/>
  <c r="E38" i="231" s="1"/>
  <c r="P38" i="231"/>
  <c r="Q38" i="231" s="1"/>
  <c r="S37" i="231"/>
  <c r="T37" i="231" s="1"/>
  <c r="R38" i="231" s="1"/>
  <c r="S58" i="231"/>
  <c r="T58" i="231" s="1"/>
  <c r="G38" i="231"/>
  <c r="H38" i="231" s="1"/>
  <c r="M57" i="231"/>
  <c r="N57" i="231" s="1"/>
  <c r="J37" i="230"/>
  <c r="K37" i="230" s="1"/>
  <c r="I38" i="230" s="1"/>
  <c r="M72" i="230"/>
  <c r="N72" i="230" s="1"/>
  <c r="M38" i="230"/>
  <c r="N38" i="230" s="1"/>
  <c r="P71" i="230"/>
  <c r="Q71" i="230" s="1"/>
  <c r="O72" i="230" s="1"/>
  <c r="S37" i="230"/>
  <c r="T37" i="230" s="1"/>
  <c r="R38" i="230" s="1"/>
  <c r="P38" i="230"/>
  <c r="Q38" i="230" s="1"/>
  <c r="G71" i="230"/>
  <c r="H71" i="230" s="1"/>
  <c r="F72" i="230" s="1"/>
  <c r="J71" i="230"/>
  <c r="K71" i="230" s="1"/>
  <c r="I72" i="230" s="1"/>
  <c r="D38" i="230"/>
  <c r="E38" i="230" s="1"/>
  <c r="R57" i="230"/>
  <c r="U56" i="230"/>
  <c r="G37" i="230"/>
  <c r="H37" i="230" s="1"/>
  <c r="F38" i="230" s="1"/>
  <c r="D72" i="230"/>
  <c r="E72" i="230" s="1"/>
  <c r="M72" i="228"/>
  <c r="N72" i="228" s="1"/>
  <c r="P72" i="228"/>
  <c r="Q72" i="228" s="1"/>
  <c r="G71" i="228"/>
  <c r="H71" i="228" s="1"/>
  <c r="F72" i="228" s="1"/>
  <c r="S71" i="228"/>
  <c r="T71" i="228" s="1"/>
  <c r="R72" i="228" s="1"/>
  <c r="J72" i="228"/>
  <c r="K72" i="228" s="1"/>
  <c r="J37" i="228"/>
  <c r="K37" i="228" s="1"/>
  <c r="I38" i="228" s="1"/>
  <c r="S37" i="228"/>
  <c r="T37" i="228" s="1"/>
  <c r="R38" i="228" s="1"/>
  <c r="P38" i="228"/>
  <c r="Q38" i="228" s="1"/>
  <c r="M38" i="228"/>
  <c r="N38" i="228" s="1"/>
  <c r="G38" i="228"/>
  <c r="H38" i="228" s="1"/>
  <c r="U36" i="228" l="1"/>
  <c r="V36" i="228" s="1"/>
  <c r="W36" i="228" s="1"/>
  <c r="X35" i="228"/>
  <c r="V25" i="236"/>
  <c r="W25" i="236" s="1"/>
  <c r="U25" i="234"/>
  <c r="C72" i="228"/>
  <c r="D72" i="228" s="1"/>
  <c r="E72" i="228" s="1"/>
  <c r="U71" i="228"/>
  <c r="U57" i="231"/>
  <c r="S38" i="231"/>
  <c r="T38" i="231" s="1"/>
  <c r="V24" i="231"/>
  <c r="W24" i="231" s="1"/>
  <c r="G72" i="230"/>
  <c r="H72" i="230" s="1"/>
  <c r="S38" i="230"/>
  <c r="T38" i="230" s="1"/>
  <c r="P72" i="230"/>
  <c r="Q72" i="230" s="1"/>
  <c r="J38" i="230"/>
  <c r="K38" i="230" s="1"/>
  <c r="S57" i="230"/>
  <c r="T57" i="230" s="1"/>
  <c r="J72" i="230"/>
  <c r="K72" i="230" s="1"/>
  <c r="G38" i="230"/>
  <c r="H38" i="230" s="1"/>
  <c r="G72" i="228"/>
  <c r="H72" i="228" s="1"/>
  <c r="S72" i="228"/>
  <c r="T72" i="228" s="1"/>
  <c r="S38" i="228"/>
  <c r="T38" i="228" s="1"/>
  <c r="J38" i="228"/>
  <c r="K38" i="228" s="1"/>
  <c r="U37" i="228" l="1"/>
  <c r="V37" i="228" s="1"/>
  <c r="W37" i="228" s="1"/>
  <c r="X36" i="228"/>
  <c r="U25" i="240"/>
  <c r="U25" i="239"/>
  <c r="X25" i="236"/>
  <c r="U26" i="236"/>
  <c r="V25" i="234"/>
  <c r="W25" i="234" s="1"/>
  <c r="U72" i="228"/>
  <c r="X24" i="231"/>
  <c r="U25" i="231"/>
  <c r="S59" i="231"/>
  <c r="T59" i="231" s="1"/>
  <c r="M58" i="231"/>
  <c r="N58" i="231" s="1"/>
  <c r="R58" i="230"/>
  <c r="U57" i="230"/>
  <c r="U38" i="228" l="1"/>
  <c r="V38" i="228" s="1"/>
  <c r="W38" i="228" s="1"/>
  <c r="X38" i="228" s="1"/>
  <c r="X37" i="228"/>
  <c r="V25" i="240"/>
  <c r="W25" i="240" s="1"/>
  <c r="V25" i="239"/>
  <c r="W25" i="239" s="1"/>
  <c r="V26" i="236"/>
  <c r="W26" i="236" s="1"/>
  <c r="U25" i="235"/>
  <c r="O25" i="234"/>
  <c r="U26" i="234"/>
  <c r="U25" i="233"/>
  <c r="U58" i="231"/>
  <c r="V25" i="231"/>
  <c r="W25" i="231" s="1"/>
  <c r="S58" i="230"/>
  <c r="T58" i="230" s="1"/>
  <c r="U26" i="240" l="1"/>
  <c r="X25" i="240"/>
  <c r="X25" i="239"/>
  <c r="U26" i="239"/>
  <c r="X26" i="236"/>
  <c r="U27" i="236"/>
  <c r="V25" i="235"/>
  <c r="W25" i="235" s="1"/>
  <c r="V26" i="234"/>
  <c r="W26" i="234" s="1"/>
  <c r="P25" i="234"/>
  <c r="Q25" i="234" s="1"/>
  <c r="V25" i="233"/>
  <c r="W25" i="233" s="1"/>
  <c r="U26" i="231"/>
  <c r="X25" i="231"/>
  <c r="M59" i="231"/>
  <c r="N59" i="231" s="1"/>
  <c r="S60" i="231"/>
  <c r="T60" i="231" s="1"/>
  <c r="U25" i="230"/>
  <c r="R59" i="230"/>
  <c r="U58" i="230"/>
  <c r="V26" i="240" l="1"/>
  <c r="W26" i="240" s="1"/>
  <c r="V26" i="239"/>
  <c r="W26" i="239" s="1"/>
  <c r="V27" i="236"/>
  <c r="W27" i="236" s="1"/>
  <c r="U26" i="235"/>
  <c r="X25" i="235"/>
  <c r="U27" i="234"/>
  <c r="O26" i="234"/>
  <c r="X25" i="234"/>
  <c r="U26" i="233"/>
  <c r="X25" i="233"/>
  <c r="U59" i="231"/>
  <c r="V26" i="231"/>
  <c r="W26" i="231" s="1"/>
  <c r="S59" i="230"/>
  <c r="T59" i="230" s="1"/>
  <c r="V25" i="230"/>
  <c r="W25" i="230" s="1"/>
  <c r="U27" i="240" l="1"/>
  <c r="X26" i="240"/>
  <c r="X26" i="239"/>
  <c r="U27" i="239"/>
  <c r="X27" i="236"/>
  <c r="U28" i="236"/>
  <c r="V26" i="235"/>
  <c r="W26" i="235" s="1"/>
  <c r="P26" i="234"/>
  <c r="Q26" i="234" s="1"/>
  <c r="V27" i="234"/>
  <c r="W27" i="234" s="1"/>
  <c r="V26" i="233"/>
  <c r="W26" i="233" s="1"/>
  <c r="X26" i="231"/>
  <c r="U27" i="231"/>
  <c r="S61" i="231"/>
  <c r="T61" i="231" s="1"/>
  <c r="M60" i="231"/>
  <c r="N60" i="231" s="1"/>
  <c r="R60" i="230"/>
  <c r="U59" i="230"/>
  <c r="U26" i="230"/>
  <c r="X25" i="230"/>
  <c r="V27" i="240" l="1"/>
  <c r="W27" i="240" s="1"/>
  <c r="V27" i="239"/>
  <c r="W27" i="239" s="1"/>
  <c r="V28" i="236"/>
  <c r="W28" i="236" s="1"/>
  <c r="U27" i="235"/>
  <c r="X26" i="235"/>
  <c r="U28" i="234"/>
  <c r="O27" i="234"/>
  <c r="X26" i="234"/>
  <c r="U27" i="233"/>
  <c r="X26" i="233"/>
  <c r="U60" i="231"/>
  <c r="V27" i="231"/>
  <c r="W27" i="231" s="1"/>
  <c r="V26" i="230"/>
  <c r="W26" i="230" s="1"/>
  <c r="S60" i="230"/>
  <c r="T60" i="230" s="1"/>
  <c r="U28" i="240" l="1"/>
  <c r="X27" i="240"/>
  <c r="X27" i="239"/>
  <c r="U28" i="239"/>
  <c r="X28" i="236"/>
  <c r="U29" i="236"/>
  <c r="V27" i="235"/>
  <c r="W27" i="235" s="1"/>
  <c r="V28" i="234"/>
  <c r="W28" i="234" s="1"/>
  <c r="P27" i="234"/>
  <c r="Q27" i="234" s="1"/>
  <c r="V27" i="233"/>
  <c r="W27" i="233" s="1"/>
  <c r="U28" i="231"/>
  <c r="X27" i="231"/>
  <c r="M61" i="231"/>
  <c r="N61" i="231" s="1"/>
  <c r="S62" i="231"/>
  <c r="T62" i="231" s="1"/>
  <c r="U27" i="230"/>
  <c r="X26" i="230"/>
  <c r="R61" i="230"/>
  <c r="U60" i="230"/>
  <c r="V28" i="240" l="1"/>
  <c r="W28" i="240" s="1"/>
  <c r="V28" i="239"/>
  <c r="W28" i="239" s="1"/>
  <c r="V29" i="236"/>
  <c r="W29" i="236" s="1"/>
  <c r="U28" i="235"/>
  <c r="X27" i="235"/>
  <c r="U29" i="234"/>
  <c r="O28" i="234"/>
  <c r="X27" i="234"/>
  <c r="X27" i="233"/>
  <c r="U28" i="233"/>
  <c r="V28" i="231"/>
  <c r="W28" i="231" s="1"/>
  <c r="U61" i="231"/>
  <c r="S61" i="230"/>
  <c r="T61" i="230" s="1"/>
  <c r="V27" i="230"/>
  <c r="W27" i="230" s="1"/>
  <c r="X28" i="240" l="1"/>
  <c r="U29" i="240"/>
  <c r="U29" i="239"/>
  <c r="X28" i="239"/>
  <c r="X29" i="236"/>
  <c r="U30" i="236"/>
  <c r="V28" i="235"/>
  <c r="W28" i="235" s="1"/>
  <c r="V29" i="234"/>
  <c r="W29" i="234" s="1"/>
  <c r="M65" i="221" s="1"/>
  <c r="D65" i="221" s="1"/>
  <c r="P28" i="234"/>
  <c r="Q28" i="234" s="1"/>
  <c r="V28" i="233"/>
  <c r="W28" i="233" s="1"/>
  <c r="U29" i="231"/>
  <c r="X28" i="231"/>
  <c r="M62" i="231"/>
  <c r="N62" i="231" s="1"/>
  <c r="S63" i="231"/>
  <c r="T63" i="231" s="1"/>
  <c r="U28" i="230"/>
  <c r="X27" i="230"/>
  <c r="R62" i="230"/>
  <c r="U61" i="230"/>
  <c r="V29" i="240" l="1"/>
  <c r="W29" i="240" s="1"/>
  <c r="L104" i="221" s="1"/>
  <c r="V29" i="239"/>
  <c r="W29" i="239" s="1"/>
  <c r="K104" i="221" s="1"/>
  <c r="V30" i="236"/>
  <c r="W30" i="236" s="1"/>
  <c r="O65" i="221" s="1"/>
  <c r="U29" i="235"/>
  <c r="X28" i="235"/>
  <c r="U30" i="234"/>
  <c r="O29" i="234"/>
  <c r="X28" i="234"/>
  <c r="U29" i="233"/>
  <c r="X28" i="233"/>
  <c r="U62" i="231"/>
  <c r="V29" i="231"/>
  <c r="W29" i="231" s="1"/>
  <c r="K65" i="221" s="1"/>
  <c r="S62" i="230"/>
  <c r="T62" i="230" s="1"/>
  <c r="V28" i="230"/>
  <c r="W28" i="230" s="1"/>
  <c r="B65" i="221" l="1"/>
  <c r="K66" i="221"/>
  <c r="F65" i="221"/>
  <c r="O66" i="221"/>
  <c r="B104" i="221"/>
  <c r="B105" i="221" s="1"/>
  <c r="B114" i="221" s="1"/>
  <c r="K105" i="221"/>
  <c r="K114" i="221" s="1"/>
  <c r="C104" i="221"/>
  <c r="L105" i="221"/>
  <c r="L114" i="221" s="1"/>
  <c r="U30" i="240"/>
  <c r="X29" i="240"/>
  <c r="X29" i="239"/>
  <c r="U30" i="239"/>
  <c r="X30" i="236"/>
  <c r="U31" i="236"/>
  <c r="V29" i="235"/>
  <c r="W29" i="235" s="1"/>
  <c r="N65" i="221" s="1"/>
  <c r="P29" i="234"/>
  <c r="Q29" i="234" s="1"/>
  <c r="M63" i="221" s="1"/>
  <c r="V30" i="234"/>
  <c r="W30" i="234" s="1"/>
  <c r="V29" i="233"/>
  <c r="W29" i="233" s="1"/>
  <c r="L65" i="221" s="1"/>
  <c r="U30" i="231"/>
  <c r="X29" i="231"/>
  <c r="M63" i="231"/>
  <c r="N63" i="231" s="1"/>
  <c r="S64" i="231"/>
  <c r="T64" i="231" s="1"/>
  <c r="X28" i="230"/>
  <c r="U29" i="230"/>
  <c r="R63" i="230"/>
  <c r="U62" i="230"/>
  <c r="F66" i="221" l="1"/>
  <c r="O75" i="221"/>
  <c r="F75" i="221" s="1"/>
  <c r="E65" i="221"/>
  <c r="N66" i="221"/>
  <c r="L66" i="221"/>
  <c r="C65" i="221"/>
  <c r="B66" i="221"/>
  <c r="K75" i="221"/>
  <c r="B75" i="221" s="1"/>
  <c r="D63" i="221"/>
  <c r="M66" i="221"/>
  <c r="V30" i="240"/>
  <c r="W30" i="240" s="1"/>
  <c r="V30" i="239"/>
  <c r="W30" i="239" s="1"/>
  <c r="V31" i="236"/>
  <c r="W31" i="236" s="1"/>
  <c r="U30" i="235"/>
  <c r="X29" i="235"/>
  <c r="O30" i="234"/>
  <c r="X29" i="234"/>
  <c r="U31" i="234"/>
  <c r="X29" i="233"/>
  <c r="U30" i="233"/>
  <c r="U63" i="231"/>
  <c r="V30" i="231"/>
  <c r="W30" i="231" s="1"/>
  <c r="S63" i="230"/>
  <c r="T63" i="230" s="1"/>
  <c r="V29" i="230"/>
  <c r="W29" i="230" s="1"/>
  <c r="L27" i="221" s="1"/>
  <c r="C66" i="221" l="1"/>
  <c r="L75" i="221"/>
  <c r="C75" i="221" s="1"/>
  <c r="E66" i="221"/>
  <c r="N75" i="221"/>
  <c r="E75" i="221" s="1"/>
  <c r="L28" i="221"/>
  <c r="C27" i="221"/>
  <c r="D66" i="221"/>
  <c r="M75" i="221"/>
  <c r="D75" i="221" s="1"/>
  <c r="U31" i="240"/>
  <c r="X30" i="240"/>
  <c r="U31" i="239"/>
  <c r="X30" i="239"/>
  <c r="X31" i="236"/>
  <c r="U32" i="236"/>
  <c r="V30" i="235"/>
  <c r="W30" i="235" s="1"/>
  <c r="V31" i="234"/>
  <c r="W31" i="234" s="1"/>
  <c r="P30" i="234"/>
  <c r="Q30" i="234" s="1"/>
  <c r="V30" i="233"/>
  <c r="W30" i="233" s="1"/>
  <c r="X30" i="231"/>
  <c r="U31" i="231"/>
  <c r="M64" i="231"/>
  <c r="N64" i="231" s="1"/>
  <c r="S65" i="231"/>
  <c r="T65" i="231" s="1"/>
  <c r="U30" i="230"/>
  <c r="X29" i="230"/>
  <c r="R64" i="230"/>
  <c r="U63" i="230"/>
  <c r="C28" i="221" l="1"/>
  <c r="L37" i="221"/>
  <c r="C37" i="221" s="1"/>
  <c r="V31" i="240"/>
  <c r="W31" i="240" s="1"/>
  <c r="V31" i="239"/>
  <c r="W31" i="239" s="1"/>
  <c r="V32" i="236"/>
  <c r="W32" i="236" s="1"/>
  <c r="U31" i="235"/>
  <c r="X30" i="235"/>
  <c r="O31" i="234"/>
  <c r="X30" i="234"/>
  <c r="U32" i="234"/>
  <c r="U31" i="233"/>
  <c r="X30" i="233"/>
  <c r="U64" i="231"/>
  <c r="V31" i="231"/>
  <c r="W31" i="231" s="1"/>
  <c r="S64" i="230"/>
  <c r="T64" i="230" s="1"/>
  <c r="V30" i="230"/>
  <c r="W30" i="230" s="1"/>
  <c r="D4" i="228"/>
  <c r="E4" i="228" s="1"/>
  <c r="C5" i="228" s="1"/>
  <c r="U32" i="240" l="1"/>
  <c r="X31" i="240"/>
  <c r="X31" i="239"/>
  <c r="U32" i="239"/>
  <c r="X32" i="236"/>
  <c r="U33" i="236"/>
  <c r="V31" i="235"/>
  <c r="W31" i="235" s="1"/>
  <c r="V32" i="234"/>
  <c r="W32" i="234" s="1"/>
  <c r="P31" i="234"/>
  <c r="Q31" i="234" s="1"/>
  <c r="V31" i="233"/>
  <c r="W31" i="233" s="1"/>
  <c r="M65" i="231"/>
  <c r="N65" i="231" s="1"/>
  <c r="U32" i="231"/>
  <c r="X31" i="231"/>
  <c r="S66" i="231"/>
  <c r="T66" i="231" s="1"/>
  <c r="R65" i="230"/>
  <c r="U64" i="230"/>
  <c r="X30" i="230"/>
  <c r="U31" i="230"/>
  <c r="AM52" i="218"/>
  <c r="AM53" i="218"/>
  <c r="AM54" i="218"/>
  <c r="AM55" i="218"/>
  <c r="AM56" i="218"/>
  <c r="AL52" i="218"/>
  <c r="AQ52" i="218"/>
  <c r="AQ53" i="218"/>
  <c r="AQ54" i="218"/>
  <c r="AQ55" i="218"/>
  <c r="AQ56" i="218"/>
  <c r="AS52" i="218"/>
  <c r="AS53" i="218"/>
  <c r="AS54" i="218"/>
  <c r="AS55" i="218"/>
  <c r="AS56" i="218"/>
  <c r="CO50" i="218"/>
  <c r="CO51" i="218"/>
  <c r="CQ50" i="218"/>
  <c r="CQ51" i="218"/>
  <c r="CS50" i="218"/>
  <c r="CS51" i="218"/>
  <c r="CU50" i="218"/>
  <c r="CU51" i="218"/>
  <c r="CW50" i="218"/>
  <c r="CW51" i="218"/>
  <c r="CY50" i="218"/>
  <c r="CY51" i="218"/>
  <c r="DA50" i="218"/>
  <c r="DA51" i="218"/>
  <c r="DC50" i="218"/>
  <c r="DC51" i="218"/>
  <c r="DE50" i="218"/>
  <c r="DE51" i="218"/>
  <c r="DG50" i="218"/>
  <c r="DG51" i="218"/>
  <c r="BU52" i="218"/>
  <c r="BU53" i="218"/>
  <c r="BU54" i="218"/>
  <c r="BU55" i="218"/>
  <c r="BU56" i="218"/>
  <c r="CQ57" i="218"/>
  <c r="CQ58" i="218"/>
  <c r="CS57" i="218"/>
  <c r="CS58" i="218"/>
  <c r="I151" i="212"/>
  <c r="CU57" i="218"/>
  <c r="CU58" i="218"/>
  <c r="CW57" i="218"/>
  <c r="CW58" i="218"/>
  <c r="CY57" i="218"/>
  <c r="CY58" i="218"/>
  <c r="DA57" i="218"/>
  <c r="DA58" i="218"/>
  <c r="DC57" i="218"/>
  <c r="DC58" i="218"/>
  <c r="DE57" i="218"/>
  <c r="DE58" i="218"/>
  <c r="DG57" i="218"/>
  <c r="DG58" i="218"/>
  <c r="CO57" i="218"/>
  <c r="CO58" i="218"/>
  <c r="DG53" i="218"/>
  <c r="DG54" i="218"/>
  <c r="DG55" i="218"/>
  <c r="Q143" i="212"/>
  <c r="DG56" i="218"/>
  <c r="DG52" i="218"/>
  <c r="DE53" i="218"/>
  <c r="DE54" i="218"/>
  <c r="DE55" i="218"/>
  <c r="DE56" i="218"/>
  <c r="DE52" i="218"/>
  <c r="DC53" i="218"/>
  <c r="DC54" i="218"/>
  <c r="DC55" i="218"/>
  <c r="DC56" i="218"/>
  <c r="DC52" i="218"/>
  <c r="DA53" i="218"/>
  <c r="DA54" i="218"/>
  <c r="DA55" i="218"/>
  <c r="DA56" i="218"/>
  <c r="DA52" i="218"/>
  <c r="CY53" i="218"/>
  <c r="CY54" i="218"/>
  <c r="CY55" i="218"/>
  <c r="CY56" i="218"/>
  <c r="CY52" i="218"/>
  <c r="CW53" i="218"/>
  <c r="CW54" i="218"/>
  <c r="CW55" i="218"/>
  <c r="CW56" i="218"/>
  <c r="CW52" i="218"/>
  <c r="CU53" i="218"/>
  <c r="CU54" i="218"/>
  <c r="CU55" i="218"/>
  <c r="CU56" i="218"/>
  <c r="CU52" i="218"/>
  <c r="CS53" i="218"/>
  <c r="CS54" i="218"/>
  <c r="CS55" i="218"/>
  <c r="CS56" i="218"/>
  <c r="CS52" i="218"/>
  <c r="CQ53" i="218"/>
  <c r="CQ54" i="218"/>
  <c r="M135" i="212"/>
  <c r="CP54" i="218" s="1"/>
  <c r="CQ55" i="218"/>
  <c r="CQ56" i="218"/>
  <c r="CQ52" i="218"/>
  <c r="E135" i="212"/>
  <c r="CP52" i="218" s="1"/>
  <c r="CO53" i="218"/>
  <c r="CO54" i="218"/>
  <c r="CO55" i="218"/>
  <c r="CO56" i="218"/>
  <c r="CO52" i="218"/>
  <c r="E134" i="212"/>
  <c r="CN52" i="218" s="1"/>
  <c r="I128" i="212"/>
  <c r="DD51" i="218" s="1"/>
  <c r="E128" i="212"/>
  <c r="DD50" i="218" s="1"/>
  <c r="E121" i="212"/>
  <c r="CP50" i="218" s="1"/>
  <c r="I120" i="212"/>
  <c r="E120" i="212"/>
  <c r="CN50" i="218" s="1"/>
  <c r="AL50" i="218"/>
  <c r="CM52" i="218"/>
  <c r="CM53" i="218"/>
  <c r="CM54" i="218"/>
  <c r="CM55" i="218"/>
  <c r="CM56" i="218"/>
  <c r="I134" i="212"/>
  <c r="CN53" i="218" s="1"/>
  <c r="AI4" i="213"/>
  <c r="AI5" i="213"/>
  <c r="AK5" i="213" s="1"/>
  <c r="AI6" i="213"/>
  <c r="AK6" i="213" s="1"/>
  <c r="B56" i="220" s="1"/>
  <c r="AI7" i="213"/>
  <c r="AK7" i="213" s="1"/>
  <c r="B57" i="220" s="1"/>
  <c r="AI8" i="213"/>
  <c r="AM8" i="213" s="1"/>
  <c r="D58" i="220" s="1"/>
  <c r="D122" i="220" s="1"/>
  <c r="AI9" i="213"/>
  <c r="AK9" i="213" s="1"/>
  <c r="B59" i="220" s="1"/>
  <c r="AI10" i="213"/>
  <c r="AK10" i="213" s="1"/>
  <c r="B60" i="220" s="1"/>
  <c r="AI11" i="213"/>
  <c r="AK11" i="213" s="1"/>
  <c r="B61" i="220" s="1"/>
  <c r="AI12" i="213"/>
  <c r="AK12" i="213" s="1"/>
  <c r="B62" i="220" s="1"/>
  <c r="AI13" i="213"/>
  <c r="AK13" i="213" s="1"/>
  <c r="B63" i="220" s="1"/>
  <c r="G104" i="220"/>
  <c r="H104" i="220"/>
  <c r="I104" i="220"/>
  <c r="J104" i="220"/>
  <c r="K104" i="220"/>
  <c r="L104" i="220"/>
  <c r="M104" i="220"/>
  <c r="N104" i="220"/>
  <c r="O104" i="220"/>
  <c r="P104" i="220"/>
  <c r="Q104" i="220"/>
  <c r="R104" i="220"/>
  <c r="S104" i="220"/>
  <c r="T104" i="220"/>
  <c r="U104" i="220"/>
  <c r="V104" i="220"/>
  <c r="W104" i="220"/>
  <c r="X104" i="220"/>
  <c r="Y104" i="220"/>
  <c r="Z104" i="220"/>
  <c r="G105" i="220"/>
  <c r="H105" i="220"/>
  <c r="I105" i="220"/>
  <c r="J105" i="220"/>
  <c r="K105" i="220"/>
  <c r="L105" i="220"/>
  <c r="M105" i="220"/>
  <c r="N105" i="220"/>
  <c r="O105" i="220"/>
  <c r="P105" i="220"/>
  <c r="Q105" i="220"/>
  <c r="R105" i="220"/>
  <c r="S105" i="220"/>
  <c r="T105" i="220"/>
  <c r="U105" i="220"/>
  <c r="V105" i="220"/>
  <c r="W105" i="220"/>
  <c r="X105" i="220"/>
  <c r="Y105" i="220"/>
  <c r="Z105" i="220"/>
  <c r="G106" i="220"/>
  <c r="H106" i="220"/>
  <c r="I106" i="220"/>
  <c r="J106" i="220"/>
  <c r="K106" i="220"/>
  <c r="L106" i="220"/>
  <c r="M106" i="220"/>
  <c r="N106" i="220"/>
  <c r="O106" i="220"/>
  <c r="P106" i="220"/>
  <c r="Q106" i="220"/>
  <c r="R106" i="220"/>
  <c r="S106" i="220"/>
  <c r="T106" i="220"/>
  <c r="U106" i="220"/>
  <c r="V106" i="220"/>
  <c r="W106" i="220"/>
  <c r="X106" i="220"/>
  <c r="Y106" i="220"/>
  <c r="Z106" i="220"/>
  <c r="G107" i="220"/>
  <c r="H107" i="220"/>
  <c r="I107" i="220"/>
  <c r="J107" i="220"/>
  <c r="K107" i="220"/>
  <c r="L107" i="220"/>
  <c r="M107" i="220"/>
  <c r="N107" i="220"/>
  <c r="O107" i="220"/>
  <c r="P107" i="220"/>
  <c r="Q107" i="220"/>
  <c r="R107" i="220"/>
  <c r="S107" i="220"/>
  <c r="T107" i="220"/>
  <c r="U107" i="220"/>
  <c r="V107" i="220"/>
  <c r="W107" i="220"/>
  <c r="X107" i="220"/>
  <c r="Y107" i="220"/>
  <c r="Z107" i="220"/>
  <c r="G108" i="220"/>
  <c r="H108" i="220"/>
  <c r="I108" i="220"/>
  <c r="J108" i="220"/>
  <c r="K108" i="220"/>
  <c r="L108" i="220"/>
  <c r="M108" i="220"/>
  <c r="N108" i="220"/>
  <c r="O108" i="220"/>
  <c r="P108" i="220"/>
  <c r="Q108" i="220"/>
  <c r="R108" i="220"/>
  <c r="S108" i="220"/>
  <c r="T108" i="220"/>
  <c r="U108" i="220"/>
  <c r="V108" i="220"/>
  <c r="W108" i="220"/>
  <c r="X108" i="220"/>
  <c r="Y108" i="220"/>
  <c r="Z108" i="220"/>
  <c r="G109" i="220"/>
  <c r="H109" i="220"/>
  <c r="I109" i="220"/>
  <c r="J109" i="220"/>
  <c r="K109" i="220"/>
  <c r="L109" i="220"/>
  <c r="M109" i="220"/>
  <c r="N109" i="220"/>
  <c r="O109" i="220"/>
  <c r="P109" i="220"/>
  <c r="Q109" i="220"/>
  <c r="R109" i="220"/>
  <c r="S109" i="220"/>
  <c r="T109" i="220"/>
  <c r="U109" i="220"/>
  <c r="V109" i="220"/>
  <c r="W109" i="220"/>
  <c r="X109" i="220"/>
  <c r="Y109" i="220"/>
  <c r="Z109" i="220"/>
  <c r="G110" i="220"/>
  <c r="H110" i="220"/>
  <c r="I110" i="220"/>
  <c r="J110" i="220"/>
  <c r="K110" i="220"/>
  <c r="L110" i="220"/>
  <c r="M110" i="220"/>
  <c r="N110" i="220"/>
  <c r="O110" i="220"/>
  <c r="P110" i="220"/>
  <c r="Q110" i="220"/>
  <c r="R110" i="220"/>
  <c r="S110" i="220"/>
  <c r="T110" i="220"/>
  <c r="U110" i="220"/>
  <c r="V110" i="220"/>
  <c r="W110" i="220"/>
  <c r="X110" i="220"/>
  <c r="Y110" i="220"/>
  <c r="Z110" i="220"/>
  <c r="G111" i="220"/>
  <c r="H111" i="220"/>
  <c r="I111" i="220"/>
  <c r="J111" i="220"/>
  <c r="K111" i="220"/>
  <c r="L111" i="220"/>
  <c r="M111" i="220"/>
  <c r="N111" i="220"/>
  <c r="O111" i="220"/>
  <c r="P111" i="220"/>
  <c r="Q111" i="220"/>
  <c r="R111" i="220"/>
  <c r="S111" i="220"/>
  <c r="T111" i="220"/>
  <c r="U111" i="220"/>
  <c r="V111" i="220"/>
  <c r="W111" i="220"/>
  <c r="X111" i="220"/>
  <c r="Y111" i="220"/>
  <c r="Z111" i="220"/>
  <c r="G112" i="220"/>
  <c r="H112" i="220"/>
  <c r="I112" i="220"/>
  <c r="J112" i="220"/>
  <c r="K112" i="220"/>
  <c r="L112" i="220"/>
  <c r="M112" i="220"/>
  <c r="N112" i="220"/>
  <c r="O112" i="220"/>
  <c r="P112" i="220"/>
  <c r="Q112" i="220"/>
  <c r="R112" i="220"/>
  <c r="S112" i="220"/>
  <c r="T112" i="220"/>
  <c r="U112" i="220"/>
  <c r="V112" i="220"/>
  <c r="W112" i="220"/>
  <c r="X112" i="220"/>
  <c r="Y112" i="220"/>
  <c r="Z112" i="220"/>
  <c r="G113" i="220"/>
  <c r="H113" i="220"/>
  <c r="I113" i="220"/>
  <c r="J113" i="220"/>
  <c r="K113" i="220"/>
  <c r="L113" i="220"/>
  <c r="M113" i="220"/>
  <c r="N113" i="220"/>
  <c r="O113" i="220"/>
  <c r="P113" i="220"/>
  <c r="Q113" i="220"/>
  <c r="R113" i="220"/>
  <c r="S113" i="220"/>
  <c r="T113" i="220"/>
  <c r="U113" i="220"/>
  <c r="V113" i="220"/>
  <c r="W113" i="220"/>
  <c r="X113" i="220"/>
  <c r="Y113" i="220"/>
  <c r="Z113" i="220"/>
  <c r="G114" i="220"/>
  <c r="H114" i="220"/>
  <c r="I114" i="220"/>
  <c r="J114" i="220"/>
  <c r="K114" i="220"/>
  <c r="L114" i="220"/>
  <c r="M114" i="220"/>
  <c r="N114" i="220"/>
  <c r="O114" i="220"/>
  <c r="P114" i="220"/>
  <c r="Q114" i="220"/>
  <c r="R114" i="220"/>
  <c r="S114" i="220"/>
  <c r="T114" i="220"/>
  <c r="U114" i="220"/>
  <c r="V114" i="220"/>
  <c r="W114" i="220"/>
  <c r="X114" i="220"/>
  <c r="Y114" i="220"/>
  <c r="Z114" i="220"/>
  <c r="G40" i="220"/>
  <c r="H40" i="220"/>
  <c r="I40" i="220"/>
  <c r="J40" i="220"/>
  <c r="K40" i="220"/>
  <c r="L40" i="220"/>
  <c r="M40" i="220"/>
  <c r="N40" i="220"/>
  <c r="O40" i="220"/>
  <c r="P40" i="220"/>
  <c r="Q40" i="220"/>
  <c r="R40" i="220"/>
  <c r="S40" i="220"/>
  <c r="T40" i="220"/>
  <c r="U40" i="220"/>
  <c r="V40" i="220"/>
  <c r="W40" i="220"/>
  <c r="X40" i="220"/>
  <c r="Y40" i="220"/>
  <c r="Z40" i="220"/>
  <c r="G41" i="220"/>
  <c r="H41" i="220"/>
  <c r="I41" i="220"/>
  <c r="J41" i="220"/>
  <c r="K41" i="220"/>
  <c r="L41" i="220"/>
  <c r="M41" i="220"/>
  <c r="N41" i="220"/>
  <c r="O41" i="220"/>
  <c r="P41" i="220"/>
  <c r="Q41" i="220"/>
  <c r="R41" i="220"/>
  <c r="S41" i="220"/>
  <c r="T41" i="220"/>
  <c r="U41" i="220"/>
  <c r="V41" i="220"/>
  <c r="W41" i="220"/>
  <c r="X41" i="220"/>
  <c r="Y41" i="220"/>
  <c r="Z41" i="220"/>
  <c r="G42" i="220"/>
  <c r="H42" i="220"/>
  <c r="I42" i="220"/>
  <c r="J42" i="220"/>
  <c r="K42" i="220"/>
  <c r="L42" i="220"/>
  <c r="M42" i="220"/>
  <c r="N42" i="220"/>
  <c r="O42" i="220"/>
  <c r="P42" i="220"/>
  <c r="Q42" i="220"/>
  <c r="R42" i="220"/>
  <c r="S42" i="220"/>
  <c r="T42" i="220"/>
  <c r="U42" i="220"/>
  <c r="V42" i="220"/>
  <c r="W42" i="220"/>
  <c r="X42" i="220"/>
  <c r="Y42" i="220"/>
  <c r="Z42" i="220"/>
  <c r="G43" i="220"/>
  <c r="H43" i="220"/>
  <c r="I43" i="220"/>
  <c r="J43" i="220"/>
  <c r="K43" i="220"/>
  <c r="L43" i="220"/>
  <c r="M43" i="220"/>
  <c r="N43" i="220"/>
  <c r="O43" i="220"/>
  <c r="P43" i="220"/>
  <c r="Q43" i="220"/>
  <c r="R43" i="220"/>
  <c r="S43" i="220"/>
  <c r="T43" i="220"/>
  <c r="U43" i="220"/>
  <c r="V43" i="220"/>
  <c r="W43" i="220"/>
  <c r="X43" i="220"/>
  <c r="Y43" i="220"/>
  <c r="Z43" i="220"/>
  <c r="G44" i="220"/>
  <c r="H44" i="220"/>
  <c r="I44" i="220"/>
  <c r="J44" i="220"/>
  <c r="K44" i="220"/>
  <c r="L44" i="220"/>
  <c r="M44" i="220"/>
  <c r="N44" i="220"/>
  <c r="O44" i="220"/>
  <c r="P44" i="220"/>
  <c r="Q44" i="220"/>
  <c r="R44" i="220"/>
  <c r="S44" i="220"/>
  <c r="T44" i="220"/>
  <c r="U44" i="220"/>
  <c r="V44" i="220"/>
  <c r="W44" i="220"/>
  <c r="X44" i="220"/>
  <c r="Y44" i="220"/>
  <c r="Z44" i="220"/>
  <c r="G45" i="220"/>
  <c r="H45" i="220"/>
  <c r="I45" i="220"/>
  <c r="J45" i="220"/>
  <c r="K45" i="220"/>
  <c r="L45" i="220"/>
  <c r="M45" i="220"/>
  <c r="N45" i="220"/>
  <c r="O45" i="220"/>
  <c r="P45" i="220"/>
  <c r="Q45" i="220"/>
  <c r="R45" i="220"/>
  <c r="S45" i="220"/>
  <c r="T45" i="220"/>
  <c r="U45" i="220"/>
  <c r="V45" i="220"/>
  <c r="W45" i="220"/>
  <c r="X45" i="220"/>
  <c r="Y45" i="220"/>
  <c r="Z45" i="220"/>
  <c r="G46" i="220"/>
  <c r="H46" i="220"/>
  <c r="I46" i="220"/>
  <c r="J46" i="220"/>
  <c r="K46" i="220"/>
  <c r="L46" i="220"/>
  <c r="M46" i="220"/>
  <c r="N46" i="220"/>
  <c r="O46" i="220"/>
  <c r="P46" i="220"/>
  <c r="Q46" i="220"/>
  <c r="R46" i="220"/>
  <c r="S46" i="220"/>
  <c r="T46" i="220"/>
  <c r="U46" i="220"/>
  <c r="V46" i="220"/>
  <c r="W46" i="220"/>
  <c r="X46" i="220"/>
  <c r="Y46" i="220"/>
  <c r="Z46" i="220"/>
  <c r="G47" i="220"/>
  <c r="H47" i="220"/>
  <c r="I47" i="220"/>
  <c r="J47" i="220"/>
  <c r="K47" i="220"/>
  <c r="L47" i="220"/>
  <c r="M47" i="220"/>
  <c r="N47" i="220"/>
  <c r="O47" i="220"/>
  <c r="P47" i="220"/>
  <c r="Q47" i="220"/>
  <c r="R47" i="220"/>
  <c r="S47" i="220"/>
  <c r="T47" i="220"/>
  <c r="U47" i="220"/>
  <c r="V47" i="220"/>
  <c r="W47" i="220"/>
  <c r="X47" i="220"/>
  <c r="Y47" i="220"/>
  <c r="Z47" i="220"/>
  <c r="G48" i="220"/>
  <c r="H48" i="220"/>
  <c r="I48" i="220"/>
  <c r="J48" i="220"/>
  <c r="K48" i="220"/>
  <c r="L48" i="220"/>
  <c r="M48" i="220"/>
  <c r="N48" i="220"/>
  <c r="O48" i="220"/>
  <c r="P48" i="220"/>
  <c r="Q48" i="220"/>
  <c r="R48" i="220"/>
  <c r="S48" i="220"/>
  <c r="T48" i="220"/>
  <c r="U48" i="220"/>
  <c r="V48" i="220"/>
  <c r="W48" i="220"/>
  <c r="X48" i="220"/>
  <c r="Y48" i="220"/>
  <c r="Z48" i="220"/>
  <c r="G49" i="220"/>
  <c r="H49" i="220"/>
  <c r="I49" i="220"/>
  <c r="J49" i="220"/>
  <c r="K49" i="220"/>
  <c r="L49" i="220"/>
  <c r="M49" i="220"/>
  <c r="N49" i="220"/>
  <c r="O49" i="220"/>
  <c r="P49" i="220"/>
  <c r="Q49" i="220"/>
  <c r="R49" i="220"/>
  <c r="S49" i="220"/>
  <c r="T49" i="220"/>
  <c r="U49" i="220"/>
  <c r="V49" i="220"/>
  <c r="W49" i="220"/>
  <c r="X49" i="220"/>
  <c r="Y49" i="220"/>
  <c r="Z49" i="220"/>
  <c r="G50" i="220"/>
  <c r="H50" i="220"/>
  <c r="I50" i="220"/>
  <c r="J50" i="220"/>
  <c r="K50" i="220"/>
  <c r="L50" i="220"/>
  <c r="M50" i="220"/>
  <c r="N50" i="220"/>
  <c r="O50" i="220"/>
  <c r="P50" i="220"/>
  <c r="Q50" i="220"/>
  <c r="R50" i="220"/>
  <c r="S50" i="220"/>
  <c r="T50" i="220"/>
  <c r="U50" i="220"/>
  <c r="V50" i="220"/>
  <c r="W50" i="220"/>
  <c r="X50" i="220"/>
  <c r="Y50" i="220"/>
  <c r="Z50" i="220"/>
  <c r="Z50" i="213"/>
  <c r="Z42" i="213"/>
  <c r="Z62" i="213"/>
  <c r="AA52" i="213" a="1"/>
  <c r="AA52" i="213" s="1"/>
  <c r="AA53" i="213" a="1"/>
  <c r="AA53" i="213" s="1"/>
  <c r="AA54" i="213" a="1"/>
  <c r="AA54" i="213" s="1"/>
  <c r="AA55" i="213" a="1"/>
  <c r="AA55" i="213" s="1"/>
  <c r="AA56" i="213" a="1"/>
  <c r="AA56" i="213" s="1"/>
  <c r="AA57" i="213" a="1"/>
  <c r="AA57" i="213" s="1"/>
  <c r="AA58" i="213" a="1"/>
  <c r="AA58" i="213" s="1"/>
  <c r="AA59" i="213" a="1"/>
  <c r="AA59" i="213" s="1"/>
  <c r="AA60" i="213" a="1"/>
  <c r="AA60" i="213" s="1"/>
  <c r="AA61" i="213" a="1"/>
  <c r="AA61" i="213" s="1"/>
  <c r="C50" i="213"/>
  <c r="C62" i="213"/>
  <c r="D50" i="213"/>
  <c r="D62" i="213"/>
  <c r="E62" i="213"/>
  <c r="F62" i="213"/>
  <c r="G42" i="213"/>
  <c r="G62" i="213"/>
  <c r="H50" i="213"/>
  <c r="H62" i="213"/>
  <c r="I50" i="213"/>
  <c r="I42" i="213"/>
  <c r="I62" i="213"/>
  <c r="J50" i="213"/>
  <c r="J42" i="213"/>
  <c r="J62" i="213"/>
  <c r="K50" i="213"/>
  <c r="K42" i="213"/>
  <c r="K62" i="213"/>
  <c r="L50" i="213"/>
  <c r="L42" i="213"/>
  <c r="L62" i="213"/>
  <c r="M50" i="213"/>
  <c r="M42" i="213"/>
  <c r="M62" i="213"/>
  <c r="N50" i="213"/>
  <c r="N42" i="213"/>
  <c r="N62" i="213"/>
  <c r="O50" i="213"/>
  <c r="O42" i="213"/>
  <c r="O62" i="213"/>
  <c r="P50" i="213"/>
  <c r="P42" i="213"/>
  <c r="P62" i="213"/>
  <c r="Q50" i="213"/>
  <c r="Q42" i="213"/>
  <c r="Q62" i="213"/>
  <c r="R50" i="213"/>
  <c r="R42" i="213"/>
  <c r="R62" i="213"/>
  <c r="S50" i="213"/>
  <c r="S42" i="213"/>
  <c r="S62" i="213"/>
  <c r="T50" i="213"/>
  <c r="T42" i="213"/>
  <c r="T62" i="213"/>
  <c r="U50" i="213"/>
  <c r="U42" i="213"/>
  <c r="U62" i="213"/>
  <c r="V50" i="213"/>
  <c r="V42" i="213"/>
  <c r="V62" i="213"/>
  <c r="W50" i="213"/>
  <c r="W42" i="213"/>
  <c r="W62" i="213"/>
  <c r="X50" i="213"/>
  <c r="X42" i="213"/>
  <c r="X62" i="213"/>
  <c r="Y50" i="213"/>
  <c r="Y42" i="213"/>
  <c r="Y62" i="213"/>
  <c r="AZ68" i="213"/>
  <c r="AY68" i="213"/>
  <c r="AL6" i="213"/>
  <c r="AP44" i="213"/>
  <c r="AQ44" i="213"/>
  <c r="AR44" i="213"/>
  <c r="AS44" i="213"/>
  <c r="AT44" i="213"/>
  <c r="AU44" i="213"/>
  <c r="AV44" i="213"/>
  <c r="AW44" i="213"/>
  <c r="AX44" i="213"/>
  <c r="AY44" i="213"/>
  <c r="AZ44" i="213"/>
  <c r="BA44" i="213"/>
  <c r="BB44" i="213"/>
  <c r="BC44" i="213"/>
  <c r="BD44" i="213"/>
  <c r="BE44" i="213"/>
  <c r="BF44" i="213"/>
  <c r="BG44" i="213"/>
  <c r="BH44" i="213"/>
  <c r="BI44" i="213"/>
  <c r="AP45" i="213"/>
  <c r="AQ45" i="213"/>
  <c r="AR45" i="213"/>
  <c r="AS45" i="213"/>
  <c r="AT45" i="213"/>
  <c r="AU45" i="213"/>
  <c r="AV45" i="213"/>
  <c r="AW45" i="213"/>
  <c r="AX45" i="213"/>
  <c r="AY45" i="213"/>
  <c r="AZ45" i="213"/>
  <c r="BA45" i="213"/>
  <c r="BB45" i="213"/>
  <c r="BC45" i="213"/>
  <c r="BD45" i="213"/>
  <c r="BE45" i="213"/>
  <c r="BF45" i="213"/>
  <c r="BG45" i="213"/>
  <c r="BH45" i="213"/>
  <c r="BI45" i="213"/>
  <c r="AP46" i="213"/>
  <c r="AQ46" i="213"/>
  <c r="AR46" i="213"/>
  <c r="AS46" i="213"/>
  <c r="AT46" i="213"/>
  <c r="AU46" i="213"/>
  <c r="AV46" i="213"/>
  <c r="AW46" i="213"/>
  <c r="AX46" i="213"/>
  <c r="AY46" i="213"/>
  <c r="AZ46" i="213"/>
  <c r="BA46" i="213"/>
  <c r="BB46" i="213"/>
  <c r="BC46" i="213"/>
  <c r="BD46" i="213"/>
  <c r="BE46" i="213"/>
  <c r="BF46" i="213"/>
  <c r="BG46" i="213"/>
  <c r="BH46" i="213"/>
  <c r="BI46" i="213"/>
  <c r="AP48" i="213"/>
  <c r="AQ48" i="213"/>
  <c r="AR48" i="213"/>
  <c r="AS48" i="213"/>
  <c r="AT48" i="213"/>
  <c r="AU48" i="213"/>
  <c r="AV48" i="213"/>
  <c r="AW48" i="213"/>
  <c r="AX48" i="213"/>
  <c r="AY48" i="213"/>
  <c r="AZ48" i="213"/>
  <c r="BA48" i="213"/>
  <c r="BB48" i="213"/>
  <c r="BC48" i="213"/>
  <c r="BD48" i="213"/>
  <c r="BE48" i="213"/>
  <c r="BF48" i="213"/>
  <c r="BG48" i="213"/>
  <c r="BH48" i="213"/>
  <c r="BI48" i="213"/>
  <c r="AP49" i="213"/>
  <c r="AQ49" i="213"/>
  <c r="AR49" i="213"/>
  <c r="AS49" i="213"/>
  <c r="AT49" i="213"/>
  <c r="AU49" i="213"/>
  <c r="AV49" i="213"/>
  <c r="AW49" i="213"/>
  <c r="AX49" i="213"/>
  <c r="AY49" i="213"/>
  <c r="AZ49" i="213"/>
  <c r="BA49" i="213"/>
  <c r="BB49" i="213"/>
  <c r="BC49" i="213"/>
  <c r="BD49" i="213"/>
  <c r="BE49" i="213"/>
  <c r="BF49" i="213"/>
  <c r="BG49" i="213"/>
  <c r="BH49" i="213"/>
  <c r="BI49" i="213"/>
  <c r="AP35" i="213"/>
  <c r="AQ35" i="213"/>
  <c r="AR35" i="213"/>
  <c r="AS35" i="213"/>
  <c r="AT35" i="213"/>
  <c r="AU35" i="213"/>
  <c r="AV35" i="213"/>
  <c r="AW35" i="213"/>
  <c r="AX35" i="213"/>
  <c r="AY35" i="213"/>
  <c r="AZ35" i="213"/>
  <c r="BA35" i="213"/>
  <c r="BB35" i="213"/>
  <c r="BC35" i="213"/>
  <c r="BD35" i="213"/>
  <c r="BE35" i="213"/>
  <c r="BF35" i="213"/>
  <c r="BG35" i="213"/>
  <c r="BH35" i="213"/>
  <c r="BI35" i="213"/>
  <c r="AP36" i="213"/>
  <c r="AQ36" i="213"/>
  <c r="AR36" i="213"/>
  <c r="AS36" i="213"/>
  <c r="AT36" i="213"/>
  <c r="AU36" i="213"/>
  <c r="AV36" i="213"/>
  <c r="AW36" i="213"/>
  <c r="AX36" i="213"/>
  <c r="AY36" i="213"/>
  <c r="AZ36" i="213"/>
  <c r="BA36" i="213"/>
  <c r="BB36" i="213"/>
  <c r="BC36" i="213"/>
  <c r="BD36" i="213"/>
  <c r="BE36" i="213"/>
  <c r="BF36" i="213"/>
  <c r="BG36" i="213"/>
  <c r="BH36" i="213"/>
  <c r="BI36" i="213"/>
  <c r="AP37" i="213"/>
  <c r="AQ37" i="213"/>
  <c r="AR37" i="213"/>
  <c r="AS37" i="213"/>
  <c r="AT37" i="213"/>
  <c r="AU37" i="213"/>
  <c r="AV37" i="213"/>
  <c r="AW37" i="213"/>
  <c r="AX37" i="213"/>
  <c r="AY37" i="213"/>
  <c r="AZ37" i="213"/>
  <c r="BA37" i="213"/>
  <c r="BB37" i="213"/>
  <c r="BC37" i="213"/>
  <c r="BD37" i="213"/>
  <c r="BE37" i="213"/>
  <c r="BF37" i="213"/>
  <c r="BG37" i="213"/>
  <c r="BH37" i="213"/>
  <c r="BI37" i="213"/>
  <c r="AP38" i="213"/>
  <c r="AQ38" i="213"/>
  <c r="AR38" i="213"/>
  <c r="AS38" i="213"/>
  <c r="AT38" i="213"/>
  <c r="AU38" i="213"/>
  <c r="AV38" i="213"/>
  <c r="AW38" i="213"/>
  <c r="AX38" i="213"/>
  <c r="AY38" i="213"/>
  <c r="AZ38" i="213"/>
  <c r="BA38" i="213"/>
  <c r="BB38" i="213"/>
  <c r="BC38" i="213"/>
  <c r="BD38" i="213"/>
  <c r="BE38" i="213"/>
  <c r="BF38" i="213"/>
  <c r="BG38" i="213"/>
  <c r="BH38" i="213"/>
  <c r="BI38" i="213"/>
  <c r="AP39" i="213"/>
  <c r="AQ39" i="213"/>
  <c r="AR39" i="213"/>
  <c r="AS39" i="213"/>
  <c r="AT39" i="213"/>
  <c r="AU39" i="213"/>
  <c r="AV39" i="213"/>
  <c r="AW39" i="213"/>
  <c r="AX39" i="213"/>
  <c r="AY39" i="213"/>
  <c r="AZ39" i="213"/>
  <c r="BA39" i="213"/>
  <c r="BB39" i="213"/>
  <c r="BC39" i="213"/>
  <c r="BD39" i="213"/>
  <c r="BE39" i="213"/>
  <c r="BF39" i="213"/>
  <c r="BG39" i="213"/>
  <c r="BH39" i="213"/>
  <c r="BI39" i="213"/>
  <c r="AP40" i="213"/>
  <c r="AQ40" i="213"/>
  <c r="AR40" i="213"/>
  <c r="AS40" i="213"/>
  <c r="AT40" i="213"/>
  <c r="AU40" i="213"/>
  <c r="AV40" i="213"/>
  <c r="AW40" i="213"/>
  <c r="AX40" i="213"/>
  <c r="AY40" i="213"/>
  <c r="AZ40" i="213"/>
  <c r="BA40" i="213"/>
  <c r="BB40" i="213"/>
  <c r="BC40" i="213"/>
  <c r="BD40" i="213"/>
  <c r="BE40" i="213"/>
  <c r="BF40" i="213"/>
  <c r="BG40" i="213"/>
  <c r="BH40" i="213"/>
  <c r="BI40" i="213"/>
  <c r="AP41" i="213"/>
  <c r="AQ41" i="213"/>
  <c r="AR41" i="213"/>
  <c r="AS41" i="213"/>
  <c r="AT41" i="213"/>
  <c r="AU41" i="213"/>
  <c r="AV41" i="213"/>
  <c r="AW41" i="213"/>
  <c r="AX41" i="213"/>
  <c r="AY41" i="213"/>
  <c r="AZ41" i="213"/>
  <c r="BA41" i="213"/>
  <c r="BB41" i="213"/>
  <c r="BC41" i="213"/>
  <c r="BD41" i="213"/>
  <c r="BE41" i="213"/>
  <c r="BF41" i="213"/>
  <c r="BG41" i="213"/>
  <c r="BH41" i="213"/>
  <c r="BI41" i="213"/>
  <c r="AP19" i="213"/>
  <c r="AQ19" i="213"/>
  <c r="AR19" i="213"/>
  <c r="AS19" i="213"/>
  <c r="AT19" i="213"/>
  <c r="AU19" i="213"/>
  <c r="AV19" i="213"/>
  <c r="AW19" i="213"/>
  <c r="AX19" i="213"/>
  <c r="AY19" i="213"/>
  <c r="AZ19" i="213"/>
  <c r="BA19" i="213"/>
  <c r="BB19" i="213"/>
  <c r="BC19" i="213"/>
  <c r="BD19" i="213"/>
  <c r="BE19" i="213"/>
  <c r="BF19" i="213"/>
  <c r="BG19" i="213"/>
  <c r="BH19" i="213"/>
  <c r="BI19" i="213"/>
  <c r="AP26" i="213"/>
  <c r="AQ26" i="213"/>
  <c r="AR26" i="213"/>
  <c r="AS26" i="213"/>
  <c r="AT26" i="213"/>
  <c r="AU26" i="213"/>
  <c r="AV26" i="213"/>
  <c r="AW26" i="213"/>
  <c r="AX26" i="213"/>
  <c r="AY26" i="213"/>
  <c r="AZ26" i="213"/>
  <c r="BA26" i="213"/>
  <c r="BB26" i="213"/>
  <c r="BC26" i="213"/>
  <c r="BD26" i="213"/>
  <c r="BE26" i="213"/>
  <c r="BF26" i="213"/>
  <c r="BG26" i="213"/>
  <c r="BH26" i="213"/>
  <c r="BI26" i="213"/>
  <c r="AP28" i="213"/>
  <c r="AQ28" i="213"/>
  <c r="AR28" i="213"/>
  <c r="AS28" i="213"/>
  <c r="AT28" i="213"/>
  <c r="AU28" i="213"/>
  <c r="AV28" i="213"/>
  <c r="AW28" i="213"/>
  <c r="AX28" i="213"/>
  <c r="AY28" i="213"/>
  <c r="AZ28" i="213"/>
  <c r="BA28" i="213"/>
  <c r="BB28" i="213"/>
  <c r="BC28" i="213"/>
  <c r="BD28" i="213"/>
  <c r="BE28" i="213"/>
  <c r="BF28" i="213"/>
  <c r="BG28" i="213"/>
  <c r="BH28" i="213"/>
  <c r="BI28" i="213"/>
  <c r="AP29" i="213"/>
  <c r="AQ29" i="213"/>
  <c r="AR29" i="213"/>
  <c r="AS29" i="213"/>
  <c r="AT29" i="213"/>
  <c r="AU29" i="213"/>
  <c r="AV29" i="213"/>
  <c r="AW29" i="213"/>
  <c r="AX29" i="213"/>
  <c r="AY29" i="213"/>
  <c r="AZ29" i="213"/>
  <c r="BA29" i="213"/>
  <c r="BB29" i="213"/>
  <c r="BC29" i="213"/>
  <c r="BD29" i="213"/>
  <c r="BE29" i="213"/>
  <c r="BF29" i="213"/>
  <c r="BG29" i="213"/>
  <c r="BH29" i="213"/>
  <c r="BI29" i="213"/>
  <c r="AP30" i="213"/>
  <c r="AQ30" i="213"/>
  <c r="AR30" i="213"/>
  <c r="AS30" i="213"/>
  <c r="AT30" i="213"/>
  <c r="AU30" i="213"/>
  <c r="AV30" i="213"/>
  <c r="AW30" i="213"/>
  <c r="AX30" i="213"/>
  <c r="AY30" i="213"/>
  <c r="AZ30" i="213"/>
  <c r="BA30" i="213"/>
  <c r="BB30" i="213"/>
  <c r="BC30" i="213"/>
  <c r="BD30" i="213"/>
  <c r="BE30" i="213"/>
  <c r="BF30" i="213"/>
  <c r="BG30" i="213"/>
  <c r="BH30" i="213"/>
  <c r="BI30" i="213"/>
  <c r="AP31" i="213"/>
  <c r="AQ31" i="213"/>
  <c r="AR31" i="213"/>
  <c r="AS31" i="213"/>
  <c r="AT31" i="213"/>
  <c r="AU31" i="213"/>
  <c r="AV31" i="213"/>
  <c r="AW31" i="213"/>
  <c r="AX31" i="213"/>
  <c r="AY31" i="213"/>
  <c r="AZ31" i="213"/>
  <c r="BA31" i="213"/>
  <c r="BB31" i="213"/>
  <c r="BC31" i="213"/>
  <c r="BD31" i="213"/>
  <c r="BE31" i="213"/>
  <c r="BF31" i="213"/>
  <c r="BG31" i="213"/>
  <c r="BH31" i="213"/>
  <c r="BI31" i="213"/>
  <c r="AP32" i="213"/>
  <c r="AQ32" i="213"/>
  <c r="AR32" i="213"/>
  <c r="AS32" i="213"/>
  <c r="AT32" i="213"/>
  <c r="AU32" i="213"/>
  <c r="AV32" i="213"/>
  <c r="AW32" i="213"/>
  <c r="AX32" i="213"/>
  <c r="AY32" i="213"/>
  <c r="AZ32" i="213"/>
  <c r="BA32" i="213"/>
  <c r="BB32" i="213"/>
  <c r="BC32" i="213"/>
  <c r="BD32" i="213"/>
  <c r="BE32" i="213"/>
  <c r="BF32" i="213"/>
  <c r="BG32" i="213"/>
  <c r="BH32" i="213"/>
  <c r="BI32" i="213"/>
  <c r="BI52" i="213"/>
  <c r="BI53" i="213"/>
  <c r="BI61" i="213"/>
  <c r="BI59" i="213"/>
  <c r="BI55" i="213"/>
  <c r="BI54" i="213"/>
  <c r="BI56" i="213"/>
  <c r="BI57" i="213"/>
  <c r="BI58" i="213"/>
  <c r="BI60" i="213"/>
  <c r="BI47" i="213"/>
  <c r="AP52" i="213"/>
  <c r="AP53" i="213"/>
  <c r="AP61" i="213"/>
  <c r="AP59" i="213"/>
  <c r="AP55" i="213"/>
  <c r="AP54" i="213"/>
  <c r="AP56" i="213"/>
  <c r="AP57" i="213"/>
  <c r="AP58" i="213"/>
  <c r="AP60" i="213"/>
  <c r="AP47" i="213"/>
  <c r="AQ52" i="213"/>
  <c r="AQ53" i="213"/>
  <c r="AQ61" i="213"/>
  <c r="AQ59" i="213"/>
  <c r="AQ55" i="213"/>
  <c r="AQ54" i="213"/>
  <c r="AQ56" i="213"/>
  <c r="AQ57" i="213"/>
  <c r="AQ58" i="213"/>
  <c r="AQ60" i="213"/>
  <c r="AQ47" i="213"/>
  <c r="AR52" i="213"/>
  <c r="AR53" i="213"/>
  <c r="AR61" i="213"/>
  <c r="AR59" i="213"/>
  <c r="AR55" i="213"/>
  <c r="AR54" i="213"/>
  <c r="AR56" i="213"/>
  <c r="AR57" i="213"/>
  <c r="AR58" i="213"/>
  <c r="AR60" i="213"/>
  <c r="AR47" i="213"/>
  <c r="AS52" i="213"/>
  <c r="AS53" i="213"/>
  <c r="AS61" i="213"/>
  <c r="AS59" i="213"/>
  <c r="AS55" i="213"/>
  <c r="AS54" i="213"/>
  <c r="AS56" i="213"/>
  <c r="AS57" i="213"/>
  <c r="AS58" i="213"/>
  <c r="AS60" i="213"/>
  <c r="AS47" i="213"/>
  <c r="AT52" i="213"/>
  <c r="AT53" i="213"/>
  <c r="AT61" i="213"/>
  <c r="AT59" i="213"/>
  <c r="AT55" i="213"/>
  <c r="AT54" i="213"/>
  <c r="AT56" i="213"/>
  <c r="AT57" i="213"/>
  <c r="AT58" i="213"/>
  <c r="AT60" i="213"/>
  <c r="AT47" i="213"/>
  <c r="AU52" i="213"/>
  <c r="AU53" i="213"/>
  <c r="AU61" i="213"/>
  <c r="AU59" i="213"/>
  <c r="AU55" i="213"/>
  <c r="AU54" i="213"/>
  <c r="AU56" i="213"/>
  <c r="AU57" i="213"/>
  <c r="AU58" i="213"/>
  <c r="AU60" i="213"/>
  <c r="AU47" i="213"/>
  <c r="AV52" i="213"/>
  <c r="AV53" i="213"/>
  <c r="AV61" i="213"/>
  <c r="AV59" i="213"/>
  <c r="AV55" i="213"/>
  <c r="AV54" i="213"/>
  <c r="AV56" i="213"/>
  <c r="AV57" i="213"/>
  <c r="AV58" i="213"/>
  <c r="AV60" i="213"/>
  <c r="AV47" i="213"/>
  <c r="AW52" i="213"/>
  <c r="AW53" i="213"/>
  <c r="AW61" i="213"/>
  <c r="AW59" i="213"/>
  <c r="AW55" i="213"/>
  <c r="AW54" i="213"/>
  <c r="AW56" i="213"/>
  <c r="AW57" i="213"/>
  <c r="AW58" i="213"/>
  <c r="AW60" i="213"/>
  <c r="AW47" i="213"/>
  <c r="AX52" i="213"/>
  <c r="AX53" i="213"/>
  <c r="AX61" i="213"/>
  <c r="AX59" i="213"/>
  <c r="AX55" i="213"/>
  <c r="AX54" i="213"/>
  <c r="AX56" i="213"/>
  <c r="AX57" i="213"/>
  <c r="AX58" i="213"/>
  <c r="AX60" i="213"/>
  <c r="AX47" i="213"/>
  <c r="AY52" i="213"/>
  <c r="AY53" i="213"/>
  <c r="AY61" i="213"/>
  <c r="AY59" i="213"/>
  <c r="AY55" i="213"/>
  <c r="AY54" i="213"/>
  <c r="AY56" i="213"/>
  <c r="AY57" i="213"/>
  <c r="AY58" i="213"/>
  <c r="AY60" i="213"/>
  <c r="AY47" i="213"/>
  <c r="AZ52" i="213"/>
  <c r="AZ53" i="213"/>
  <c r="AZ61" i="213"/>
  <c r="AZ59" i="213"/>
  <c r="AZ55" i="213"/>
  <c r="AZ54" i="213"/>
  <c r="AZ56" i="213"/>
  <c r="AZ57" i="213"/>
  <c r="AZ58" i="213"/>
  <c r="AZ60" i="213"/>
  <c r="AZ47" i="213"/>
  <c r="BA52" i="213"/>
  <c r="BA53" i="213"/>
  <c r="BA61" i="213"/>
  <c r="BA59" i="213"/>
  <c r="BA55" i="213"/>
  <c r="BA54" i="213"/>
  <c r="BA56" i="213"/>
  <c r="BA57" i="213"/>
  <c r="BA58" i="213"/>
  <c r="BA60" i="213"/>
  <c r="BA47" i="213"/>
  <c r="BB52" i="213"/>
  <c r="BB53" i="213"/>
  <c r="BB61" i="213"/>
  <c r="BB59" i="213"/>
  <c r="BB55" i="213"/>
  <c r="BB54" i="213"/>
  <c r="BB56" i="213"/>
  <c r="BB57" i="213"/>
  <c r="BB58" i="213"/>
  <c r="BB60" i="213"/>
  <c r="BB47" i="213"/>
  <c r="BC52" i="213"/>
  <c r="BC53" i="213"/>
  <c r="BC61" i="213"/>
  <c r="BC59" i="213"/>
  <c r="BC55" i="213"/>
  <c r="BC54" i="213"/>
  <c r="BC56" i="213"/>
  <c r="BC57" i="213"/>
  <c r="BC58" i="213"/>
  <c r="BC60" i="213"/>
  <c r="BC47" i="213"/>
  <c r="BD52" i="213"/>
  <c r="BD53" i="213"/>
  <c r="BD61" i="213"/>
  <c r="BD59" i="213"/>
  <c r="BD55" i="213"/>
  <c r="BD54" i="213"/>
  <c r="BD56" i="213"/>
  <c r="BD57" i="213"/>
  <c r="BD58" i="213"/>
  <c r="BD60" i="213"/>
  <c r="BD47" i="213"/>
  <c r="BE52" i="213"/>
  <c r="BE53" i="213"/>
  <c r="BE61" i="213"/>
  <c r="BE59" i="213"/>
  <c r="BE55" i="213"/>
  <c r="BE54" i="213"/>
  <c r="BE56" i="213"/>
  <c r="BE57" i="213"/>
  <c r="BE58" i="213"/>
  <c r="BE60" i="213"/>
  <c r="BE47" i="213"/>
  <c r="BF52" i="213"/>
  <c r="BF53" i="213"/>
  <c r="BF61" i="213"/>
  <c r="BF59" i="213"/>
  <c r="BF55" i="213"/>
  <c r="BF54" i="213"/>
  <c r="BF56" i="213"/>
  <c r="BF57" i="213"/>
  <c r="BF58" i="213"/>
  <c r="BF60" i="213"/>
  <c r="BF47" i="213"/>
  <c r="BG52" i="213"/>
  <c r="BG53" i="213"/>
  <c r="BG61" i="213"/>
  <c r="BG59" i="213"/>
  <c r="BG55" i="213"/>
  <c r="BG54" i="213"/>
  <c r="BG56" i="213"/>
  <c r="BG57" i="213"/>
  <c r="BG58" i="213"/>
  <c r="BG60" i="213"/>
  <c r="BG47" i="213"/>
  <c r="BH52" i="213"/>
  <c r="BH53" i="213"/>
  <c r="BH61" i="213"/>
  <c r="BH59" i="213"/>
  <c r="BH55" i="213"/>
  <c r="BH54" i="213"/>
  <c r="BH56" i="213"/>
  <c r="BH57" i="213"/>
  <c r="BH58" i="213"/>
  <c r="BH60" i="213"/>
  <c r="BH47" i="213"/>
  <c r="F158" i="212"/>
  <c r="N144" i="212"/>
  <c r="J144" i="212"/>
  <c r="F144" i="212"/>
  <c r="B144" i="212"/>
  <c r="F130" i="212"/>
  <c r="B130" i="212"/>
  <c r="B164" i="212" s="1"/>
  <c r="BH50" i="218"/>
  <c r="AP50" i="218"/>
  <c r="BN50" i="218"/>
  <c r="BT50" i="218"/>
  <c r="BV50" i="218"/>
  <c r="E28" i="212"/>
  <c r="E29" i="212"/>
  <c r="BZ50" i="218" s="1"/>
  <c r="CB50" i="218"/>
  <c r="CF50" i="218"/>
  <c r="E35" i="212"/>
  <c r="CH50" i="218" s="1"/>
  <c r="E36" i="212"/>
  <c r="CJ50" i="218" s="1"/>
  <c r="E37" i="212"/>
  <c r="CL50" i="218" s="1"/>
  <c r="AV51" i="218"/>
  <c r="AX51" i="218"/>
  <c r="BF51" i="218"/>
  <c r="AL51" i="218"/>
  <c r="I23" i="212"/>
  <c r="I24" i="212"/>
  <c r="BP51" i="218" s="1"/>
  <c r="I25" i="212"/>
  <c r="BR51" i="218" s="1"/>
  <c r="I26" i="212"/>
  <c r="I27" i="212"/>
  <c r="BV51" i="218" s="1"/>
  <c r="I28" i="212"/>
  <c r="BX51" i="218" s="1"/>
  <c r="I29" i="212"/>
  <c r="BZ51" i="218" s="1"/>
  <c r="I32" i="212"/>
  <c r="CB51" i="218" s="1"/>
  <c r="I33" i="212"/>
  <c r="CD51" i="218" s="1"/>
  <c r="I34" i="212"/>
  <c r="CF51" i="218" s="1"/>
  <c r="I35" i="212"/>
  <c r="CH51" i="218" s="1"/>
  <c r="I36" i="212"/>
  <c r="CJ51" i="218" s="1"/>
  <c r="I37" i="212"/>
  <c r="CL51" i="218" s="1"/>
  <c r="B107" i="212"/>
  <c r="B115" i="212"/>
  <c r="E84" i="212"/>
  <c r="E86" i="212"/>
  <c r="AP57" i="218" s="1"/>
  <c r="E87" i="212"/>
  <c r="AR57" i="218" s="1"/>
  <c r="E88" i="212"/>
  <c r="AT57" i="218" s="1"/>
  <c r="E89" i="212"/>
  <c r="AV57" i="218" s="1"/>
  <c r="E90" i="212"/>
  <c r="AX57" i="218" s="1"/>
  <c r="E91" i="212"/>
  <c r="AZ57" i="218" s="1"/>
  <c r="E93" i="212"/>
  <c r="BD57" i="218" s="1"/>
  <c r="E94" i="212"/>
  <c r="BF57" i="218" s="1"/>
  <c r="E95" i="212"/>
  <c r="BH57" i="218" s="1"/>
  <c r="E96" i="212"/>
  <c r="BJ57" i="218" s="1"/>
  <c r="E97" i="212"/>
  <c r="BL57" i="218" s="1"/>
  <c r="E100" i="212"/>
  <c r="BN57" i="218" s="1"/>
  <c r="E101" i="212"/>
  <c r="BP57" i="218" s="1"/>
  <c r="E102" i="212"/>
  <c r="BR57" i="218" s="1"/>
  <c r="E103" i="212"/>
  <c r="BT57" i="218" s="1"/>
  <c r="E104" i="212"/>
  <c r="BV57" i="218" s="1"/>
  <c r="E105" i="212"/>
  <c r="BX57" i="218" s="1"/>
  <c r="E106" i="212"/>
  <c r="BZ57" i="218" s="1"/>
  <c r="E109" i="212"/>
  <c r="CB57" i="218" s="1"/>
  <c r="E110" i="212"/>
  <c r="CD57" i="218" s="1"/>
  <c r="E111" i="212"/>
  <c r="CF57" i="218" s="1"/>
  <c r="E112" i="212"/>
  <c r="CH57" i="218" s="1"/>
  <c r="E113" i="212"/>
  <c r="CJ57" i="218" s="1"/>
  <c r="E114" i="212"/>
  <c r="CL57" i="218" s="1"/>
  <c r="I87" i="212"/>
  <c r="I88" i="212"/>
  <c r="I89" i="212"/>
  <c r="I90" i="212"/>
  <c r="I91" i="212"/>
  <c r="I93" i="212"/>
  <c r="I94" i="212"/>
  <c r="I95" i="212"/>
  <c r="I96" i="212"/>
  <c r="I97" i="212"/>
  <c r="I84" i="212"/>
  <c r="AL58" i="218" s="1"/>
  <c r="I86" i="212"/>
  <c r="I100" i="212"/>
  <c r="I101" i="212"/>
  <c r="I102" i="212"/>
  <c r="I103" i="212"/>
  <c r="I104" i="212"/>
  <c r="I105" i="212"/>
  <c r="I106" i="212"/>
  <c r="I109" i="212"/>
  <c r="I110" i="212"/>
  <c r="I111" i="212"/>
  <c r="I112" i="212"/>
  <c r="CH58" i="218" s="1"/>
  <c r="I113" i="212"/>
  <c r="I114" i="212"/>
  <c r="U70" i="212"/>
  <c r="U71" i="212"/>
  <c r="U72" i="212"/>
  <c r="U73" i="212"/>
  <c r="U74" i="212"/>
  <c r="U75" i="212"/>
  <c r="Q70" i="212"/>
  <c r="CB55" i="218" s="1"/>
  <c r="Q71" i="212"/>
  <c r="CD55" i="218" s="1"/>
  <c r="Q72" i="212"/>
  <c r="CF55" i="218" s="1"/>
  <c r="Q73" i="212"/>
  <c r="CH55" i="218" s="1"/>
  <c r="Q74" i="212"/>
  <c r="CJ55" i="218" s="1"/>
  <c r="Q75" i="212"/>
  <c r="CL55" i="218" s="1"/>
  <c r="M70" i="212"/>
  <c r="CB54" i="218" s="1"/>
  <c r="M71" i="212"/>
  <c r="CD54" i="218" s="1"/>
  <c r="M72" i="212"/>
  <c r="M73" i="212"/>
  <c r="M74" i="212"/>
  <c r="CJ54" i="218" s="1"/>
  <c r="M75" i="212"/>
  <c r="CL54" i="218" s="1"/>
  <c r="I70" i="212"/>
  <c r="I71" i="212"/>
  <c r="CD53" i="218" s="1"/>
  <c r="I72" i="212"/>
  <c r="CF53" i="218" s="1"/>
  <c r="I73" i="212"/>
  <c r="CH53" i="218" s="1"/>
  <c r="I74" i="212"/>
  <c r="CJ53" i="218" s="1"/>
  <c r="I75" i="212"/>
  <c r="CL53" i="218" s="1"/>
  <c r="E70" i="212"/>
  <c r="CB52" i="218" s="1"/>
  <c r="E71" i="212"/>
  <c r="CD52" i="218" s="1"/>
  <c r="E72" i="212"/>
  <c r="CF52" i="218" s="1"/>
  <c r="E73" i="212"/>
  <c r="CH52" i="218" s="1"/>
  <c r="E74" i="212"/>
  <c r="CJ52" i="218" s="1"/>
  <c r="E75" i="212"/>
  <c r="CL52" i="218" s="1"/>
  <c r="U61" i="212"/>
  <c r="U62" i="212"/>
  <c r="U63" i="212"/>
  <c r="U64" i="212"/>
  <c r="U65" i="212"/>
  <c r="U66" i="212"/>
  <c r="U67" i="212"/>
  <c r="Q61" i="212"/>
  <c r="BN55" i="218" s="1"/>
  <c r="Q62" i="212"/>
  <c r="BP55" i="218" s="1"/>
  <c r="Q63" i="212"/>
  <c r="BR55" i="218" s="1"/>
  <c r="Q64" i="212"/>
  <c r="BT55" i="218" s="1"/>
  <c r="Q65" i="212"/>
  <c r="Q66" i="212"/>
  <c r="BX55" i="218" s="1"/>
  <c r="Q67" i="212"/>
  <c r="BZ55" i="218" s="1"/>
  <c r="M61" i="212"/>
  <c r="BN54" i="218" s="1"/>
  <c r="M62" i="212"/>
  <c r="BP54" i="218" s="1"/>
  <c r="M63" i="212"/>
  <c r="BR54" i="218" s="1"/>
  <c r="M64" i="212"/>
  <c r="BT54" i="218" s="1"/>
  <c r="M65" i="212"/>
  <c r="BV54" i="218" s="1"/>
  <c r="M66" i="212"/>
  <c r="BX54" i="218" s="1"/>
  <c r="M67" i="212"/>
  <c r="BZ54" i="218" s="1"/>
  <c r="I61" i="212"/>
  <c r="BN53" i="218" s="1"/>
  <c r="I62" i="212"/>
  <c r="BP53" i="218" s="1"/>
  <c r="I63" i="212"/>
  <c r="BR53" i="218" s="1"/>
  <c r="I64" i="212"/>
  <c r="BT53" i="218" s="1"/>
  <c r="I65" i="212"/>
  <c r="BV53" i="218" s="1"/>
  <c r="I66" i="212"/>
  <c r="BX53" i="218" s="1"/>
  <c r="I67" i="212"/>
  <c r="E61" i="212"/>
  <c r="BN52" i="218" s="1"/>
  <c r="E62" i="212"/>
  <c r="BP52" i="218" s="1"/>
  <c r="E63" i="212"/>
  <c r="BR52" i="218" s="1"/>
  <c r="E64" i="212"/>
  <c r="BT52" i="218" s="1"/>
  <c r="E65" i="212"/>
  <c r="BV52" i="218" s="1"/>
  <c r="E66" i="212"/>
  <c r="BX52" i="218" s="1"/>
  <c r="E67" i="212"/>
  <c r="BZ52" i="218" s="1"/>
  <c r="E47" i="212"/>
  <c r="V47" i="212" s="1"/>
  <c r="C178" i="212" s="1"/>
  <c r="E48" i="212"/>
  <c r="AT52" i="218"/>
  <c r="E50" i="212"/>
  <c r="E51" i="212"/>
  <c r="V51" i="212" s="1"/>
  <c r="C182" i="212" s="1"/>
  <c r="E52" i="212"/>
  <c r="E54" i="212"/>
  <c r="BD52" i="218" s="1"/>
  <c r="BF52" i="218"/>
  <c r="E56" i="212"/>
  <c r="BH52" i="218" s="1"/>
  <c r="E57" i="212"/>
  <c r="BJ52" i="218" s="1"/>
  <c r="E58" i="212"/>
  <c r="BL52" i="218" s="1"/>
  <c r="AR56" i="218"/>
  <c r="AT56" i="218"/>
  <c r="AV56" i="218"/>
  <c r="AZ56" i="218"/>
  <c r="BD56" i="218"/>
  <c r="BF56" i="218"/>
  <c r="U56" i="212"/>
  <c r="U57" i="212"/>
  <c r="U58" i="212"/>
  <c r="U45" i="212"/>
  <c r="AP56" i="218"/>
  <c r="AP55" i="218"/>
  <c r="AR55" i="218"/>
  <c r="AX55" i="218"/>
  <c r="BD55" i="218"/>
  <c r="Q55" i="212"/>
  <c r="Q56" i="212"/>
  <c r="Q57" i="212"/>
  <c r="BJ55" i="218" s="1"/>
  <c r="Q58" i="212"/>
  <c r="BL55" i="218" s="1"/>
  <c r="AT55" i="218"/>
  <c r="AV55" i="218"/>
  <c r="AP54" i="218"/>
  <c r="AR54" i="218"/>
  <c r="AX54" i="218"/>
  <c r="BD54" i="218"/>
  <c r="M55" i="212"/>
  <c r="M56" i="212"/>
  <c r="BH54" i="218" s="1"/>
  <c r="M57" i="212"/>
  <c r="BJ54" i="218" s="1"/>
  <c r="M58" i="212"/>
  <c r="BL54" i="218" s="1"/>
  <c r="M45" i="212"/>
  <c r="AT54" i="218"/>
  <c r="AV54" i="218"/>
  <c r="AP53" i="218"/>
  <c r="AR53" i="218"/>
  <c r="AX53" i="218"/>
  <c r="I54" i="212"/>
  <c r="I55" i="212"/>
  <c r="BF53" i="218" s="1"/>
  <c r="I56" i="212"/>
  <c r="BH53" i="218" s="1"/>
  <c r="I57" i="212"/>
  <c r="BJ53" i="218" s="1"/>
  <c r="BL53" i="218"/>
  <c r="I45" i="212"/>
  <c r="AT53" i="218"/>
  <c r="I149" i="212"/>
  <c r="I150" i="212"/>
  <c r="I152" i="212"/>
  <c r="I153" i="212"/>
  <c r="I154" i="212"/>
  <c r="I155" i="212"/>
  <c r="I156" i="212"/>
  <c r="I157" i="212"/>
  <c r="I148" i="212"/>
  <c r="E149" i="212"/>
  <c r="CP57" i="218" s="1"/>
  <c r="E150" i="212"/>
  <c r="CR57" i="218" s="1"/>
  <c r="E151" i="212"/>
  <c r="CT57" i="218" s="1"/>
  <c r="E152" i="212"/>
  <c r="CV57" i="218" s="1"/>
  <c r="E153" i="212"/>
  <c r="CX57" i="218" s="1"/>
  <c r="E154" i="212"/>
  <c r="CZ57" i="218" s="1"/>
  <c r="E155" i="212"/>
  <c r="DB57" i="218" s="1"/>
  <c r="E156" i="212"/>
  <c r="DD57" i="218" s="1"/>
  <c r="E157" i="212"/>
  <c r="DF57" i="218" s="1"/>
  <c r="E148" i="212"/>
  <c r="CN57" i="218" s="1"/>
  <c r="U135" i="212"/>
  <c r="U136" i="212"/>
  <c r="U137" i="212"/>
  <c r="U138" i="212"/>
  <c r="U139" i="212"/>
  <c r="U140" i="212"/>
  <c r="U141" i="212"/>
  <c r="U142" i="212"/>
  <c r="U143" i="212"/>
  <c r="U134" i="212"/>
  <c r="Q135" i="212"/>
  <c r="Q136" i="212"/>
  <c r="Q137" i="212"/>
  <c r="Q138" i="212"/>
  <c r="Q139" i="212"/>
  <c r="Q140" i="212"/>
  <c r="Q141" i="212"/>
  <c r="Q142" i="212"/>
  <c r="Q134" i="212"/>
  <c r="M136" i="212"/>
  <c r="CR55" i="218" s="1"/>
  <c r="M137" i="212"/>
  <c r="CT55" i="218" s="1"/>
  <c r="M138" i="212"/>
  <c r="CV55" i="218" s="1"/>
  <c r="M139" i="212"/>
  <c r="CX55" i="218" s="1"/>
  <c r="M140" i="212"/>
  <c r="CZ55" i="218" s="1"/>
  <c r="M141" i="212"/>
  <c r="DB55" i="218" s="1"/>
  <c r="M142" i="212"/>
  <c r="DD55" i="218" s="1"/>
  <c r="M143" i="212"/>
  <c r="M134" i="212"/>
  <c r="CN54" i="218" s="1"/>
  <c r="I135" i="212"/>
  <c r="I136" i="212"/>
  <c r="CR53" i="218" s="1"/>
  <c r="I137" i="212"/>
  <c r="CT53" i="218" s="1"/>
  <c r="I138" i="212"/>
  <c r="CV53" i="218" s="1"/>
  <c r="I139" i="212"/>
  <c r="CX53" i="218" s="1"/>
  <c r="I140" i="212"/>
  <c r="CZ53" i="218" s="1"/>
  <c r="I141" i="212"/>
  <c r="DB53" i="218" s="1"/>
  <c r="I142" i="212"/>
  <c r="DD53" i="218" s="1"/>
  <c r="I143" i="212"/>
  <c r="DF53" i="218" s="1"/>
  <c r="E136" i="212"/>
  <c r="CR52" i="218" s="1"/>
  <c r="E137" i="212"/>
  <c r="CT52" i="218" s="1"/>
  <c r="E138" i="212"/>
  <c r="CV52" i="218" s="1"/>
  <c r="E139" i="212"/>
  <c r="CX52" i="218" s="1"/>
  <c r="E140" i="212"/>
  <c r="CZ52" i="218" s="1"/>
  <c r="E141" i="212"/>
  <c r="DB52" i="218" s="1"/>
  <c r="E142" i="212"/>
  <c r="DD52" i="218" s="1"/>
  <c r="E143" i="212"/>
  <c r="DF52" i="218" s="1"/>
  <c r="I121" i="212"/>
  <c r="CP51" i="218" s="1"/>
  <c r="I122" i="212"/>
  <c r="CR51" i="218" s="1"/>
  <c r="I123" i="212"/>
  <c r="CT51" i="218" s="1"/>
  <c r="I124" i="212"/>
  <c r="CV51" i="218" s="1"/>
  <c r="I125" i="212"/>
  <c r="CX51" i="218" s="1"/>
  <c r="I126" i="212"/>
  <c r="CZ51" i="218" s="1"/>
  <c r="I127" i="212"/>
  <c r="DB51" i="218" s="1"/>
  <c r="I129" i="212"/>
  <c r="DF51" i="218" s="1"/>
  <c r="E122" i="212"/>
  <c r="CR50" i="218" s="1"/>
  <c r="E123" i="212"/>
  <c r="CT50" i="218" s="1"/>
  <c r="E124" i="212"/>
  <c r="CV50" i="218" s="1"/>
  <c r="E125" i="212"/>
  <c r="CX50" i="218" s="1"/>
  <c r="E126" i="212"/>
  <c r="CZ50" i="218" s="1"/>
  <c r="E127" i="212"/>
  <c r="DB50" i="218" s="1"/>
  <c r="E129" i="212"/>
  <c r="DF50" i="218" s="1"/>
  <c r="AB52" i="213" a="1"/>
  <c r="AB52" i="213" s="1"/>
  <c r="AB53" i="213" a="1"/>
  <c r="AB53" i="213" s="1"/>
  <c r="AB54" i="213" a="1"/>
  <c r="AB54" i="213" s="1"/>
  <c r="AB55" i="213" a="1"/>
  <c r="AB55" i="213" s="1"/>
  <c r="AB56" i="213" a="1"/>
  <c r="AB56" i="213" s="1"/>
  <c r="AB57" i="213" a="1"/>
  <c r="AB57" i="213" s="1"/>
  <c r="AB58" i="213" a="1"/>
  <c r="AB58" i="213" s="1"/>
  <c r="AB59" i="213" a="1"/>
  <c r="AB59" i="213" s="1"/>
  <c r="AB60" i="213" a="1"/>
  <c r="AB60" i="213" s="1"/>
  <c r="AB61" i="213" a="1"/>
  <c r="AB61" i="213" s="1"/>
  <c r="AB48" i="213" a="1"/>
  <c r="AB48" i="213" s="1"/>
  <c r="AA47" i="213" a="1"/>
  <c r="AA47" i="213" s="1"/>
  <c r="R144" i="212"/>
  <c r="B158" i="212"/>
  <c r="AW56" i="218"/>
  <c r="AW55" i="218"/>
  <c r="AW54" i="218"/>
  <c r="AW53" i="218"/>
  <c r="AW52" i="218"/>
  <c r="D4" i="2" a="1"/>
  <c r="D4" i="2" s="1"/>
  <c r="E4" i="2" s="1"/>
  <c r="D5" i="2" a="1"/>
  <c r="D5" i="2" s="1"/>
  <c r="E5" i="2" s="1"/>
  <c r="D6" i="2" a="1"/>
  <c r="D6" i="2" s="1"/>
  <c r="E6" i="2" s="1"/>
  <c r="D7" i="2" a="1"/>
  <c r="D7" i="2" s="1"/>
  <c r="E7" i="2" s="1"/>
  <c r="C8" i="214" s="1"/>
  <c r="D8" i="2" a="1"/>
  <c r="D8" i="2" s="1"/>
  <c r="E8" i="2" s="1"/>
  <c r="D9" i="2" a="1"/>
  <c r="D9" i="2" s="1"/>
  <c r="E9" i="2" s="1"/>
  <c r="D10" i="2" a="1"/>
  <c r="D10" i="2" s="1"/>
  <c r="E10" i="2" s="1"/>
  <c r="D11" i="2" a="1"/>
  <c r="D11" i="2" s="1"/>
  <c r="E11" i="2" s="1"/>
  <c r="D12" i="2" a="1"/>
  <c r="D12" i="2" s="1"/>
  <c r="E12" i="2" s="1"/>
  <c r="D13" i="2" a="1"/>
  <c r="D13" i="2" s="1"/>
  <c r="E13" i="2" s="1"/>
  <c r="D14" i="2" a="1"/>
  <c r="D14" i="2" s="1"/>
  <c r="E14" i="2" s="1"/>
  <c r="D15" i="2" a="1"/>
  <c r="D15" i="2" s="1"/>
  <c r="E15" i="2" s="1"/>
  <c r="D16" i="2" a="1"/>
  <c r="D16" i="2" s="1"/>
  <c r="E16" i="2" s="1"/>
  <c r="BW52" i="218"/>
  <c r="BY52" i="218"/>
  <c r="CA52" i="218"/>
  <c r="CC52" i="218"/>
  <c r="CE52" i="218"/>
  <c r="CG52" i="218"/>
  <c r="CI52" i="218"/>
  <c r="CK52" i="218"/>
  <c r="BW53" i="218"/>
  <c r="BY53" i="218"/>
  <c r="CA53" i="218"/>
  <c r="CC53" i="218"/>
  <c r="CE53" i="218"/>
  <c r="CG53" i="218"/>
  <c r="CI53" i="218"/>
  <c r="CK53" i="218"/>
  <c r="BW54" i="218"/>
  <c r="BY54" i="218"/>
  <c r="CA54" i="218"/>
  <c r="CC54" i="218"/>
  <c r="CE54" i="218"/>
  <c r="CG54" i="218"/>
  <c r="CI54" i="218"/>
  <c r="CK54" i="218"/>
  <c r="BW55" i="218"/>
  <c r="BY55" i="218"/>
  <c r="CA55" i="218"/>
  <c r="CC55" i="218"/>
  <c r="CE55" i="218"/>
  <c r="CG55" i="218"/>
  <c r="CI55" i="218"/>
  <c r="CK55" i="218"/>
  <c r="BW56" i="218"/>
  <c r="BY56" i="218"/>
  <c r="CA56" i="218"/>
  <c r="CC56" i="218"/>
  <c r="CE56" i="218"/>
  <c r="CG56" i="218"/>
  <c r="CI56" i="218"/>
  <c r="CK56" i="218"/>
  <c r="BU57" i="218"/>
  <c r="BW57" i="218"/>
  <c r="BY57" i="218"/>
  <c r="CA57" i="218"/>
  <c r="CC57" i="218"/>
  <c r="CE57" i="218"/>
  <c r="CG57" i="218"/>
  <c r="CI57" i="218"/>
  <c r="CK57" i="218"/>
  <c r="CM57" i="218"/>
  <c r="BU58" i="218"/>
  <c r="BW58" i="218"/>
  <c r="BY58" i="218"/>
  <c r="CA58" i="218"/>
  <c r="CC58" i="218"/>
  <c r="CE58" i="218"/>
  <c r="CG58" i="218"/>
  <c r="CI58" i="218"/>
  <c r="CK58" i="218"/>
  <c r="CM58" i="218"/>
  <c r="AM57" i="218"/>
  <c r="AM58" i="218"/>
  <c r="AQ57" i="218"/>
  <c r="AQ58" i="218"/>
  <c r="AS57" i="218"/>
  <c r="AS58" i="218"/>
  <c r="AU52" i="218"/>
  <c r="AU53" i="218"/>
  <c r="AU54" i="218"/>
  <c r="AU55" i="218"/>
  <c r="AU56" i="218"/>
  <c r="AU57" i="218"/>
  <c r="AU58" i="218"/>
  <c r="AW57" i="218"/>
  <c r="AW58" i="218"/>
  <c r="AV53" i="218"/>
  <c r="AY52" i="218"/>
  <c r="AY53" i="218"/>
  <c r="AY54" i="218"/>
  <c r="AY55" i="218"/>
  <c r="AY56" i="218"/>
  <c r="AY57" i="218"/>
  <c r="AY58" i="218"/>
  <c r="AX56" i="218"/>
  <c r="BA52" i="218"/>
  <c r="BA53" i="218"/>
  <c r="BA54" i="218"/>
  <c r="BA55" i="218"/>
  <c r="BA56" i="218"/>
  <c r="BA57" i="218"/>
  <c r="BA58" i="218"/>
  <c r="AZ53" i="218"/>
  <c r="AZ54" i="218"/>
  <c r="AZ55" i="218"/>
  <c r="BE52" i="218"/>
  <c r="BE53" i="218"/>
  <c r="BE54" i="218"/>
  <c r="BE55" i="218"/>
  <c r="BE56" i="218"/>
  <c r="BE57" i="218"/>
  <c r="BE58" i="218"/>
  <c r="BG52" i="218"/>
  <c r="BG53" i="218"/>
  <c r="BG54" i="218"/>
  <c r="BG55" i="218"/>
  <c r="BG56" i="218"/>
  <c r="BG57" i="218"/>
  <c r="BG58" i="218"/>
  <c r="BI52" i="218"/>
  <c r="BI53" i="218"/>
  <c r="BI54" i="218"/>
  <c r="BI55" i="218"/>
  <c r="BI56" i="218"/>
  <c r="BI57" i="218"/>
  <c r="BI58" i="218"/>
  <c r="BK52" i="218"/>
  <c r="BK53" i="218"/>
  <c r="BK54" i="218"/>
  <c r="BK55" i="218"/>
  <c r="BK56" i="218"/>
  <c r="BK57" i="218"/>
  <c r="BK58" i="218"/>
  <c r="BM52" i="218"/>
  <c r="BM53" i="218"/>
  <c r="BM54" i="218"/>
  <c r="BM55" i="218"/>
  <c r="BM56" i="218"/>
  <c r="BM57" i="218"/>
  <c r="BM58" i="218"/>
  <c r="BO52" i="218"/>
  <c r="BO53" i="218"/>
  <c r="BO54" i="218"/>
  <c r="BO55" i="218"/>
  <c r="BO56" i="218"/>
  <c r="BO57" i="218"/>
  <c r="BO58" i="218"/>
  <c r="BQ52" i="218"/>
  <c r="BQ53" i="218"/>
  <c r="BQ54" i="218"/>
  <c r="BQ55" i="218"/>
  <c r="BQ56" i="218"/>
  <c r="BQ57" i="218"/>
  <c r="BQ58" i="218"/>
  <c r="BS52" i="218"/>
  <c r="BS53" i="218"/>
  <c r="BS54" i="218"/>
  <c r="BS55" i="218"/>
  <c r="BS56" i="218"/>
  <c r="BS57" i="218"/>
  <c r="BS58" i="218"/>
  <c r="I35" i="218"/>
  <c r="J35" i="218"/>
  <c r="K35" i="218"/>
  <c r="L35" i="218"/>
  <c r="M35" i="218"/>
  <c r="N35" i="218"/>
  <c r="O35" i="218"/>
  <c r="P35" i="218"/>
  <c r="Q35" i="218"/>
  <c r="R35" i="218"/>
  <c r="S35" i="218"/>
  <c r="T35" i="218"/>
  <c r="U35" i="218"/>
  <c r="V35" i="218"/>
  <c r="W35" i="218"/>
  <c r="X35" i="218"/>
  <c r="Y35" i="218"/>
  <c r="Z35" i="218"/>
  <c r="AA35" i="218"/>
  <c r="AB35" i="218"/>
  <c r="F19" i="1"/>
  <c r="AH19" i="1" s="1"/>
  <c r="AA19" i="223" s="1"/>
  <c r="B75" i="11" s="1"/>
  <c r="F20" i="1"/>
  <c r="AH20" i="1" s="1"/>
  <c r="AA20" i="223" s="1"/>
  <c r="B76" i="11" s="1"/>
  <c r="F21" i="1"/>
  <c r="AH21" i="1" s="1"/>
  <c r="F22" i="1"/>
  <c r="AH22" i="1" s="1"/>
  <c r="AA22" i="223" s="1"/>
  <c r="B78" i="11" s="1"/>
  <c r="F23" i="1"/>
  <c r="AI23" i="1" s="1"/>
  <c r="AB23" i="223" s="1"/>
  <c r="C79" i="11" s="1"/>
  <c r="F24" i="1"/>
  <c r="AH24" i="1" s="1"/>
  <c r="AA24" i="223" s="1"/>
  <c r="B80" i="11" s="1"/>
  <c r="F25" i="1"/>
  <c r="AH25" i="1" s="1"/>
  <c r="AA25" i="223" s="1"/>
  <c r="B81" i="11" s="1"/>
  <c r="F26" i="1"/>
  <c r="AI26" i="1" s="1"/>
  <c r="AB26" i="223" s="1"/>
  <c r="C82" i="11" s="1"/>
  <c r="F27" i="1"/>
  <c r="AH27" i="1" s="1"/>
  <c r="AA27" i="223" s="1"/>
  <c r="B83" i="11" s="1"/>
  <c r="F28" i="1"/>
  <c r="AI28" i="1" s="1"/>
  <c r="AB28" i="223" s="1"/>
  <c r="C84" i="11" s="1"/>
  <c r="F8" i="1"/>
  <c r="AH8" i="1" s="1"/>
  <c r="AA8" i="223" s="1"/>
  <c r="F9" i="1"/>
  <c r="AI9" i="1" s="1"/>
  <c r="AB9" i="223" s="1"/>
  <c r="C65" i="11" s="1"/>
  <c r="F10" i="1"/>
  <c r="AH10" i="1" s="1"/>
  <c r="AA10" i="223" s="1"/>
  <c r="B66" i="11" s="1"/>
  <c r="F11" i="1"/>
  <c r="AH11" i="1" s="1"/>
  <c r="AA11" i="223" s="1"/>
  <c r="B67" i="11" s="1"/>
  <c r="F12" i="1"/>
  <c r="AL12" i="1" s="1"/>
  <c r="AE12" i="223" s="1"/>
  <c r="F68" i="11" s="1"/>
  <c r="F13" i="1"/>
  <c r="AI13" i="1" s="1"/>
  <c r="F14" i="1"/>
  <c r="AH14" i="1" s="1"/>
  <c r="AA14" i="223" s="1"/>
  <c r="B70" i="11" s="1"/>
  <c r="F15" i="1"/>
  <c r="AH15" i="1" s="1"/>
  <c r="AA15" i="223" s="1"/>
  <c r="B71" i="11" s="1"/>
  <c r="F16" i="1"/>
  <c r="AI16" i="1" s="1"/>
  <c r="AB16" i="223" s="1"/>
  <c r="C72" i="11" s="1"/>
  <c r="F17" i="1"/>
  <c r="AI17" i="1" s="1"/>
  <c r="AB17" i="223" s="1"/>
  <c r="C73" i="11" s="1"/>
  <c r="AK11" i="1"/>
  <c r="AD11" i="223" s="1"/>
  <c r="E67" i="11" s="1"/>
  <c r="G40" i="11"/>
  <c r="H40" i="11"/>
  <c r="I40" i="11"/>
  <c r="J40" i="11"/>
  <c r="K40" i="11"/>
  <c r="L40" i="11"/>
  <c r="M40" i="11"/>
  <c r="N40" i="11"/>
  <c r="O40" i="11"/>
  <c r="P40" i="11"/>
  <c r="Q40" i="11"/>
  <c r="R40" i="11"/>
  <c r="S40" i="11"/>
  <c r="T40" i="11"/>
  <c r="U40" i="11"/>
  <c r="V40" i="11"/>
  <c r="W40" i="11"/>
  <c r="X40" i="11"/>
  <c r="Y40" i="11"/>
  <c r="Z40" i="11"/>
  <c r="F101" i="1"/>
  <c r="AI101" i="1" s="1"/>
  <c r="AB101" i="223" s="1"/>
  <c r="C157" i="11" s="1"/>
  <c r="F102" i="1"/>
  <c r="AH102" i="1" s="1"/>
  <c r="F112" i="1"/>
  <c r="AH112" i="1" s="1"/>
  <c r="AA112" i="223" s="1"/>
  <c r="F123" i="1"/>
  <c r="AH123" i="1" s="1"/>
  <c r="AA123" i="223" s="1"/>
  <c r="B179" i="11" s="1"/>
  <c r="F31" i="1"/>
  <c r="AH31" i="1" s="1"/>
  <c r="AA31" i="223" s="1"/>
  <c r="B87" i="11" s="1"/>
  <c r="F32" i="1"/>
  <c r="AH32" i="1" s="1"/>
  <c r="AA32" i="223" s="1"/>
  <c r="F33" i="1"/>
  <c r="AH33" i="1" s="1"/>
  <c r="AA33" i="223" s="1"/>
  <c r="B89" i="11" s="1"/>
  <c r="F34" i="1"/>
  <c r="AH34" i="1" s="1"/>
  <c r="AA34" i="223" s="1"/>
  <c r="B90" i="11" s="1"/>
  <c r="F35" i="1"/>
  <c r="AH35" i="1" s="1"/>
  <c r="AA35" i="223" s="1"/>
  <c r="B91" i="11" s="1"/>
  <c r="F36" i="1"/>
  <c r="AH36" i="1" s="1"/>
  <c r="AA36" i="223" s="1"/>
  <c r="B92" i="11" s="1"/>
  <c r="F37" i="1"/>
  <c r="AI37" i="1" s="1"/>
  <c r="AB37" i="223" s="1"/>
  <c r="F38" i="1"/>
  <c r="AH38" i="1" s="1"/>
  <c r="F39" i="1"/>
  <c r="AH39" i="1" s="1"/>
  <c r="AA39" i="223" s="1"/>
  <c r="B95" i="11" s="1"/>
  <c r="F40" i="1"/>
  <c r="AI40" i="1" s="1"/>
  <c r="AB40" i="223" s="1"/>
  <c r="C96" i="11" s="1"/>
  <c r="F45" i="1"/>
  <c r="AH45" i="1" s="1"/>
  <c r="AA45" i="223" s="1"/>
  <c r="B101" i="11" s="1"/>
  <c r="F46" i="1"/>
  <c r="AH46" i="1" s="1"/>
  <c r="AA46" i="223" s="1"/>
  <c r="B102" i="11" s="1"/>
  <c r="F47" i="1"/>
  <c r="AH47" i="1" s="1"/>
  <c r="F48" i="1"/>
  <c r="AH48" i="1" s="1"/>
  <c r="AA48" i="223" s="1"/>
  <c r="F49" i="1"/>
  <c r="AH49" i="1" s="1"/>
  <c r="F50" i="1"/>
  <c r="AH50" i="1" s="1"/>
  <c r="F51" i="1"/>
  <c r="AH51" i="1" s="1"/>
  <c r="AA51" i="223" s="1"/>
  <c r="B107" i="11" s="1"/>
  <c r="F52" i="1"/>
  <c r="AH52" i="1" s="1"/>
  <c r="AA52" i="223" s="1"/>
  <c r="B108" i="11" s="1"/>
  <c r="F53" i="1"/>
  <c r="AH53" i="1" s="1"/>
  <c r="AA53" i="223" s="1"/>
  <c r="B109" i="11" s="1"/>
  <c r="F54" i="1"/>
  <c r="AH54" i="1" s="1"/>
  <c r="AA54" i="223" s="1"/>
  <c r="B110" i="11" s="1"/>
  <c r="F56" i="1"/>
  <c r="AH56" i="1" s="1"/>
  <c r="AA56" i="223" s="1"/>
  <c r="B112" i="11" s="1"/>
  <c r="F57" i="1"/>
  <c r="AH57" i="1" s="1"/>
  <c r="AA57" i="223" s="1"/>
  <c r="B113" i="11" s="1"/>
  <c r="F58" i="1"/>
  <c r="AH58" i="1" s="1"/>
  <c r="AA58" i="223" s="1"/>
  <c r="F59" i="1"/>
  <c r="AI59" i="1" s="1"/>
  <c r="AB59" i="223" s="1"/>
  <c r="C115" i="11" s="1"/>
  <c r="F60" i="1"/>
  <c r="AH60" i="1" s="1"/>
  <c r="AA60" i="223" s="1"/>
  <c r="B116" i="11" s="1"/>
  <c r="F61" i="1"/>
  <c r="AH61" i="1" s="1"/>
  <c r="F62" i="1"/>
  <c r="AH62" i="1" s="1"/>
  <c r="AA62" i="223" s="1"/>
  <c r="B118" i="11" s="1"/>
  <c r="F63" i="1"/>
  <c r="AH63" i="1" s="1"/>
  <c r="AA63" i="223" s="1"/>
  <c r="B119" i="11" s="1"/>
  <c r="F64" i="1"/>
  <c r="AH64" i="1" s="1"/>
  <c r="AA64" i="223" s="1"/>
  <c r="F65" i="1"/>
  <c r="AH65" i="1" s="1"/>
  <c r="AA65" i="223" s="1"/>
  <c r="F67" i="1"/>
  <c r="AI67" i="1" s="1"/>
  <c r="AB67" i="223" s="1"/>
  <c r="C123" i="11" s="1"/>
  <c r="F68" i="1"/>
  <c r="AH68" i="1" s="1"/>
  <c r="F69" i="1"/>
  <c r="AH69" i="1" s="1"/>
  <c r="AA69" i="223" s="1"/>
  <c r="B125" i="11" s="1"/>
  <c r="F70" i="1"/>
  <c r="AH70" i="1" s="1"/>
  <c r="AA70" i="223" s="1"/>
  <c r="B126" i="11" s="1"/>
  <c r="F71" i="1"/>
  <c r="AH71" i="1" s="1"/>
  <c r="AA71" i="223" s="1"/>
  <c r="B127" i="11" s="1"/>
  <c r="F72" i="1"/>
  <c r="AH72" i="1" s="1"/>
  <c r="AA72" i="223" s="1"/>
  <c r="B128" i="11" s="1"/>
  <c r="F73" i="1"/>
  <c r="AH73" i="1" s="1"/>
  <c r="AA73" i="223" s="1"/>
  <c r="B129" i="11" s="1"/>
  <c r="F74" i="1"/>
  <c r="AH74" i="1" s="1"/>
  <c r="AA74" i="223" s="1"/>
  <c r="B130" i="11" s="1"/>
  <c r="F75" i="1"/>
  <c r="AH75" i="1" s="1"/>
  <c r="AA75" i="223" s="1"/>
  <c r="B131" i="11" s="1"/>
  <c r="F76" i="1"/>
  <c r="AH76" i="1" s="1"/>
  <c r="F78" i="1"/>
  <c r="AH78" i="1" s="1"/>
  <c r="AA78" i="223" s="1"/>
  <c r="B134" i="11" s="1"/>
  <c r="F79" i="1"/>
  <c r="AI79" i="1" s="1"/>
  <c r="AB79" i="223" s="1"/>
  <c r="C135" i="11" s="1"/>
  <c r="F80" i="1"/>
  <c r="AH80" i="1" s="1"/>
  <c r="AA80" i="223" s="1"/>
  <c r="F81" i="1"/>
  <c r="AH81" i="1" s="1"/>
  <c r="AA81" i="223" s="1"/>
  <c r="B137" i="11" s="1"/>
  <c r="F82" i="1"/>
  <c r="AH82" i="1" s="1"/>
  <c r="AA82" i="223" s="1"/>
  <c r="B138" i="11" s="1"/>
  <c r="F83" i="1"/>
  <c r="AH83" i="1" s="1"/>
  <c r="AA83" i="223" s="1"/>
  <c r="F84" i="1"/>
  <c r="AH84" i="1" s="1"/>
  <c r="F85" i="1"/>
  <c r="AH85" i="1" s="1"/>
  <c r="AA85" i="223" s="1"/>
  <c r="B141" i="11" s="1"/>
  <c r="F86" i="1"/>
  <c r="AH86" i="1" s="1"/>
  <c r="AA86" i="223" s="1"/>
  <c r="B142" i="11" s="1"/>
  <c r="F87" i="1"/>
  <c r="AH87" i="1" s="1"/>
  <c r="AA87" i="223" s="1"/>
  <c r="B143" i="11" s="1"/>
  <c r="F89" i="1"/>
  <c r="AH89" i="1" s="1"/>
  <c r="AA89" i="223" s="1"/>
  <c r="B145" i="11" s="1"/>
  <c r="F90" i="1"/>
  <c r="AH90" i="1" s="1"/>
  <c r="AA90" i="223" s="1"/>
  <c r="B146" i="11" s="1"/>
  <c r="F91" i="1"/>
  <c r="AH91" i="1" s="1"/>
  <c r="AA91" i="223" s="1"/>
  <c r="B147" i="11" s="1"/>
  <c r="F92" i="1"/>
  <c r="AH92" i="1" s="1"/>
  <c r="AA92" i="223" s="1"/>
  <c r="B148" i="11" s="1"/>
  <c r="F93" i="1"/>
  <c r="AH93" i="1" s="1"/>
  <c r="F94" i="1"/>
  <c r="AH94" i="1" s="1"/>
  <c r="F95" i="1"/>
  <c r="AH95" i="1" s="1"/>
  <c r="F96" i="1"/>
  <c r="AI96" i="1" s="1"/>
  <c r="AB96" i="223" s="1"/>
  <c r="C152" i="11" s="1"/>
  <c r="F97" i="1"/>
  <c r="AH97" i="1" s="1"/>
  <c r="AA97" i="223" s="1"/>
  <c r="B153" i="11" s="1"/>
  <c r="F98" i="1"/>
  <c r="AH98" i="1" s="1"/>
  <c r="AA98" i="223" s="1"/>
  <c r="B154" i="11" s="1"/>
  <c r="F103" i="1"/>
  <c r="AH103" i="1" s="1"/>
  <c r="F104" i="1"/>
  <c r="AH104" i="1" s="1"/>
  <c r="AA104" i="223" s="1"/>
  <c r="B160" i="11" s="1"/>
  <c r="F105" i="1"/>
  <c r="AH105" i="1" s="1"/>
  <c r="F106" i="1"/>
  <c r="AH106" i="1" s="1"/>
  <c r="F107" i="1"/>
  <c r="AH107" i="1" s="1"/>
  <c r="AA107" i="223" s="1"/>
  <c r="B163" i="11" s="1"/>
  <c r="F108" i="1"/>
  <c r="AH108" i="1" s="1"/>
  <c r="AA108" i="223" s="1"/>
  <c r="F109" i="1"/>
  <c r="AH109" i="1" s="1"/>
  <c r="AA109" i="223" s="1"/>
  <c r="B165" i="11" s="1"/>
  <c r="F110" i="1"/>
  <c r="AH110" i="1" s="1"/>
  <c r="AA110" i="223" s="1"/>
  <c r="B166" i="11" s="1"/>
  <c r="F113" i="1"/>
  <c r="AH113" i="1" s="1"/>
  <c r="AA113" i="223" s="1"/>
  <c r="B169" i="11" s="1"/>
  <c r="F114" i="1"/>
  <c r="AH114" i="1" s="1"/>
  <c r="AA114" i="223" s="1"/>
  <c r="B170" i="11" s="1"/>
  <c r="F115" i="1"/>
  <c r="AI115" i="1" s="1"/>
  <c r="AB115" i="223" s="1"/>
  <c r="F116" i="1"/>
  <c r="AH116" i="1" s="1"/>
  <c r="F117" i="1"/>
  <c r="AH117" i="1" s="1"/>
  <c r="AA117" i="223" s="1"/>
  <c r="B173" i="11" s="1"/>
  <c r="F118" i="1"/>
  <c r="AH118" i="1" s="1"/>
  <c r="AA118" i="223" s="1"/>
  <c r="B174" i="11" s="1"/>
  <c r="F119" i="1"/>
  <c r="AH119" i="1" s="1"/>
  <c r="AA119" i="223" s="1"/>
  <c r="B175" i="11" s="1"/>
  <c r="F120" i="1"/>
  <c r="AH120" i="1" s="1"/>
  <c r="F121" i="1"/>
  <c r="AH121" i="1" s="1"/>
  <c r="AA121" i="223" s="1"/>
  <c r="B177" i="11" s="1"/>
  <c r="F124" i="1"/>
  <c r="AH124" i="1" s="1"/>
  <c r="AA124" i="223" s="1"/>
  <c r="F125" i="1"/>
  <c r="AH125" i="1" s="1"/>
  <c r="AA125" i="223" s="1"/>
  <c r="B181" i="11" s="1"/>
  <c r="F126" i="1"/>
  <c r="AH126" i="1" s="1"/>
  <c r="F127" i="1"/>
  <c r="AH127" i="1" s="1"/>
  <c r="AA127" i="223" s="1"/>
  <c r="B183" i="11" s="1"/>
  <c r="F128" i="1"/>
  <c r="AH128" i="1" s="1"/>
  <c r="AA128" i="223" s="1"/>
  <c r="B184" i="11" s="1"/>
  <c r="F129" i="1"/>
  <c r="AH129" i="1" s="1"/>
  <c r="AA129" i="223" s="1"/>
  <c r="B185" i="11" s="1"/>
  <c r="F130" i="1"/>
  <c r="AH130" i="1" s="1"/>
  <c r="AA130" i="223" s="1"/>
  <c r="B186" i="11" s="1"/>
  <c r="F131" i="1"/>
  <c r="AH131" i="1" s="1"/>
  <c r="AA131" i="223" s="1"/>
  <c r="B187" i="11" s="1"/>
  <c r="F132" i="1"/>
  <c r="AH132" i="1" s="1"/>
  <c r="AA132" i="223" s="1"/>
  <c r="B188" i="11" s="1"/>
  <c r="F134" i="1"/>
  <c r="AH134" i="1" s="1"/>
  <c r="AA134" i="223" s="1"/>
  <c r="B190" i="11" s="1"/>
  <c r="F135" i="1"/>
  <c r="AH135" i="1" s="1"/>
  <c r="AA135" i="223" s="1"/>
  <c r="B191" i="11" s="1"/>
  <c r="F136" i="1"/>
  <c r="AH136" i="1" s="1"/>
  <c r="AA136" i="223" s="1"/>
  <c r="B192" i="11" s="1"/>
  <c r="F137" i="1"/>
  <c r="AH137" i="1" s="1"/>
  <c r="F138" i="1"/>
  <c r="AH138" i="1" s="1"/>
  <c r="AA138" i="223" s="1"/>
  <c r="B194" i="11" s="1"/>
  <c r="F139" i="1"/>
  <c r="AL139" i="1" s="1"/>
  <c r="AE139" i="223" s="1"/>
  <c r="F195" i="11" s="1"/>
  <c r="F140" i="1"/>
  <c r="AH140" i="1" s="1"/>
  <c r="F141" i="1"/>
  <c r="AH141" i="1" s="1"/>
  <c r="AA141" i="223" s="1"/>
  <c r="F142" i="1"/>
  <c r="AI142" i="1" s="1"/>
  <c r="AB142" i="223" s="1"/>
  <c r="C198" i="11" s="1"/>
  <c r="F143" i="1"/>
  <c r="AL143" i="1" s="1"/>
  <c r="AE143" i="223" s="1"/>
  <c r="F199" i="11" s="1"/>
  <c r="F145" i="1"/>
  <c r="AH145" i="1" s="1"/>
  <c r="AA145" i="223" s="1"/>
  <c r="B201" i="11" s="1"/>
  <c r="F146" i="1"/>
  <c r="AH146" i="1" s="1"/>
  <c r="AA146" i="223" s="1"/>
  <c r="B202" i="11" s="1"/>
  <c r="F147" i="1"/>
  <c r="AH147" i="1" s="1"/>
  <c r="AA147" i="223" s="1"/>
  <c r="B203" i="11" s="1"/>
  <c r="F148" i="1"/>
  <c r="AL148" i="1" s="1"/>
  <c r="AE148" i="223" s="1"/>
  <c r="F204" i="11" s="1"/>
  <c r="F149" i="1"/>
  <c r="AH149" i="1" s="1"/>
  <c r="AA149" i="223" s="1"/>
  <c r="B205" i="11" s="1"/>
  <c r="F150" i="1"/>
  <c r="AH150" i="1" s="1"/>
  <c r="AA150" i="223" s="1"/>
  <c r="B206" i="11" s="1"/>
  <c r="F151" i="1"/>
  <c r="AH151" i="1" s="1"/>
  <c r="AA151" i="223" s="1"/>
  <c r="B207" i="11" s="1"/>
  <c r="F152" i="1"/>
  <c r="AL152" i="1" s="1"/>
  <c r="AE152" i="223" s="1"/>
  <c r="F208" i="11" s="1"/>
  <c r="F153" i="1"/>
  <c r="AH153" i="1" s="1"/>
  <c r="AA153" i="223" s="1"/>
  <c r="B209" i="11" s="1"/>
  <c r="F154" i="1"/>
  <c r="AH154" i="1" s="1"/>
  <c r="F157" i="1"/>
  <c r="AH157" i="1" s="1"/>
  <c r="AA157" i="223" s="1"/>
  <c r="B213" i="11" s="1"/>
  <c r="F158" i="1"/>
  <c r="AL158" i="1" s="1"/>
  <c r="AE158" i="223" s="1"/>
  <c r="F214" i="11" s="1"/>
  <c r="F159" i="1"/>
  <c r="AH159" i="1" s="1"/>
  <c r="AA159" i="223" s="1"/>
  <c r="B215" i="11" s="1"/>
  <c r="F160" i="1"/>
  <c r="AH160" i="1" s="1"/>
  <c r="F161" i="1"/>
  <c r="AH161" i="1" s="1"/>
  <c r="AA161" i="223" s="1"/>
  <c r="B217" i="11" s="1"/>
  <c r="F162" i="1"/>
  <c r="AL162" i="1" s="1"/>
  <c r="AE162" i="223" s="1"/>
  <c r="F218" i="11" s="1"/>
  <c r="F163" i="1"/>
  <c r="AH163" i="1" s="1"/>
  <c r="AA163" i="223" s="1"/>
  <c r="B219" i="11" s="1"/>
  <c r="F164" i="1"/>
  <c r="AH164" i="1" s="1"/>
  <c r="AA164" i="223" s="1"/>
  <c r="B220" i="11" s="1"/>
  <c r="F165" i="1"/>
  <c r="AH165" i="1" s="1"/>
  <c r="AA165" i="223" s="1"/>
  <c r="B221" i="11" s="1"/>
  <c r="F166" i="1"/>
  <c r="AL166" i="1" s="1"/>
  <c r="AE166" i="223" s="1"/>
  <c r="F222" i="11" s="1"/>
  <c r="F168" i="1"/>
  <c r="AH168" i="1" s="1"/>
  <c r="AA168" i="223" s="1"/>
  <c r="B224" i="11" s="1"/>
  <c r="F169" i="1"/>
  <c r="AH169" i="1" s="1"/>
  <c r="AA169" i="223" s="1"/>
  <c r="B225" i="11" s="1"/>
  <c r="F170" i="1"/>
  <c r="AH170" i="1" s="1"/>
  <c r="AA170" i="223" s="1"/>
  <c r="B226" i="11" s="1"/>
  <c r="F171" i="1"/>
  <c r="AK171" i="1" s="1"/>
  <c r="AD171" i="223" s="1"/>
  <c r="E227" i="11" s="1"/>
  <c r="F172" i="1"/>
  <c r="AI172" i="1" s="1"/>
  <c r="AB172" i="223" s="1"/>
  <c r="C228" i="11" s="1"/>
  <c r="F173" i="1"/>
  <c r="AH173" i="1" s="1"/>
  <c r="F174" i="1"/>
  <c r="AH174" i="1" s="1"/>
  <c r="AA174" i="223" s="1"/>
  <c r="B230" i="11" s="1"/>
  <c r="F175" i="1"/>
  <c r="AL175" i="1" s="1"/>
  <c r="AE175" i="223" s="1"/>
  <c r="F231" i="11" s="1"/>
  <c r="F176" i="1"/>
  <c r="AH176" i="1" s="1"/>
  <c r="F177" i="1"/>
  <c r="AH177" i="1" s="1"/>
  <c r="F179" i="1"/>
  <c r="AH179" i="1" s="1"/>
  <c r="AA179" i="223" s="1"/>
  <c r="B235" i="11" s="1"/>
  <c r="F180" i="1"/>
  <c r="AH180" i="1" s="1"/>
  <c r="AA180" i="223" s="1"/>
  <c r="B236" i="11" s="1"/>
  <c r="F181" i="1"/>
  <c r="AH181" i="1" s="1"/>
  <c r="AA181" i="223" s="1"/>
  <c r="B237" i="11" s="1"/>
  <c r="F182" i="1"/>
  <c r="AH182" i="1" s="1"/>
  <c r="AA182" i="223" s="1"/>
  <c r="B238" i="11" s="1"/>
  <c r="F183" i="1"/>
  <c r="AI183" i="1" s="1"/>
  <c r="AB183" i="223" s="1"/>
  <c r="C239" i="11" s="1"/>
  <c r="F184" i="1"/>
  <c r="AL184" i="1" s="1"/>
  <c r="AE184" i="223" s="1"/>
  <c r="F240" i="11" s="1"/>
  <c r="F185" i="1"/>
  <c r="AH185" i="1" s="1"/>
  <c r="AA185" i="223" s="1"/>
  <c r="B241" i="11" s="1"/>
  <c r="F186" i="1"/>
  <c r="AH186" i="1" s="1"/>
  <c r="AA186" i="223" s="1"/>
  <c r="B242" i="11" s="1"/>
  <c r="F187" i="1"/>
  <c r="AH187" i="1" s="1"/>
  <c r="AA187" i="223" s="1"/>
  <c r="B243" i="11" s="1"/>
  <c r="F188" i="1"/>
  <c r="AL188" i="1" s="1"/>
  <c r="AE188" i="223" s="1"/>
  <c r="F244" i="11" s="1"/>
  <c r="F190" i="1"/>
  <c r="AH190" i="1" s="1"/>
  <c r="AA190" i="223" s="1"/>
  <c r="F191" i="1"/>
  <c r="AH191" i="1" s="1"/>
  <c r="AA191" i="223" s="1"/>
  <c r="B247" i="11" s="1"/>
  <c r="F192" i="1"/>
  <c r="AH192" i="1" s="1"/>
  <c r="AA192" i="223" s="1"/>
  <c r="B248" i="11" s="1"/>
  <c r="F193" i="1"/>
  <c r="AK193" i="1" s="1"/>
  <c r="AD193" i="223" s="1"/>
  <c r="E249" i="11" s="1"/>
  <c r="F194" i="1"/>
  <c r="AH194" i="1" s="1"/>
  <c r="AA194" i="223" s="1"/>
  <c r="B250" i="11" s="1"/>
  <c r="F195" i="1"/>
  <c r="AH195" i="1" s="1"/>
  <c r="AA195" i="223" s="1"/>
  <c r="B251" i="11" s="1"/>
  <c r="F196" i="1"/>
  <c r="AI196" i="1" s="1"/>
  <c r="AB196" i="223" s="1"/>
  <c r="C252" i="11" s="1"/>
  <c r="F197" i="1"/>
  <c r="AJ197" i="1" s="1"/>
  <c r="AC197" i="223" s="1"/>
  <c r="D253" i="11" s="1"/>
  <c r="F198" i="1"/>
  <c r="AH198" i="1" s="1"/>
  <c r="F199" i="1"/>
  <c r="AI199" i="1" s="1"/>
  <c r="AB199" i="223" s="1"/>
  <c r="C255" i="11" s="1"/>
  <c r="F203" i="1"/>
  <c r="AI203" i="1" s="1"/>
  <c r="AB203" i="223" s="1"/>
  <c r="C259" i="11" s="1"/>
  <c r="F204" i="1"/>
  <c r="AI204" i="1" s="1"/>
  <c r="AB204" i="223" s="1"/>
  <c r="C260" i="11" s="1"/>
  <c r="F205" i="1"/>
  <c r="AH205" i="1" s="1"/>
  <c r="F206" i="1"/>
  <c r="AH206" i="1" s="1"/>
  <c r="AA206" i="223" s="1"/>
  <c r="F207" i="1"/>
  <c r="AH207" i="1" s="1"/>
  <c r="AA207" i="223" s="1"/>
  <c r="B263" i="11" s="1"/>
  <c r="F208" i="1"/>
  <c r="AJ208" i="1" s="1"/>
  <c r="AC208" i="223" s="1"/>
  <c r="D264" i="11" s="1"/>
  <c r="F209" i="1"/>
  <c r="AH209" i="1" s="1"/>
  <c r="AA209" i="223" s="1"/>
  <c r="B265" i="11" s="1"/>
  <c r="F210" i="1"/>
  <c r="AH210" i="1" s="1"/>
  <c r="AA210" i="223" s="1"/>
  <c r="B266" i="11" s="1"/>
  <c r="F211" i="1"/>
  <c r="AH211" i="1" s="1"/>
  <c r="F212" i="1"/>
  <c r="AL212" i="1" s="1"/>
  <c r="AE212" i="223" s="1"/>
  <c r="F268" i="11" s="1"/>
  <c r="F214" i="1"/>
  <c r="AH214" i="1" s="1"/>
  <c r="AA214" i="223" s="1"/>
  <c r="B270" i="11" s="1"/>
  <c r="F215" i="1"/>
  <c r="AH215" i="1" s="1"/>
  <c r="AA215" i="223" s="1"/>
  <c r="F216" i="1"/>
  <c r="AH216" i="1" s="1"/>
  <c r="AA216" i="223" s="1"/>
  <c r="B272" i="11" s="1"/>
  <c r="F217" i="1"/>
  <c r="AL217" i="1" s="1"/>
  <c r="AE217" i="223" s="1"/>
  <c r="F273" i="11" s="1"/>
  <c r="F218" i="1"/>
  <c r="AH218" i="1" s="1"/>
  <c r="F219" i="1"/>
  <c r="AH219" i="1" s="1"/>
  <c r="AA219" i="223" s="1"/>
  <c r="B275" i="11" s="1"/>
  <c r="F220" i="1"/>
  <c r="AH220" i="1" s="1"/>
  <c r="F221" i="1"/>
  <c r="AL221" i="1" s="1"/>
  <c r="AE221" i="223" s="1"/>
  <c r="F277" i="11" s="1"/>
  <c r="F222" i="1"/>
  <c r="AH222" i="1" s="1"/>
  <c r="F223" i="1"/>
  <c r="AH223" i="1" s="1"/>
  <c r="AA223" i="223" s="1"/>
  <c r="B279" i="11" s="1"/>
  <c r="AI112" i="1"/>
  <c r="AB112" i="223" s="1"/>
  <c r="C168" i="11" s="1"/>
  <c r="AJ31" i="1"/>
  <c r="AC31" i="223" s="1"/>
  <c r="AJ53" i="1"/>
  <c r="AC53" i="223" s="1"/>
  <c r="D109" i="11" s="1"/>
  <c r="AJ56" i="1"/>
  <c r="AC56" i="223" s="1"/>
  <c r="H25" i="9"/>
  <c r="I25" i="9"/>
  <c r="J25" i="9"/>
  <c r="K25" i="9"/>
  <c r="L25" i="9"/>
  <c r="M25" i="9"/>
  <c r="N25" i="9"/>
  <c r="O25" i="9"/>
  <c r="P25" i="9"/>
  <c r="Q25" i="9"/>
  <c r="R25" i="9"/>
  <c r="S25" i="9"/>
  <c r="T25" i="9"/>
  <c r="U25" i="9"/>
  <c r="V25" i="9"/>
  <c r="W25" i="9"/>
  <c r="X25" i="9"/>
  <c r="Y25" i="9"/>
  <c r="Z25" i="9"/>
  <c r="AA25" i="9"/>
  <c r="H24" i="9"/>
  <c r="I24" i="9"/>
  <c r="J24" i="9"/>
  <c r="K24" i="9"/>
  <c r="L24" i="9"/>
  <c r="M24" i="9"/>
  <c r="N24" i="9"/>
  <c r="O24" i="9"/>
  <c r="P24" i="9"/>
  <c r="Q24" i="9"/>
  <c r="R24" i="9"/>
  <c r="S24" i="9"/>
  <c r="T24" i="9"/>
  <c r="U24" i="9"/>
  <c r="V24" i="9"/>
  <c r="W24" i="9"/>
  <c r="X24" i="9"/>
  <c r="Y24" i="9"/>
  <c r="Z24" i="9"/>
  <c r="AA24" i="9"/>
  <c r="AK49" i="1"/>
  <c r="AD49" i="223" s="1"/>
  <c r="E105" i="11" s="1"/>
  <c r="AK52" i="1"/>
  <c r="AD52" i="223" s="1"/>
  <c r="AK61" i="1"/>
  <c r="AD61" i="223" s="1"/>
  <c r="E117" i="11" s="1"/>
  <c r="AK70" i="1"/>
  <c r="AD70" i="223" s="1"/>
  <c r="E126" i="11" s="1"/>
  <c r="AK71" i="1"/>
  <c r="AD71" i="223" s="1"/>
  <c r="E127" i="11" s="1"/>
  <c r="AK92" i="1"/>
  <c r="AD92" i="223" s="1"/>
  <c r="E148" i="11" s="1"/>
  <c r="AK93" i="1"/>
  <c r="AD93" i="223" s="1"/>
  <c r="E149" i="11" s="1"/>
  <c r="AK105" i="1"/>
  <c r="AD105" i="223" s="1"/>
  <c r="E161" i="11" s="1"/>
  <c r="AK115" i="1"/>
  <c r="AD115" i="223" s="1"/>
  <c r="E171" i="11" s="1"/>
  <c r="AK129" i="1"/>
  <c r="AD129" i="223" s="1"/>
  <c r="AK132" i="1"/>
  <c r="AD132" i="223" s="1"/>
  <c r="E188" i="11" s="1"/>
  <c r="AK151" i="1"/>
  <c r="AD151" i="223" s="1"/>
  <c r="E207" i="11" s="1"/>
  <c r="AK31" i="1"/>
  <c r="AD31" i="223" s="1"/>
  <c r="E87" i="11" s="1"/>
  <c r="AK32" i="1"/>
  <c r="AD32" i="223" s="1"/>
  <c r="AK40" i="1"/>
  <c r="AD40" i="223" s="1"/>
  <c r="E96" i="11" s="1"/>
  <c r="AL210" i="1"/>
  <c r="AE210" i="223" s="1"/>
  <c r="F266" i="11" s="1"/>
  <c r="AL52" i="1"/>
  <c r="AE52" i="223" s="1"/>
  <c r="F108" i="11" s="1"/>
  <c r="AL60" i="1"/>
  <c r="AE60" i="223" s="1"/>
  <c r="AL61" i="1"/>
  <c r="AE61" i="223" s="1"/>
  <c r="AL62" i="1"/>
  <c r="AE62" i="223" s="1"/>
  <c r="AL65" i="1"/>
  <c r="AE65" i="223" s="1"/>
  <c r="AL70" i="1"/>
  <c r="AE70" i="223" s="1"/>
  <c r="F126" i="11" s="1"/>
  <c r="AL78" i="1"/>
  <c r="AE78" i="223" s="1"/>
  <c r="F134" i="11" s="1"/>
  <c r="AL79" i="1"/>
  <c r="AE79" i="223" s="1"/>
  <c r="AL87" i="1"/>
  <c r="AE87" i="223" s="1"/>
  <c r="F143" i="11" s="1"/>
  <c r="AL95" i="1"/>
  <c r="AE95" i="223" s="1"/>
  <c r="F151" i="11" s="1"/>
  <c r="AL96" i="1"/>
  <c r="AE96" i="223" s="1"/>
  <c r="F152" i="11" s="1"/>
  <c r="AL97" i="1"/>
  <c r="AE97" i="223" s="1"/>
  <c r="F153" i="11" s="1"/>
  <c r="AL101" i="1"/>
  <c r="AE101" i="223" s="1"/>
  <c r="AL105" i="1"/>
  <c r="AE105" i="223" s="1"/>
  <c r="F161" i="11" s="1"/>
  <c r="AL108" i="1"/>
  <c r="AE108" i="223" s="1"/>
  <c r="F164" i="11" s="1"/>
  <c r="AL114" i="1"/>
  <c r="AE114" i="223" s="1"/>
  <c r="F170" i="11" s="1"/>
  <c r="AL118" i="1"/>
  <c r="AE118" i="223" s="1"/>
  <c r="F174" i="11" s="1"/>
  <c r="AL127" i="1"/>
  <c r="AE127" i="223" s="1"/>
  <c r="F183" i="11" s="1"/>
  <c r="AL128" i="1"/>
  <c r="AE128" i="223" s="1"/>
  <c r="F184" i="11" s="1"/>
  <c r="AL137" i="1"/>
  <c r="AE137" i="223" s="1"/>
  <c r="F193" i="11" s="1"/>
  <c r="AL142" i="1"/>
  <c r="AE142" i="223" s="1"/>
  <c r="F198" i="11" s="1"/>
  <c r="AL145" i="1"/>
  <c r="AE145" i="223" s="1"/>
  <c r="AL146" i="1"/>
  <c r="AE146" i="223" s="1"/>
  <c r="F202" i="11" s="1"/>
  <c r="AL154" i="1"/>
  <c r="AE154" i="223" s="1"/>
  <c r="F210" i="11" s="1"/>
  <c r="AL159" i="1"/>
  <c r="AE159" i="223" s="1"/>
  <c r="F215" i="11" s="1"/>
  <c r="AL163" i="1"/>
  <c r="AE163" i="223" s="1"/>
  <c r="F219" i="11" s="1"/>
  <c r="AL164" i="1"/>
  <c r="AE164" i="223" s="1"/>
  <c r="F220" i="11" s="1"/>
  <c r="AL173" i="1"/>
  <c r="AE173" i="223" s="1"/>
  <c r="F229" i="11" s="1"/>
  <c r="AL179" i="1"/>
  <c r="AE179" i="223" s="1"/>
  <c r="AL181" i="1"/>
  <c r="AE181" i="223" s="1"/>
  <c r="F237" i="11" s="1"/>
  <c r="AL182" i="1"/>
  <c r="AE182" i="223" s="1"/>
  <c r="F238" i="11" s="1"/>
  <c r="AL191" i="1"/>
  <c r="AE191" i="223" s="1"/>
  <c r="F247" i="11" s="1"/>
  <c r="AL198" i="1"/>
  <c r="AE198" i="223" s="1"/>
  <c r="F254" i="11" s="1"/>
  <c r="AL199" i="1"/>
  <c r="AE199" i="223" s="1"/>
  <c r="F255" i="11" s="1"/>
  <c r="AL32" i="1"/>
  <c r="AE32" i="223" s="1"/>
  <c r="F88" i="11" s="1"/>
  <c r="AL37" i="1"/>
  <c r="AE37" i="223" s="1"/>
  <c r="F93" i="11" s="1"/>
  <c r="AL40" i="1"/>
  <c r="AE40" i="223" s="1"/>
  <c r="F96" i="11" s="1"/>
  <c r="G57" i="11"/>
  <c r="H57" i="11"/>
  <c r="I57" i="11"/>
  <c r="J57" i="11"/>
  <c r="K57" i="11"/>
  <c r="L57" i="11"/>
  <c r="M57" i="11"/>
  <c r="N57" i="11"/>
  <c r="O57" i="11"/>
  <c r="P57" i="11"/>
  <c r="Q57" i="11"/>
  <c r="R57" i="11"/>
  <c r="S57" i="11"/>
  <c r="T57" i="11"/>
  <c r="U57" i="11"/>
  <c r="V57" i="11"/>
  <c r="W57" i="11"/>
  <c r="X57" i="11"/>
  <c r="Y57" i="11"/>
  <c r="Z57" i="11"/>
  <c r="AM8" i="1"/>
  <c r="AN8" i="1"/>
  <c r="AO8" i="1"/>
  <c r="AP8" i="1"/>
  <c r="AQ8" i="1"/>
  <c r="AR8" i="1"/>
  <c r="AS8" i="1"/>
  <c r="AT8" i="1"/>
  <c r="AU8" i="1"/>
  <c r="AV8" i="1"/>
  <c r="AW8" i="1"/>
  <c r="AX8" i="1"/>
  <c r="AY8" i="1"/>
  <c r="AZ8" i="1"/>
  <c r="BA8" i="1"/>
  <c r="BB8" i="1"/>
  <c r="BC8" i="1"/>
  <c r="BD8" i="1"/>
  <c r="BE8" i="1"/>
  <c r="BF8" i="1"/>
  <c r="BA223" i="1"/>
  <c r="AZ223" i="1"/>
  <c r="AY223" i="1"/>
  <c r="AX223" i="1"/>
  <c r="AW223" i="1"/>
  <c r="AV223" i="1"/>
  <c r="AU223" i="1"/>
  <c r="AT223" i="1"/>
  <c r="AS223" i="1"/>
  <c r="AR223" i="1"/>
  <c r="AQ223" i="1"/>
  <c r="AP223" i="1"/>
  <c r="AO223" i="1"/>
  <c r="AN223" i="1"/>
  <c r="AM223" i="1"/>
  <c r="BA222" i="1"/>
  <c r="AZ222" i="1"/>
  <c r="AY222" i="1"/>
  <c r="AX222" i="1"/>
  <c r="AW222" i="1"/>
  <c r="AV222" i="1"/>
  <c r="AU222" i="1"/>
  <c r="AT222" i="1"/>
  <c r="AS222" i="1"/>
  <c r="AR222" i="1"/>
  <c r="AQ222" i="1"/>
  <c r="AP222" i="1"/>
  <c r="AO222" i="1"/>
  <c r="AN222" i="1"/>
  <c r="AM222" i="1"/>
  <c r="BA221" i="1"/>
  <c r="AZ221" i="1"/>
  <c r="AY221" i="1"/>
  <c r="AX221" i="1"/>
  <c r="AW221" i="1"/>
  <c r="AV221" i="1"/>
  <c r="AU221" i="1"/>
  <c r="AT221" i="1"/>
  <c r="AS221" i="1"/>
  <c r="AR221" i="1"/>
  <c r="AQ221" i="1"/>
  <c r="AP221" i="1"/>
  <c r="AO221" i="1"/>
  <c r="AN221" i="1"/>
  <c r="AM221" i="1"/>
  <c r="BA220" i="1"/>
  <c r="AZ220" i="1"/>
  <c r="AY220" i="1"/>
  <c r="AX220" i="1"/>
  <c r="AW220" i="1"/>
  <c r="AV220" i="1"/>
  <c r="AU220" i="1"/>
  <c r="AT220" i="1"/>
  <c r="AS220" i="1"/>
  <c r="AR220" i="1"/>
  <c r="AQ220" i="1"/>
  <c r="AP220" i="1"/>
  <c r="AO220" i="1"/>
  <c r="AN220" i="1"/>
  <c r="AM220" i="1"/>
  <c r="BA219" i="1"/>
  <c r="AZ219" i="1"/>
  <c r="AY219" i="1"/>
  <c r="AX219" i="1"/>
  <c r="AW219" i="1"/>
  <c r="AV219" i="1"/>
  <c r="AU219" i="1"/>
  <c r="AT219" i="1"/>
  <c r="AS219" i="1"/>
  <c r="AR219" i="1"/>
  <c r="AQ219" i="1"/>
  <c r="AP219" i="1"/>
  <c r="AO219" i="1"/>
  <c r="AN219" i="1"/>
  <c r="AM219" i="1"/>
  <c r="BA218" i="1"/>
  <c r="AZ218" i="1"/>
  <c r="AY218" i="1"/>
  <c r="AX218" i="1"/>
  <c r="AW218" i="1"/>
  <c r="AV218" i="1"/>
  <c r="AU218" i="1"/>
  <c r="AT218" i="1"/>
  <c r="AS218" i="1"/>
  <c r="AR218" i="1"/>
  <c r="AQ218" i="1"/>
  <c r="AP218" i="1"/>
  <c r="AO218" i="1"/>
  <c r="AN218" i="1"/>
  <c r="AM218" i="1"/>
  <c r="BA217" i="1"/>
  <c r="AZ217" i="1"/>
  <c r="AY217" i="1"/>
  <c r="AX217" i="1"/>
  <c r="AW217" i="1"/>
  <c r="AV217" i="1"/>
  <c r="AU217" i="1"/>
  <c r="AT217" i="1"/>
  <c r="AS217" i="1"/>
  <c r="AR217" i="1"/>
  <c r="AQ217" i="1"/>
  <c r="AP217" i="1"/>
  <c r="AO217" i="1"/>
  <c r="AN217" i="1"/>
  <c r="AM217" i="1"/>
  <c r="BA216" i="1"/>
  <c r="AZ216" i="1"/>
  <c r="AY216" i="1"/>
  <c r="AX216" i="1"/>
  <c r="AW216" i="1"/>
  <c r="AV216" i="1"/>
  <c r="AU216" i="1"/>
  <c r="AT216" i="1"/>
  <c r="AS216" i="1"/>
  <c r="AR216" i="1"/>
  <c r="AQ216" i="1"/>
  <c r="AP216" i="1"/>
  <c r="AO216" i="1"/>
  <c r="AN216" i="1"/>
  <c r="AM216" i="1"/>
  <c r="BA215" i="1"/>
  <c r="AZ215" i="1"/>
  <c r="AY215" i="1"/>
  <c r="AX215" i="1"/>
  <c r="AW215" i="1"/>
  <c r="AV215" i="1"/>
  <c r="AU215" i="1"/>
  <c r="AT215" i="1"/>
  <c r="AS215" i="1"/>
  <c r="AR215" i="1"/>
  <c r="AQ215" i="1"/>
  <c r="AP215" i="1"/>
  <c r="AO215" i="1"/>
  <c r="AN215" i="1"/>
  <c r="AM215" i="1"/>
  <c r="BA214" i="1"/>
  <c r="AZ214" i="1"/>
  <c r="AY214" i="1"/>
  <c r="AX214" i="1"/>
  <c r="AW214" i="1"/>
  <c r="AV214" i="1"/>
  <c r="AU214" i="1"/>
  <c r="AT214" i="1"/>
  <c r="AS214" i="1"/>
  <c r="AR214" i="1"/>
  <c r="AQ214" i="1"/>
  <c r="AP214" i="1"/>
  <c r="AO214" i="1"/>
  <c r="AN214" i="1"/>
  <c r="AM214" i="1"/>
  <c r="BA212" i="1"/>
  <c r="AZ212" i="1"/>
  <c r="AY212" i="1"/>
  <c r="AX212" i="1"/>
  <c r="AW212" i="1"/>
  <c r="AV212" i="1"/>
  <c r="AU212" i="1"/>
  <c r="AT212" i="1"/>
  <c r="AS212" i="1"/>
  <c r="AR212" i="1"/>
  <c r="AQ212" i="1"/>
  <c r="AP212" i="1"/>
  <c r="AO212" i="1"/>
  <c r="AN212" i="1"/>
  <c r="AM212" i="1"/>
  <c r="BA211" i="1"/>
  <c r="AZ211" i="1"/>
  <c r="AY211" i="1"/>
  <c r="AX211" i="1"/>
  <c r="AW211" i="1"/>
  <c r="AV211" i="1"/>
  <c r="AU211" i="1"/>
  <c r="AT211" i="1"/>
  <c r="AS211" i="1"/>
  <c r="AR211" i="1"/>
  <c r="AQ211" i="1"/>
  <c r="AP211" i="1"/>
  <c r="AO211" i="1"/>
  <c r="AN211" i="1"/>
  <c r="AM211" i="1"/>
  <c r="BA210" i="1"/>
  <c r="AZ210" i="1"/>
  <c r="AY210" i="1"/>
  <c r="AX210" i="1"/>
  <c r="AW210" i="1"/>
  <c r="AV210" i="1"/>
  <c r="AU210" i="1"/>
  <c r="AT210" i="1"/>
  <c r="AS210" i="1"/>
  <c r="AR210" i="1"/>
  <c r="AQ210" i="1"/>
  <c r="AP210" i="1"/>
  <c r="AO210" i="1"/>
  <c r="AN210" i="1"/>
  <c r="AM210" i="1"/>
  <c r="BA209" i="1"/>
  <c r="AZ209" i="1"/>
  <c r="AY209" i="1"/>
  <c r="AX209" i="1"/>
  <c r="AW209" i="1"/>
  <c r="AV209" i="1"/>
  <c r="AU209" i="1"/>
  <c r="AT209" i="1"/>
  <c r="AS209" i="1"/>
  <c r="AR209" i="1"/>
  <c r="AQ209" i="1"/>
  <c r="AP209" i="1"/>
  <c r="AO209" i="1"/>
  <c r="AN209" i="1"/>
  <c r="AM209" i="1"/>
  <c r="BA208" i="1"/>
  <c r="AZ208" i="1"/>
  <c r="AY208" i="1"/>
  <c r="AX208" i="1"/>
  <c r="AW208" i="1"/>
  <c r="AV208" i="1"/>
  <c r="AU208" i="1"/>
  <c r="AT208" i="1"/>
  <c r="AS208" i="1"/>
  <c r="AR208" i="1"/>
  <c r="AQ208" i="1"/>
  <c r="AP208" i="1"/>
  <c r="AO208" i="1"/>
  <c r="AN208" i="1"/>
  <c r="AM208" i="1"/>
  <c r="BA207" i="1"/>
  <c r="AZ207" i="1"/>
  <c r="AY207" i="1"/>
  <c r="AX207" i="1"/>
  <c r="AW207" i="1"/>
  <c r="AV207" i="1"/>
  <c r="AU207" i="1"/>
  <c r="AT207" i="1"/>
  <c r="AS207" i="1"/>
  <c r="AR207" i="1"/>
  <c r="AQ207" i="1"/>
  <c r="AP207" i="1"/>
  <c r="AO207" i="1"/>
  <c r="AN207" i="1"/>
  <c r="AM207" i="1"/>
  <c r="BA206" i="1"/>
  <c r="AZ206" i="1"/>
  <c r="AY206" i="1"/>
  <c r="AX206" i="1"/>
  <c r="AW206" i="1"/>
  <c r="AV206" i="1"/>
  <c r="AU206" i="1"/>
  <c r="AT206" i="1"/>
  <c r="AS206" i="1"/>
  <c r="AR206" i="1"/>
  <c r="AQ206" i="1"/>
  <c r="AP206" i="1"/>
  <c r="AO206" i="1"/>
  <c r="AN206" i="1"/>
  <c r="AM206" i="1"/>
  <c r="BA205" i="1"/>
  <c r="AZ205" i="1"/>
  <c r="AY205" i="1"/>
  <c r="AX205" i="1"/>
  <c r="AW205" i="1"/>
  <c r="AV205" i="1"/>
  <c r="AU205" i="1"/>
  <c r="AT205" i="1"/>
  <c r="AS205" i="1"/>
  <c r="AR205" i="1"/>
  <c r="AQ205" i="1"/>
  <c r="AP205" i="1"/>
  <c r="AO205" i="1"/>
  <c r="AN205" i="1"/>
  <c r="AM205" i="1"/>
  <c r="BA204" i="1"/>
  <c r="AZ204" i="1"/>
  <c r="AY204" i="1"/>
  <c r="AX204" i="1"/>
  <c r="AW204" i="1"/>
  <c r="AV204" i="1"/>
  <c r="AU204" i="1"/>
  <c r="AT204" i="1"/>
  <c r="AS204" i="1"/>
  <c r="AR204" i="1"/>
  <c r="AQ204" i="1"/>
  <c r="AP204" i="1"/>
  <c r="AO204" i="1"/>
  <c r="AN204" i="1"/>
  <c r="AM204" i="1"/>
  <c r="BA203" i="1"/>
  <c r="AZ203" i="1"/>
  <c r="AY203" i="1"/>
  <c r="AX203" i="1"/>
  <c r="AW203" i="1"/>
  <c r="AV203" i="1"/>
  <c r="AU203" i="1"/>
  <c r="AT203" i="1"/>
  <c r="AS203" i="1"/>
  <c r="AR203" i="1"/>
  <c r="AQ203" i="1"/>
  <c r="AP203" i="1"/>
  <c r="AO203" i="1"/>
  <c r="AN203" i="1"/>
  <c r="AM203" i="1"/>
  <c r="BA199" i="1"/>
  <c r="AZ199" i="1"/>
  <c r="AY199" i="1"/>
  <c r="AX199" i="1"/>
  <c r="AW199" i="1"/>
  <c r="AV199" i="1"/>
  <c r="AU199" i="1"/>
  <c r="AT199" i="1"/>
  <c r="AS199" i="1"/>
  <c r="AR199" i="1"/>
  <c r="AQ199" i="1"/>
  <c r="AP199" i="1"/>
  <c r="AO199" i="1"/>
  <c r="AN199" i="1"/>
  <c r="AM199" i="1"/>
  <c r="BA198" i="1"/>
  <c r="AZ198" i="1"/>
  <c r="AY198" i="1"/>
  <c r="AX198" i="1"/>
  <c r="AW198" i="1"/>
  <c r="AV198" i="1"/>
  <c r="AU198" i="1"/>
  <c r="AT198" i="1"/>
  <c r="AS198" i="1"/>
  <c r="AR198" i="1"/>
  <c r="AQ198" i="1"/>
  <c r="AP198" i="1"/>
  <c r="AO198" i="1"/>
  <c r="AN198" i="1"/>
  <c r="AM198" i="1"/>
  <c r="BA197" i="1"/>
  <c r="AZ197" i="1"/>
  <c r="AY197" i="1"/>
  <c r="AX197" i="1"/>
  <c r="AW197" i="1"/>
  <c r="AV197" i="1"/>
  <c r="AU197" i="1"/>
  <c r="AT197" i="1"/>
  <c r="AS197" i="1"/>
  <c r="AR197" i="1"/>
  <c r="AQ197" i="1"/>
  <c r="AP197" i="1"/>
  <c r="AO197" i="1"/>
  <c r="AN197" i="1"/>
  <c r="AM197" i="1"/>
  <c r="BA196" i="1"/>
  <c r="AZ196" i="1"/>
  <c r="AY196" i="1"/>
  <c r="AX196" i="1"/>
  <c r="AW196" i="1"/>
  <c r="AV196" i="1"/>
  <c r="AU196" i="1"/>
  <c r="AT196" i="1"/>
  <c r="AS196" i="1"/>
  <c r="AR196" i="1"/>
  <c r="AQ196" i="1"/>
  <c r="AP196" i="1"/>
  <c r="AO196" i="1"/>
  <c r="AN196" i="1"/>
  <c r="AM196" i="1"/>
  <c r="BA195" i="1"/>
  <c r="AZ195" i="1"/>
  <c r="AY195" i="1"/>
  <c r="AX195" i="1"/>
  <c r="AW195" i="1"/>
  <c r="AV195" i="1"/>
  <c r="AU195" i="1"/>
  <c r="AT195" i="1"/>
  <c r="AS195" i="1"/>
  <c r="AR195" i="1"/>
  <c r="AQ195" i="1"/>
  <c r="AP195" i="1"/>
  <c r="AO195" i="1"/>
  <c r="AN195" i="1"/>
  <c r="AM195" i="1"/>
  <c r="BA194" i="1"/>
  <c r="AZ194" i="1"/>
  <c r="AY194" i="1"/>
  <c r="AX194" i="1"/>
  <c r="AW194" i="1"/>
  <c r="AV194" i="1"/>
  <c r="AU194" i="1"/>
  <c r="AT194" i="1"/>
  <c r="AS194" i="1"/>
  <c r="AR194" i="1"/>
  <c r="AQ194" i="1"/>
  <c r="AP194" i="1"/>
  <c r="AO194" i="1"/>
  <c r="AN194" i="1"/>
  <c r="AM194" i="1"/>
  <c r="BA193" i="1"/>
  <c r="AZ193" i="1"/>
  <c r="AY193" i="1"/>
  <c r="AX193" i="1"/>
  <c r="AW193" i="1"/>
  <c r="AV193" i="1"/>
  <c r="AU193" i="1"/>
  <c r="AT193" i="1"/>
  <c r="AS193" i="1"/>
  <c r="AR193" i="1"/>
  <c r="AQ193" i="1"/>
  <c r="AP193" i="1"/>
  <c r="AO193" i="1"/>
  <c r="AN193" i="1"/>
  <c r="AM193" i="1"/>
  <c r="BA192" i="1"/>
  <c r="AZ192" i="1"/>
  <c r="AY192" i="1"/>
  <c r="AX192" i="1"/>
  <c r="AW192" i="1"/>
  <c r="AV192" i="1"/>
  <c r="AU192" i="1"/>
  <c r="AT192" i="1"/>
  <c r="AS192" i="1"/>
  <c r="AR192" i="1"/>
  <c r="AQ192" i="1"/>
  <c r="AP192" i="1"/>
  <c r="AO192" i="1"/>
  <c r="AN192" i="1"/>
  <c r="AM192" i="1"/>
  <c r="BA191" i="1"/>
  <c r="AZ191" i="1"/>
  <c r="AY191" i="1"/>
  <c r="AX191" i="1"/>
  <c r="AW191" i="1"/>
  <c r="AV191" i="1"/>
  <c r="AU191" i="1"/>
  <c r="AT191" i="1"/>
  <c r="AS191" i="1"/>
  <c r="AR191" i="1"/>
  <c r="AQ191" i="1"/>
  <c r="AP191" i="1"/>
  <c r="AO191" i="1"/>
  <c r="AN191" i="1"/>
  <c r="AM191" i="1"/>
  <c r="BA190" i="1"/>
  <c r="AZ190" i="1"/>
  <c r="AY190" i="1"/>
  <c r="AX190" i="1"/>
  <c r="AW190" i="1"/>
  <c r="AV190" i="1"/>
  <c r="AU190" i="1"/>
  <c r="AT190" i="1"/>
  <c r="AS190" i="1"/>
  <c r="AR190" i="1"/>
  <c r="AQ190" i="1"/>
  <c r="AP190" i="1"/>
  <c r="AO190" i="1"/>
  <c r="AN190" i="1"/>
  <c r="AM190" i="1"/>
  <c r="BA188" i="1"/>
  <c r="AZ188" i="1"/>
  <c r="AY188" i="1"/>
  <c r="AX188" i="1"/>
  <c r="AW188" i="1"/>
  <c r="AV188" i="1"/>
  <c r="AU188" i="1"/>
  <c r="AT188" i="1"/>
  <c r="AS188" i="1"/>
  <c r="AR188" i="1"/>
  <c r="AQ188" i="1"/>
  <c r="AP188" i="1"/>
  <c r="AO188" i="1"/>
  <c r="AN188" i="1"/>
  <c r="AM188" i="1"/>
  <c r="BA187" i="1"/>
  <c r="AZ187" i="1"/>
  <c r="AY187" i="1"/>
  <c r="AX187" i="1"/>
  <c r="AW187" i="1"/>
  <c r="AV187" i="1"/>
  <c r="AU187" i="1"/>
  <c r="AT187" i="1"/>
  <c r="AS187" i="1"/>
  <c r="AR187" i="1"/>
  <c r="AQ187" i="1"/>
  <c r="AP187" i="1"/>
  <c r="AO187" i="1"/>
  <c r="AN187" i="1"/>
  <c r="AM187" i="1"/>
  <c r="BA186" i="1"/>
  <c r="AZ186" i="1"/>
  <c r="AY186" i="1"/>
  <c r="AX186" i="1"/>
  <c r="AW186" i="1"/>
  <c r="AV186" i="1"/>
  <c r="AU186" i="1"/>
  <c r="AT186" i="1"/>
  <c r="AS186" i="1"/>
  <c r="AR186" i="1"/>
  <c r="AQ186" i="1"/>
  <c r="AP186" i="1"/>
  <c r="AO186" i="1"/>
  <c r="AN186" i="1"/>
  <c r="AM186" i="1"/>
  <c r="BA185" i="1"/>
  <c r="AZ185" i="1"/>
  <c r="AY185" i="1"/>
  <c r="AX185" i="1"/>
  <c r="AW185" i="1"/>
  <c r="AV185" i="1"/>
  <c r="AU185" i="1"/>
  <c r="AT185" i="1"/>
  <c r="AS185" i="1"/>
  <c r="AR185" i="1"/>
  <c r="AQ185" i="1"/>
  <c r="AP185" i="1"/>
  <c r="AO185" i="1"/>
  <c r="AN185" i="1"/>
  <c r="AM185" i="1"/>
  <c r="BA184" i="1"/>
  <c r="AZ184" i="1"/>
  <c r="AY184" i="1"/>
  <c r="AX184" i="1"/>
  <c r="AW184" i="1"/>
  <c r="AV184" i="1"/>
  <c r="AU184" i="1"/>
  <c r="AT184" i="1"/>
  <c r="AS184" i="1"/>
  <c r="AR184" i="1"/>
  <c r="AQ184" i="1"/>
  <c r="AP184" i="1"/>
  <c r="AO184" i="1"/>
  <c r="AN184" i="1"/>
  <c r="AM184" i="1"/>
  <c r="BA183" i="1"/>
  <c r="AZ183" i="1"/>
  <c r="AY183" i="1"/>
  <c r="AX183" i="1"/>
  <c r="AW183" i="1"/>
  <c r="AV183" i="1"/>
  <c r="AU183" i="1"/>
  <c r="AT183" i="1"/>
  <c r="AS183" i="1"/>
  <c r="AR183" i="1"/>
  <c r="AQ183" i="1"/>
  <c r="AP183" i="1"/>
  <c r="AO183" i="1"/>
  <c r="AN183" i="1"/>
  <c r="AM183" i="1"/>
  <c r="BA182" i="1"/>
  <c r="AZ182" i="1"/>
  <c r="AY182" i="1"/>
  <c r="AX182" i="1"/>
  <c r="AW182" i="1"/>
  <c r="AV182" i="1"/>
  <c r="AU182" i="1"/>
  <c r="AT182" i="1"/>
  <c r="AS182" i="1"/>
  <c r="AR182" i="1"/>
  <c r="AQ182" i="1"/>
  <c r="AP182" i="1"/>
  <c r="AO182" i="1"/>
  <c r="AN182" i="1"/>
  <c r="AM182" i="1"/>
  <c r="BA181" i="1"/>
  <c r="AZ181" i="1"/>
  <c r="AY181" i="1"/>
  <c r="AX181" i="1"/>
  <c r="AW181" i="1"/>
  <c r="AV181" i="1"/>
  <c r="AU181" i="1"/>
  <c r="AT181" i="1"/>
  <c r="AS181" i="1"/>
  <c r="AR181" i="1"/>
  <c r="AQ181" i="1"/>
  <c r="AP181" i="1"/>
  <c r="AO181" i="1"/>
  <c r="AN181" i="1"/>
  <c r="AM181" i="1"/>
  <c r="BA180" i="1"/>
  <c r="AZ180" i="1"/>
  <c r="AY180" i="1"/>
  <c r="AX180" i="1"/>
  <c r="AW180" i="1"/>
  <c r="AV180" i="1"/>
  <c r="AU180" i="1"/>
  <c r="AT180" i="1"/>
  <c r="AS180" i="1"/>
  <c r="AR180" i="1"/>
  <c r="AQ180" i="1"/>
  <c r="AP180" i="1"/>
  <c r="AO180" i="1"/>
  <c r="AN180" i="1"/>
  <c r="AM180" i="1"/>
  <c r="BA179" i="1"/>
  <c r="AZ179" i="1"/>
  <c r="AY179" i="1"/>
  <c r="AX179" i="1"/>
  <c r="AW179" i="1"/>
  <c r="AV179" i="1"/>
  <c r="AU179" i="1"/>
  <c r="AT179" i="1"/>
  <c r="AS179" i="1"/>
  <c r="AR179" i="1"/>
  <c r="AQ179" i="1"/>
  <c r="AP179" i="1"/>
  <c r="AO179" i="1"/>
  <c r="AN179" i="1"/>
  <c r="AM179" i="1"/>
  <c r="BA177" i="1"/>
  <c r="AZ177" i="1"/>
  <c r="AY177" i="1"/>
  <c r="AX177" i="1"/>
  <c r="AW177" i="1"/>
  <c r="AV177" i="1"/>
  <c r="AU177" i="1"/>
  <c r="AT177" i="1"/>
  <c r="AS177" i="1"/>
  <c r="AR177" i="1"/>
  <c r="AQ177" i="1"/>
  <c r="AP177" i="1"/>
  <c r="AO177" i="1"/>
  <c r="AN177" i="1"/>
  <c r="AM177" i="1"/>
  <c r="BA176" i="1"/>
  <c r="AZ176" i="1"/>
  <c r="AY176" i="1"/>
  <c r="AX176" i="1"/>
  <c r="AW176" i="1"/>
  <c r="AV176" i="1"/>
  <c r="AU176" i="1"/>
  <c r="AT176" i="1"/>
  <c r="AS176" i="1"/>
  <c r="AR176" i="1"/>
  <c r="AQ176" i="1"/>
  <c r="AP176" i="1"/>
  <c r="AO176" i="1"/>
  <c r="AN176" i="1"/>
  <c r="AM176" i="1"/>
  <c r="BA175" i="1"/>
  <c r="AZ175" i="1"/>
  <c r="AY175" i="1"/>
  <c r="AX175" i="1"/>
  <c r="AW175" i="1"/>
  <c r="AV175" i="1"/>
  <c r="AU175" i="1"/>
  <c r="AT175" i="1"/>
  <c r="AS175" i="1"/>
  <c r="AR175" i="1"/>
  <c r="AQ175" i="1"/>
  <c r="AP175" i="1"/>
  <c r="AO175" i="1"/>
  <c r="AN175" i="1"/>
  <c r="AM175" i="1"/>
  <c r="BA174" i="1"/>
  <c r="AZ174" i="1"/>
  <c r="AY174" i="1"/>
  <c r="AX174" i="1"/>
  <c r="AW174" i="1"/>
  <c r="AV174" i="1"/>
  <c r="AU174" i="1"/>
  <c r="AT174" i="1"/>
  <c r="AS174" i="1"/>
  <c r="AR174" i="1"/>
  <c r="AQ174" i="1"/>
  <c r="AP174" i="1"/>
  <c r="AO174" i="1"/>
  <c r="AN174" i="1"/>
  <c r="AM174" i="1"/>
  <c r="BA173" i="1"/>
  <c r="AZ173" i="1"/>
  <c r="AY173" i="1"/>
  <c r="AX173" i="1"/>
  <c r="AW173" i="1"/>
  <c r="AV173" i="1"/>
  <c r="AU173" i="1"/>
  <c r="AT173" i="1"/>
  <c r="AS173" i="1"/>
  <c r="AR173" i="1"/>
  <c r="AQ173" i="1"/>
  <c r="AP173" i="1"/>
  <c r="AO173" i="1"/>
  <c r="AN173" i="1"/>
  <c r="AM173" i="1"/>
  <c r="BA172" i="1"/>
  <c r="AZ172" i="1"/>
  <c r="AY172" i="1"/>
  <c r="AX172" i="1"/>
  <c r="AW172" i="1"/>
  <c r="AV172" i="1"/>
  <c r="AU172" i="1"/>
  <c r="AT172" i="1"/>
  <c r="AS172" i="1"/>
  <c r="AR172" i="1"/>
  <c r="AQ172" i="1"/>
  <c r="AP172" i="1"/>
  <c r="AO172" i="1"/>
  <c r="AN172" i="1"/>
  <c r="AM172" i="1"/>
  <c r="BA171" i="1"/>
  <c r="AZ171" i="1"/>
  <c r="AY171" i="1"/>
  <c r="AX171" i="1"/>
  <c r="AW171" i="1"/>
  <c r="AV171" i="1"/>
  <c r="AU171" i="1"/>
  <c r="AT171" i="1"/>
  <c r="AS171" i="1"/>
  <c r="AR171" i="1"/>
  <c r="AQ171" i="1"/>
  <c r="AP171" i="1"/>
  <c r="AO171" i="1"/>
  <c r="AN171" i="1"/>
  <c r="AM171" i="1"/>
  <c r="BA170" i="1"/>
  <c r="AZ170" i="1"/>
  <c r="AY170" i="1"/>
  <c r="AX170" i="1"/>
  <c r="AW170" i="1"/>
  <c r="AV170" i="1"/>
  <c r="AU170" i="1"/>
  <c r="AT170" i="1"/>
  <c r="AS170" i="1"/>
  <c r="AR170" i="1"/>
  <c r="AQ170" i="1"/>
  <c r="AP170" i="1"/>
  <c r="AO170" i="1"/>
  <c r="AN170" i="1"/>
  <c r="AM170" i="1"/>
  <c r="BA169" i="1"/>
  <c r="AZ169" i="1"/>
  <c r="AY169" i="1"/>
  <c r="AX169" i="1"/>
  <c r="AW169" i="1"/>
  <c r="AV169" i="1"/>
  <c r="AU169" i="1"/>
  <c r="AT169" i="1"/>
  <c r="AS169" i="1"/>
  <c r="AR169" i="1"/>
  <c r="AQ169" i="1"/>
  <c r="AP169" i="1"/>
  <c r="AO169" i="1"/>
  <c r="AN169" i="1"/>
  <c r="AM169" i="1"/>
  <c r="BA168" i="1"/>
  <c r="AZ168" i="1"/>
  <c r="AY168" i="1"/>
  <c r="AX168" i="1"/>
  <c r="AW168" i="1"/>
  <c r="AV168" i="1"/>
  <c r="AU168" i="1"/>
  <c r="AT168" i="1"/>
  <c r="AS168" i="1"/>
  <c r="AR168" i="1"/>
  <c r="AQ168" i="1"/>
  <c r="AP168" i="1"/>
  <c r="AO168" i="1"/>
  <c r="AN168" i="1"/>
  <c r="AM168" i="1"/>
  <c r="BA166" i="1"/>
  <c r="AZ166" i="1"/>
  <c r="AY166" i="1"/>
  <c r="AX166" i="1"/>
  <c r="AW166" i="1"/>
  <c r="AV166" i="1"/>
  <c r="AU166" i="1"/>
  <c r="AT166" i="1"/>
  <c r="AS166" i="1"/>
  <c r="AR166" i="1"/>
  <c r="AQ166" i="1"/>
  <c r="AP166" i="1"/>
  <c r="AO166" i="1"/>
  <c r="AN166" i="1"/>
  <c r="AM166" i="1"/>
  <c r="BA165" i="1"/>
  <c r="AZ165" i="1"/>
  <c r="AY165" i="1"/>
  <c r="AX165" i="1"/>
  <c r="AW165" i="1"/>
  <c r="AV165" i="1"/>
  <c r="AU165" i="1"/>
  <c r="AT165" i="1"/>
  <c r="AS165" i="1"/>
  <c r="AR165" i="1"/>
  <c r="AQ165" i="1"/>
  <c r="AP165" i="1"/>
  <c r="AO165" i="1"/>
  <c r="AN165" i="1"/>
  <c r="AM165" i="1"/>
  <c r="BA164" i="1"/>
  <c r="AZ164" i="1"/>
  <c r="AY164" i="1"/>
  <c r="AX164" i="1"/>
  <c r="AW164" i="1"/>
  <c r="AV164" i="1"/>
  <c r="AU164" i="1"/>
  <c r="AT164" i="1"/>
  <c r="AS164" i="1"/>
  <c r="AR164" i="1"/>
  <c r="AQ164" i="1"/>
  <c r="AP164" i="1"/>
  <c r="AO164" i="1"/>
  <c r="AN164" i="1"/>
  <c r="AM164" i="1"/>
  <c r="BA163" i="1"/>
  <c r="AZ163" i="1"/>
  <c r="AY163" i="1"/>
  <c r="AX163" i="1"/>
  <c r="AW163" i="1"/>
  <c r="AV163" i="1"/>
  <c r="AU163" i="1"/>
  <c r="AT163" i="1"/>
  <c r="AS163" i="1"/>
  <c r="AR163" i="1"/>
  <c r="AQ163" i="1"/>
  <c r="AP163" i="1"/>
  <c r="AO163" i="1"/>
  <c r="AN163" i="1"/>
  <c r="AM163" i="1"/>
  <c r="BA162" i="1"/>
  <c r="AZ162" i="1"/>
  <c r="AY162" i="1"/>
  <c r="AX162" i="1"/>
  <c r="AW162" i="1"/>
  <c r="AV162" i="1"/>
  <c r="AU162" i="1"/>
  <c r="AT162" i="1"/>
  <c r="AS162" i="1"/>
  <c r="AR162" i="1"/>
  <c r="AQ162" i="1"/>
  <c r="AP162" i="1"/>
  <c r="AO162" i="1"/>
  <c r="AN162" i="1"/>
  <c r="AM162" i="1"/>
  <c r="BA161" i="1"/>
  <c r="AZ161" i="1"/>
  <c r="AY161" i="1"/>
  <c r="AX161" i="1"/>
  <c r="AW161" i="1"/>
  <c r="AV161" i="1"/>
  <c r="AU161" i="1"/>
  <c r="AT161" i="1"/>
  <c r="AS161" i="1"/>
  <c r="AR161" i="1"/>
  <c r="AQ161" i="1"/>
  <c r="AP161" i="1"/>
  <c r="AO161" i="1"/>
  <c r="AN161" i="1"/>
  <c r="AM161" i="1"/>
  <c r="BA160" i="1"/>
  <c r="AZ160" i="1"/>
  <c r="AY160" i="1"/>
  <c r="AX160" i="1"/>
  <c r="AW160" i="1"/>
  <c r="AV160" i="1"/>
  <c r="AU160" i="1"/>
  <c r="AT160" i="1"/>
  <c r="AS160" i="1"/>
  <c r="AR160" i="1"/>
  <c r="AQ160" i="1"/>
  <c r="AP160" i="1"/>
  <c r="AO160" i="1"/>
  <c r="AN160" i="1"/>
  <c r="AM160" i="1"/>
  <c r="BA159" i="1"/>
  <c r="AZ159" i="1"/>
  <c r="AY159" i="1"/>
  <c r="AX159" i="1"/>
  <c r="AW159" i="1"/>
  <c r="AV159" i="1"/>
  <c r="AU159" i="1"/>
  <c r="AT159" i="1"/>
  <c r="AS159" i="1"/>
  <c r="AR159" i="1"/>
  <c r="AQ159" i="1"/>
  <c r="AP159" i="1"/>
  <c r="AO159" i="1"/>
  <c r="AN159" i="1"/>
  <c r="AM159" i="1"/>
  <c r="BA158" i="1"/>
  <c r="AZ158" i="1"/>
  <c r="AY158" i="1"/>
  <c r="AX158" i="1"/>
  <c r="AW158" i="1"/>
  <c r="AV158" i="1"/>
  <c r="AU158" i="1"/>
  <c r="AT158" i="1"/>
  <c r="AS158" i="1"/>
  <c r="AR158" i="1"/>
  <c r="AQ158" i="1"/>
  <c r="AP158" i="1"/>
  <c r="AO158" i="1"/>
  <c r="AN158" i="1"/>
  <c r="AM158" i="1"/>
  <c r="BA157" i="1"/>
  <c r="AZ157" i="1"/>
  <c r="AY157" i="1"/>
  <c r="AX157" i="1"/>
  <c r="AW157" i="1"/>
  <c r="AV157" i="1"/>
  <c r="AU157" i="1"/>
  <c r="AT157" i="1"/>
  <c r="AS157" i="1"/>
  <c r="AR157" i="1"/>
  <c r="AQ157" i="1"/>
  <c r="AP157" i="1"/>
  <c r="AO157" i="1"/>
  <c r="AN157" i="1"/>
  <c r="AM157" i="1"/>
  <c r="BA154" i="1"/>
  <c r="AZ154" i="1"/>
  <c r="AY154" i="1"/>
  <c r="AX154" i="1"/>
  <c r="AW154" i="1"/>
  <c r="AV154" i="1"/>
  <c r="AU154" i="1"/>
  <c r="AT154" i="1"/>
  <c r="AS154" i="1"/>
  <c r="AR154" i="1"/>
  <c r="AQ154" i="1"/>
  <c r="AP154" i="1"/>
  <c r="AO154" i="1"/>
  <c r="AN154" i="1"/>
  <c r="AM154" i="1"/>
  <c r="BA153" i="1"/>
  <c r="AZ153" i="1"/>
  <c r="AY153" i="1"/>
  <c r="AX153" i="1"/>
  <c r="AW153" i="1"/>
  <c r="AV153" i="1"/>
  <c r="AU153" i="1"/>
  <c r="AT153" i="1"/>
  <c r="AS153" i="1"/>
  <c r="AR153" i="1"/>
  <c r="AQ153" i="1"/>
  <c r="AP153" i="1"/>
  <c r="AO153" i="1"/>
  <c r="AN153" i="1"/>
  <c r="AM153" i="1"/>
  <c r="BA152" i="1"/>
  <c r="AZ152" i="1"/>
  <c r="AY152" i="1"/>
  <c r="AX152" i="1"/>
  <c r="AW152" i="1"/>
  <c r="AV152" i="1"/>
  <c r="AU152" i="1"/>
  <c r="AT152" i="1"/>
  <c r="AS152" i="1"/>
  <c r="AR152" i="1"/>
  <c r="AQ152" i="1"/>
  <c r="AP152" i="1"/>
  <c r="AO152" i="1"/>
  <c r="AN152" i="1"/>
  <c r="AM152" i="1"/>
  <c r="BA151" i="1"/>
  <c r="AZ151" i="1"/>
  <c r="AY151" i="1"/>
  <c r="AX151" i="1"/>
  <c r="AW151" i="1"/>
  <c r="AV151" i="1"/>
  <c r="AU151" i="1"/>
  <c r="AT151" i="1"/>
  <c r="AS151" i="1"/>
  <c r="AR151" i="1"/>
  <c r="AQ151" i="1"/>
  <c r="AP151" i="1"/>
  <c r="AO151" i="1"/>
  <c r="AN151" i="1"/>
  <c r="AM151" i="1"/>
  <c r="BA150" i="1"/>
  <c r="AZ150" i="1"/>
  <c r="AY150" i="1"/>
  <c r="AX150" i="1"/>
  <c r="AW150" i="1"/>
  <c r="AV150" i="1"/>
  <c r="AU150" i="1"/>
  <c r="AT150" i="1"/>
  <c r="AS150" i="1"/>
  <c r="AR150" i="1"/>
  <c r="AQ150" i="1"/>
  <c r="AP150" i="1"/>
  <c r="AO150" i="1"/>
  <c r="AN150" i="1"/>
  <c r="AM150" i="1"/>
  <c r="BA149" i="1"/>
  <c r="AZ149" i="1"/>
  <c r="AY149" i="1"/>
  <c r="AX149" i="1"/>
  <c r="AW149" i="1"/>
  <c r="AV149" i="1"/>
  <c r="AU149" i="1"/>
  <c r="AT149" i="1"/>
  <c r="AS149" i="1"/>
  <c r="AR149" i="1"/>
  <c r="AQ149" i="1"/>
  <c r="AP149" i="1"/>
  <c r="AO149" i="1"/>
  <c r="AN149" i="1"/>
  <c r="AM149" i="1"/>
  <c r="BA148" i="1"/>
  <c r="AZ148" i="1"/>
  <c r="AY148" i="1"/>
  <c r="AX148" i="1"/>
  <c r="AW148" i="1"/>
  <c r="AV148" i="1"/>
  <c r="AU148" i="1"/>
  <c r="AT148" i="1"/>
  <c r="AS148" i="1"/>
  <c r="AR148" i="1"/>
  <c r="AQ148" i="1"/>
  <c r="AP148" i="1"/>
  <c r="AO148" i="1"/>
  <c r="AN148" i="1"/>
  <c r="AM148" i="1"/>
  <c r="BA147" i="1"/>
  <c r="AZ147" i="1"/>
  <c r="AY147" i="1"/>
  <c r="AX147" i="1"/>
  <c r="AW147" i="1"/>
  <c r="AV147" i="1"/>
  <c r="AU147" i="1"/>
  <c r="AT147" i="1"/>
  <c r="AS147" i="1"/>
  <c r="AR147" i="1"/>
  <c r="AQ147" i="1"/>
  <c r="AP147" i="1"/>
  <c r="AO147" i="1"/>
  <c r="AN147" i="1"/>
  <c r="AM147" i="1"/>
  <c r="BA146" i="1"/>
  <c r="AZ146" i="1"/>
  <c r="AY146" i="1"/>
  <c r="AX146" i="1"/>
  <c r="AW146" i="1"/>
  <c r="AV146" i="1"/>
  <c r="AU146" i="1"/>
  <c r="AT146" i="1"/>
  <c r="AS146" i="1"/>
  <c r="AR146" i="1"/>
  <c r="AQ146" i="1"/>
  <c r="AP146" i="1"/>
  <c r="AO146" i="1"/>
  <c r="AN146" i="1"/>
  <c r="AM146" i="1"/>
  <c r="BA145" i="1"/>
  <c r="AZ145" i="1"/>
  <c r="AY145" i="1"/>
  <c r="AX145" i="1"/>
  <c r="AW145" i="1"/>
  <c r="AV145" i="1"/>
  <c r="AU145" i="1"/>
  <c r="AT145" i="1"/>
  <c r="AS145" i="1"/>
  <c r="AR145" i="1"/>
  <c r="AQ145" i="1"/>
  <c r="AP145" i="1"/>
  <c r="AO145" i="1"/>
  <c r="AN145" i="1"/>
  <c r="AM145" i="1"/>
  <c r="BA143" i="1"/>
  <c r="AZ143" i="1"/>
  <c r="AY143" i="1"/>
  <c r="AX143" i="1"/>
  <c r="AW143" i="1"/>
  <c r="AV143" i="1"/>
  <c r="AU143" i="1"/>
  <c r="AT143" i="1"/>
  <c r="AS143" i="1"/>
  <c r="AR143" i="1"/>
  <c r="AQ143" i="1"/>
  <c r="AP143" i="1"/>
  <c r="AO143" i="1"/>
  <c r="AN143" i="1"/>
  <c r="AM143" i="1"/>
  <c r="BA142" i="1"/>
  <c r="AZ142" i="1"/>
  <c r="AY142" i="1"/>
  <c r="AX142" i="1"/>
  <c r="AW142" i="1"/>
  <c r="AV142" i="1"/>
  <c r="AU142" i="1"/>
  <c r="AT142" i="1"/>
  <c r="AS142" i="1"/>
  <c r="AR142" i="1"/>
  <c r="AQ142" i="1"/>
  <c r="AP142" i="1"/>
  <c r="AO142" i="1"/>
  <c r="AN142" i="1"/>
  <c r="AM142" i="1"/>
  <c r="BA141" i="1"/>
  <c r="AZ141" i="1"/>
  <c r="AY141" i="1"/>
  <c r="AX141" i="1"/>
  <c r="AW141" i="1"/>
  <c r="AV141" i="1"/>
  <c r="AU141" i="1"/>
  <c r="AT141" i="1"/>
  <c r="AS141" i="1"/>
  <c r="AR141" i="1"/>
  <c r="AQ141" i="1"/>
  <c r="AP141" i="1"/>
  <c r="AO141" i="1"/>
  <c r="AN141" i="1"/>
  <c r="AM141" i="1"/>
  <c r="BA140" i="1"/>
  <c r="AZ140" i="1"/>
  <c r="AY140" i="1"/>
  <c r="AX140" i="1"/>
  <c r="AW140" i="1"/>
  <c r="AV140" i="1"/>
  <c r="AU140" i="1"/>
  <c r="AT140" i="1"/>
  <c r="AS140" i="1"/>
  <c r="AR140" i="1"/>
  <c r="AQ140" i="1"/>
  <c r="AP140" i="1"/>
  <c r="AO140" i="1"/>
  <c r="AN140" i="1"/>
  <c r="AM140" i="1"/>
  <c r="BA139" i="1"/>
  <c r="AZ139" i="1"/>
  <c r="AY139" i="1"/>
  <c r="AX139" i="1"/>
  <c r="AW139" i="1"/>
  <c r="AV139" i="1"/>
  <c r="AU139" i="1"/>
  <c r="AT139" i="1"/>
  <c r="AS139" i="1"/>
  <c r="AR139" i="1"/>
  <c r="AQ139" i="1"/>
  <c r="AP139" i="1"/>
  <c r="AO139" i="1"/>
  <c r="AN139" i="1"/>
  <c r="AM139" i="1"/>
  <c r="BA138" i="1"/>
  <c r="AZ138" i="1"/>
  <c r="AY138" i="1"/>
  <c r="AX138" i="1"/>
  <c r="AW138" i="1"/>
  <c r="AV138" i="1"/>
  <c r="AU138" i="1"/>
  <c r="AT138" i="1"/>
  <c r="AS138" i="1"/>
  <c r="AR138" i="1"/>
  <c r="AQ138" i="1"/>
  <c r="AP138" i="1"/>
  <c r="AO138" i="1"/>
  <c r="AN138" i="1"/>
  <c r="AM138" i="1"/>
  <c r="BA137" i="1"/>
  <c r="AZ137" i="1"/>
  <c r="AY137" i="1"/>
  <c r="AX137" i="1"/>
  <c r="AW137" i="1"/>
  <c r="AV137" i="1"/>
  <c r="AU137" i="1"/>
  <c r="AT137" i="1"/>
  <c r="AS137" i="1"/>
  <c r="AR137" i="1"/>
  <c r="AQ137" i="1"/>
  <c r="AP137" i="1"/>
  <c r="AO137" i="1"/>
  <c r="AN137" i="1"/>
  <c r="AM137" i="1"/>
  <c r="BA136" i="1"/>
  <c r="AZ136" i="1"/>
  <c r="AY136" i="1"/>
  <c r="AX136" i="1"/>
  <c r="AW136" i="1"/>
  <c r="AV136" i="1"/>
  <c r="AU136" i="1"/>
  <c r="AT136" i="1"/>
  <c r="AS136" i="1"/>
  <c r="AR136" i="1"/>
  <c r="AQ136" i="1"/>
  <c r="AP136" i="1"/>
  <c r="AO136" i="1"/>
  <c r="AN136" i="1"/>
  <c r="AM136" i="1"/>
  <c r="BA135" i="1"/>
  <c r="AZ135" i="1"/>
  <c r="AY135" i="1"/>
  <c r="AX135" i="1"/>
  <c r="AW135" i="1"/>
  <c r="AV135" i="1"/>
  <c r="AU135" i="1"/>
  <c r="AT135" i="1"/>
  <c r="AS135" i="1"/>
  <c r="AR135" i="1"/>
  <c r="AQ135" i="1"/>
  <c r="AP135" i="1"/>
  <c r="AO135" i="1"/>
  <c r="AN135" i="1"/>
  <c r="AM135" i="1"/>
  <c r="BA134" i="1"/>
  <c r="AZ134" i="1"/>
  <c r="AY134" i="1"/>
  <c r="AX134" i="1"/>
  <c r="AW134" i="1"/>
  <c r="AV134" i="1"/>
  <c r="AU134" i="1"/>
  <c r="AT134" i="1"/>
  <c r="AS134" i="1"/>
  <c r="AR134" i="1"/>
  <c r="AQ134" i="1"/>
  <c r="AP134" i="1"/>
  <c r="AO134" i="1"/>
  <c r="AN134" i="1"/>
  <c r="AM134" i="1"/>
  <c r="BA132" i="1"/>
  <c r="AZ132" i="1"/>
  <c r="AY132" i="1"/>
  <c r="AX132" i="1"/>
  <c r="AW132" i="1"/>
  <c r="AV132" i="1"/>
  <c r="AU132" i="1"/>
  <c r="AT132" i="1"/>
  <c r="AS132" i="1"/>
  <c r="AR132" i="1"/>
  <c r="AQ132" i="1"/>
  <c r="AP132" i="1"/>
  <c r="AO132" i="1"/>
  <c r="AN132" i="1"/>
  <c r="AM132" i="1"/>
  <c r="BA131" i="1"/>
  <c r="AZ131" i="1"/>
  <c r="AY131" i="1"/>
  <c r="AX131" i="1"/>
  <c r="AW131" i="1"/>
  <c r="AV131" i="1"/>
  <c r="AU131" i="1"/>
  <c r="AT131" i="1"/>
  <c r="AS131" i="1"/>
  <c r="AR131" i="1"/>
  <c r="AQ131" i="1"/>
  <c r="AP131" i="1"/>
  <c r="AO131" i="1"/>
  <c r="AN131" i="1"/>
  <c r="AM131" i="1"/>
  <c r="BA130" i="1"/>
  <c r="AZ130" i="1"/>
  <c r="AY130" i="1"/>
  <c r="AX130" i="1"/>
  <c r="AW130" i="1"/>
  <c r="AV130" i="1"/>
  <c r="AU130" i="1"/>
  <c r="AT130" i="1"/>
  <c r="AS130" i="1"/>
  <c r="AR130" i="1"/>
  <c r="AQ130" i="1"/>
  <c r="AP130" i="1"/>
  <c r="AO130" i="1"/>
  <c r="AN130" i="1"/>
  <c r="AM130" i="1"/>
  <c r="BA129" i="1"/>
  <c r="AZ129" i="1"/>
  <c r="AY129" i="1"/>
  <c r="AX129" i="1"/>
  <c r="AW129" i="1"/>
  <c r="AV129" i="1"/>
  <c r="AU129" i="1"/>
  <c r="AT129" i="1"/>
  <c r="AS129" i="1"/>
  <c r="AR129" i="1"/>
  <c r="AQ129" i="1"/>
  <c r="AP129" i="1"/>
  <c r="AO129" i="1"/>
  <c r="AN129" i="1"/>
  <c r="AM129" i="1"/>
  <c r="BA128" i="1"/>
  <c r="AZ128" i="1"/>
  <c r="AY128" i="1"/>
  <c r="AX128" i="1"/>
  <c r="AW128" i="1"/>
  <c r="AV128" i="1"/>
  <c r="AU128" i="1"/>
  <c r="AT128" i="1"/>
  <c r="AS128" i="1"/>
  <c r="AR128" i="1"/>
  <c r="AQ128" i="1"/>
  <c r="AP128" i="1"/>
  <c r="AO128" i="1"/>
  <c r="AN128" i="1"/>
  <c r="AM128" i="1"/>
  <c r="BA127" i="1"/>
  <c r="AZ127" i="1"/>
  <c r="AY127" i="1"/>
  <c r="AX127" i="1"/>
  <c r="AW127" i="1"/>
  <c r="AV127" i="1"/>
  <c r="AU127" i="1"/>
  <c r="AT127" i="1"/>
  <c r="AS127" i="1"/>
  <c r="AR127" i="1"/>
  <c r="AQ127" i="1"/>
  <c r="AP127" i="1"/>
  <c r="AO127" i="1"/>
  <c r="AN127" i="1"/>
  <c r="AM127" i="1"/>
  <c r="BA126" i="1"/>
  <c r="AZ126" i="1"/>
  <c r="AY126" i="1"/>
  <c r="AX126" i="1"/>
  <c r="AW126" i="1"/>
  <c r="AV126" i="1"/>
  <c r="AU126" i="1"/>
  <c r="AT126" i="1"/>
  <c r="AS126" i="1"/>
  <c r="AR126" i="1"/>
  <c r="AQ126" i="1"/>
  <c r="AP126" i="1"/>
  <c r="AO126" i="1"/>
  <c r="AN126" i="1"/>
  <c r="AM126" i="1"/>
  <c r="BA125" i="1"/>
  <c r="AZ125" i="1"/>
  <c r="AY125" i="1"/>
  <c r="AX125" i="1"/>
  <c r="AW125" i="1"/>
  <c r="AV125" i="1"/>
  <c r="AU125" i="1"/>
  <c r="AT125" i="1"/>
  <c r="AS125" i="1"/>
  <c r="AR125" i="1"/>
  <c r="AQ125" i="1"/>
  <c r="AP125" i="1"/>
  <c r="AO125" i="1"/>
  <c r="AN125" i="1"/>
  <c r="AM125" i="1"/>
  <c r="BA124" i="1"/>
  <c r="AZ124" i="1"/>
  <c r="AY124" i="1"/>
  <c r="AX124" i="1"/>
  <c r="AW124" i="1"/>
  <c r="AV124" i="1"/>
  <c r="AU124" i="1"/>
  <c r="AT124" i="1"/>
  <c r="AS124" i="1"/>
  <c r="AR124" i="1"/>
  <c r="AQ124" i="1"/>
  <c r="AP124" i="1"/>
  <c r="AO124" i="1"/>
  <c r="AN124" i="1"/>
  <c r="AM124" i="1"/>
  <c r="BA123" i="1"/>
  <c r="AZ123" i="1"/>
  <c r="AY123" i="1"/>
  <c r="AX123" i="1"/>
  <c r="AW123" i="1"/>
  <c r="AV123" i="1"/>
  <c r="AU123" i="1"/>
  <c r="AT123" i="1"/>
  <c r="AS123" i="1"/>
  <c r="AR123" i="1"/>
  <c r="AQ123" i="1"/>
  <c r="AP123" i="1"/>
  <c r="AO123" i="1"/>
  <c r="AN123" i="1"/>
  <c r="AM123" i="1"/>
  <c r="BA121" i="1"/>
  <c r="AZ121" i="1"/>
  <c r="AY121" i="1"/>
  <c r="AX121" i="1"/>
  <c r="AW121" i="1"/>
  <c r="AV121" i="1"/>
  <c r="AU121" i="1"/>
  <c r="AT121" i="1"/>
  <c r="AS121" i="1"/>
  <c r="AR121" i="1"/>
  <c r="AQ121" i="1"/>
  <c r="AP121" i="1"/>
  <c r="AO121" i="1"/>
  <c r="AN121" i="1"/>
  <c r="AM121" i="1"/>
  <c r="BA120" i="1"/>
  <c r="AZ120" i="1"/>
  <c r="AY120" i="1"/>
  <c r="AX120" i="1"/>
  <c r="AW120" i="1"/>
  <c r="AV120" i="1"/>
  <c r="AU120" i="1"/>
  <c r="AT120" i="1"/>
  <c r="AS120" i="1"/>
  <c r="AR120" i="1"/>
  <c r="AQ120" i="1"/>
  <c r="AP120" i="1"/>
  <c r="AO120" i="1"/>
  <c r="AN120" i="1"/>
  <c r="AM120" i="1"/>
  <c r="BA119" i="1"/>
  <c r="AZ119" i="1"/>
  <c r="AY119" i="1"/>
  <c r="AX119" i="1"/>
  <c r="AW119" i="1"/>
  <c r="AV119" i="1"/>
  <c r="AU119" i="1"/>
  <c r="AT119" i="1"/>
  <c r="AS119" i="1"/>
  <c r="AR119" i="1"/>
  <c r="AQ119" i="1"/>
  <c r="AP119" i="1"/>
  <c r="AO119" i="1"/>
  <c r="AN119" i="1"/>
  <c r="AM119" i="1"/>
  <c r="BA118" i="1"/>
  <c r="AZ118" i="1"/>
  <c r="AY118" i="1"/>
  <c r="AX118" i="1"/>
  <c r="AW118" i="1"/>
  <c r="AV118" i="1"/>
  <c r="AU118" i="1"/>
  <c r="AT118" i="1"/>
  <c r="AS118" i="1"/>
  <c r="AR118" i="1"/>
  <c r="AQ118" i="1"/>
  <c r="AP118" i="1"/>
  <c r="AO118" i="1"/>
  <c r="AN118" i="1"/>
  <c r="AM118" i="1"/>
  <c r="BA117" i="1"/>
  <c r="AZ117" i="1"/>
  <c r="AY117" i="1"/>
  <c r="AX117" i="1"/>
  <c r="AW117" i="1"/>
  <c r="AV117" i="1"/>
  <c r="AU117" i="1"/>
  <c r="AT117" i="1"/>
  <c r="AS117" i="1"/>
  <c r="AR117" i="1"/>
  <c r="AQ117" i="1"/>
  <c r="AP117" i="1"/>
  <c r="AO117" i="1"/>
  <c r="AN117" i="1"/>
  <c r="AM117" i="1"/>
  <c r="BA116" i="1"/>
  <c r="AZ116" i="1"/>
  <c r="AY116" i="1"/>
  <c r="AX116" i="1"/>
  <c r="AW116" i="1"/>
  <c r="AV116" i="1"/>
  <c r="AU116" i="1"/>
  <c r="AT116" i="1"/>
  <c r="AS116" i="1"/>
  <c r="AR116" i="1"/>
  <c r="AQ116" i="1"/>
  <c r="AP116" i="1"/>
  <c r="AO116" i="1"/>
  <c r="AN116" i="1"/>
  <c r="AM116" i="1"/>
  <c r="BA115" i="1"/>
  <c r="AZ115" i="1"/>
  <c r="AY115" i="1"/>
  <c r="AX115" i="1"/>
  <c r="AW115" i="1"/>
  <c r="AV115" i="1"/>
  <c r="AU115" i="1"/>
  <c r="AT115" i="1"/>
  <c r="AS115" i="1"/>
  <c r="AR115" i="1"/>
  <c r="AQ115" i="1"/>
  <c r="AP115" i="1"/>
  <c r="AO115" i="1"/>
  <c r="AN115" i="1"/>
  <c r="AM115" i="1"/>
  <c r="BA114" i="1"/>
  <c r="AZ114" i="1"/>
  <c r="AY114" i="1"/>
  <c r="AX114" i="1"/>
  <c r="AW114" i="1"/>
  <c r="AV114" i="1"/>
  <c r="AU114" i="1"/>
  <c r="AT114" i="1"/>
  <c r="AS114" i="1"/>
  <c r="AR114" i="1"/>
  <c r="AQ114" i="1"/>
  <c r="AP114" i="1"/>
  <c r="AO114" i="1"/>
  <c r="AN114" i="1"/>
  <c r="AM114" i="1"/>
  <c r="BA113" i="1"/>
  <c r="AZ113" i="1"/>
  <c r="AY113" i="1"/>
  <c r="AX113" i="1"/>
  <c r="AW113" i="1"/>
  <c r="AV113" i="1"/>
  <c r="AU113" i="1"/>
  <c r="AT113" i="1"/>
  <c r="AS113" i="1"/>
  <c r="AR113" i="1"/>
  <c r="AQ113" i="1"/>
  <c r="AP113" i="1"/>
  <c r="AO113" i="1"/>
  <c r="AN113" i="1"/>
  <c r="AM113" i="1"/>
  <c r="BA112" i="1"/>
  <c r="AZ112" i="1"/>
  <c r="AY112" i="1"/>
  <c r="AX112" i="1"/>
  <c r="AW112" i="1"/>
  <c r="AV112" i="1"/>
  <c r="AU112" i="1"/>
  <c r="AT112" i="1"/>
  <c r="AS112" i="1"/>
  <c r="AR112" i="1"/>
  <c r="AQ112" i="1"/>
  <c r="AP112" i="1"/>
  <c r="AO112" i="1"/>
  <c r="AN112" i="1"/>
  <c r="AM112" i="1"/>
  <c r="BA110" i="1"/>
  <c r="AZ110" i="1"/>
  <c r="AY110" i="1"/>
  <c r="AX110" i="1"/>
  <c r="AW110" i="1"/>
  <c r="AV110" i="1"/>
  <c r="AU110" i="1"/>
  <c r="AT110" i="1"/>
  <c r="AS110" i="1"/>
  <c r="AR110" i="1"/>
  <c r="AQ110" i="1"/>
  <c r="AP110" i="1"/>
  <c r="AO110" i="1"/>
  <c r="AN110" i="1"/>
  <c r="AM110" i="1"/>
  <c r="BA109" i="1"/>
  <c r="AZ109" i="1"/>
  <c r="AY109" i="1"/>
  <c r="AX109" i="1"/>
  <c r="AW109" i="1"/>
  <c r="AV109" i="1"/>
  <c r="AU109" i="1"/>
  <c r="AT109" i="1"/>
  <c r="AS109" i="1"/>
  <c r="AR109" i="1"/>
  <c r="AQ109" i="1"/>
  <c r="AP109" i="1"/>
  <c r="AO109" i="1"/>
  <c r="AN109" i="1"/>
  <c r="AM109" i="1"/>
  <c r="BA108" i="1"/>
  <c r="AZ108" i="1"/>
  <c r="AY108" i="1"/>
  <c r="AX108" i="1"/>
  <c r="AW108" i="1"/>
  <c r="AV108" i="1"/>
  <c r="AU108" i="1"/>
  <c r="AT108" i="1"/>
  <c r="AS108" i="1"/>
  <c r="AR108" i="1"/>
  <c r="AQ108" i="1"/>
  <c r="AP108" i="1"/>
  <c r="AO108" i="1"/>
  <c r="AN108" i="1"/>
  <c r="AM108" i="1"/>
  <c r="BA107" i="1"/>
  <c r="AZ107" i="1"/>
  <c r="AY107" i="1"/>
  <c r="AX107" i="1"/>
  <c r="AW107" i="1"/>
  <c r="AV107" i="1"/>
  <c r="AU107" i="1"/>
  <c r="AT107" i="1"/>
  <c r="AS107" i="1"/>
  <c r="AR107" i="1"/>
  <c r="AQ107" i="1"/>
  <c r="AP107" i="1"/>
  <c r="AO107" i="1"/>
  <c r="AN107" i="1"/>
  <c r="AM107" i="1"/>
  <c r="BA106" i="1"/>
  <c r="AZ106" i="1"/>
  <c r="AY106" i="1"/>
  <c r="AX106" i="1"/>
  <c r="AW106" i="1"/>
  <c r="AV106" i="1"/>
  <c r="AU106" i="1"/>
  <c r="AT106" i="1"/>
  <c r="AS106" i="1"/>
  <c r="AR106" i="1"/>
  <c r="AQ106" i="1"/>
  <c r="AP106" i="1"/>
  <c r="AO106" i="1"/>
  <c r="AN106" i="1"/>
  <c r="AM106" i="1"/>
  <c r="BA105" i="1"/>
  <c r="AZ105" i="1"/>
  <c r="AY105" i="1"/>
  <c r="AX105" i="1"/>
  <c r="AW105" i="1"/>
  <c r="AV105" i="1"/>
  <c r="AU105" i="1"/>
  <c r="AT105" i="1"/>
  <c r="AS105" i="1"/>
  <c r="AR105" i="1"/>
  <c r="AQ105" i="1"/>
  <c r="AP105" i="1"/>
  <c r="AO105" i="1"/>
  <c r="AN105" i="1"/>
  <c r="AM105" i="1"/>
  <c r="BA104" i="1"/>
  <c r="AZ104" i="1"/>
  <c r="AY104" i="1"/>
  <c r="AX104" i="1"/>
  <c r="AW104" i="1"/>
  <c r="AV104" i="1"/>
  <c r="AU104" i="1"/>
  <c r="AT104" i="1"/>
  <c r="AS104" i="1"/>
  <c r="AR104" i="1"/>
  <c r="AQ104" i="1"/>
  <c r="AP104" i="1"/>
  <c r="AO104" i="1"/>
  <c r="AN104" i="1"/>
  <c r="AM104" i="1"/>
  <c r="BA103" i="1"/>
  <c r="AZ103" i="1"/>
  <c r="AY103" i="1"/>
  <c r="AX103" i="1"/>
  <c r="AW103" i="1"/>
  <c r="AV103" i="1"/>
  <c r="AU103" i="1"/>
  <c r="AT103" i="1"/>
  <c r="AS103" i="1"/>
  <c r="AR103" i="1"/>
  <c r="AQ103" i="1"/>
  <c r="AP103" i="1"/>
  <c r="AO103" i="1"/>
  <c r="AN103" i="1"/>
  <c r="AM103" i="1"/>
  <c r="BA102" i="1"/>
  <c r="AZ102" i="1"/>
  <c r="AY102" i="1"/>
  <c r="AX102" i="1"/>
  <c r="AW102" i="1"/>
  <c r="AV102" i="1"/>
  <c r="AU102" i="1"/>
  <c r="AT102" i="1"/>
  <c r="AS102" i="1"/>
  <c r="AR102" i="1"/>
  <c r="AQ102" i="1"/>
  <c r="AP102" i="1"/>
  <c r="AO102" i="1"/>
  <c r="AN102" i="1"/>
  <c r="AM102" i="1"/>
  <c r="BA101" i="1"/>
  <c r="AZ101" i="1"/>
  <c r="AY101" i="1"/>
  <c r="AX101" i="1"/>
  <c r="AW101" i="1"/>
  <c r="AV101" i="1"/>
  <c r="AU101" i="1"/>
  <c r="AT101" i="1"/>
  <c r="AS101" i="1"/>
  <c r="AR101" i="1"/>
  <c r="AQ101" i="1"/>
  <c r="AP101" i="1"/>
  <c r="AO101" i="1"/>
  <c r="AN101" i="1"/>
  <c r="AM101" i="1"/>
  <c r="BA98" i="1"/>
  <c r="AZ98" i="1"/>
  <c r="AY98" i="1"/>
  <c r="AX98" i="1"/>
  <c r="AW98" i="1"/>
  <c r="AV98" i="1"/>
  <c r="AU98" i="1"/>
  <c r="AT98" i="1"/>
  <c r="AS98" i="1"/>
  <c r="AR98" i="1"/>
  <c r="AQ98" i="1"/>
  <c r="AP98" i="1"/>
  <c r="AO98" i="1"/>
  <c r="AN98" i="1"/>
  <c r="AM98" i="1"/>
  <c r="BA97" i="1"/>
  <c r="AZ97" i="1"/>
  <c r="AY97" i="1"/>
  <c r="AX97" i="1"/>
  <c r="AW97" i="1"/>
  <c r="AV97" i="1"/>
  <c r="AU97" i="1"/>
  <c r="AT97" i="1"/>
  <c r="AS97" i="1"/>
  <c r="AR97" i="1"/>
  <c r="AQ97" i="1"/>
  <c r="AP97" i="1"/>
  <c r="AO97" i="1"/>
  <c r="AN97" i="1"/>
  <c r="AM97" i="1"/>
  <c r="BA96" i="1"/>
  <c r="AZ96" i="1"/>
  <c r="AY96" i="1"/>
  <c r="AX96" i="1"/>
  <c r="AW96" i="1"/>
  <c r="AV96" i="1"/>
  <c r="AU96" i="1"/>
  <c r="AT96" i="1"/>
  <c r="AS96" i="1"/>
  <c r="AR96" i="1"/>
  <c r="AQ96" i="1"/>
  <c r="AP96" i="1"/>
  <c r="AO96" i="1"/>
  <c r="AN96" i="1"/>
  <c r="AM96" i="1"/>
  <c r="BA95" i="1"/>
  <c r="AZ95" i="1"/>
  <c r="AY95" i="1"/>
  <c r="AX95" i="1"/>
  <c r="AW95" i="1"/>
  <c r="AV95" i="1"/>
  <c r="AU95" i="1"/>
  <c r="AT95" i="1"/>
  <c r="AS95" i="1"/>
  <c r="AR95" i="1"/>
  <c r="AQ95" i="1"/>
  <c r="AP95" i="1"/>
  <c r="AO95" i="1"/>
  <c r="AN95" i="1"/>
  <c r="AM95" i="1"/>
  <c r="BA94" i="1"/>
  <c r="AZ94" i="1"/>
  <c r="AY94" i="1"/>
  <c r="AX94" i="1"/>
  <c r="AW94" i="1"/>
  <c r="AV94" i="1"/>
  <c r="AU94" i="1"/>
  <c r="AT94" i="1"/>
  <c r="AS94" i="1"/>
  <c r="AR94" i="1"/>
  <c r="AQ94" i="1"/>
  <c r="AP94" i="1"/>
  <c r="AO94" i="1"/>
  <c r="AN94" i="1"/>
  <c r="AM94" i="1"/>
  <c r="BA93" i="1"/>
  <c r="AZ93" i="1"/>
  <c r="AY93" i="1"/>
  <c r="AX93" i="1"/>
  <c r="AW93" i="1"/>
  <c r="AV93" i="1"/>
  <c r="AU93" i="1"/>
  <c r="AT93" i="1"/>
  <c r="AS93" i="1"/>
  <c r="AR93" i="1"/>
  <c r="AQ93" i="1"/>
  <c r="AP93" i="1"/>
  <c r="AO93" i="1"/>
  <c r="AN93" i="1"/>
  <c r="AM93" i="1"/>
  <c r="BA92" i="1"/>
  <c r="AZ92" i="1"/>
  <c r="AY92" i="1"/>
  <c r="AX92" i="1"/>
  <c r="AW92" i="1"/>
  <c r="AV92" i="1"/>
  <c r="AU92" i="1"/>
  <c r="AT92" i="1"/>
  <c r="AS92" i="1"/>
  <c r="AR92" i="1"/>
  <c r="AQ92" i="1"/>
  <c r="AP92" i="1"/>
  <c r="AO92" i="1"/>
  <c r="AN92" i="1"/>
  <c r="AM92" i="1"/>
  <c r="BA91" i="1"/>
  <c r="AZ91" i="1"/>
  <c r="AY91" i="1"/>
  <c r="AX91" i="1"/>
  <c r="AW91" i="1"/>
  <c r="AV91" i="1"/>
  <c r="AU91" i="1"/>
  <c r="AT91" i="1"/>
  <c r="AS91" i="1"/>
  <c r="AR91" i="1"/>
  <c r="AQ91" i="1"/>
  <c r="AP91" i="1"/>
  <c r="AO91" i="1"/>
  <c r="AN91" i="1"/>
  <c r="AM91" i="1"/>
  <c r="BA90" i="1"/>
  <c r="AZ90" i="1"/>
  <c r="AY90" i="1"/>
  <c r="AX90" i="1"/>
  <c r="AW90" i="1"/>
  <c r="AV90" i="1"/>
  <c r="AU90" i="1"/>
  <c r="AT90" i="1"/>
  <c r="AS90" i="1"/>
  <c r="AR90" i="1"/>
  <c r="AQ90" i="1"/>
  <c r="AP90" i="1"/>
  <c r="AO90" i="1"/>
  <c r="AN90" i="1"/>
  <c r="AM90" i="1"/>
  <c r="BA89" i="1"/>
  <c r="AZ89" i="1"/>
  <c r="AY89" i="1"/>
  <c r="AX89" i="1"/>
  <c r="AW89" i="1"/>
  <c r="AV89" i="1"/>
  <c r="AU89" i="1"/>
  <c r="AT89" i="1"/>
  <c r="AS89" i="1"/>
  <c r="AR89" i="1"/>
  <c r="AQ89" i="1"/>
  <c r="AP89" i="1"/>
  <c r="AO89" i="1"/>
  <c r="AN89" i="1"/>
  <c r="AM89" i="1"/>
  <c r="BA87" i="1"/>
  <c r="AZ87" i="1"/>
  <c r="AY87" i="1"/>
  <c r="AX87" i="1"/>
  <c r="AW87" i="1"/>
  <c r="AV87" i="1"/>
  <c r="AU87" i="1"/>
  <c r="AT87" i="1"/>
  <c r="AS87" i="1"/>
  <c r="AR87" i="1"/>
  <c r="AQ87" i="1"/>
  <c r="AP87" i="1"/>
  <c r="AO87" i="1"/>
  <c r="AN87" i="1"/>
  <c r="AM87" i="1"/>
  <c r="BA86" i="1"/>
  <c r="AZ86" i="1"/>
  <c r="AY86" i="1"/>
  <c r="AX86" i="1"/>
  <c r="AW86" i="1"/>
  <c r="AV86" i="1"/>
  <c r="AU86" i="1"/>
  <c r="AT86" i="1"/>
  <c r="AS86" i="1"/>
  <c r="AR86" i="1"/>
  <c r="AQ86" i="1"/>
  <c r="AP86" i="1"/>
  <c r="AO86" i="1"/>
  <c r="AN86" i="1"/>
  <c r="AM86" i="1"/>
  <c r="BA85" i="1"/>
  <c r="AZ85" i="1"/>
  <c r="AY85" i="1"/>
  <c r="AX85" i="1"/>
  <c r="AW85" i="1"/>
  <c r="AV85" i="1"/>
  <c r="AU85" i="1"/>
  <c r="AT85" i="1"/>
  <c r="AS85" i="1"/>
  <c r="AR85" i="1"/>
  <c r="AQ85" i="1"/>
  <c r="AP85" i="1"/>
  <c r="AO85" i="1"/>
  <c r="AN85" i="1"/>
  <c r="AM85" i="1"/>
  <c r="BA84" i="1"/>
  <c r="AZ84" i="1"/>
  <c r="AY84" i="1"/>
  <c r="AX84" i="1"/>
  <c r="AW84" i="1"/>
  <c r="AV84" i="1"/>
  <c r="AU84" i="1"/>
  <c r="AT84" i="1"/>
  <c r="AS84" i="1"/>
  <c r="AR84" i="1"/>
  <c r="AQ84" i="1"/>
  <c r="AP84" i="1"/>
  <c r="AO84" i="1"/>
  <c r="AN84" i="1"/>
  <c r="AM84" i="1"/>
  <c r="BA83" i="1"/>
  <c r="AZ83" i="1"/>
  <c r="AY83" i="1"/>
  <c r="AX83" i="1"/>
  <c r="AW83" i="1"/>
  <c r="AV83" i="1"/>
  <c r="AU83" i="1"/>
  <c r="AT83" i="1"/>
  <c r="AS83" i="1"/>
  <c r="AR83" i="1"/>
  <c r="AQ83" i="1"/>
  <c r="AP83" i="1"/>
  <c r="AO83" i="1"/>
  <c r="AN83" i="1"/>
  <c r="AM83" i="1"/>
  <c r="BA82" i="1"/>
  <c r="AZ82" i="1"/>
  <c r="AY82" i="1"/>
  <c r="AX82" i="1"/>
  <c r="AW82" i="1"/>
  <c r="AV82" i="1"/>
  <c r="AU82" i="1"/>
  <c r="AT82" i="1"/>
  <c r="AS82" i="1"/>
  <c r="AR82" i="1"/>
  <c r="AQ82" i="1"/>
  <c r="AP82" i="1"/>
  <c r="AO82" i="1"/>
  <c r="AN82" i="1"/>
  <c r="AM82" i="1"/>
  <c r="BA81" i="1"/>
  <c r="AZ81" i="1"/>
  <c r="AY81" i="1"/>
  <c r="AX81" i="1"/>
  <c r="AW81" i="1"/>
  <c r="AV81" i="1"/>
  <c r="AU81" i="1"/>
  <c r="AT81" i="1"/>
  <c r="AS81" i="1"/>
  <c r="AR81" i="1"/>
  <c r="AQ81" i="1"/>
  <c r="AP81" i="1"/>
  <c r="AO81" i="1"/>
  <c r="AN81" i="1"/>
  <c r="AM81" i="1"/>
  <c r="BA80" i="1"/>
  <c r="AZ80" i="1"/>
  <c r="AY80" i="1"/>
  <c r="AX80" i="1"/>
  <c r="AW80" i="1"/>
  <c r="AV80" i="1"/>
  <c r="AU80" i="1"/>
  <c r="AT80" i="1"/>
  <c r="AS80" i="1"/>
  <c r="AR80" i="1"/>
  <c r="AQ80" i="1"/>
  <c r="AP80" i="1"/>
  <c r="AO80" i="1"/>
  <c r="AN80" i="1"/>
  <c r="AM80" i="1"/>
  <c r="BA79" i="1"/>
  <c r="AZ79" i="1"/>
  <c r="AY79" i="1"/>
  <c r="AX79" i="1"/>
  <c r="AW79" i="1"/>
  <c r="AV79" i="1"/>
  <c r="AU79" i="1"/>
  <c r="AT79" i="1"/>
  <c r="AS79" i="1"/>
  <c r="AR79" i="1"/>
  <c r="AQ79" i="1"/>
  <c r="AP79" i="1"/>
  <c r="AO79" i="1"/>
  <c r="AN79" i="1"/>
  <c r="AM79" i="1"/>
  <c r="BA78" i="1"/>
  <c r="AZ78" i="1"/>
  <c r="AY78" i="1"/>
  <c r="AX78" i="1"/>
  <c r="AW78" i="1"/>
  <c r="AV78" i="1"/>
  <c r="AU78" i="1"/>
  <c r="AT78" i="1"/>
  <c r="AS78" i="1"/>
  <c r="AR78" i="1"/>
  <c r="AQ78" i="1"/>
  <c r="AP78" i="1"/>
  <c r="AO78" i="1"/>
  <c r="AN78" i="1"/>
  <c r="AM78" i="1"/>
  <c r="BA76" i="1"/>
  <c r="AZ76" i="1"/>
  <c r="AY76" i="1"/>
  <c r="AX76" i="1"/>
  <c r="AW76" i="1"/>
  <c r="AV76" i="1"/>
  <c r="AU76" i="1"/>
  <c r="AT76" i="1"/>
  <c r="AS76" i="1"/>
  <c r="AR76" i="1"/>
  <c r="AQ76" i="1"/>
  <c r="AP76" i="1"/>
  <c r="AO76" i="1"/>
  <c r="AN76" i="1"/>
  <c r="AM76" i="1"/>
  <c r="BA75" i="1"/>
  <c r="AZ75" i="1"/>
  <c r="AY75" i="1"/>
  <c r="AX75" i="1"/>
  <c r="AW75" i="1"/>
  <c r="AV75" i="1"/>
  <c r="AU75" i="1"/>
  <c r="AT75" i="1"/>
  <c r="AS75" i="1"/>
  <c r="AR75" i="1"/>
  <c r="AQ75" i="1"/>
  <c r="AP75" i="1"/>
  <c r="AO75" i="1"/>
  <c r="AN75" i="1"/>
  <c r="AM75" i="1"/>
  <c r="BA74" i="1"/>
  <c r="AZ74" i="1"/>
  <c r="AY74" i="1"/>
  <c r="AX74" i="1"/>
  <c r="AW74" i="1"/>
  <c r="AV74" i="1"/>
  <c r="AU74" i="1"/>
  <c r="AT74" i="1"/>
  <c r="AS74" i="1"/>
  <c r="AR74" i="1"/>
  <c r="AQ74" i="1"/>
  <c r="AP74" i="1"/>
  <c r="AO74" i="1"/>
  <c r="AN74" i="1"/>
  <c r="AM74" i="1"/>
  <c r="BA73" i="1"/>
  <c r="AZ73" i="1"/>
  <c r="AY73" i="1"/>
  <c r="AX73" i="1"/>
  <c r="AW73" i="1"/>
  <c r="AV73" i="1"/>
  <c r="AU73" i="1"/>
  <c r="AT73" i="1"/>
  <c r="AS73" i="1"/>
  <c r="AR73" i="1"/>
  <c r="AQ73" i="1"/>
  <c r="AP73" i="1"/>
  <c r="AO73" i="1"/>
  <c r="AN73" i="1"/>
  <c r="AM73" i="1"/>
  <c r="BA72" i="1"/>
  <c r="AZ72" i="1"/>
  <c r="AY72" i="1"/>
  <c r="AX72" i="1"/>
  <c r="AW72" i="1"/>
  <c r="AV72" i="1"/>
  <c r="AU72" i="1"/>
  <c r="AT72" i="1"/>
  <c r="AS72" i="1"/>
  <c r="AR72" i="1"/>
  <c r="AQ72" i="1"/>
  <c r="AP72" i="1"/>
  <c r="AO72" i="1"/>
  <c r="AN72" i="1"/>
  <c r="AM72" i="1"/>
  <c r="BA71" i="1"/>
  <c r="AZ71" i="1"/>
  <c r="AY71" i="1"/>
  <c r="AX71" i="1"/>
  <c r="AW71" i="1"/>
  <c r="AV71" i="1"/>
  <c r="AU71" i="1"/>
  <c r="AT71" i="1"/>
  <c r="AS71" i="1"/>
  <c r="AR71" i="1"/>
  <c r="AQ71" i="1"/>
  <c r="AP71" i="1"/>
  <c r="AO71" i="1"/>
  <c r="AN71" i="1"/>
  <c r="AM71" i="1"/>
  <c r="BA70" i="1"/>
  <c r="AZ70" i="1"/>
  <c r="AY70" i="1"/>
  <c r="AX70" i="1"/>
  <c r="AW70" i="1"/>
  <c r="AV70" i="1"/>
  <c r="AU70" i="1"/>
  <c r="AT70" i="1"/>
  <c r="AS70" i="1"/>
  <c r="AR70" i="1"/>
  <c r="AQ70" i="1"/>
  <c r="AP70" i="1"/>
  <c r="AO70" i="1"/>
  <c r="AN70" i="1"/>
  <c r="AM70" i="1"/>
  <c r="BA69" i="1"/>
  <c r="AZ69" i="1"/>
  <c r="AY69" i="1"/>
  <c r="AX69" i="1"/>
  <c r="AW69" i="1"/>
  <c r="AV69" i="1"/>
  <c r="AU69" i="1"/>
  <c r="AT69" i="1"/>
  <c r="AS69" i="1"/>
  <c r="AR69" i="1"/>
  <c r="AQ69" i="1"/>
  <c r="AP69" i="1"/>
  <c r="AO69" i="1"/>
  <c r="AN69" i="1"/>
  <c r="AM69" i="1"/>
  <c r="BA68" i="1"/>
  <c r="AZ68" i="1"/>
  <c r="AY68" i="1"/>
  <c r="AX68" i="1"/>
  <c r="AW68" i="1"/>
  <c r="AV68" i="1"/>
  <c r="AU68" i="1"/>
  <c r="AT68" i="1"/>
  <c r="AS68" i="1"/>
  <c r="AR68" i="1"/>
  <c r="AQ68" i="1"/>
  <c r="AP68" i="1"/>
  <c r="AO68" i="1"/>
  <c r="AN68" i="1"/>
  <c r="AM68" i="1"/>
  <c r="BA67" i="1"/>
  <c r="AZ67" i="1"/>
  <c r="AY67" i="1"/>
  <c r="AX67" i="1"/>
  <c r="AW67" i="1"/>
  <c r="AV67" i="1"/>
  <c r="AU67" i="1"/>
  <c r="AT67" i="1"/>
  <c r="AS67" i="1"/>
  <c r="AR67" i="1"/>
  <c r="AQ67" i="1"/>
  <c r="AP67" i="1"/>
  <c r="AO67" i="1"/>
  <c r="AN67" i="1"/>
  <c r="AM67" i="1"/>
  <c r="BA65" i="1"/>
  <c r="AZ65" i="1"/>
  <c r="AY65" i="1"/>
  <c r="AX65" i="1"/>
  <c r="AW65" i="1"/>
  <c r="AV65" i="1"/>
  <c r="AU65" i="1"/>
  <c r="AT65" i="1"/>
  <c r="AS65" i="1"/>
  <c r="AR65" i="1"/>
  <c r="AQ65" i="1"/>
  <c r="AP65" i="1"/>
  <c r="AO65" i="1"/>
  <c r="AN65" i="1"/>
  <c r="AM65" i="1"/>
  <c r="BA64" i="1"/>
  <c r="AZ64" i="1"/>
  <c r="AY64" i="1"/>
  <c r="AX64" i="1"/>
  <c r="AW64" i="1"/>
  <c r="AV64" i="1"/>
  <c r="AU64" i="1"/>
  <c r="AT64" i="1"/>
  <c r="AS64" i="1"/>
  <c r="AR64" i="1"/>
  <c r="AQ64" i="1"/>
  <c r="AP64" i="1"/>
  <c r="AO64" i="1"/>
  <c r="AN64" i="1"/>
  <c r="AM64" i="1"/>
  <c r="BA63" i="1"/>
  <c r="AZ63" i="1"/>
  <c r="AY63" i="1"/>
  <c r="AX63" i="1"/>
  <c r="AW63" i="1"/>
  <c r="AV63" i="1"/>
  <c r="AU63" i="1"/>
  <c r="AT63" i="1"/>
  <c r="AS63" i="1"/>
  <c r="AR63" i="1"/>
  <c r="AQ63" i="1"/>
  <c r="AP63" i="1"/>
  <c r="AO63" i="1"/>
  <c r="AN63" i="1"/>
  <c r="AM63" i="1"/>
  <c r="BA62" i="1"/>
  <c r="AZ62" i="1"/>
  <c r="AY62" i="1"/>
  <c r="AX62" i="1"/>
  <c r="AW62" i="1"/>
  <c r="AV62" i="1"/>
  <c r="AU62" i="1"/>
  <c r="AT62" i="1"/>
  <c r="AS62" i="1"/>
  <c r="AR62" i="1"/>
  <c r="AQ62" i="1"/>
  <c r="AP62" i="1"/>
  <c r="AO62" i="1"/>
  <c r="AN62" i="1"/>
  <c r="AM62" i="1"/>
  <c r="BA61" i="1"/>
  <c r="AZ61" i="1"/>
  <c r="AY61" i="1"/>
  <c r="AX61" i="1"/>
  <c r="AW61" i="1"/>
  <c r="AV61" i="1"/>
  <c r="AU61" i="1"/>
  <c r="AT61" i="1"/>
  <c r="AS61" i="1"/>
  <c r="AR61" i="1"/>
  <c r="AQ61" i="1"/>
  <c r="AP61" i="1"/>
  <c r="AO61" i="1"/>
  <c r="AN61" i="1"/>
  <c r="AM61" i="1"/>
  <c r="BA60" i="1"/>
  <c r="AZ60" i="1"/>
  <c r="AY60" i="1"/>
  <c r="AX60" i="1"/>
  <c r="AW60" i="1"/>
  <c r="AV60" i="1"/>
  <c r="AU60" i="1"/>
  <c r="AT60" i="1"/>
  <c r="AS60" i="1"/>
  <c r="AR60" i="1"/>
  <c r="AQ60" i="1"/>
  <c r="AP60" i="1"/>
  <c r="AO60" i="1"/>
  <c r="AN60" i="1"/>
  <c r="AM60" i="1"/>
  <c r="BA59" i="1"/>
  <c r="AZ59" i="1"/>
  <c r="AY59" i="1"/>
  <c r="AX59" i="1"/>
  <c r="AW59" i="1"/>
  <c r="AV59" i="1"/>
  <c r="AU59" i="1"/>
  <c r="AT59" i="1"/>
  <c r="AS59" i="1"/>
  <c r="AR59" i="1"/>
  <c r="AQ59" i="1"/>
  <c r="AP59" i="1"/>
  <c r="AO59" i="1"/>
  <c r="AN59" i="1"/>
  <c r="AM59" i="1"/>
  <c r="BA58" i="1"/>
  <c r="AZ58" i="1"/>
  <c r="AY58" i="1"/>
  <c r="AX58" i="1"/>
  <c r="AW58" i="1"/>
  <c r="AV58" i="1"/>
  <c r="AU58" i="1"/>
  <c r="AT58" i="1"/>
  <c r="AS58" i="1"/>
  <c r="AR58" i="1"/>
  <c r="AQ58" i="1"/>
  <c r="AP58" i="1"/>
  <c r="AO58" i="1"/>
  <c r="AN58" i="1"/>
  <c r="AM58" i="1"/>
  <c r="BA57" i="1"/>
  <c r="AZ57" i="1"/>
  <c r="AY57" i="1"/>
  <c r="AX57" i="1"/>
  <c r="AW57" i="1"/>
  <c r="AV57" i="1"/>
  <c r="AU57" i="1"/>
  <c r="AT57" i="1"/>
  <c r="AS57" i="1"/>
  <c r="AR57" i="1"/>
  <c r="AQ57" i="1"/>
  <c r="AP57" i="1"/>
  <c r="AO57" i="1"/>
  <c r="AN57" i="1"/>
  <c r="AM57" i="1"/>
  <c r="BA56" i="1"/>
  <c r="AZ56" i="1"/>
  <c r="AY56" i="1"/>
  <c r="AX56" i="1"/>
  <c r="AW56" i="1"/>
  <c r="AV56" i="1"/>
  <c r="AU56" i="1"/>
  <c r="AT56" i="1"/>
  <c r="AS56" i="1"/>
  <c r="AR56" i="1"/>
  <c r="AQ56" i="1"/>
  <c r="AP56" i="1"/>
  <c r="AO56" i="1"/>
  <c r="AN56" i="1"/>
  <c r="AM56" i="1"/>
  <c r="BA54" i="1"/>
  <c r="AZ54" i="1"/>
  <c r="AY54" i="1"/>
  <c r="AX54" i="1"/>
  <c r="AW54" i="1"/>
  <c r="AV54" i="1"/>
  <c r="AU54" i="1"/>
  <c r="AT54" i="1"/>
  <c r="AS54" i="1"/>
  <c r="AR54" i="1"/>
  <c r="AQ54" i="1"/>
  <c r="AP54" i="1"/>
  <c r="AO54" i="1"/>
  <c r="AN54" i="1"/>
  <c r="AM54" i="1"/>
  <c r="BA53" i="1"/>
  <c r="AZ53" i="1"/>
  <c r="AY53" i="1"/>
  <c r="AX53" i="1"/>
  <c r="AW53" i="1"/>
  <c r="AV53" i="1"/>
  <c r="AU53" i="1"/>
  <c r="AT53" i="1"/>
  <c r="AS53" i="1"/>
  <c r="AR53" i="1"/>
  <c r="AQ53" i="1"/>
  <c r="AP53" i="1"/>
  <c r="AO53" i="1"/>
  <c r="AN53" i="1"/>
  <c r="AM53" i="1"/>
  <c r="BA52" i="1"/>
  <c r="AZ52" i="1"/>
  <c r="AY52" i="1"/>
  <c r="AX52" i="1"/>
  <c r="AW52" i="1"/>
  <c r="AV52" i="1"/>
  <c r="AU52" i="1"/>
  <c r="AT52" i="1"/>
  <c r="AS52" i="1"/>
  <c r="AR52" i="1"/>
  <c r="AQ52" i="1"/>
  <c r="AP52" i="1"/>
  <c r="AO52" i="1"/>
  <c r="AN52" i="1"/>
  <c r="AM52" i="1"/>
  <c r="BA51" i="1"/>
  <c r="AZ51" i="1"/>
  <c r="AY51" i="1"/>
  <c r="AX51" i="1"/>
  <c r="AW51" i="1"/>
  <c r="AV51" i="1"/>
  <c r="AU51" i="1"/>
  <c r="AT51" i="1"/>
  <c r="AS51" i="1"/>
  <c r="AR51" i="1"/>
  <c r="AQ51" i="1"/>
  <c r="AP51" i="1"/>
  <c r="AO51" i="1"/>
  <c r="AN51" i="1"/>
  <c r="AM51" i="1"/>
  <c r="BA50" i="1"/>
  <c r="AZ50" i="1"/>
  <c r="AY50" i="1"/>
  <c r="AX50" i="1"/>
  <c r="AW50" i="1"/>
  <c r="AV50" i="1"/>
  <c r="AU50" i="1"/>
  <c r="AT50" i="1"/>
  <c r="AS50" i="1"/>
  <c r="AR50" i="1"/>
  <c r="AQ50" i="1"/>
  <c r="AP50" i="1"/>
  <c r="AO50" i="1"/>
  <c r="AN50" i="1"/>
  <c r="AM50" i="1"/>
  <c r="BA49" i="1"/>
  <c r="AZ49" i="1"/>
  <c r="AY49" i="1"/>
  <c r="AX49" i="1"/>
  <c r="AW49" i="1"/>
  <c r="AV49" i="1"/>
  <c r="AU49" i="1"/>
  <c r="AT49" i="1"/>
  <c r="AS49" i="1"/>
  <c r="AR49" i="1"/>
  <c r="AQ49" i="1"/>
  <c r="AP49" i="1"/>
  <c r="AO49" i="1"/>
  <c r="AN49" i="1"/>
  <c r="AM49" i="1"/>
  <c r="BA48" i="1"/>
  <c r="AZ48" i="1"/>
  <c r="AY48" i="1"/>
  <c r="AX48" i="1"/>
  <c r="AW48" i="1"/>
  <c r="AV48" i="1"/>
  <c r="AU48" i="1"/>
  <c r="AT48" i="1"/>
  <c r="AS48" i="1"/>
  <c r="AR48" i="1"/>
  <c r="AQ48" i="1"/>
  <c r="AP48" i="1"/>
  <c r="AO48" i="1"/>
  <c r="AN48" i="1"/>
  <c r="AM48" i="1"/>
  <c r="BA47" i="1"/>
  <c r="AZ47" i="1"/>
  <c r="AY47" i="1"/>
  <c r="AX47" i="1"/>
  <c r="AW47" i="1"/>
  <c r="AV47" i="1"/>
  <c r="AU47" i="1"/>
  <c r="AT47" i="1"/>
  <c r="AS47" i="1"/>
  <c r="AR47" i="1"/>
  <c r="AQ47" i="1"/>
  <c r="AP47" i="1"/>
  <c r="AO47" i="1"/>
  <c r="AN47" i="1"/>
  <c r="AM47" i="1"/>
  <c r="BA46" i="1"/>
  <c r="AZ46" i="1"/>
  <c r="AY46" i="1"/>
  <c r="AX46" i="1"/>
  <c r="AW46" i="1"/>
  <c r="AV46" i="1"/>
  <c r="AU46" i="1"/>
  <c r="AT46" i="1"/>
  <c r="AS46" i="1"/>
  <c r="AR46" i="1"/>
  <c r="AQ46" i="1"/>
  <c r="AP46" i="1"/>
  <c r="AO46" i="1"/>
  <c r="AN46" i="1"/>
  <c r="AM46" i="1"/>
  <c r="BA45" i="1"/>
  <c r="AZ45" i="1"/>
  <c r="AY45" i="1"/>
  <c r="AX45" i="1"/>
  <c r="AW45" i="1"/>
  <c r="AV45" i="1"/>
  <c r="AU45" i="1"/>
  <c r="AT45" i="1"/>
  <c r="AS45" i="1"/>
  <c r="AR45" i="1"/>
  <c r="AQ45" i="1"/>
  <c r="AP45" i="1"/>
  <c r="AO45" i="1"/>
  <c r="AN45" i="1"/>
  <c r="AM45" i="1"/>
  <c r="BA40" i="1"/>
  <c r="AZ40" i="1"/>
  <c r="AY40" i="1"/>
  <c r="AX40" i="1"/>
  <c r="AW40" i="1"/>
  <c r="AV40" i="1"/>
  <c r="AU40" i="1"/>
  <c r="AT40" i="1"/>
  <c r="AS40" i="1"/>
  <c r="AR40" i="1"/>
  <c r="AQ40" i="1"/>
  <c r="AP40" i="1"/>
  <c r="AO40" i="1"/>
  <c r="AN40" i="1"/>
  <c r="AM40" i="1"/>
  <c r="BA39" i="1"/>
  <c r="AZ39" i="1"/>
  <c r="AY39" i="1"/>
  <c r="AX39" i="1"/>
  <c r="AW39" i="1"/>
  <c r="AV39" i="1"/>
  <c r="AU39" i="1"/>
  <c r="AT39" i="1"/>
  <c r="AS39" i="1"/>
  <c r="AR39" i="1"/>
  <c r="AQ39" i="1"/>
  <c r="AP39" i="1"/>
  <c r="AO39" i="1"/>
  <c r="AN39" i="1"/>
  <c r="AM39" i="1"/>
  <c r="BA38" i="1"/>
  <c r="AZ38" i="1"/>
  <c r="AY38" i="1"/>
  <c r="AX38" i="1"/>
  <c r="AW38" i="1"/>
  <c r="AV38" i="1"/>
  <c r="AU38" i="1"/>
  <c r="AT38" i="1"/>
  <c r="AS38" i="1"/>
  <c r="AR38" i="1"/>
  <c r="AQ38" i="1"/>
  <c r="AP38" i="1"/>
  <c r="AO38" i="1"/>
  <c r="AN38" i="1"/>
  <c r="AM38" i="1"/>
  <c r="BA37" i="1"/>
  <c r="AZ37" i="1"/>
  <c r="AY37" i="1"/>
  <c r="AX37" i="1"/>
  <c r="AW37" i="1"/>
  <c r="AV37" i="1"/>
  <c r="AU37" i="1"/>
  <c r="AT37" i="1"/>
  <c r="AS37" i="1"/>
  <c r="AR37" i="1"/>
  <c r="AQ37" i="1"/>
  <c r="AP37" i="1"/>
  <c r="AO37" i="1"/>
  <c r="AN37" i="1"/>
  <c r="AM37" i="1"/>
  <c r="BA36" i="1"/>
  <c r="AZ36" i="1"/>
  <c r="AY36" i="1"/>
  <c r="AX36" i="1"/>
  <c r="AW36" i="1"/>
  <c r="AV36" i="1"/>
  <c r="AU36" i="1"/>
  <c r="AT36" i="1"/>
  <c r="AS36" i="1"/>
  <c r="AR36" i="1"/>
  <c r="AQ36" i="1"/>
  <c r="AP36" i="1"/>
  <c r="AO36" i="1"/>
  <c r="AN36" i="1"/>
  <c r="AM36" i="1"/>
  <c r="BA35" i="1"/>
  <c r="AZ35" i="1"/>
  <c r="AY35" i="1"/>
  <c r="AX35" i="1"/>
  <c r="AW35" i="1"/>
  <c r="AV35" i="1"/>
  <c r="AU35" i="1"/>
  <c r="AT35" i="1"/>
  <c r="AS35" i="1"/>
  <c r="AR35" i="1"/>
  <c r="AQ35" i="1"/>
  <c r="AP35" i="1"/>
  <c r="AO35" i="1"/>
  <c r="AN35" i="1"/>
  <c r="AM35" i="1"/>
  <c r="BA34" i="1"/>
  <c r="AZ34" i="1"/>
  <c r="AY34" i="1"/>
  <c r="AX34" i="1"/>
  <c r="AW34" i="1"/>
  <c r="AV34" i="1"/>
  <c r="AU34" i="1"/>
  <c r="AT34" i="1"/>
  <c r="AS34" i="1"/>
  <c r="AR34" i="1"/>
  <c r="AQ34" i="1"/>
  <c r="AP34" i="1"/>
  <c r="AO34" i="1"/>
  <c r="AN34" i="1"/>
  <c r="AM34" i="1"/>
  <c r="BA33" i="1"/>
  <c r="AZ33" i="1"/>
  <c r="AY33" i="1"/>
  <c r="AX33" i="1"/>
  <c r="AW33" i="1"/>
  <c r="AV33" i="1"/>
  <c r="AU33" i="1"/>
  <c r="AT33" i="1"/>
  <c r="AS33" i="1"/>
  <c r="AR33" i="1"/>
  <c r="AQ33" i="1"/>
  <c r="AP33" i="1"/>
  <c r="AO33" i="1"/>
  <c r="AN33" i="1"/>
  <c r="AM33" i="1"/>
  <c r="BA32" i="1"/>
  <c r="AZ32" i="1"/>
  <c r="AY32" i="1"/>
  <c r="AX32" i="1"/>
  <c r="AW32" i="1"/>
  <c r="AV32" i="1"/>
  <c r="AU32" i="1"/>
  <c r="AT32" i="1"/>
  <c r="AS32" i="1"/>
  <c r="AR32" i="1"/>
  <c r="AQ32" i="1"/>
  <c r="AP32" i="1"/>
  <c r="AO32" i="1"/>
  <c r="AN32" i="1"/>
  <c r="AM32" i="1"/>
  <c r="BA31" i="1"/>
  <c r="AZ31" i="1"/>
  <c r="AY31" i="1"/>
  <c r="AX31" i="1"/>
  <c r="AW31" i="1"/>
  <c r="AV31" i="1"/>
  <c r="AU31" i="1"/>
  <c r="AT31" i="1"/>
  <c r="AS31" i="1"/>
  <c r="AR31" i="1"/>
  <c r="AQ31" i="1"/>
  <c r="AP31" i="1"/>
  <c r="AO31" i="1"/>
  <c r="AN31" i="1"/>
  <c r="AM31" i="1"/>
  <c r="BA28" i="1"/>
  <c r="AZ28" i="1"/>
  <c r="AY28" i="1"/>
  <c r="AX28" i="1"/>
  <c r="AW28" i="1"/>
  <c r="AV28" i="1"/>
  <c r="AU28" i="1"/>
  <c r="AT28" i="1"/>
  <c r="AS28" i="1"/>
  <c r="AR28" i="1"/>
  <c r="AQ28" i="1"/>
  <c r="AP28" i="1"/>
  <c r="AO28" i="1"/>
  <c r="AN28" i="1"/>
  <c r="AM28" i="1"/>
  <c r="BA27" i="1"/>
  <c r="AZ27" i="1"/>
  <c r="AY27" i="1"/>
  <c r="AX27" i="1"/>
  <c r="AW27" i="1"/>
  <c r="AV27" i="1"/>
  <c r="AU27" i="1"/>
  <c r="AT27" i="1"/>
  <c r="AS27" i="1"/>
  <c r="AR27" i="1"/>
  <c r="AQ27" i="1"/>
  <c r="AP27" i="1"/>
  <c r="AO27" i="1"/>
  <c r="AN27" i="1"/>
  <c r="AM27" i="1"/>
  <c r="BA26" i="1"/>
  <c r="AZ26" i="1"/>
  <c r="AY26" i="1"/>
  <c r="AX26" i="1"/>
  <c r="AW26" i="1"/>
  <c r="AV26" i="1"/>
  <c r="AU26" i="1"/>
  <c r="AT26" i="1"/>
  <c r="AS26" i="1"/>
  <c r="AR26" i="1"/>
  <c r="AQ26" i="1"/>
  <c r="AP26" i="1"/>
  <c r="AO26" i="1"/>
  <c r="AN26" i="1"/>
  <c r="AM26" i="1"/>
  <c r="BA25" i="1"/>
  <c r="AZ25" i="1"/>
  <c r="AY25" i="1"/>
  <c r="AX25" i="1"/>
  <c r="AW25" i="1"/>
  <c r="AV25" i="1"/>
  <c r="AU25" i="1"/>
  <c r="AT25" i="1"/>
  <c r="AS25" i="1"/>
  <c r="AR25" i="1"/>
  <c r="AQ25" i="1"/>
  <c r="AP25" i="1"/>
  <c r="AO25" i="1"/>
  <c r="AN25" i="1"/>
  <c r="AM25" i="1"/>
  <c r="BA24" i="1"/>
  <c r="AZ24" i="1"/>
  <c r="AY24" i="1"/>
  <c r="AX24" i="1"/>
  <c r="AW24" i="1"/>
  <c r="AV24" i="1"/>
  <c r="AU24" i="1"/>
  <c r="AT24" i="1"/>
  <c r="AS24" i="1"/>
  <c r="AR24" i="1"/>
  <c r="AQ24" i="1"/>
  <c r="AP24" i="1"/>
  <c r="AO24" i="1"/>
  <c r="AN24" i="1"/>
  <c r="AM24" i="1"/>
  <c r="BA23" i="1"/>
  <c r="AZ23" i="1"/>
  <c r="AY23" i="1"/>
  <c r="AX23" i="1"/>
  <c r="AW23" i="1"/>
  <c r="AV23" i="1"/>
  <c r="AU23" i="1"/>
  <c r="AT23" i="1"/>
  <c r="AS23" i="1"/>
  <c r="AR23" i="1"/>
  <c r="AQ23" i="1"/>
  <c r="AP23" i="1"/>
  <c r="AO23" i="1"/>
  <c r="AN23" i="1"/>
  <c r="AM23" i="1"/>
  <c r="BA22" i="1"/>
  <c r="AZ22" i="1"/>
  <c r="AY22" i="1"/>
  <c r="AX22" i="1"/>
  <c r="AW22" i="1"/>
  <c r="AV22" i="1"/>
  <c r="AU22" i="1"/>
  <c r="AT22" i="1"/>
  <c r="AS22" i="1"/>
  <c r="AR22" i="1"/>
  <c r="AQ22" i="1"/>
  <c r="AP22" i="1"/>
  <c r="AO22" i="1"/>
  <c r="AN22" i="1"/>
  <c r="AM22" i="1"/>
  <c r="BA21" i="1"/>
  <c r="AZ21" i="1"/>
  <c r="AY21" i="1"/>
  <c r="AX21" i="1"/>
  <c r="AW21" i="1"/>
  <c r="AV21" i="1"/>
  <c r="AU21" i="1"/>
  <c r="AT21" i="1"/>
  <c r="AS21" i="1"/>
  <c r="AR21" i="1"/>
  <c r="AQ21" i="1"/>
  <c r="AP21" i="1"/>
  <c r="AO21" i="1"/>
  <c r="AN21" i="1"/>
  <c r="AM21" i="1"/>
  <c r="BA20" i="1"/>
  <c r="AZ20" i="1"/>
  <c r="AY20" i="1"/>
  <c r="AX20" i="1"/>
  <c r="AW20" i="1"/>
  <c r="AV20" i="1"/>
  <c r="AU20" i="1"/>
  <c r="AT20" i="1"/>
  <c r="AS20" i="1"/>
  <c r="AR20" i="1"/>
  <c r="AQ20" i="1"/>
  <c r="AP20" i="1"/>
  <c r="AO20" i="1"/>
  <c r="AN20" i="1"/>
  <c r="AM20" i="1"/>
  <c r="BA19" i="1"/>
  <c r="AZ19" i="1"/>
  <c r="AY19" i="1"/>
  <c r="AX19" i="1"/>
  <c r="AW19" i="1"/>
  <c r="AV19" i="1"/>
  <c r="AU19" i="1"/>
  <c r="AT19" i="1"/>
  <c r="AS19" i="1"/>
  <c r="AR19" i="1"/>
  <c r="AQ19" i="1"/>
  <c r="AP19" i="1"/>
  <c r="AO19" i="1"/>
  <c r="AN19" i="1"/>
  <c r="AM19" i="1"/>
  <c r="BA17" i="1"/>
  <c r="AZ17" i="1"/>
  <c r="AY17" i="1"/>
  <c r="AX17" i="1"/>
  <c r="AW17" i="1"/>
  <c r="AV17" i="1"/>
  <c r="AU17" i="1"/>
  <c r="AT17" i="1"/>
  <c r="AS17" i="1"/>
  <c r="AR17" i="1"/>
  <c r="AQ17" i="1"/>
  <c r="AP17" i="1"/>
  <c r="AO17" i="1"/>
  <c r="AN17" i="1"/>
  <c r="AM17" i="1"/>
  <c r="BA16" i="1"/>
  <c r="AZ16" i="1"/>
  <c r="AY16" i="1"/>
  <c r="AX16" i="1"/>
  <c r="AW16" i="1"/>
  <c r="AV16" i="1"/>
  <c r="AU16" i="1"/>
  <c r="AT16" i="1"/>
  <c r="AS16" i="1"/>
  <c r="AR16" i="1"/>
  <c r="AQ16" i="1"/>
  <c r="AP16" i="1"/>
  <c r="AO16" i="1"/>
  <c r="AN16" i="1"/>
  <c r="AM16" i="1"/>
  <c r="BA15" i="1"/>
  <c r="AZ15" i="1"/>
  <c r="AY15" i="1"/>
  <c r="AX15" i="1"/>
  <c r="AW15" i="1"/>
  <c r="AV15" i="1"/>
  <c r="AU15" i="1"/>
  <c r="AT15" i="1"/>
  <c r="AS15" i="1"/>
  <c r="AR15" i="1"/>
  <c r="AQ15" i="1"/>
  <c r="AP15" i="1"/>
  <c r="AO15" i="1"/>
  <c r="AN15" i="1"/>
  <c r="AM15" i="1"/>
  <c r="BA14" i="1"/>
  <c r="AZ14" i="1"/>
  <c r="AY14" i="1"/>
  <c r="AX14" i="1"/>
  <c r="AW14" i="1"/>
  <c r="AV14" i="1"/>
  <c r="AU14" i="1"/>
  <c r="AT14" i="1"/>
  <c r="AS14" i="1"/>
  <c r="AR14" i="1"/>
  <c r="AQ14" i="1"/>
  <c r="AP14" i="1"/>
  <c r="AO14" i="1"/>
  <c r="AN14" i="1"/>
  <c r="AM14" i="1"/>
  <c r="BA13" i="1"/>
  <c r="AZ13" i="1"/>
  <c r="AY13" i="1"/>
  <c r="AX13" i="1"/>
  <c r="AW13" i="1"/>
  <c r="AV13" i="1"/>
  <c r="AU13" i="1"/>
  <c r="AT13" i="1"/>
  <c r="AS13" i="1"/>
  <c r="AR13" i="1"/>
  <c r="AQ13" i="1"/>
  <c r="AP13" i="1"/>
  <c r="AO13" i="1"/>
  <c r="AN13" i="1"/>
  <c r="AM13" i="1"/>
  <c r="BA12" i="1"/>
  <c r="AZ12" i="1"/>
  <c r="AY12" i="1"/>
  <c r="AX12" i="1"/>
  <c r="AW12" i="1"/>
  <c r="AV12" i="1"/>
  <c r="AU12" i="1"/>
  <c r="AT12" i="1"/>
  <c r="AS12" i="1"/>
  <c r="AR12" i="1"/>
  <c r="AQ12" i="1"/>
  <c r="AP12" i="1"/>
  <c r="AO12" i="1"/>
  <c r="AN12" i="1"/>
  <c r="AM12" i="1"/>
  <c r="BA11" i="1"/>
  <c r="AZ11" i="1"/>
  <c r="AY11" i="1"/>
  <c r="AX11" i="1"/>
  <c r="AW11" i="1"/>
  <c r="AV11" i="1"/>
  <c r="AU11" i="1"/>
  <c r="AT11" i="1"/>
  <c r="AS11" i="1"/>
  <c r="AR11" i="1"/>
  <c r="AQ11" i="1"/>
  <c r="AP11" i="1"/>
  <c r="AO11" i="1"/>
  <c r="AN11" i="1"/>
  <c r="AM11" i="1"/>
  <c r="BA10" i="1"/>
  <c r="AZ10" i="1"/>
  <c r="AY10" i="1"/>
  <c r="AX10" i="1"/>
  <c r="AW10" i="1"/>
  <c r="AV10" i="1"/>
  <c r="AU10" i="1"/>
  <c r="AT10" i="1"/>
  <c r="AS10" i="1"/>
  <c r="AR10" i="1"/>
  <c r="AQ10" i="1"/>
  <c r="AP10" i="1"/>
  <c r="AO10" i="1"/>
  <c r="AN10" i="1"/>
  <c r="AM10" i="1"/>
  <c r="BA9" i="1"/>
  <c r="AZ9" i="1"/>
  <c r="AY9" i="1"/>
  <c r="AX9" i="1"/>
  <c r="AW9" i="1"/>
  <c r="AV9" i="1"/>
  <c r="AU9" i="1"/>
  <c r="AT9" i="1"/>
  <c r="AS9" i="1"/>
  <c r="AR9" i="1"/>
  <c r="AQ9" i="1"/>
  <c r="AP9" i="1"/>
  <c r="AO9" i="1"/>
  <c r="AN9" i="1"/>
  <c r="AM9" i="1"/>
  <c r="B8" i="216"/>
  <c r="B9" i="216"/>
  <c r="B10" i="216"/>
  <c r="B11" i="216"/>
  <c r="B12" i="216"/>
  <c r="B13" i="216"/>
  <c r="B14" i="216"/>
  <c r="B15" i="216"/>
  <c r="B16" i="216"/>
  <c r="B7" i="216"/>
  <c r="AB4" i="213" a="1"/>
  <c r="AB4" i="213" s="1"/>
  <c r="AF8" i="223"/>
  <c r="AF9" i="223"/>
  <c r="AF10" i="223"/>
  <c r="AF11" i="223"/>
  <c r="AF12" i="223"/>
  <c r="AF13" i="223"/>
  <c r="AF14" i="223"/>
  <c r="AF15" i="223"/>
  <c r="AF16" i="223"/>
  <c r="AF17" i="223"/>
  <c r="G8" i="11"/>
  <c r="AF19" i="223"/>
  <c r="AF20" i="223"/>
  <c r="AF21" i="223"/>
  <c r="AF22" i="223"/>
  <c r="AF23" i="223"/>
  <c r="AF24" i="223"/>
  <c r="AF25" i="223"/>
  <c r="AF26" i="223"/>
  <c r="AF27" i="223"/>
  <c r="AF28" i="223"/>
  <c r="G9" i="11"/>
  <c r="G7" i="11"/>
  <c r="AF31" i="223"/>
  <c r="AF32" i="223"/>
  <c r="AF33" i="223"/>
  <c r="AF34" i="223"/>
  <c r="AF35" i="223"/>
  <c r="AF36" i="223"/>
  <c r="AF37" i="223"/>
  <c r="AF38" i="223"/>
  <c r="AF39" i="223"/>
  <c r="AF40" i="223"/>
  <c r="G11" i="11"/>
  <c r="G10" i="11"/>
  <c r="G12" i="11"/>
  <c r="AF89" i="223"/>
  <c r="AF90" i="223"/>
  <c r="AF91" i="223"/>
  <c r="AF92" i="223"/>
  <c r="AF93" i="223"/>
  <c r="AF94" i="223"/>
  <c r="AF95" i="223"/>
  <c r="AF96" i="223"/>
  <c r="AF97" i="223"/>
  <c r="AF98" i="223"/>
  <c r="G19" i="11"/>
  <c r="AF78" i="223"/>
  <c r="AF79" i="223"/>
  <c r="AF80" i="223"/>
  <c r="AF81" i="223"/>
  <c r="AF82" i="223"/>
  <c r="AF83" i="223"/>
  <c r="AF84" i="223"/>
  <c r="AF85" i="223"/>
  <c r="AF86" i="223"/>
  <c r="AF87" i="223"/>
  <c r="G18" i="11"/>
  <c r="AF45" i="223"/>
  <c r="AF46" i="223"/>
  <c r="AF47" i="223"/>
  <c r="AF48" i="223"/>
  <c r="AF49" i="223"/>
  <c r="AF50" i="223"/>
  <c r="AF51" i="223"/>
  <c r="AF52" i="223"/>
  <c r="AF53" i="223"/>
  <c r="AF54" i="223"/>
  <c r="G15" i="11"/>
  <c r="AF56" i="223"/>
  <c r="AF57" i="223"/>
  <c r="AF58" i="223"/>
  <c r="AF59" i="223"/>
  <c r="AF60" i="223"/>
  <c r="AF61" i="223"/>
  <c r="AF62" i="223"/>
  <c r="AF63" i="223"/>
  <c r="AF64" i="223"/>
  <c r="AF65" i="223"/>
  <c r="G16" i="11"/>
  <c r="AF67" i="223"/>
  <c r="AF68" i="223"/>
  <c r="AF69" i="223"/>
  <c r="AF70" i="223"/>
  <c r="AF71" i="223"/>
  <c r="AF72" i="223"/>
  <c r="AF73" i="223"/>
  <c r="AF74" i="223"/>
  <c r="AF75" i="223"/>
  <c r="AF76" i="223"/>
  <c r="G17" i="11"/>
  <c r="G14" i="11"/>
  <c r="AF101" i="223"/>
  <c r="AF102" i="223"/>
  <c r="AF103" i="223"/>
  <c r="AF104" i="223"/>
  <c r="AF105" i="223"/>
  <c r="AF106" i="223"/>
  <c r="AF107" i="223"/>
  <c r="AF108" i="223"/>
  <c r="AF109" i="223"/>
  <c r="AF110" i="223"/>
  <c r="G21" i="11"/>
  <c r="AF112" i="223"/>
  <c r="AF113" i="223"/>
  <c r="AF114" i="223"/>
  <c r="AF115" i="223"/>
  <c r="AF116" i="223"/>
  <c r="AF117" i="223"/>
  <c r="AF118" i="223"/>
  <c r="AF119" i="223"/>
  <c r="AF120" i="223"/>
  <c r="AF121" i="223"/>
  <c r="G22" i="11"/>
  <c r="AF123" i="223"/>
  <c r="AF124" i="223"/>
  <c r="AF125" i="223"/>
  <c r="AF126" i="223"/>
  <c r="AF127" i="223"/>
  <c r="AF128" i="223"/>
  <c r="AF129" i="223"/>
  <c r="AF130" i="223"/>
  <c r="AF131" i="223"/>
  <c r="AF132" i="223"/>
  <c r="G23" i="11"/>
  <c r="G20" i="11"/>
  <c r="AF134" i="223"/>
  <c r="AF135" i="223"/>
  <c r="AF136" i="223"/>
  <c r="AF137" i="223"/>
  <c r="AF138" i="223"/>
  <c r="AF139" i="223"/>
  <c r="AF140" i="223"/>
  <c r="AF141" i="223"/>
  <c r="AF142" i="223"/>
  <c r="AF143" i="223"/>
  <c r="G24" i="11"/>
  <c r="AF145" i="223"/>
  <c r="AF146" i="223"/>
  <c r="AF147" i="223"/>
  <c r="AF148" i="223"/>
  <c r="AF149" i="223"/>
  <c r="AF150" i="223"/>
  <c r="AF151" i="223"/>
  <c r="AF152" i="223"/>
  <c r="AF153" i="223"/>
  <c r="AF154" i="223"/>
  <c r="G25" i="11"/>
  <c r="AF157" i="223"/>
  <c r="AF158" i="223"/>
  <c r="AF159" i="223"/>
  <c r="AF160" i="223"/>
  <c r="AF161" i="223"/>
  <c r="AF162" i="223"/>
  <c r="AF163" i="223"/>
  <c r="AF164" i="223"/>
  <c r="AF165" i="223"/>
  <c r="AF166" i="223"/>
  <c r="G27" i="11"/>
  <c r="AF168" i="223"/>
  <c r="AF169" i="223"/>
  <c r="AF170" i="223"/>
  <c r="AF171" i="223"/>
  <c r="AF172" i="223"/>
  <c r="AF173" i="223"/>
  <c r="AF174" i="223"/>
  <c r="AF175" i="223"/>
  <c r="AF176" i="223"/>
  <c r="AF177" i="223"/>
  <c r="G28" i="11"/>
  <c r="G26" i="11"/>
  <c r="AF179" i="223"/>
  <c r="AF180" i="223"/>
  <c r="AF181" i="223"/>
  <c r="AF182" i="223"/>
  <c r="AF183" i="223"/>
  <c r="AF184" i="223"/>
  <c r="AF185" i="223"/>
  <c r="AF186" i="223"/>
  <c r="AF187" i="223"/>
  <c r="AF188" i="223"/>
  <c r="G29" i="11"/>
  <c r="AF190" i="223"/>
  <c r="AF191" i="223"/>
  <c r="AF192" i="223"/>
  <c r="AF193" i="223"/>
  <c r="AF194" i="223"/>
  <c r="AF195" i="223"/>
  <c r="AF196" i="223"/>
  <c r="AF197" i="223"/>
  <c r="AF198" i="223"/>
  <c r="AF199" i="223"/>
  <c r="G30" i="11"/>
  <c r="G31" i="11"/>
  <c r="G32" i="11"/>
  <c r="AF214" i="223"/>
  <c r="AF215" i="223"/>
  <c r="AF216" i="223"/>
  <c r="AF217" i="223"/>
  <c r="AF218" i="223"/>
  <c r="AF219" i="223"/>
  <c r="AF220" i="223"/>
  <c r="AF221" i="223"/>
  <c r="AF222" i="223"/>
  <c r="AF223" i="223"/>
  <c r="G34" i="11"/>
  <c r="AF203" i="223"/>
  <c r="AF204" i="223"/>
  <c r="AF205" i="223"/>
  <c r="AF206" i="223"/>
  <c r="AF207" i="223"/>
  <c r="AF208" i="223"/>
  <c r="AF209" i="223"/>
  <c r="AF210" i="223"/>
  <c r="AF211" i="223"/>
  <c r="AF212" i="223"/>
  <c r="G33" i="11"/>
  <c r="G35" i="11"/>
  <c r="AG89" i="223"/>
  <c r="AG90" i="223"/>
  <c r="AG91" i="223"/>
  <c r="AG92" i="223"/>
  <c r="AG93" i="223"/>
  <c r="AG94" i="223"/>
  <c r="AG95" i="223"/>
  <c r="AG96" i="223"/>
  <c r="AG97" i="223"/>
  <c r="AG98" i="223"/>
  <c r="H19" i="11"/>
  <c r="AG78" i="223"/>
  <c r="AG79" i="223"/>
  <c r="AG80" i="223"/>
  <c r="AG81" i="223"/>
  <c r="AG82" i="223"/>
  <c r="AG83" i="223"/>
  <c r="AG84" i="223"/>
  <c r="AG85" i="223"/>
  <c r="AG86" i="223"/>
  <c r="AG87" i="223"/>
  <c r="H18" i="11"/>
  <c r="AG45" i="223"/>
  <c r="AG46" i="223"/>
  <c r="AG47" i="223"/>
  <c r="AG48" i="223"/>
  <c r="AG49" i="223"/>
  <c r="AG50" i="223"/>
  <c r="AG51" i="223"/>
  <c r="AG52" i="223"/>
  <c r="AG53" i="223"/>
  <c r="AG54" i="223"/>
  <c r="H15" i="11"/>
  <c r="AG56" i="223"/>
  <c r="AG57" i="223"/>
  <c r="AG58" i="223"/>
  <c r="AG59" i="223"/>
  <c r="AG60" i="223"/>
  <c r="AG61" i="223"/>
  <c r="AG62" i="223"/>
  <c r="AG63" i="223"/>
  <c r="AG64" i="223"/>
  <c r="AG65" i="223"/>
  <c r="H16" i="11"/>
  <c r="AG67" i="223"/>
  <c r="AG68" i="223"/>
  <c r="AG69" i="223"/>
  <c r="AG70" i="223"/>
  <c r="AG71" i="223"/>
  <c r="AG72" i="223"/>
  <c r="AG73" i="223"/>
  <c r="AG74" i="223"/>
  <c r="AG75" i="223"/>
  <c r="AG76" i="223"/>
  <c r="H17" i="11"/>
  <c r="H14" i="11"/>
  <c r="AG101" i="223"/>
  <c r="AG102" i="223"/>
  <c r="AG103" i="223"/>
  <c r="AG104" i="223"/>
  <c r="AG105" i="223"/>
  <c r="AG106" i="223"/>
  <c r="AG107" i="223"/>
  <c r="AG108" i="223"/>
  <c r="AG109" i="223"/>
  <c r="AG110" i="223"/>
  <c r="H21" i="11"/>
  <c r="AG112" i="223"/>
  <c r="AG113" i="223"/>
  <c r="AG114" i="223"/>
  <c r="AG115" i="223"/>
  <c r="AG116" i="223"/>
  <c r="AG117" i="223"/>
  <c r="AG118" i="223"/>
  <c r="AG119" i="223"/>
  <c r="AG120" i="223"/>
  <c r="AG121" i="223"/>
  <c r="H22" i="11"/>
  <c r="AG123" i="223"/>
  <c r="AG124" i="223"/>
  <c r="AG125" i="223"/>
  <c r="AG126" i="223"/>
  <c r="AG127" i="223"/>
  <c r="AG128" i="223"/>
  <c r="AG129" i="223"/>
  <c r="AG130" i="223"/>
  <c r="AG131" i="223"/>
  <c r="AG132" i="223"/>
  <c r="H23" i="11"/>
  <c r="H20" i="11"/>
  <c r="AG134" i="223"/>
  <c r="AG135" i="223"/>
  <c r="AG136" i="223"/>
  <c r="AG137" i="223"/>
  <c r="AG138" i="223"/>
  <c r="AG139" i="223"/>
  <c r="AG140" i="223"/>
  <c r="AG141" i="223"/>
  <c r="AG142" i="223"/>
  <c r="AG143" i="223"/>
  <c r="H24" i="11"/>
  <c r="AG145" i="223"/>
  <c r="AG146" i="223"/>
  <c r="AG147" i="223"/>
  <c r="AG148" i="223"/>
  <c r="AG149" i="223"/>
  <c r="AG150" i="223"/>
  <c r="AG151" i="223"/>
  <c r="AG152" i="223"/>
  <c r="AG153" i="223"/>
  <c r="AG154" i="223"/>
  <c r="H25" i="11"/>
  <c r="AG157" i="223"/>
  <c r="AG158" i="223"/>
  <c r="AG159" i="223"/>
  <c r="AG160" i="223"/>
  <c r="AG161" i="223"/>
  <c r="AG162" i="223"/>
  <c r="AG163" i="223"/>
  <c r="AG164" i="223"/>
  <c r="AG165" i="223"/>
  <c r="AG166" i="223"/>
  <c r="H27" i="11"/>
  <c r="AG168" i="223"/>
  <c r="AG169" i="223"/>
  <c r="AG170" i="223"/>
  <c r="AG171" i="223"/>
  <c r="AG172" i="223"/>
  <c r="AG173" i="223"/>
  <c r="AG174" i="223"/>
  <c r="AG175" i="223"/>
  <c r="AG176" i="223"/>
  <c r="AG177" i="223"/>
  <c r="H28" i="11"/>
  <c r="H26" i="11"/>
  <c r="AG179" i="223"/>
  <c r="AG180" i="223"/>
  <c r="AG181" i="223"/>
  <c r="AG182" i="223"/>
  <c r="AG183" i="223"/>
  <c r="AG184" i="223"/>
  <c r="AG185" i="223"/>
  <c r="AG186" i="223"/>
  <c r="AG187" i="223"/>
  <c r="AG188" i="223"/>
  <c r="H29" i="11"/>
  <c r="AG190" i="223"/>
  <c r="AG191" i="223"/>
  <c r="AG192" i="223"/>
  <c r="AG193" i="223"/>
  <c r="AG194" i="223"/>
  <c r="AG195" i="223"/>
  <c r="AG196" i="223"/>
  <c r="AG197" i="223"/>
  <c r="AG198" i="223"/>
  <c r="AG199" i="223"/>
  <c r="H30" i="11"/>
  <c r="H31" i="11"/>
  <c r="AG8" i="223"/>
  <c r="AG9" i="223"/>
  <c r="AG10" i="223"/>
  <c r="AG11" i="223"/>
  <c r="AG12" i="223"/>
  <c r="AG13" i="223"/>
  <c r="AG14" i="223"/>
  <c r="AG15" i="223"/>
  <c r="AG16" i="223"/>
  <c r="AG17" i="223"/>
  <c r="H8" i="11"/>
  <c r="AG19" i="223"/>
  <c r="AG20" i="223"/>
  <c r="AG21" i="223"/>
  <c r="AG22" i="223"/>
  <c r="AG23" i="223"/>
  <c r="AG24" i="223"/>
  <c r="AG25" i="223"/>
  <c r="AG26" i="223"/>
  <c r="AG27" i="223"/>
  <c r="AG28" i="223"/>
  <c r="H9" i="11"/>
  <c r="H7" i="11"/>
  <c r="AG31" i="223"/>
  <c r="AG32" i="223"/>
  <c r="AG33" i="223"/>
  <c r="AG34" i="223"/>
  <c r="AG35" i="223"/>
  <c r="AG36" i="223"/>
  <c r="AG37" i="223"/>
  <c r="AG38" i="223"/>
  <c r="AG39" i="223"/>
  <c r="AG40" i="223"/>
  <c r="H11" i="11"/>
  <c r="H10" i="11"/>
  <c r="H12" i="11"/>
  <c r="H32" i="11"/>
  <c r="AG214" i="223"/>
  <c r="AG215" i="223"/>
  <c r="AG216" i="223"/>
  <c r="AG217" i="223"/>
  <c r="AG218" i="223"/>
  <c r="AG219" i="223"/>
  <c r="AG220" i="223"/>
  <c r="AG221" i="223"/>
  <c r="AG222" i="223"/>
  <c r="AG223" i="223"/>
  <c r="H34" i="11"/>
  <c r="AG203" i="223"/>
  <c r="AG204" i="223"/>
  <c r="AG205" i="223"/>
  <c r="AG206" i="223"/>
  <c r="AG207" i="223"/>
  <c r="AG208" i="223"/>
  <c r="AG209" i="223"/>
  <c r="AG210" i="223"/>
  <c r="AG211" i="223"/>
  <c r="AG212" i="223"/>
  <c r="H33" i="11"/>
  <c r="H35" i="11"/>
  <c r="AH89" i="223"/>
  <c r="AH90" i="223"/>
  <c r="AH91" i="223"/>
  <c r="AH92" i="223"/>
  <c r="AH93" i="223"/>
  <c r="AH94" i="223"/>
  <c r="AH95" i="223"/>
  <c r="AH96" i="223"/>
  <c r="AH97" i="223"/>
  <c r="AH98" i="223"/>
  <c r="I19" i="11"/>
  <c r="AH78" i="223"/>
  <c r="AH79" i="223"/>
  <c r="AH80" i="223"/>
  <c r="AH81" i="223"/>
  <c r="AH82" i="223"/>
  <c r="AH83" i="223"/>
  <c r="AH84" i="223"/>
  <c r="AH85" i="223"/>
  <c r="AH86" i="223"/>
  <c r="AH87" i="223"/>
  <c r="I18" i="11"/>
  <c r="AH45" i="223"/>
  <c r="AH46" i="223"/>
  <c r="AH47" i="223"/>
  <c r="AH48" i="223"/>
  <c r="AH49" i="223"/>
  <c r="AH50" i="223"/>
  <c r="AH51" i="223"/>
  <c r="AH52" i="223"/>
  <c r="AH53" i="223"/>
  <c r="AH54" i="223"/>
  <c r="I15" i="11"/>
  <c r="AH56" i="223"/>
  <c r="AH57" i="223"/>
  <c r="AH58" i="223"/>
  <c r="AH59" i="223"/>
  <c r="AH60" i="223"/>
  <c r="AH61" i="223"/>
  <c r="AH62" i="223"/>
  <c r="AH63" i="223"/>
  <c r="AH64" i="223"/>
  <c r="AH65" i="223"/>
  <c r="I16" i="11"/>
  <c r="AH67" i="223"/>
  <c r="AH68" i="223"/>
  <c r="AH69" i="223"/>
  <c r="AH70" i="223"/>
  <c r="AH71" i="223"/>
  <c r="AH72" i="223"/>
  <c r="AH73" i="223"/>
  <c r="AH74" i="223"/>
  <c r="AH75" i="223"/>
  <c r="AH76" i="223"/>
  <c r="I17" i="11"/>
  <c r="I14" i="11"/>
  <c r="AH101" i="223"/>
  <c r="AH102" i="223"/>
  <c r="AH103" i="223"/>
  <c r="AH104" i="223"/>
  <c r="AH105" i="223"/>
  <c r="AH106" i="223"/>
  <c r="AH107" i="223"/>
  <c r="AH108" i="223"/>
  <c r="AH109" i="223"/>
  <c r="AH110" i="223"/>
  <c r="I21" i="11"/>
  <c r="AH112" i="223"/>
  <c r="AH113" i="223"/>
  <c r="AH114" i="223"/>
  <c r="AH115" i="223"/>
  <c r="AH116" i="223"/>
  <c r="AH117" i="223"/>
  <c r="AH118" i="223"/>
  <c r="AH119" i="223"/>
  <c r="AH120" i="223"/>
  <c r="AH121" i="223"/>
  <c r="I22" i="11"/>
  <c r="AH123" i="223"/>
  <c r="AH124" i="223"/>
  <c r="AH125" i="223"/>
  <c r="AH126" i="223"/>
  <c r="AH127" i="223"/>
  <c r="AH128" i="223"/>
  <c r="AH129" i="223"/>
  <c r="AH130" i="223"/>
  <c r="AH131" i="223"/>
  <c r="AH132" i="223"/>
  <c r="I23" i="11"/>
  <c r="I20" i="11"/>
  <c r="AH134" i="223"/>
  <c r="AH135" i="223"/>
  <c r="AH136" i="223"/>
  <c r="AH137" i="223"/>
  <c r="AH138" i="223"/>
  <c r="AH139" i="223"/>
  <c r="AH140" i="223"/>
  <c r="AH141" i="223"/>
  <c r="AH142" i="223"/>
  <c r="AH143" i="223"/>
  <c r="I24" i="11"/>
  <c r="AH145" i="223"/>
  <c r="AH146" i="223"/>
  <c r="AH147" i="223"/>
  <c r="AH148" i="223"/>
  <c r="AH149" i="223"/>
  <c r="AH150" i="223"/>
  <c r="AH151" i="223"/>
  <c r="AH152" i="223"/>
  <c r="AH153" i="223"/>
  <c r="AH154" i="223"/>
  <c r="I25" i="11"/>
  <c r="AH157" i="223"/>
  <c r="AH158" i="223"/>
  <c r="AH159" i="223"/>
  <c r="AH160" i="223"/>
  <c r="AH161" i="223"/>
  <c r="AH162" i="223"/>
  <c r="AH163" i="223"/>
  <c r="AH164" i="223"/>
  <c r="AH165" i="223"/>
  <c r="AH166" i="223"/>
  <c r="I27" i="11"/>
  <c r="AH168" i="223"/>
  <c r="AH169" i="223"/>
  <c r="AH170" i="223"/>
  <c r="AH171" i="223"/>
  <c r="AH172" i="223"/>
  <c r="AH173" i="223"/>
  <c r="AH174" i="223"/>
  <c r="AH175" i="223"/>
  <c r="AH176" i="223"/>
  <c r="AH177" i="223"/>
  <c r="I28" i="11"/>
  <c r="I26" i="11"/>
  <c r="AH179" i="223"/>
  <c r="AH180" i="223"/>
  <c r="AH181" i="223"/>
  <c r="AH182" i="223"/>
  <c r="AH183" i="223"/>
  <c r="AH184" i="223"/>
  <c r="AH185" i="223"/>
  <c r="AH186" i="223"/>
  <c r="AH187" i="223"/>
  <c r="AH188" i="223"/>
  <c r="I29" i="11"/>
  <c r="AH190" i="223"/>
  <c r="AH191" i="223"/>
  <c r="AH192" i="223"/>
  <c r="AH193" i="223"/>
  <c r="AH194" i="223"/>
  <c r="AH195" i="223"/>
  <c r="AH196" i="223"/>
  <c r="AH197" i="223"/>
  <c r="AH198" i="223"/>
  <c r="AH199" i="223"/>
  <c r="I30" i="11"/>
  <c r="I31" i="11"/>
  <c r="AH8" i="223"/>
  <c r="AH9" i="223"/>
  <c r="AH10" i="223"/>
  <c r="AH11" i="223"/>
  <c r="AH12" i="223"/>
  <c r="AH13" i="223"/>
  <c r="AH14" i="223"/>
  <c r="AH15" i="223"/>
  <c r="AH16" i="223"/>
  <c r="AH17" i="223"/>
  <c r="I8" i="11"/>
  <c r="AH19" i="223"/>
  <c r="AH20" i="223"/>
  <c r="AH21" i="223"/>
  <c r="AH22" i="223"/>
  <c r="AH23" i="223"/>
  <c r="AH24" i="223"/>
  <c r="AH25" i="223"/>
  <c r="AH26" i="223"/>
  <c r="AH27" i="223"/>
  <c r="AH28" i="223"/>
  <c r="I9" i="11"/>
  <c r="I7" i="11"/>
  <c r="AH31" i="223"/>
  <c r="AH32" i="223"/>
  <c r="AH33" i="223"/>
  <c r="AH34" i="223"/>
  <c r="AH35" i="223"/>
  <c r="AH36" i="223"/>
  <c r="AH37" i="223"/>
  <c r="AH38" i="223"/>
  <c r="AH39" i="223"/>
  <c r="AH40" i="223"/>
  <c r="I11" i="11"/>
  <c r="I10" i="11"/>
  <c r="I12" i="11"/>
  <c r="I32" i="11"/>
  <c r="AH214" i="223"/>
  <c r="AH215" i="223"/>
  <c r="AH216" i="223"/>
  <c r="AH217" i="223"/>
  <c r="AH218" i="223"/>
  <c r="AH219" i="223"/>
  <c r="AH220" i="223"/>
  <c r="AH221" i="223"/>
  <c r="AH222" i="223"/>
  <c r="AH223" i="223"/>
  <c r="I34" i="11"/>
  <c r="AH203" i="223"/>
  <c r="AH204" i="223"/>
  <c r="AH205" i="223"/>
  <c r="AH206" i="223"/>
  <c r="AH207" i="223"/>
  <c r="AH208" i="223"/>
  <c r="AH209" i="223"/>
  <c r="AH210" i="223"/>
  <c r="AH211" i="223"/>
  <c r="AH212" i="223"/>
  <c r="I33" i="11"/>
  <c r="I35" i="11"/>
  <c r="AI89" i="223"/>
  <c r="AI90" i="223"/>
  <c r="AI91" i="223"/>
  <c r="AI92" i="223"/>
  <c r="AI93" i="223"/>
  <c r="AI94" i="223"/>
  <c r="AI95" i="223"/>
  <c r="AI96" i="223"/>
  <c r="AI97" i="223"/>
  <c r="AI98" i="223"/>
  <c r="J19" i="11"/>
  <c r="AI78" i="223"/>
  <c r="AI79" i="223"/>
  <c r="AI80" i="223"/>
  <c r="AI81" i="223"/>
  <c r="AI82" i="223"/>
  <c r="AI83" i="223"/>
  <c r="AI84" i="223"/>
  <c r="AI85" i="223"/>
  <c r="AI86" i="223"/>
  <c r="AI87" i="223"/>
  <c r="J18" i="11"/>
  <c r="AI45" i="223"/>
  <c r="AI46" i="223"/>
  <c r="AI47" i="223"/>
  <c r="AI48" i="223"/>
  <c r="AI49" i="223"/>
  <c r="AI50" i="223"/>
  <c r="AI51" i="223"/>
  <c r="AI52" i="223"/>
  <c r="AI53" i="223"/>
  <c r="AI54" i="223"/>
  <c r="J15" i="11"/>
  <c r="AI56" i="223"/>
  <c r="AI57" i="223"/>
  <c r="AI58" i="223"/>
  <c r="AI59" i="223"/>
  <c r="AI60" i="223"/>
  <c r="AI61" i="223"/>
  <c r="AI62" i="223"/>
  <c r="AI63" i="223"/>
  <c r="AI64" i="223"/>
  <c r="AI65" i="223"/>
  <c r="J16" i="11"/>
  <c r="AI67" i="223"/>
  <c r="AI68" i="223"/>
  <c r="AI69" i="223"/>
  <c r="AI70" i="223"/>
  <c r="AI71" i="223"/>
  <c r="AI72" i="223"/>
  <c r="AI73" i="223"/>
  <c r="AI74" i="223"/>
  <c r="AI75" i="223"/>
  <c r="AI76" i="223"/>
  <c r="J17" i="11"/>
  <c r="J14" i="11"/>
  <c r="AI101" i="223"/>
  <c r="AI102" i="223"/>
  <c r="AI103" i="223"/>
  <c r="AI104" i="223"/>
  <c r="AI105" i="223"/>
  <c r="AI106" i="223"/>
  <c r="AI107" i="223"/>
  <c r="AI108" i="223"/>
  <c r="AI109" i="223"/>
  <c r="AI110" i="223"/>
  <c r="J21" i="11"/>
  <c r="AI112" i="223"/>
  <c r="AI113" i="223"/>
  <c r="AI114" i="223"/>
  <c r="AI115" i="223"/>
  <c r="AI116" i="223"/>
  <c r="AI117" i="223"/>
  <c r="AI118" i="223"/>
  <c r="AI119" i="223"/>
  <c r="AI120" i="223"/>
  <c r="AI121" i="223"/>
  <c r="J22" i="11"/>
  <c r="AI123" i="223"/>
  <c r="AI124" i="223"/>
  <c r="AI125" i="223"/>
  <c r="AI126" i="223"/>
  <c r="AI127" i="223"/>
  <c r="AI128" i="223"/>
  <c r="AI129" i="223"/>
  <c r="AI130" i="223"/>
  <c r="AI131" i="223"/>
  <c r="AI132" i="223"/>
  <c r="J23" i="11"/>
  <c r="J20" i="11"/>
  <c r="AI134" i="223"/>
  <c r="AI135" i="223"/>
  <c r="AI136" i="223"/>
  <c r="AI137" i="223"/>
  <c r="AI138" i="223"/>
  <c r="AI139" i="223"/>
  <c r="AI140" i="223"/>
  <c r="AI141" i="223"/>
  <c r="AI142" i="223"/>
  <c r="AI143" i="223"/>
  <c r="J24" i="11"/>
  <c r="AI145" i="223"/>
  <c r="AI146" i="223"/>
  <c r="AI147" i="223"/>
  <c r="AI148" i="223"/>
  <c r="AI149" i="223"/>
  <c r="AI150" i="223"/>
  <c r="AI151" i="223"/>
  <c r="AI152" i="223"/>
  <c r="AI153" i="223"/>
  <c r="AI154" i="223"/>
  <c r="J25" i="11"/>
  <c r="AI157" i="223"/>
  <c r="AI158" i="223"/>
  <c r="AI159" i="223"/>
  <c r="AI160" i="223"/>
  <c r="AI161" i="223"/>
  <c r="AI162" i="223"/>
  <c r="AI163" i="223"/>
  <c r="AI164" i="223"/>
  <c r="AI165" i="223"/>
  <c r="AI166" i="223"/>
  <c r="J27" i="11"/>
  <c r="AI168" i="223"/>
  <c r="AI169" i="223"/>
  <c r="AI170" i="223"/>
  <c r="AI171" i="223"/>
  <c r="AI172" i="223"/>
  <c r="AI173" i="223"/>
  <c r="AI174" i="223"/>
  <c r="AI175" i="223"/>
  <c r="AI176" i="223"/>
  <c r="AI177" i="223"/>
  <c r="J28" i="11"/>
  <c r="J26" i="11"/>
  <c r="AI179" i="223"/>
  <c r="AI180" i="223"/>
  <c r="AI181" i="223"/>
  <c r="AI182" i="223"/>
  <c r="AI183" i="223"/>
  <c r="AI184" i="223"/>
  <c r="AI185" i="223"/>
  <c r="AI186" i="223"/>
  <c r="AI187" i="223"/>
  <c r="AI188" i="223"/>
  <c r="J29" i="11"/>
  <c r="AI190" i="223"/>
  <c r="AI191" i="223"/>
  <c r="AI192" i="223"/>
  <c r="AI193" i="223"/>
  <c r="AI194" i="223"/>
  <c r="AI195" i="223"/>
  <c r="AI196" i="223"/>
  <c r="AI197" i="223"/>
  <c r="AI198" i="223"/>
  <c r="AI199" i="223"/>
  <c r="J30" i="11"/>
  <c r="J31" i="11"/>
  <c r="AI8" i="223"/>
  <c r="AI9" i="223"/>
  <c r="AI10" i="223"/>
  <c r="AI11" i="223"/>
  <c r="AI12" i="223"/>
  <c r="AI13" i="223"/>
  <c r="AI14" i="223"/>
  <c r="AI15" i="223"/>
  <c r="AI16" i="223"/>
  <c r="AI17" i="223"/>
  <c r="J8" i="11"/>
  <c r="AI19" i="223"/>
  <c r="AI20" i="223"/>
  <c r="AI21" i="223"/>
  <c r="AI22" i="223"/>
  <c r="AI23" i="223"/>
  <c r="AI24" i="223"/>
  <c r="AI25" i="223"/>
  <c r="AI26" i="223"/>
  <c r="AI27" i="223"/>
  <c r="AI28" i="223"/>
  <c r="J9" i="11"/>
  <c r="J7" i="11"/>
  <c r="AI31" i="223"/>
  <c r="AI32" i="223"/>
  <c r="AI33" i="223"/>
  <c r="AI34" i="223"/>
  <c r="AI35" i="223"/>
  <c r="AI36" i="223"/>
  <c r="AI37" i="223"/>
  <c r="AI38" i="223"/>
  <c r="AI39" i="223"/>
  <c r="AI40" i="223"/>
  <c r="J11" i="11"/>
  <c r="J10" i="11"/>
  <c r="J12" i="11"/>
  <c r="J32" i="11"/>
  <c r="AI214" i="223"/>
  <c r="AI215" i="223"/>
  <c r="AI216" i="223"/>
  <c r="AI217" i="223"/>
  <c r="AI218" i="223"/>
  <c r="AI219" i="223"/>
  <c r="AI220" i="223"/>
  <c r="AI221" i="223"/>
  <c r="AI222" i="223"/>
  <c r="AI223" i="223"/>
  <c r="J34" i="11"/>
  <c r="AI203" i="223"/>
  <c r="AI204" i="223"/>
  <c r="AI205" i="223"/>
  <c r="AI206" i="223"/>
  <c r="AI207" i="223"/>
  <c r="AI208" i="223"/>
  <c r="AI209" i="223"/>
  <c r="AI210" i="223"/>
  <c r="AI211" i="223"/>
  <c r="AI212" i="223"/>
  <c r="J33" i="11"/>
  <c r="J35" i="11"/>
  <c r="AJ89" i="223"/>
  <c r="AJ90" i="223"/>
  <c r="AJ91" i="223"/>
  <c r="AJ92" i="223"/>
  <c r="AJ93" i="223"/>
  <c r="AJ94" i="223"/>
  <c r="AJ95" i="223"/>
  <c r="AJ96" i="223"/>
  <c r="AJ97" i="223"/>
  <c r="AJ98" i="223"/>
  <c r="K19" i="11"/>
  <c r="AJ78" i="223"/>
  <c r="AJ79" i="223"/>
  <c r="AJ80" i="223"/>
  <c r="AJ81" i="223"/>
  <c r="AJ82" i="223"/>
  <c r="AJ83" i="223"/>
  <c r="AJ84" i="223"/>
  <c r="AJ85" i="223"/>
  <c r="AJ86" i="223"/>
  <c r="AJ87" i="223"/>
  <c r="K18" i="11"/>
  <c r="AJ45" i="223"/>
  <c r="AJ46" i="223"/>
  <c r="AJ47" i="223"/>
  <c r="AJ48" i="223"/>
  <c r="AJ49" i="223"/>
  <c r="AJ50" i="223"/>
  <c r="AJ51" i="223"/>
  <c r="AJ52" i="223"/>
  <c r="AJ53" i="223"/>
  <c r="AJ54" i="223"/>
  <c r="K15" i="11"/>
  <c r="AJ56" i="223"/>
  <c r="AJ57" i="223"/>
  <c r="AJ58" i="223"/>
  <c r="AJ59" i="223"/>
  <c r="AJ60" i="223"/>
  <c r="AJ61" i="223"/>
  <c r="AJ62" i="223"/>
  <c r="AJ63" i="223"/>
  <c r="AJ64" i="223"/>
  <c r="AJ65" i="223"/>
  <c r="K16" i="11"/>
  <c r="AJ67" i="223"/>
  <c r="AJ68" i="223"/>
  <c r="AJ69" i="223"/>
  <c r="AJ70" i="223"/>
  <c r="AJ71" i="223"/>
  <c r="AJ72" i="223"/>
  <c r="AJ73" i="223"/>
  <c r="AJ74" i="223"/>
  <c r="AJ75" i="223"/>
  <c r="AJ76" i="223"/>
  <c r="K17" i="11"/>
  <c r="K14" i="11"/>
  <c r="AJ101" i="223"/>
  <c r="AJ102" i="223"/>
  <c r="AJ103" i="223"/>
  <c r="AJ104" i="223"/>
  <c r="AJ105" i="223"/>
  <c r="AJ106" i="223"/>
  <c r="AJ107" i="223"/>
  <c r="AJ108" i="223"/>
  <c r="AJ109" i="223"/>
  <c r="AJ110" i="223"/>
  <c r="K21" i="11"/>
  <c r="AJ112" i="223"/>
  <c r="AJ113" i="223"/>
  <c r="AJ114" i="223"/>
  <c r="AJ115" i="223"/>
  <c r="AJ116" i="223"/>
  <c r="AJ117" i="223"/>
  <c r="AJ118" i="223"/>
  <c r="AJ119" i="223"/>
  <c r="AJ120" i="223"/>
  <c r="AJ121" i="223"/>
  <c r="K22" i="11"/>
  <c r="AJ123" i="223"/>
  <c r="AJ124" i="223"/>
  <c r="AJ125" i="223"/>
  <c r="AJ126" i="223"/>
  <c r="AJ127" i="223"/>
  <c r="AJ128" i="223"/>
  <c r="AJ129" i="223"/>
  <c r="AJ130" i="223"/>
  <c r="AJ131" i="223"/>
  <c r="AJ132" i="223"/>
  <c r="K23" i="11"/>
  <c r="K20" i="11"/>
  <c r="AJ134" i="223"/>
  <c r="AJ135" i="223"/>
  <c r="AJ136" i="223"/>
  <c r="AJ137" i="223"/>
  <c r="AJ138" i="223"/>
  <c r="AJ139" i="223"/>
  <c r="AJ140" i="223"/>
  <c r="AJ141" i="223"/>
  <c r="AJ142" i="223"/>
  <c r="AJ143" i="223"/>
  <c r="K24" i="11"/>
  <c r="AJ145" i="223"/>
  <c r="AJ146" i="223"/>
  <c r="AJ147" i="223"/>
  <c r="AJ148" i="223"/>
  <c r="AJ149" i="223"/>
  <c r="AJ150" i="223"/>
  <c r="AJ151" i="223"/>
  <c r="AJ152" i="223"/>
  <c r="AJ153" i="223"/>
  <c r="AJ154" i="223"/>
  <c r="K25" i="11"/>
  <c r="AJ157" i="223"/>
  <c r="AJ158" i="223"/>
  <c r="AJ159" i="223"/>
  <c r="AJ160" i="223"/>
  <c r="AJ161" i="223"/>
  <c r="AJ162" i="223"/>
  <c r="AJ163" i="223"/>
  <c r="AJ164" i="223"/>
  <c r="AJ165" i="223"/>
  <c r="AJ166" i="223"/>
  <c r="K27" i="11"/>
  <c r="AJ168" i="223"/>
  <c r="AJ169" i="223"/>
  <c r="AJ170" i="223"/>
  <c r="AJ171" i="223"/>
  <c r="AJ172" i="223"/>
  <c r="AJ173" i="223"/>
  <c r="AJ174" i="223"/>
  <c r="AJ175" i="223"/>
  <c r="AJ176" i="223"/>
  <c r="AJ177" i="223"/>
  <c r="K28" i="11"/>
  <c r="K26" i="11"/>
  <c r="AJ179" i="223"/>
  <c r="AJ180" i="223"/>
  <c r="AJ181" i="223"/>
  <c r="AJ182" i="223"/>
  <c r="AJ183" i="223"/>
  <c r="AJ184" i="223"/>
  <c r="AJ185" i="223"/>
  <c r="AJ186" i="223"/>
  <c r="AJ187" i="223"/>
  <c r="AJ188" i="223"/>
  <c r="K29" i="11"/>
  <c r="AJ190" i="223"/>
  <c r="AJ191" i="223"/>
  <c r="AJ192" i="223"/>
  <c r="AJ193" i="223"/>
  <c r="AJ194" i="223"/>
  <c r="AJ195" i="223"/>
  <c r="AJ196" i="223"/>
  <c r="AJ197" i="223"/>
  <c r="AJ198" i="223"/>
  <c r="AJ199" i="223"/>
  <c r="K30" i="11"/>
  <c r="K31" i="11"/>
  <c r="AJ8" i="223"/>
  <c r="AJ9" i="223"/>
  <c r="AJ10" i="223"/>
  <c r="AJ11" i="223"/>
  <c r="AJ12" i="223"/>
  <c r="AJ13" i="223"/>
  <c r="AJ14" i="223"/>
  <c r="AJ15" i="223"/>
  <c r="AJ16" i="223"/>
  <c r="AJ17" i="223"/>
  <c r="K8" i="11"/>
  <c r="AJ19" i="223"/>
  <c r="AJ20" i="223"/>
  <c r="AJ21" i="223"/>
  <c r="AJ22" i="223"/>
  <c r="AJ23" i="223"/>
  <c r="AJ24" i="223"/>
  <c r="AJ25" i="223"/>
  <c r="AJ26" i="223"/>
  <c r="AJ27" i="223"/>
  <c r="AJ28" i="223"/>
  <c r="K9" i="11"/>
  <c r="K7" i="11"/>
  <c r="AJ31" i="223"/>
  <c r="AJ32" i="223"/>
  <c r="AJ33" i="223"/>
  <c r="AJ34" i="223"/>
  <c r="AJ35" i="223"/>
  <c r="AJ36" i="223"/>
  <c r="AJ37" i="223"/>
  <c r="AJ38" i="223"/>
  <c r="AJ39" i="223"/>
  <c r="AJ40" i="223"/>
  <c r="K11" i="11"/>
  <c r="K10" i="11"/>
  <c r="K12" i="11"/>
  <c r="K32" i="11"/>
  <c r="AJ214" i="223"/>
  <c r="AJ215" i="223"/>
  <c r="AJ216" i="223"/>
  <c r="AJ217" i="223"/>
  <c r="AJ218" i="223"/>
  <c r="AJ219" i="223"/>
  <c r="AJ220" i="223"/>
  <c r="AJ221" i="223"/>
  <c r="AJ222" i="223"/>
  <c r="AJ223" i="223"/>
  <c r="K34" i="11"/>
  <c r="AJ203" i="223"/>
  <c r="AJ204" i="223"/>
  <c r="AJ205" i="223"/>
  <c r="AJ206" i="223"/>
  <c r="AJ207" i="223"/>
  <c r="AJ208" i="223"/>
  <c r="AJ209" i="223"/>
  <c r="AJ210" i="223"/>
  <c r="AJ211" i="223"/>
  <c r="AJ212" i="223"/>
  <c r="K33" i="11"/>
  <c r="K35" i="11"/>
  <c r="AK89" i="223"/>
  <c r="AK90" i="223"/>
  <c r="AK91" i="223"/>
  <c r="AK92" i="223"/>
  <c r="AK93" i="223"/>
  <c r="AK94" i="223"/>
  <c r="AK95" i="223"/>
  <c r="AK96" i="223"/>
  <c r="AK97" i="223"/>
  <c r="AK98" i="223"/>
  <c r="L19" i="11"/>
  <c r="AK78" i="223"/>
  <c r="AK79" i="223"/>
  <c r="AK80" i="223"/>
  <c r="AK81" i="223"/>
  <c r="AK82" i="223"/>
  <c r="AK83" i="223"/>
  <c r="AK84" i="223"/>
  <c r="AK85" i="223"/>
  <c r="AK86" i="223"/>
  <c r="AK87" i="223"/>
  <c r="L18" i="11"/>
  <c r="AK45" i="223"/>
  <c r="AK46" i="223"/>
  <c r="AK47" i="223"/>
  <c r="AK48" i="223"/>
  <c r="AK49" i="223"/>
  <c r="AK50" i="223"/>
  <c r="AK51" i="223"/>
  <c r="AK52" i="223"/>
  <c r="AK53" i="223"/>
  <c r="AK54" i="223"/>
  <c r="L15" i="11"/>
  <c r="AK56" i="223"/>
  <c r="AK57" i="223"/>
  <c r="AK58" i="223"/>
  <c r="AK59" i="223"/>
  <c r="AK60" i="223"/>
  <c r="AK61" i="223"/>
  <c r="AK62" i="223"/>
  <c r="AK63" i="223"/>
  <c r="AK64" i="223"/>
  <c r="AK65" i="223"/>
  <c r="L16" i="11"/>
  <c r="AK67" i="223"/>
  <c r="AK68" i="223"/>
  <c r="AK69" i="223"/>
  <c r="AK70" i="223"/>
  <c r="AK71" i="223"/>
  <c r="AK72" i="223"/>
  <c r="AK73" i="223"/>
  <c r="AK74" i="223"/>
  <c r="AK75" i="223"/>
  <c r="AK76" i="223"/>
  <c r="L17" i="11"/>
  <c r="L14" i="11"/>
  <c r="AK101" i="223"/>
  <c r="AK102" i="223"/>
  <c r="AK103" i="223"/>
  <c r="AK104" i="223"/>
  <c r="AK105" i="223"/>
  <c r="AK106" i="223"/>
  <c r="AK107" i="223"/>
  <c r="AK108" i="223"/>
  <c r="AK109" i="223"/>
  <c r="AK110" i="223"/>
  <c r="L21" i="11"/>
  <c r="AK112" i="223"/>
  <c r="AK113" i="223"/>
  <c r="AK114" i="223"/>
  <c r="AK115" i="223"/>
  <c r="AK116" i="223"/>
  <c r="AK117" i="223"/>
  <c r="AK118" i="223"/>
  <c r="AK119" i="223"/>
  <c r="AK120" i="223"/>
  <c r="AK121" i="223"/>
  <c r="L22" i="11"/>
  <c r="AK123" i="223"/>
  <c r="AK124" i="223"/>
  <c r="AK125" i="223"/>
  <c r="AK126" i="223"/>
  <c r="AK127" i="223"/>
  <c r="AK128" i="223"/>
  <c r="AK129" i="223"/>
  <c r="AK130" i="223"/>
  <c r="AK131" i="223"/>
  <c r="AK132" i="223"/>
  <c r="L23" i="11"/>
  <c r="L20" i="11"/>
  <c r="AK134" i="223"/>
  <c r="AK135" i="223"/>
  <c r="AK136" i="223"/>
  <c r="AK137" i="223"/>
  <c r="AK138" i="223"/>
  <c r="AK139" i="223"/>
  <c r="AK140" i="223"/>
  <c r="AK141" i="223"/>
  <c r="AK142" i="223"/>
  <c r="AK143" i="223"/>
  <c r="L24" i="11"/>
  <c r="AK145" i="223"/>
  <c r="AK146" i="223"/>
  <c r="AK147" i="223"/>
  <c r="AK148" i="223"/>
  <c r="AK149" i="223"/>
  <c r="AK150" i="223"/>
  <c r="AK151" i="223"/>
  <c r="AK152" i="223"/>
  <c r="AK153" i="223"/>
  <c r="AK154" i="223"/>
  <c r="L25" i="11"/>
  <c r="AK157" i="223"/>
  <c r="AK158" i="223"/>
  <c r="AK159" i="223"/>
  <c r="AK160" i="223"/>
  <c r="AK161" i="223"/>
  <c r="AK162" i="223"/>
  <c r="AK163" i="223"/>
  <c r="AK164" i="223"/>
  <c r="AK165" i="223"/>
  <c r="AK166" i="223"/>
  <c r="L27" i="11"/>
  <c r="AK168" i="223"/>
  <c r="AK169" i="223"/>
  <c r="AK170" i="223"/>
  <c r="AK171" i="223"/>
  <c r="AK172" i="223"/>
  <c r="AK173" i="223"/>
  <c r="AK174" i="223"/>
  <c r="AK175" i="223"/>
  <c r="AK176" i="223"/>
  <c r="AK177" i="223"/>
  <c r="L28" i="11"/>
  <c r="L26" i="11"/>
  <c r="AK179" i="223"/>
  <c r="AK180" i="223"/>
  <c r="AK181" i="223"/>
  <c r="AK182" i="223"/>
  <c r="AK183" i="223"/>
  <c r="AK184" i="223"/>
  <c r="AK185" i="223"/>
  <c r="AK186" i="223"/>
  <c r="AK187" i="223"/>
  <c r="AK188" i="223"/>
  <c r="L29" i="11"/>
  <c r="AK190" i="223"/>
  <c r="AK191" i="223"/>
  <c r="AK192" i="223"/>
  <c r="AK193" i="223"/>
  <c r="AK194" i="223"/>
  <c r="AK195" i="223"/>
  <c r="AK196" i="223"/>
  <c r="AK197" i="223"/>
  <c r="AK198" i="223"/>
  <c r="AK199" i="223"/>
  <c r="L30" i="11"/>
  <c r="L31" i="11"/>
  <c r="AK8" i="223"/>
  <c r="AK9" i="223"/>
  <c r="AK10" i="223"/>
  <c r="AK11" i="223"/>
  <c r="AK12" i="223"/>
  <c r="AK13" i="223"/>
  <c r="AK14" i="223"/>
  <c r="AK15" i="223"/>
  <c r="AK16" i="223"/>
  <c r="AK17" i="223"/>
  <c r="L8" i="11"/>
  <c r="AK19" i="223"/>
  <c r="AK20" i="223"/>
  <c r="AK21" i="223"/>
  <c r="AK22" i="223"/>
  <c r="AK23" i="223"/>
  <c r="AK24" i="223"/>
  <c r="AK25" i="223"/>
  <c r="AK26" i="223"/>
  <c r="AK27" i="223"/>
  <c r="AK28" i="223"/>
  <c r="L9" i="11"/>
  <c r="L7" i="11"/>
  <c r="AK31" i="223"/>
  <c r="AK32" i="223"/>
  <c r="AK33" i="223"/>
  <c r="AK34" i="223"/>
  <c r="AK35" i="223"/>
  <c r="AK36" i="223"/>
  <c r="AK37" i="223"/>
  <c r="AK38" i="223"/>
  <c r="AK39" i="223"/>
  <c r="AK40" i="223"/>
  <c r="L11" i="11"/>
  <c r="L10" i="11"/>
  <c r="L12" i="11"/>
  <c r="L32" i="11"/>
  <c r="AK214" i="223"/>
  <c r="AK215" i="223"/>
  <c r="AK216" i="223"/>
  <c r="AK217" i="223"/>
  <c r="AK218" i="223"/>
  <c r="AK219" i="223"/>
  <c r="AK220" i="223"/>
  <c r="AK221" i="223"/>
  <c r="AK222" i="223"/>
  <c r="AK223" i="223"/>
  <c r="L34" i="11"/>
  <c r="AK203" i="223"/>
  <c r="AK204" i="223"/>
  <c r="AK205" i="223"/>
  <c r="AK206" i="223"/>
  <c r="AK207" i="223"/>
  <c r="AK208" i="223"/>
  <c r="AK209" i="223"/>
  <c r="AK210" i="223"/>
  <c r="AK211" i="223"/>
  <c r="AK212" i="223"/>
  <c r="L33" i="11"/>
  <c r="L35" i="11"/>
  <c r="AL89" i="223"/>
  <c r="AL90" i="223"/>
  <c r="AL91" i="223"/>
  <c r="AL92" i="223"/>
  <c r="AL93" i="223"/>
  <c r="AL94" i="223"/>
  <c r="AL95" i="223"/>
  <c r="AL96" i="223"/>
  <c r="AL97" i="223"/>
  <c r="AL98" i="223"/>
  <c r="M19" i="11"/>
  <c r="AL78" i="223"/>
  <c r="AL79" i="223"/>
  <c r="AL80" i="223"/>
  <c r="AL81" i="223"/>
  <c r="AL82" i="223"/>
  <c r="AL83" i="223"/>
  <c r="AL84" i="223"/>
  <c r="AL85" i="223"/>
  <c r="AL86" i="223"/>
  <c r="AL87" i="223"/>
  <c r="M18" i="11"/>
  <c r="AL45" i="223"/>
  <c r="AL46" i="223"/>
  <c r="AL47" i="223"/>
  <c r="AL48" i="223"/>
  <c r="AL49" i="223"/>
  <c r="AL50" i="223"/>
  <c r="AL51" i="223"/>
  <c r="AL52" i="223"/>
  <c r="AL53" i="223"/>
  <c r="AL54" i="223"/>
  <c r="M15" i="11"/>
  <c r="AL56" i="223"/>
  <c r="AL57" i="223"/>
  <c r="AL58" i="223"/>
  <c r="AL59" i="223"/>
  <c r="AL60" i="223"/>
  <c r="AL61" i="223"/>
  <c r="AL62" i="223"/>
  <c r="AL63" i="223"/>
  <c r="AL64" i="223"/>
  <c r="AL65" i="223"/>
  <c r="M16" i="11"/>
  <c r="AL67" i="223"/>
  <c r="AL68" i="223"/>
  <c r="AL69" i="223"/>
  <c r="AL70" i="223"/>
  <c r="AL71" i="223"/>
  <c r="AL72" i="223"/>
  <c r="AL73" i="223"/>
  <c r="AL74" i="223"/>
  <c r="AL75" i="223"/>
  <c r="AL76" i="223"/>
  <c r="M17" i="11"/>
  <c r="M14" i="11"/>
  <c r="AL101" i="223"/>
  <c r="AL102" i="223"/>
  <c r="AL103" i="223"/>
  <c r="AL104" i="223"/>
  <c r="AL105" i="223"/>
  <c r="AL106" i="223"/>
  <c r="AL107" i="223"/>
  <c r="AL108" i="223"/>
  <c r="AL109" i="223"/>
  <c r="AL110" i="223"/>
  <c r="M21" i="11"/>
  <c r="AL112" i="223"/>
  <c r="AL113" i="223"/>
  <c r="AL114" i="223"/>
  <c r="AL115" i="223"/>
  <c r="AL116" i="223"/>
  <c r="AL117" i="223"/>
  <c r="AL118" i="223"/>
  <c r="AL119" i="223"/>
  <c r="AL120" i="223"/>
  <c r="AL121" i="223"/>
  <c r="M22" i="11"/>
  <c r="AL123" i="223"/>
  <c r="AL124" i="223"/>
  <c r="AL125" i="223"/>
  <c r="AL126" i="223"/>
  <c r="AL127" i="223"/>
  <c r="AL128" i="223"/>
  <c r="AL129" i="223"/>
  <c r="AL130" i="223"/>
  <c r="AL131" i="223"/>
  <c r="AL132" i="223"/>
  <c r="M23" i="11"/>
  <c r="M20" i="11"/>
  <c r="AL134" i="223"/>
  <c r="AL135" i="223"/>
  <c r="AL136" i="223"/>
  <c r="AL137" i="223"/>
  <c r="AL138" i="223"/>
  <c r="AL139" i="223"/>
  <c r="AL140" i="223"/>
  <c r="AL141" i="223"/>
  <c r="AL142" i="223"/>
  <c r="AL143" i="223"/>
  <c r="M24" i="11"/>
  <c r="AL145" i="223"/>
  <c r="AL146" i="223"/>
  <c r="AL147" i="223"/>
  <c r="AL148" i="223"/>
  <c r="AL149" i="223"/>
  <c r="AL150" i="223"/>
  <c r="AL151" i="223"/>
  <c r="AL152" i="223"/>
  <c r="AL153" i="223"/>
  <c r="AL154" i="223"/>
  <c r="M25" i="11"/>
  <c r="AL157" i="223"/>
  <c r="AL158" i="223"/>
  <c r="AL159" i="223"/>
  <c r="AL160" i="223"/>
  <c r="AL161" i="223"/>
  <c r="AL162" i="223"/>
  <c r="AL163" i="223"/>
  <c r="AL164" i="223"/>
  <c r="AL165" i="223"/>
  <c r="AL166" i="223"/>
  <c r="M27" i="11"/>
  <c r="AL168" i="223"/>
  <c r="AL169" i="223"/>
  <c r="AL170" i="223"/>
  <c r="AL171" i="223"/>
  <c r="AL172" i="223"/>
  <c r="AL173" i="223"/>
  <c r="AL174" i="223"/>
  <c r="AL175" i="223"/>
  <c r="AL176" i="223"/>
  <c r="AL177" i="223"/>
  <c r="M28" i="11"/>
  <c r="M26" i="11"/>
  <c r="AL179" i="223"/>
  <c r="AL180" i="223"/>
  <c r="AL181" i="223"/>
  <c r="AL182" i="223"/>
  <c r="AL183" i="223"/>
  <c r="AL184" i="223"/>
  <c r="AL185" i="223"/>
  <c r="AL186" i="223"/>
  <c r="AL187" i="223"/>
  <c r="AL188" i="223"/>
  <c r="M29" i="11"/>
  <c r="AL190" i="223"/>
  <c r="AL191" i="223"/>
  <c r="AL192" i="223"/>
  <c r="AL193" i="223"/>
  <c r="AL194" i="223"/>
  <c r="AL195" i="223"/>
  <c r="AL196" i="223"/>
  <c r="AL197" i="223"/>
  <c r="AL198" i="223"/>
  <c r="AL199" i="223"/>
  <c r="M30" i="11"/>
  <c r="M31" i="11"/>
  <c r="AL8" i="223"/>
  <c r="AL9" i="223"/>
  <c r="AL10" i="223"/>
  <c r="AL11" i="223"/>
  <c r="AL12" i="223"/>
  <c r="AL13" i="223"/>
  <c r="AL14" i="223"/>
  <c r="AL15" i="223"/>
  <c r="AL16" i="223"/>
  <c r="AL17" i="223"/>
  <c r="M8" i="11"/>
  <c r="AL19" i="223"/>
  <c r="AL20" i="223"/>
  <c r="AL21" i="223"/>
  <c r="AL22" i="223"/>
  <c r="AL23" i="223"/>
  <c r="AL24" i="223"/>
  <c r="AL25" i="223"/>
  <c r="AL26" i="223"/>
  <c r="AL27" i="223"/>
  <c r="AL28" i="223"/>
  <c r="M9" i="11"/>
  <c r="M7" i="11"/>
  <c r="AL31" i="223"/>
  <c r="AL32" i="223"/>
  <c r="AL33" i="223"/>
  <c r="AL34" i="223"/>
  <c r="AL35" i="223"/>
  <c r="AL36" i="223"/>
  <c r="AL37" i="223"/>
  <c r="AL38" i="223"/>
  <c r="AL39" i="223"/>
  <c r="AL40" i="223"/>
  <c r="M11" i="11"/>
  <c r="M10" i="11"/>
  <c r="M12" i="11"/>
  <c r="M32" i="11"/>
  <c r="AL214" i="223"/>
  <c r="AL215" i="223"/>
  <c r="AL216" i="223"/>
  <c r="AL217" i="223"/>
  <c r="AL218" i="223"/>
  <c r="AL219" i="223"/>
  <c r="AL220" i="223"/>
  <c r="AL221" i="223"/>
  <c r="AL222" i="223"/>
  <c r="AL223" i="223"/>
  <c r="M34" i="11"/>
  <c r="AL203" i="223"/>
  <c r="AL204" i="223"/>
  <c r="AL205" i="223"/>
  <c r="AL206" i="223"/>
  <c r="AL207" i="223"/>
  <c r="AL208" i="223"/>
  <c r="AL209" i="223"/>
  <c r="AL210" i="223"/>
  <c r="AL211" i="223"/>
  <c r="AL212" i="223"/>
  <c r="M33" i="11"/>
  <c r="M35" i="11"/>
  <c r="AM89" i="223"/>
  <c r="AM90" i="223"/>
  <c r="AM91" i="223"/>
  <c r="AM92" i="223"/>
  <c r="AM93" i="223"/>
  <c r="AM94" i="223"/>
  <c r="AM95" i="223"/>
  <c r="AM96" i="223"/>
  <c r="AM97" i="223"/>
  <c r="AM98" i="223"/>
  <c r="N19" i="11"/>
  <c r="AM78" i="223"/>
  <c r="AM79" i="223"/>
  <c r="AM80" i="223"/>
  <c r="AM81" i="223"/>
  <c r="AM82" i="223"/>
  <c r="AM83" i="223"/>
  <c r="AM84" i="223"/>
  <c r="AM85" i="223"/>
  <c r="AM86" i="223"/>
  <c r="AM87" i="223"/>
  <c r="N18" i="11"/>
  <c r="AM45" i="223"/>
  <c r="AM46" i="223"/>
  <c r="AM47" i="223"/>
  <c r="AM48" i="223"/>
  <c r="AM49" i="223"/>
  <c r="AM50" i="223"/>
  <c r="AM51" i="223"/>
  <c r="AM52" i="223"/>
  <c r="AM53" i="223"/>
  <c r="AM54" i="223"/>
  <c r="N15" i="11"/>
  <c r="AM56" i="223"/>
  <c r="AM57" i="223"/>
  <c r="AM58" i="223"/>
  <c r="AM59" i="223"/>
  <c r="AM60" i="223"/>
  <c r="AM61" i="223"/>
  <c r="AM62" i="223"/>
  <c r="AM63" i="223"/>
  <c r="AM64" i="223"/>
  <c r="AM65" i="223"/>
  <c r="N16" i="11"/>
  <c r="AM67" i="223"/>
  <c r="AM68" i="223"/>
  <c r="AM69" i="223"/>
  <c r="AM70" i="223"/>
  <c r="AM71" i="223"/>
  <c r="AM72" i="223"/>
  <c r="AM73" i="223"/>
  <c r="AM74" i="223"/>
  <c r="AM75" i="223"/>
  <c r="AM76" i="223"/>
  <c r="N17" i="11"/>
  <c r="N14" i="11"/>
  <c r="AM101" i="223"/>
  <c r="AM102" i="223"/>
  <c r="AM103" i="223"/>
  <c r="AM104" i="223"/>
  <c r="AM105" i="223"/>
  <c r="AM106" i="223"/>
  <c r="AM107" i="223"/>
  <c r="AM108" i="223"/>
  <c r="AM109" i="223"/>
  <c r="AM110" i="223"/>
  <c r="N21" i="11"/>
  <c r="AM112" i="223"/>
  <c r="AM113" i="223"/>
  <c r="AM114" i="223"/>
  <c r="AM115" i="223"/>
  <c r="AM116" i="223"/>
  <c r="AM117" i="223"/>
  <c r="AM118" i="223"/>
  <c r="AM119" i="223"/>
  <c r="AM120" i="223"/>
  <c r="AM121" i="223"/>
  <c r="N22" i="11"/>
  <c r="AM123" i="223"/>
  <c r="AM124" i="223"/>
  <c r="AM125" i="223"/>
  <c r="AM126" i="223"/>
  <c r="AM127" i="223"/>
  <c r="AM128" i="223"/>
  <c r="AM129" i="223"/>
  <c r="AM130" i="223"/>
  <c r="AM131" i="223"/>
  <c r="AM132" i="223"/>
  <c r="N23" i="11"/>
  <c r="N20" i="11"/>
  <c r="AM134" i="223"/>
  <c r="AM135" i="223"/>
  <c r="AM136" i="223"/>
  <c r="AM137" i="223"/>
  <c r="AM138" i="223"/>
  <c r="AM139" i="223"/>
  <c r="AM140" i="223"/>
  <c r="AM141" i="223"/>
  <c r="AM142" i="223"/>
  <c r="AM143" i="223"/>
  <c r="N24" i="11"/>
  <c r="AM145" i="223"/>
  <c r="AM146" i="223"/>
  <c r="AM147" i="223"/>
  <c r="AM148" i="223"/>
  <c r="AM149" i="223"/>
  <c r="AM150" i="223"/>
  <c r="AM151" i="223"/>
  <c r="AM152" i="223"/>
  <c r="AM153" i="223"/>
  <c r="AM154" i="223"/>
  <c r="N25" i="11"/>
  <c r="AM157" i="223"/>
  <c r="AM158" i="223"/>
  <c r="AM159" i="223"/>
  <c r="AM160" i="223"/>
  <c r="AM161" i="223"/>
  <c r="AM162" i="223"/>
  <c r="AM163" i="223"/>
  <c r="AM164" i="223"/>
  <c r="AM165" i="223"/>
  <c r="AM166" i="223"/>
  <c r="N27" i="11"/>
  <c r="AM168" i="223"/>
  <c r="AM169" i="223"/>
  <c r="AM170" i="223"/>
  <c r="AM171" i="223"/>
  <c r="AM172" i="223"/>
  <c r="AM173" i="223"/>
  <c r="AM174" i="223"/>
  <c r="AM175" i="223"/>
  <c r="AM176" i="223"/>
  <c r="AM177" i="223"/>
  <c r="N28" i="11"/>
  <c r="N26" i="11"/>
  <c r="AM179" i="223"/>
  <c r="AM180" i="223"/>
  <c r="AM181" i="223"/>
  <c r="AM182" i="223"/>
  <c r="AM183" i="223"/>
  <c r="AM184" i="223"/>
  <c r="AM185" i="223"/>
  <c r="AM186" i="223"/>
  <c r="AM187" i="223"/>
  <c r="AM188" i="223"/>
  <c r="N29" i="11"/>
  <c r="AM190" i="223"/>
  <c r="AM191" i="223"/>
  <c r="AM192" i="223"/>
  <c r="AM193" i="223"/>
  <c r="AM194" i="223"/>
  <c r="AM195" i="223"/>
  <c r="AM196" i="223"/>
  <c r="AM197" i="223"/>
  <c r="AM198" i="223"/>
  <c r="AM199" i="223"/>
  <c r="N30" i="11"/>
  <c r="N31" i="11"/>
  <c r="AM8" i="223"/>
  <c r="AM9" i="223"/>
  <c r="AM10" i="223"/>
  <c r="AM11" i="223"/>
  <c r="AM12" i="223"/>
  <c r="AM13" i="223"/>
  <c r="AM14" i="223"/>
  <c r="AM15" i="223"/>
  <c r="AM16" i="223"/>
  <c r="AM17" i="223"/>
  <c r="N8" i="11"/>
  <c r="AM19" i="223"/>
  <c r="AM20" i="223"/>
  <c r="AM21" i="223"/>
  <c r="AM22" i="223"/>
  <c r="AM23" i="223"/>
  <c r="AM24" i="223"/>
  <c r="AM25" i="223"/>
  <c r="AM26" i="223"/>
  <c r="AM27" i="223"/>
  <c r="AM28" i="223"/>
  <c r="N9" i="11"/>
  <c r="N7" i="11"/>
  <c r="AM31" i="223"/>
  <c r="AM32" i="223"/>
  <c r="AM33" i="223"/>
  <c r="AM34" i="223"/>
  <c r="AM35" i="223"/>
  <c r="AM36" i="223"/>
  <c r="AM37" i="223"/>
  <c r="AM38" i="223"/>
  <c r="AM39" i="223"/>
  <c r="AM40" i="223"/>
  <c r="N11" i="11"/>
  <c r="N10" i="11"/>
  <c r="N12" i="11"/>
  <c r="N32" i="11"/>
  <c r="AM214" i="223"/>
  <c r="AM215" i="223"/>
  <c r="AM216" i="223"/>
  <c r="AM217" i="223"/>
  <c r="AM218" i="223"/>
  <c r="AM219" i="223"/>
  <c r="AM220" i="223"/>
  <c r="AM221" i="223"/>
  <c r="AM222" i="223"/>
  <c r="AM223" i="223"/>
  <c r="N34" i="11"/>
  <c r="AM203" i="223"/>
  <c r="AM204" i="223"/>
  <c r="AM205" i="223"/>
  <c r="AM206" i="223"/>
  <c r="AM207" i="223"/>
  <c r="AM208" i="223"/>
  <c r="AM209" i="223"/>
  <c r="AM210" i="223"/>
  <c r="AM211" i="223"/>
  <c r="AM212" i="223"/>
  <c r="N33" i="11"/>
  <c r="N35" i="11"/>
  <c r="AN89" i="223"/>
  <c r="AN90" i="223"/>
  <c r="AN91" i="223"/>
  <c r="AN92" i="223"/>
  <c r="AN93" i="223"/>
  <c r="AN94" i="223"/>
  <c r="AN95" i="223"/>
  <c r="AN96" i="223"/>
  <c r="AN97" i="223"/>
  <c r="AN98" i="223"/>
  <c r="O19" i="11"/>
  <c r="AN78" i="223"/>
  <c r="AN79" i="223"/>
  <c r="AN80" i="223"/>
  <c r="AN81" i="223"/>
  <c r="AN82" i="223"/>
  <c r="AN83" i="223"/>
  <c r="AN84" i="223"/>
  <c r="AN85" i="223"/>
  <c r="AN86" i="223"/>
  <c r="AN87" i="223"/>
  <c r="O18" i="11"/>
  <c r="AN45" i="223"/>
  <c r="AN46" i="223"/>
  <c r="AN47" i="223"/>
  <c r="AN48" i="223"/>
  <c r="AN49" i="223"/>
  <c r="AN50" i="223"/>
  <c r="AN51" i="223"/>
  <c r="AN52" i="223"/>
  <c r="AN53" i="223"/>
  <c r="AN54" i="223"/>
  <c r="O15" i="11"/>
  <c r="AN56" i="223"/>
  <c r="AN57" i="223"/>
  <c r="AN58" i="223"/>
  <c r="AN59" i="223"/>
  <c r="AN60" i="223"/>
  <c r="AN61" i="223"/>
  <c r="AN62" i="223"/>
  <c r="AN63" i="223"/>
  <c r="AN64" i="223"/>
  <c r="AN65" i="223"/>
  <c r="O16" i="11"/>
  <c r="AN67" i="223"/>
  <c r="AN68" i="223"/>
  <c r="AN69" i="223"/>
  <c r="AN70" i="223"/>
  <c r="AN71" i="223"/>
  <c r="AN72" i="223"/>
  <c r="AN73" i="223"/>
  <c r="AN74" i="223"/>
  <c r="AN75" i="223"/>
  <c r="AN76" i="223"/>
  <c r="O17" i="11"/>
  <c r="O14" i="11"/>
  <c r="AN101" i="223"/>
  <c r="AN102" i="223"/>
  <c r="AN103" i="223"/>
  <c r="AN104" i="223"/>
  <c r="AN105" i="223"/>
  <c r="AN106" i="223"/>
  <c r="AN107" i="223"/>
  <c r="AN108" i="223"/>
  <c r="AN109" i="223"/>
  <c r="AN110" i="223"/>
  <c r="O21" i="11"/>
  <c r="AN112" i="223"/>
  <c r="AN113" i="223"/>
  <c r="AN114" i="223"/>
  <c r="AN115" i="223"/>
  <c r="AN116" i="223"/>
  <c r="AN117" i="223"/>
  <c r="AN118" i="223"/>
  <c r="AN119" i="223"/>
  <c r="AN120" i="223"/>
  <c r="AN121" i="223"/>
  <c r="O22" i="11"/>
  <c r="AN123" i="223"/>
  <c r="AN124" i="223"/>
  <c r="AN125" i="223"/>
  <c r="AN126" i="223"/>
  <c r="AN127" i="223"/>
  <c r="AN128" i="223"/>
  <c r="AN129" i="223"/>
  <c r="AN130" i="223"/>
  <c r="AN131" i="223"/>
  <c r="AN132" i="223"/>
  <c r="O23" i="11"/>
  <c r="O20" i="11"/>
  <c r="AN134" i="223"/>
  <c r="AN135" i="223"/>
  <c r="AN136" i="223"/>
  <c r="AN137" i="223"/>
  <c r="AN138" i="223"/>
  <c r="AN139" i="223"/>
  <c r="AN140" i="223"/>
  <c r="AN141" i="223"/>
  <c r="AN142" i="223"/>
  <c r="AN143" i="223"/>
  <c r="O24" i="11"/>
  <c r="AN145" i="223"/>
  <c r="AN146" i="223"/>
  <c r="AN147" i="223"/>
  <c r="AN148" i="223"/>
  <c r="AN149" i="223"/>
  <c r="AN150" i="223"/>
  <c r="AN151" i="223"/>
  <c r="AN152" i="223"/>
  <c r="AN153" i="223"/>
  <c r="AN154" i="223"/>
  <c r="O25" i="11"/>
  <c r="AN157" i="223"/>
  <c r="AN158" i="223"/>
  <c r="AN159" i="223"/>
  <c r="AN160" i="223"/>
  <c r="AN161" i="223"/>
  <c r="AN162" i="223"/>
  <c r="AN163" i="223"/>
  <c r="AN164" i="223"/>
  <c r="AN165" i="223"/>
  <c r="AN166" i="223"/>
  <c r="O27" i="11"/>
  <c r="AN168" i="223"/>
  <c r="AN169" i="223"/>
  <c r="AN170" i="223"/>
  <c r="AN171" i="223"/>
  <c r="AN172" i="223"/>
  <c r="AN173" i="223"/>
  <c r="AN174" i="223"/>
  <c r="AN175" i="223"/>
  <c r="AN176" i="223"/>
  <c r="AN177" i="223"/>
  <c r="O28" i="11"/>
  <c r="O26" i="11"/>
  <c r="AN179" i="223"/>
  <c r="AN180" i="223"/>
  <c r="AN181" i="223"/>
  <c r="AN182" i="223"/>
  <c r="AN183" i="223"/>
  <c r="AN184" i="223"/>
  <c r="AN185" i="223"/>
  <c r="AN186" i="223"/>
  <c r="AN187" i="223"/>
  <c r="AN188" i="223"/>
  <c r="O29" i="11"/>
  <c r="AN190" i="223"/>
  <c r="AN191" i="223"/>
  <c r="AN192" i="223"/>
  <c r="AN193" i="223"/>
  <c r="AN194" i="223"/>
  <c r="AN195" i="223"/>
  <c r="AN196" i="223"/>
  <c r="AN197" i="223"/>
  <c r="AN198" i="223"/>
  <c r="AN199" i="223"/>
  <c r="O30" i="11"/>
  <c r="O31" i="11"/>
  <c r="AN8" i="223"/>
  <c r="AN9" i="223"/>
  <c r="AN10" i="223"/>
  <c r="AN11" i="223"/>
  <c r="AN12" i="223"/>
  <c r="AN13" i="223"/>
  <c r="AN14" i="223"/>
  <c r="AN15" i="223"/>
  <c r="AN16" i="223"/>
  <c r="AN17" i="223"/>
  <c r="O8" i="11"/>
  <c r="AN19" i="223"/>
  <c r="AN20" i="223"/>
  <c r="AN21" i="223"/>
  <c r="AN22" i="223"/>
  <c r="AN23" i="223"/>
  <c r="AN24" i="223"/>
  <c r="AN25" i="223"/>
  <c r="AN26" i="223"/>
  <c r="AN27" i="223"/>
  <c r="AN28" i="223"/>
  <c r="O9" i="11"/>
  <c r="O7" i="11"/>
  <c r="AN31" i="223"/>
  <c r="AN32" i="223"/>
  <c r="AN33" i="223"/>
  <c r="AN34" i="223"/>
  <c r="AN35" i="223"/>
  <c r="AN36" i="223"/>
  <c r="AN37" i="223"/>
  <c r="AN38" i="223"/>
  <c r="AN39" i="223"/>
  <c r="AN40" i="223"/>
  <c r="O11" i="11"/>
  <c r="O10" i="11"/>
  <c r="O12" i="11"/>
  <c r="O32" i="11"/>
  <c r="AN214" i="223"/>
  <c r="AN215" i="223"/>
  <c r="AN216" i="223"/>
  <c r="AN217" i="223"/>
  <c r="AN218" i="223"/>
  <c r="AN219" i="223"/>
  <c r="AN220" i="223"/>
  <c r="AN221" i="223"/>
  <c r="AN222" i="223"/>
  <c r="AN223" i="223"/>
  <c r="O34" i="11"/>
  <c r="AN203" i="223"/>
  <c r="AN204" i="223"/>
  <c r="AN205" i="223"/>
  <c r="AN206" i="223"/>
  <c r="AN207" i="223"/>
  <c r="AN208" i="223"/>
  <c r="AN209" i="223"/>
  <c r="AN210" i="223"/>
  <c r="AN211" i="223"/>
  <c r="AN212" i="223"/>
  <c r="O33" i="11"/>
  <c r="O35" i="11"/>
  <c r="AO89" i="223"/>
  <c r="AO90" i="223"/>
  <c r="AO91" i="223"/>
  <c r="AO92" i="223"/>
  <c r="AO93" i="223"/>
  <c r="AO94" i="223"/>
  <c r="AO95" i="223"/>
  <c r="AO96" i="223"/>
  <c r="AO97" i="223"/>
  <c r="AO98" i="223"/>
  <c r="P19" i="11"/>
  <c r="AO78" i="223"/>
  <c r="AO79" i="223"/>
  <c r="AO80" i="223"/>
  <c r="AO81" i="223"/>
  <c r="AO82" i="223"/>
  <c r="AO83" i="223"/>
  <c r="AO84" i="223"/>
  <c r="AO85" i="223"/>
  <c r="AO86" i="223"/>
  <c r="AO87" i="223"/>
  <c r="P18" i="11"/>
  <c r="AO45" i="223"/>
  <c r="AO46" i="223"/>
  <c r="AO47" i="223"/>
  <c r="AO48" i="223"/>
  <c r="AO49" i="223"/>
  <c r="AO50" i="223"/>
  <c r="AO51" i="223"/>
  <c r="AO52" i="223"/>
  <c r="AO53" i="223"/>
  <c r="AO54" i="223"/>
  <c r="P15" i="11"/>
  <c r="AO56" i="223"/>
  <c r="AO57" i="223"/>
  <c r="AO58" i="223"/>
  <c r="AO59" i="223"/>
  <c r="AO60" i="223"/>
  <c r="AO61" i="223"/>
  <c r="AO62" i="223"/>
  <c r="AO63" i="223"/>
  <c r="AO64" i="223"/>
  <c r="AO65" i="223"/>
  <c r="P16" i="11"/>
  <c r="AO67" i="223"/>
  <c r="AO68" i="223"/>
  <c r="AO69" i="223"/>
  <c r="AO70" i="223"/>
  <c r="AO71" i="223"/>
  <c r="AO72" i="223"/>
  <c r="AO73" i="223"/>
  <c r="AO74" i="223"/>
  <c r="AO75" i="223"/>
  <c r="AO76" i="223"/>
  <c r="P17" i="11"/>
  <c r="P14" i="11"/>
  <c r="AO101" i="223"/>
  <c r="AO102" i="223"/>
  <c r="AO103" i="223"/>
  <c r="AO104" i="223"/>
  <c r="AO105" i="223"/>
  <c r="AO106" i="223"/>
  <c r="AO107" i="223"/>
  <c r="AO108" i="223"/>
  <c r="AO109" i="223"/>
  <c r="AO110" i="223"/>
  <c r="P21" i="11"/>
  <c r="AO112" i="223"/>
  <c r="AO113" i="223"/>
  <c r="AO114" i="223"/>
  <c r="AO115" i="223"/>
  <c r="AO116" i="223"/>
  <c r="AO117" i="223"/>
  <c r="AO118" i="223"/>
  <c r="AO119" i="223"/>
  <c r="AO120" i="223"/>
  <c r="AO121" i="223"/>
  <c r="P22" i="11"/>
  <c r="AO123" i="223"/>
  <c r="AO124" i="223"/>
  <c r="AO125" i="223"/>
  <c r="AO126" i="223"/>
  <c r="AO127" i="223"/>
  <c r="AO128" i="223"/>
  <c r="AO129" i="223"/>
  <c r="AO130" i="223"/>
  <c r="AO131" i="223"/>
  <c r="AO132" i="223"/>
  <c r="P23" i="11"/>
  <c r="P20" i="11"/>
  <c r="AO134" i="223"/>
  <c r="AO135" i="223"/>
  <c r="AO136" i="223"/>
  <c r="AO137" i="223"/>
  <c r="AO138" i="223"/>
  <c r="AO139" i="223"/>
  <c r="AO140" i="223"/>
  <c r="AO141" i="223"/>
  <c r="AO142" i="223"/>
  <c r="AO143" i="223"/>
  <c r="P24" i="11"/>
  <c r="AO145" i="223"/>
  <c r="AO146" i="223"/>
  <c r="AO147" i="223"/>
  <c r="AO148" i="223"/>
  <c r="AO149" i="223"/>
  <c r="AO150" i="223"/>
  <c r="AO151" i="223"/>
  <c r="AO152" i="223"/>
  <c r="AO153" i="223"/>
  <c r="AO154" i="223"/>
  <c r="P25" i="11"/>
  <c r="AO157" i="223"/>
  <c r="AO158" i="223"/>
  <c r="AO159" i="223"/>
  <c r="AO160" i="223"/>
  <c r="AO161" i="223"/>
  <c r="AO162" i="223"/>
  <c r="AO163" i="223"/>
  <c r="AO164" i="223"/>
  <c r="AO165" i="223"/>
  <c r="AO166" i="223"/>
  <c r="P27" i="11"/>
  <c r="AO168" i="223"/>
  <c r="AO169" i="223"/>
  <c r="AO170" i="223"/>
  <c r="AO171" i="223"/>
  <c r="AO172" i="223"/>
  <c r="AO173" i="223"/>
  <c r="AO174" i="223"/>
  <c r="AO175" i="223"/>
  <c r="AO176" i="223"/>
  <c r="AO177" i="223"/>
  <c r="P28" i="11"/>
  <c r="P26" i="11"/>
  <c r="AO179" i="223"/>
  <c r="AO180" i="223"/>
  <c r="AO181" i="223"/>
  <c r="AO182" i="223"/>
  <c r="AO183" i="223"/>
  <c r="AO184" i="223"/>
  <c r="AO185" i="223"/>
  <c r="AO186" i="223"/>
  <c r="AO187" i="223"/>
  <c r="AO188" i="223"/>
  <c r="P29" i="11"/>
  <c r="AO190" i="223"/>
  <c r="AO191" i="223"/>
  <c r="AO192" i="223"/>
  <c r="AO193" i="223"/>
  <c r="AO194" i="223"/>
  <c r="AO195" i="223"/>
  <c r="AO196" i="223"/>
  <c r="AO197" i="223"/>
  <c r="AO198" i="223"/>
  <c r="AO199" i="223"/>
  <c r="P30" i="11"/>
  <c r="P31" i="11"/>
  <c r="AO8" i="223"/>
  <c r="AO9" i="223"/>
  <c r="AO10" i="223"/>
  <c r="AO11" i="223"/>
  <c r="AO12" i="223"/>
  <c r="AO13" i="223"/>
  <c r="AO14" i="223"/>
  <c r="AO15" i="223"/>
  <c r="AO16" i="223"/>
  <c r="AO17" i="223"/>
  <c r="P8" i="11"/>
  <c r="AO19" i="223"/>
  <c r="AO20" i="223"/>
  <c r="AO21" i="223"/>
  <c r="AO22" i="223"/>
  <c r="AO23" i="223"/>
  <c r="AO24" i="223"/>
  <c r="AO25" i="223"/>
  <c r="AO26" i="223"/>
  <c r="AO27" i="223"/>
  <c r="AO28" i="223"/>
  <c r="P9" i="11"/>
  <c r="P7" i="11"/>
  <c r="AO31" i="223"/>
  <c r="AO32" i="223"/>
  <c r="AO33" i="223"/>
  <c r="AO34" i="223"/>
  <c r="AO35" i="223"/>
  <c r="AO36" i="223"/>
  <c r="AO37" i="223"/>
  <c r="AO38" i="223"/>
  <c r="AO39" i="223"/>
  <c r="AO40" i="223"/>
  <c r="P11" i="11"/>
  <c r="P10" i="11"/>
  <c r="P12" i="11"/>
  <c r="P32" i="11"/>
  <c r="AO214" i="223"/>
  <c r="AO215" i="223"/>
  <c r="AO216" i="223"/>
  <c r="AO217" i="223"/>
  <c r="AO218" i="223"/>
  <c r="AO219" i="223"/>
  <c r="AO220" i="223"/>
  <c r="AO221" i="223"/>
  <c r="AO222" i="223"/>
  <c r="AO223" i="223"/>
  <c r="P34" i="11"/>
  <c r="AO203" i="223"/>
  <c r="AO204" i="223"/>
  <c r="AO205" i="223"/>
  <c r="AO206" i="223"/>
  <c r="AO207" i="223"/>
  <c r="AO208" i="223"/>
  <c r="AO209" i="223"/>
  <c r="AO210" i="223"/>
  <c r="AO211" i="223"/>
  <c r="AO212" i="223"/>
  <c r="P33" i="11"/>
  <c r="P35" i="11"/>
  <c r="AP89" i="223"/>
  <c r="AP90" i="223"/>
  <c r="AP91" i="223"/>
  <c r="AP92" i="223"/>
  <c r="AP93" i="223"/>
  <c r="AP94" i="223"/>
  <c r="AP95" i="223"/>
  <c r="AP96" i="223"/>
  <c r="AP97" i="223"/>
  <c r="AP98" i="223"/>
  <c r="Q19" i="11"/>
  <c r="AP78" i="223"/>
  <c r="AP79" i="223"/>
  <c r="AP80" i="223"/>
  <c r="AP81" i="223"/>
  <c r="AP82" i="223"/>
  <c r="AP83" i="223"/>
  <c r="AP84" i="223"/>
  <c r="AP85" i="223"/>
  <c r="AP86" i="223"/>
  <c r="AP87" i="223"/>
  <c r="Q18" i="11"/>
  <c r="AP45" i="223"/>
  <c r="AP46" i="223"/>
  <c r="AP47" i="223"/>
  <c r="AP48" i="223"/>
  <c r="AP49" i="223"/>
  <c r="AP50" i="223"/>
  <c r="AP51" i="223"/>
  <c r="AP52" i="223"/>
  <c r="AP53" i="223"/>
  <c r="AP54" i="223"/>
  <c r="Q15" i="11"/>
  <c r="AP56" i="223"/>
  <c r="AP57" i="223"/>
  <c r="AP58" i="223"/>
  <c r="AP59" i="223"/>
  <c r="AP60" i="223"/>
  <c r="AP61" i="223"/>
  <c r="AP62" i="223"/>
  <c r="AP63" i="223"/>
  <c r="AP64" i="223"/>
  <c r="AP65" i="223"/>
  <c r="Q16" i="11"/>
  <c r="AP67" i="223"/>
  <c r="AP68" i="223"/>
  <c r="AP69" i="223"/>
  <c r="AP70" i="223"/>
  <c r="AP71" i="223"/>
  <c r="AP72" i="223"/>
  <c r="AP73" i="223"/>
  <c r="AP74" i="223"/>
  <c r="AP75" i="223"/>
  <c r="AP76" i="223"/>
  <c r="Q17" i="11"/>
  <c r="Q14" i="11"/>
  <c r="AP101" i="223"/>
  <c r="AP102" i="223"/>
  <c r="AP103" i="223"/>
  <c r="AP104" i="223"/>
  <c r="AP105" i="223"/>
  <c r="AP106" i="223"/>
  <c r="AP107" i="223"/>
  <c r="AP108" i="223"/>
  <c r="AP109" i="223"/>
  <c r="AP110" i="223"/>
  <c r="Q21" i="11"/>
  <c r="AP112" i="223"/>
  <c r="AP113" i="223"/>
  <c r="AP114" i="223"/>
  <c r="AP115" i="223"/>
  <c r="AP116" i="223"/>
  <c r="AP117" i="223"/>
  <c r="AP118" i="223"/>
  <c r="AP119" i="223"/>
  <c r="AP120" i="223"/>
  <c r="AP121" i="223"/>
  <c r="Q22" i="11"/>
  <c r="AP123" i="223"/>
  <c r="AP124" i="223"/>
  <c r="AP125" i="223"/>
  <c r="AP126" i="223"/>
  <c r="AP127" i="223"/>
  <c r="AP128" i="223"/>
  <c r="AP129" i="223"/>
  <c r="AP130" i="223"/>
  <c r="AP131" i="223"/>
  <c r="AP132" i="223"/>
  <c r="Q23" i="11"/>
  <c r="Q20" i="11"/>
  <c r="AP134" i="223"/>
  <c r="AP135" i="223"/>
  <c r="AP136" i="223"/>
  <c r="AP137" i="223"/>
  <c r="AP138" i="223"/>
  <c r="AP139" i="223"/>
  <c r="AP140" i="223"/>
  <c r="AP141" i="223"/>
  <c r="AP142" i="223"/>
  <c r="AP143" i="223"/>
  <c r="Q24" i="11"/>
  <c r="AP145" i="223"/>
  <c r="AP146" i="223"/>
  <c r="AP147" i="223"/>
  <c r="AP148" i="223"/>
  <c r="AP149" i="223"/>
  <c r="AP150" i="223"/>
  <c r="AP151" i="223"/>
  <c r="AP152" i="223"/>
  <c r="AP153" i="223"/>
  <c r="AP154" i="223"/>
  <c r="Q25" i="11"/>
  <c r="AP157" i="223"/>
  <c r="AP158" i="223"/>
  <c r="AP159" i="223"/>
  <c r="AP160" i="223"/>
  <c r="AP161" i="223"/>
  <c r="AP162" i="223"/>
  <c r="AP163" i="223"/>
  <c r="AP164" i="223"/>
  <c r="AP165" i="223"/>
  <c r="AP166" i="223"/>
  <c r="Q27" i="11"/>
  <c r="AP168" i="223"/>
  <c r="AP169" i="223"/>
  <c r="AP170" i="223"/>
  <c r="AP171" i="223"/>
  <c r="AP172" i="223"/>
  <c r="AP173" i="223"/>
  <c r="AP174" i="223"/>
  <c r="AP175" i="223"/>
  <c r="AP176" i="223"/>
  <c r="AP177" i="223"/>
  <c r="Q28" i="11"/>
  <c r="Q26" i="11"/>
  <c r="AP179" i="223"/>
  <c r="AP180" i="223"/>
  <c r="AP181" i="223"/>
  <c r="AP182" i="223"/>
  <c r="AP183" i="223"/>
  <c r="AP184" i="223"/>
  <c r="AP185" i="223"/>
  <c r="AP186" i="223"/>
  <c r="AP187" i="223"/>
  <c r="AP188" i="223"/>
  <c r="Q29" i="11"/>
  <c r="AP190" i="223"/>
  <c r="AP191" i="223"/>
  <c r="AP192" i="223"/>
  <c r="AP193" i="223"/>
  <c r="AP194" i="223"/>
  <c r="AP195" i="223"/>
  <c r="AP196" i="223"/>
  <c r="AP197" i="223"/>
  <c r="AP198" i="223"/>
  <c r="AP199" i="223"/>
  <c r="Q30" i="11"/>
  <c r="Q31" i="11"/>
  <c r="AP8" i="223"/>
  <c r="AP9" i="223"/>
  <c r="AP10" i="223"/>
  <c r="AP11" i="223"/>
  <c r="AP12" i="223"/>
  <c r="AP13" i="223"/>
  <c r="AP14" i="223"/>
  <c r="AP15" i="223"/>
  <c r="AP16" i="223"/>
  <c r="AP17" i="223"/>
  <c r="Q8" i="11"/>
  <c r="AP19" i="223"/>
  <c r="AP20" i="223"/>
  <c r="AP21" i="223"/>
  <c r="AP22" i="223"/>
  <c r="AP23" i="223"/>
  <c r="AP24" i="223"/>
  <c r="AP25" i="223"/>
  <c r="AP26" i="223"/>
  <c r="AP27" i="223"/>
  <c r="AP28" i="223"/>
  <c r="Q9" i="11"/>
  <c r="Q7" i="11"/>
  <c r="AP31" i="223"/>
  <c r="AP32" i="223"/>
  <c r="AP33" i="223"/>
  <c r="AP34" i="223"/>
  <c r="AP35" i="223"/>
  <c r="AP36" i="223"/>
  <c r="AP37" i="223"/>
  <c r="AP38" i="223"/>
  <c r="AP39" i="223"/>
  <c r="AP40" i="223"/>
  <c r="Q11" i="11"/>
  <c r="Q10" i="11"/>
  <c r="Q12" i="11"/>
  <c r="Q32" i="11"/>
  <c r="AP214" i="223"/>
  <c r="AP215" i="223"/>
  <c r="AP216" i="223"/>
  <c r="AP217" i="223"/>
  <c r="AP218" i="223"/>
  <c r="AP219" i="223"/>
  <c r="AP220" i="223"/>
  <c r="AP221" i="223"/>
  <c r="AP222" i="223"/>
  <c r="AP223" i="223"/>
  <c r="Q34" i="11"/>
  <c r="AP203" i="223"/>
  <c r="AP204" i="223"/>
  <c r="AP205" i="223"/>
  <c r="AP206" i="223"/>
  <c r="AP207" i="223"/>
  <c r="AP208" i="223"/>
  <c r="AP209" i="223"/>
  <c r="AP210" i="223"/>
  <c r="AP211" i="223"/>
  <c r="AP212" i="223"/>
  <c r="Q33" i="11"/>
  <c r="Q35" i="11"/>
  <c r="AQ89" i="223"/>
  <c r="AQ90" i="223"/>
  <c r="AQ91" i="223"/>
  <c r="AQ92" i="223"/>
  <c r="AQ93" i="223"/>
  <c r="AQ94" i="223"/>
  <c r="AQ95" i="223"/>
  <c r="AQ96" i="223"/>
  <c r="AQ97" i="223"/>
  <c r="AQ98" i="223"/>
  <c r="R19" i="11"/>
  <c r="AQ78" i="223"/>
  <c r="AQ79" i="223"/>
  <c r="AQ80" i="223"/>
  <c r="AQ81" i="223"/>
  <c r="AQ82" i="223"/>
  <c r="AQ83" i="223"/>
  <c r="AQ84" i="223"/>
  <c r="AQ85" i="223"/>
  <c r="AQ86" i="223"/>
  <c r="AQ87" i="223"/>
  <c r="R18" i="11"/>
  <c r="AQ45" i="223"/>
  <c r="AQ46" i="223"/>
  <c r="AQ47" i="223"/>
  <c r="AQ48" i="223"/>
  <c r="AQ49" i="223"/>
  <c r="AQ50" i="223"/>
  <c r="AQ51" i="223"/>
  <c r="AQ52" i="223"/>
  <c r="AQ53" i="223"/>
  <c r="AQ54" i="223"/>
  <c r="R15" i="11"/>
  <c r="AQ56" i="223"/>
  <c r="AQ57" i="223"/>
  <c r="AQ58" i="223"/>
  <c r="AQ59" i="223"/>
  <c r="AQ60" i="223"/>
  <c r="AQ61" i="223"/>
  <c r="AQ62" i="223"/>
  <c r="AQ63" i="223"/>
  <c r="AQ64" i="223"/>
  <c r="AQ65" i="223"/>
  <c r="R16" i="11"/>
  <c r="AQ67" i="223"/>
  <c r="AQ68" i="223"/>
  <c r="AQ69" i="223"/>
  <c r="AQ70" i="223"/>
  <c r="AQ71" i="223"/>
  <c r="AQ72" i="223"/>
  <c r="AQ73" i="223"/>
  <c r="AQ74" i="223"/>
  <c r="AQ75" i="223"/>
  <c r="AQ76" i="223"/>
  <c r="R17" i="11"/>
  <c r="R14" i="11"/>
  <c r="AQ101" i="223"/>
  <c r="AQ102" i="223"/>
  <c r="AQ103" i="223"/>
  <c r="AQ104" i="223"/>
  <c r="AQ105" i="223"/>
  <c r="AQ106" i="223"/>
  <c r="AQ107" i="223"/>
  <c r="AQ108" i="223"/>
  <c r="AQ109" i="223"/>
  <c r="AQ110" i="223"/>
  <c r="R21" i="11"/>
  <c r="AQ112" i="223"/>
  <c r="AQ113" i="223"/>
  <c r="AQ114" i="223"/>
  <c r="AQ115" i="223"/>
  <c r="AQ116" i="223"/>
  <c r="AQ117" i="223"/>
  <c r="AQ118" i="223"/>
  <c r="AQ119" i="223"/>
  <c r="AQ120" i="223"/>
  <c r="AQ121" i="223"/>
  <c r="R22" i="11"/>
  <c r="AQ123" i="223"/>
  <c r="AQ124" i="223"/>
  <c r="AQ125" i="223"/>
  <c r="AQ126" i="223"/>
  <c r="AQ127" i="223"/>
  <c r="AQ128" i="223"/>
  <c r="AQ129" i="223"/>
  <c r="AQ130" i="223"/>
  <c r="AQ131" i="223"/>
  <c r="AQ132" i="223"/>
  <c r="R23" i="11"/>
  <c r="R20" i="11"/>
  <c r="AQ134" i="223"/>
  <c r="AQ135" i="223"/>
  <c r="AQ136" i="223"/>
  <c r="AQ137" i="223"/>
  <c r="AQ138" i="223"/>
  <c r="AQ139" i="223"/>
  <c r="AQ140" i="223"/>
  <c r="AQ141" i="223"/>
  <c r="AQ142" i="223"/>
  <c r="AQ143" i="223"/>
  <c r="R24" i="11"/>
  <c r="AQ145" i="223"/>
  <c r="AQ146" i="223"/>
  <c r="AQ147" i="223"/>
  <c r="AQ148" i="223"/>
  <c r="AQ149" i="223"/>
  <c r="AQ150" i="223"/>
  <c r="AQ151" i="223"/>
  <c r="AQ152" i="223"/>
  <c r="AQ153" i="223"/>
  <c r="AQ154" i="223"/>
  <c r="R25" i="11"/>
  <c r="AQ157" i="223"/>
  <c r="AQ158" i="223"/>
  <c r="AQ159" i="223"/>
  <c r="AQ160" i="223"/>
  <c r="AQ161" i="223"/>
  <c r="AQ162" i="223"/>
  <c r="AQ163" i="223"/>
  <c r="AQ164" i="223"/>
  <c r="AQ165" i="223"/>
  <c r="AQ166" i="223"/>
  <c r="R27" i="11"/>
  <c r="AQ168" i="223"/>
  <c r="AQ169" i="223"/>
  <c r="AQ170" i="223"/>
  <c r="AQ171" i="223"/>
  <c r="AQ172" i="223"/>
  <c r="AQ173" i="223"/>
  <c r="AQ174" i="223"/>
  <c r="AQ175" i="223"/>
  <c r="AQ176" i="223"/>
  <c r="AQ177" i="223"/>
  <c r="R28" i="11"/>
  <c r="R26" i="11"/>
  <c r="AQ179" i="223"/>
  <c r="AQ180" i="223"/>
  <c r="AQ181" i="223"/>
  <c r="AQ182" i="223"/>
  <c r="AQ183" i="223"/>
  <c r="AQ184" i="223"/>
  <c r="AQ185" i="223"/>
  <c r="AQ186" i="223"/>
  <c r="AQ187" i="223"/>
  <c r="AQ188" i="223"/>
  <c r="R29" i="11"/>
  <c r="AQ190" i="223"/>
  <c r="AQ191" i="223"/>
  <c r="AQ192" i="223"/>
  <c r="AQ193" i="223"/>
  <c r="AQ194" i="223"/>
  <c r="AQ195" i="223"/>
  <c r="AQ196" i="223"/>
  <c r="AQ197" i="223"/>
  <c r="AQ198" i="223"/>
  <c r="AQ199" i="223"/>
  <c r="R30" i="11"/>
  <c r="R31" i="11"/>
  <c r="AQ8" i="223"/>
  <c r="AQ9" i="223"/>
  <c r="AQ10" i="223"/>
  <c r="AQ11" i="223"/>
  <c r="AQ12" i="223"/>
  <c r="AQ13" i="223"/>
  <c r="AQ14" i="223"/>
  <c r="AQ15" i="223"/>
  <c r="AQ16" i="223"/>
  <c r="AQ17" i="223"/>
  <c r="R8" i="11"/>
  <c r="AQ19" i="223"/>
  <c r="AQ20" i="223"/>
  <c r="AQ21" i="223"/>
  <c r="AQ22" i="223"/>
  <c r="AQ23" i="223"/>
  <c r="AQ24" i="223"/>
  <c r="AQ25" i="223"/>
  <c r="AQ26" i="223"/>
  <c r="AQ27" i="223"/>
  <c r="AQ28" i="223"/>
  <c r="R9" i="11"/>
  <c r="R7" i="11"/>
  <c r="AQ31" i="223"/>
  <c r="AQ32" i="223"/>
  <c r="AQ33" i="223"/>
  <c r="AQ34" i="223"/>
  <c r="AQ35" i="223"/>
  <c r="AQ36" i="223"/>
  <c r="AQ37" i="223"/>
  <c r="AQ38" i="223"/>
  <c r="AQ39" i="223"/>
  <c r="AQ40" i="223"/>
  <c r="R11" i="11"/>
  <c r="R10" i="11"/>
  <c r="R12" i="11"/>
  <c r="R32" i="11"/>
  <c r="AQ214" i="223"/>
  <c r="AQ215" i="223"/>
  <c r="AQ216" i="223"/>
  <c r="AQ217" i="223"/>
  <c r="AQ218" i="223"/>
  <c r="AQ219" i="223"/>
  <c r="AQ220" i="223"/>
  <c r="AQ221" i="223"/>
  <c r="AQ222" i="223"/>
  <c r="AQ223" i="223"/>
  <c r="R34" i="11"/>
  <c r="AQ203" i="223"/>
  <c r="AQ204" i="223"/>
  <c r="AQ205" i="223"/>
  <c r="AQ206" i="223"/>
  <c r="AQ207" i="223"/>
  <c r="AQ208" i="223"/>
  <c r="AQ209" i="223"/>
  <c r="AQ210" i="223"/>
  <c r="AQ211" i="223"/>
  <c r="AQ212" i="223"/>
  <c r="R33" i="11"/>
  <c r="R35" i="11"/>
  <c r="AR89" i="223"/>
  <c r="AR90" i="223"/>
  <c r="AR91" i="223"/>
  <c r="AR92" i="223"/>
  <c r="AR93" i="223"/>
  <c r="AR94" i="223"/>
  <c r="AR95" i="223"/>
  <c r="AR96" i="223"/>
  <c r="AR97" i="223"/>
  <c r="AR98" i="223"/>
  <c r="S19" i="11"/>
  <c r="AR78" i="223"/>
  <c r="AR79" i="223"/>
  <c r="AR80" i="223"/>
  <c r="AR81" i="223"/>
  <c r="AR82" i="223"/>
  <c r="AR83" i="223"/>
  <c r="AR84" i="223"/>
  <c r="AR85" i="223"/>
  <c r="AR86" i="223"/>
  <c r="AR87" i="223"/>
  <c r="S18" i="11"/>
  <c r="AR45" i="223"/>
  <c r="AR46" i="223"/>
  <c r="AR47" i="223"/>
  <c r="AR48" i="223"/>
  <c r="AR49" i="223"/>
  <c r="AR50" i="223"/>
  <c r="AR51" i="223"/>
  <c r="AR52" i="223"/>
  <c r="AR53" i="223"/>
  <c r="AR54" i="223"/>
  <c r="S15" i="11"/>
  <c r="AR56" i="223"/>
  <c r="AR57" i="223"/>
  <c r="AR58" i="223"/>
  <c r="AR59" i="223"/>
  <c r="AR60" i="223"/>
  <c r="AR61" i="223"/>
  <c r="AR62" i="223"/>
  <c r="AR63" i="223"/>
  <c r="AR64" i="223"/>
  <c r="AR65" i="223"/>
  <c r="S16" i="11"/>
  <c r="AR67" i="223"/>
  <c r="AR68" i="223"/>
  <c r="AR69" i="223"/>
  <c r="AR70" i="223"/>
  <c r="AR71" i="223"/>
  <c r="AR72" i="223"/>
  <c r="AR73" i="223"/>
  <c r="AR74" i="223"/>
  <c r="AR75" i="223"/>
  <c r="AR76" i="223"/>
  <c r="S17" i="11"/>
  <c r="S14" i="11"/>
  <c r="AR101" i="223"/>
  <c r="AR102" i="223"/>
  <c r="AR103" i="223"/>
  <c r="AR104" i="223"/>
  <c r="AR105" i="223"/>
  <c r="AR106" i="223"/>
  <c r="AR107" i="223"/>
  <c r="AR108" i="223"/>
  <c r="AR109" i="223"/>
  <c r="AR110" i="223"/>
  <c r="S21" i="11"/>
  <c r="AR112" i="223"/>
  <c r="AR113" i="223"/>
  <c r="AR114" i="223"/>
  <c r="AR115" i="223"/>
  <c r="AR116" i="223"/>
  <c r="AR117" i="223"/>
  <c r="AR118" i="223"/>
  <c r="AR119" i="223"/>
  <c r="AR120" i="223"/>
  <c r="AR121" i="223"/>
  <c r="S22" i="11"/>
  <c r="AR123" i="223"/>
  <c r="AR124" i="223"/>
  <c r="AR125" i="223"/>
  <c r="AR126" i="223"/>
  <c r="AR127" i="223"/>
  <c r="AR128" i="223"/>
  <c r="AR129" i="223"/>
  <c r="AR130" i="223"/>
  <c r="AR131" i="223"/>
  <c r="AR132" i="223"/>
  <c r="S23" i="11"/>
  <c r="S20" i="11"/>
  <c r="AR134" i="223"/>
  <c r="AR135" i="223"/>
  <c r="AR136" i="223"/>
  <c r="AR137" i="223"/>
  <c r="AR138" i="223"/>
  <c r="AR139" i="223"/>
  <c r="AR140" i="223"/>
  <c r="AR141" i="223"/>
  <c r="AR142" i="223"/>
  <c r="AR143" i="223"/>
  <c r="S24" i="11"/>
  <c r="AR145" i="223"/>
  <c r="AR146" i="223"/>
  <c r="AR147" i="223"/>
  <c r="AR148" i="223"/>
  <c r="AR149" i="223"/>
  <c r="AR150" i="223"/>
  <c r="AR151" i="223"/>
  <c r="AR152" i="223"/>
  <c r="AR153" i="223"/>
  <c r="AR154" i="223"/>
  <c r="S25" i="11"/>
  <c r="AR157" i="223"/>
  <c r="AR158" i="223"/>
  <c r="AR159" i="223"/>
  <c r="AR160" i="223"/>
  <c r="AR161" i="223"/>
  <c r="AR162" i="223"/>
  <c r="AR163" i="223"/>
  <c r="AR164" i="223"/>
  <c r="AR165" i="223"/>
  <c r="AR166" i="223"/>
  <c r="S27" i="11"/>
  <c r="AR168" i="223"/>
  <c r="AR169" i="223"/>
  <c r="AR170" i="223"/>
  <c r="AR171" i="223"/>
  <c r="AR172" i="223"/>
  <c r="AR173" i="223"/>
  <c r="AR174" i="223"/>
  <c r="AR175" i="223"/>
  <c r="AR176" i="223"/>
  <c r="AR177" i="223"/>
  <c r="S28" i="11"/>
  <c r="S26" i="11"/>
  <c r="AR179" i="223"/>
  <c r="AR180" i="223"/>
  <c r="AR181" i="223"/>
  <c r="AR182" i="223"/>
  <c r="AR183" i="223"/>
  <c r="AR184" i="223"/>
  <c r="AR185" i="223"/>
  <c r="AR186" i="223"/>
  <c r="AR187" i="223"/>
  <c r="AR188" i="223"/>
  <c r="S29" i="11"/>
  <c r="AR190" i="223"/>
  <c r="AR191" i="223"/>
  <c r="AR192" i="223"/>
  <c r="AR193" i="223"/>
  <c r="AR194" i="223"/>
  <c r="AR195" i="223"/>
  <c r="AR196" i="223"/>
  <c r="AR197" i="223"/>
  <c r="AR198" i="223"/>
  <c r="AR199" i="223"/>
  <c r="S30" i="11"/>
  <c r="S31" i="11"/>
  <c r="AR8" i="223"/>
  <c r="AR9" i="223"/>
  <c r="AR10" i="223"/>
  <c r="AR11" i="223"/>
  <c r="AR12" i="223"/>
  <c r="AR13" i="223"/>
  <c r="AR14" i="223"/>
  <c r="AR15" i="223"/>
  <c r="AR16" i="223"/>
  <c r="AR17" i="223"/>
  <c r="S8" i="11"/>
  <c r="AR19" i="223"/>
  <c r="AR20" i="223"/>
  <c r="AR21" i="223"/>
  <c r="AR22" i="223"/>
  <c r="AR23" i="223"/>
  <c r="AR24" i="223"/>
  <c r="AR25" i="223"/>
  <c r="AR26" i="223"/>
  <c r="AR27" i="223"/>
  <c r="AR28" i="223"/>
  <c r="S9" i="11"/>
  <c r="S7" i="11"/>
  <c r="AR31" i="223"/>
  <c r="AR32" i="223"/>
  <c r="AR33" i="223"/>
  <c r="AR34" i="223"/>
  <c r="AR35" i="223"/>
  <c r="AR36" i="223"/>
  <c r="AR37" i="223"/>
  <c r="AR38" i="223"/>
  <c r="AR39" i="223"/>
  <c r="AR40" i="223"/>
  <c r="S11" i="11"/>
  <c r="S10" i="11"/>
  <c r="S12" i="11"/>
  <c r="S32" i="11"/>
  <c r="AR214" i="223"/>
  <c r="AR215" i="223"/>
  <c r="AR216" i="223"/>
  <c r="AR217" i="223"/>
  <c r="AR218" i="223"/>
  <c r="AR219" i="223"/>
  <c r="AR220" i="223"/>
  <c r="AR221" i="223"/>
  <c r="AR222" i="223"/>
  <c r="AR223" i="223"/>
  <c r="S34" i="11"/>
  <c r="AR203" i="223"/>
  <c r="AR204" i="223"/>
  <c r="AR205" i="223"/>
  <c r="AR206" i="223"/>
  <c r="AR207" i="223"/>
  <c r="AR208" i="223"/>
  <c r="AR209" i="223"/>
  <c r="AR210" i="223"/>
  <c r="AR211" i="223"/>
  <c r="AR212" i="223"/>
  <c r="S33" i="11"/>
  <c r="S35" i="11"/>
  <c r="AS89" i="223"/>
  <c r="AS90" i="223"/>
  <c r="AS91" i="223"/>
  <c r="AS92" i="223"/>
  <c r="AS93" i="223"/>
  <c r="AS94" i="223"/>
  <c r="AS95" i="223"/>
  <c r="AS96" i="223"/>
  <c r="AS97" i="223"/>
  <c r="AS98" i="223"/>
  <c r="T19" i="11"/>
  <c r="AS78" i="223"/>
  <c r="AS79" i="223"/>
  <c r="AS80" i="223"/>
  <c r="AS81" i="223"/>
  <c r="AS82" i="223"/>
  <c r="AS83" i="223"/>
  <c r="AS84" i="223"/>
  <c r="AS85" i="223"/>
  <c r="AS86" i="223"/>
  <c r="AS87" i="223"/>
  <c r="T18" i="11"/>
  <c r="AS45" i="223"/>
  <c r="AS46" i="223"/>
  <c r="AS47" i="223"/>
  <c r="AS48" i="223"/>
  <c r="AS49" i="223"/>
  <c r="AS50" i="223"/>
  <c r="AS51" i="223"/>
  <c r="AS52" i="223"/>
  <c r="AS53" i="223"/>
  <c r="AS54" i="223"/>
  <c r="T15" i="11"/>
  <c r="AS56" i="223"/>
  <c r="AS57" i="223"/>
  <c r="AS58" i="223"/>
  <c r="AS59" i="223"/>
  <c r="AS60" i="223"/>
  <c r="AS61" i="223"/>
  <c r="AS62" i="223"/>
  <c r="AS63" i="223"/>
  <c r="AS64" i="223"/>
  <c r="AS65" i="223"/>
  <c r="T16" i="11"/>
  <c r="AS67" i="223"/>
  <c r="AS68" i="223"/>
  <c r="AS69" i="223"/>
  <c r="AS70" i="223"/>
  <c r="AS71" i="223"/>
  <c r="AS72" i="223"/>
  <c r="AS73" i="223"/>
  <c r="AS74" i="223"/>
  <c r="AS75" i="223"/>
  <c r="AS76" i="223"/>
  <c r="T17" i="11"/>
  <c r="T14" i="11"/>
  <c r="AS101" i="223"/>
  <c r="AS102" i="223"/>
  <c r="AS103" i="223"/>
  <c r="AS104" i="223"/>
  <c r="AS105" i="223"/>
  <c r="AS106" i="223"/>
  <c r="AS107" i="223"/>
  <c r="AS108" i="223"/>
  <c r="AS109" i="223"/>
  <c r="AS110" i="223"/>
  <c r="T21" i="11"/>
  <c r="AS112" i="223"/>
  <c r="AS113" i="223"/>
  <c r="AS114" i="223"/>
  <c r="AS115" i="223"/>
  <c r="AS116" i="223"/>
  <c r="AS117" i="223"/>
  <c r="AS118" i="223"/>
  <c r="AS119" i="223"/>
  <c r="AS120" i="223"/>
  <c r="AS121" i="223"/>
  <c r="T22" i="11"/>
  <c r="AS123" i="223"/>
  <c r="AS124" i="223"/>
  <c r="AS125" i="223"/>
  <c r="AS126" i="223"/>
  <c r="AS127" i="223"/>
  <c r="AS128" i="223"/>
  <c r="AS129" i="223"/>
  <c r="AS130" i="223"/>
  <c r="AS131" i="223"/>
  <c r="AS132" i="223"/>
  <c r="T23" i="11"/>
  <c r="T20" i="11"/>
  <c r="AS134" i="223"/>
  <c r="AS135" i="223"/>
  <c r="AS136" i="223"/>
  <c r="AS137" i="223"/>
  <c r="AS138" i="223"/>
  <c r="AS139" i="223"/>
  <c r="AS140" i="223"/>
  <c r="AS141" i="223"/>
  <c r="AS142" i="223"/>
  <c r="AS143" i="223"/>
  <c r="T24" i="11"/>
  <c r="AS145" i="223"/>
  <c r="AS146" i="223"/>
  <c r="AS147" i="223"/>
  <c r="AS148" i="223"/>
  <c r="AS149" i="223"/>
  <c r="AS150" i="223"/>
  <c r="AS151" i="223"/>
  <c r="AS152" i="223"/>
  <c r="AS153" i="223"/>
  <c r="AS154" i="223"/>
  <c r="T25" i="11"/>
  <c r="AS157" i="223"/>
  <c r="AS158" i="223"/>
  <c r="AS159" i="223"/>
  <c r="AS160" i="223"/>
  <c r="AS161" i="223"/>
  <c r="AS162" i="223"/>
  <c r="AS163" i="223"/>
  <c r="AS164" i="223"/>
  <c r="AS165" i="223"/>
  <c r="AS166" i="223"/>
  <c r="T27" i="11"/>
  <c r="AS168" i="223"/>
  <c r="AS169" i="223"/>
  <c r="AS170" i="223"/>
  <c r="AS171" i="223"/>
  <c r="AS172" i="223"/>
  <c r="AS173" i="223"/>
  <c r="AS174" i="223"/>
  <c r="AS175" i="223"/>
  <c r="AS176" i="223"/>
  <c r="AS177" i="223"/>
  <c r="T28" i="11"/>
  <c r="T26" i="11"/>
  <c r="AS179" i="223"/>
  <c r="AS180" i="223"/>
  <c r="AS181" i="223"/>
  <c r="AS182" i="223"/>
  <c r="AS183" i="223"/>
  <c r="AS184" i="223"/>
  <c r="AS185" i="223"/>
  <c r="AS186" i="223"/>
  <c r="AS187" i="223"/>
  <c r="AS188" i="223"/>
  <c r="T29" i="11"/>
  <c r="AS190" i="223"/>
  <c r="AS191" i="223"/>
  <c r="AS192" i="223"/>
  <c r="AS193" i="223"/>
  <c r="AS194" i="223"/>
  <c r="AS195" i="223"/>
  <c r="AS196" i="223"/>
  <c r="AS197" i="223"/>
  <c r="AS198" i="223"/>
  <c r="AS199" i="223"/>
  <c r="T30" i="11"/>
  <c r="T31" i="11"/>
  <c r="AS8" i="223"/>
  <c r="AS9" i="223"/>
  <c r="AS10" i="223"/>
  <c r="AS11" i="223"/>
  <c r="AS12" i="223"/>
  <c r="AS13" i="223"/>
  <c r="AS14" i="223"/>
  <c r="AS15" i="223"/>
  <c r="AS16" i="223"/>
  <c r="AS17" i="223"/>
  <c r="T8" i="11"/>
  <c r="AS19" i="223"/>
  <c r="AS20" i="223"/>
  <c r="AS21" i="223"/>
  <c r="AS22" i="223"/>
  <c r="AS23" i="223"/>
  <c r="AS24" i="223"/>
  <c r="AS25" i="223"/>
  <c r="AS26" i="223"/>
  <c r="AS27" i="223"/>
  <c r="AS28" i="223"/>
  <c r="T9" i="11"/>
  <c r="T7" i="11"/>
  <c r="AS31" i="223"/>
  <c r="AS32" i="223"/>
  <c r="AS33" i="223"/>
  <c r="AS34" i="223"/>
  <c r="AS35" i="223"/>
  <c r="AS36" i="223"/>
  <c r="AS37" i="223"/>
  <c r="AS38" i="223"/>
  <c r="AS39" i="223"/>
  <c r="AS40" i="223"/>
  <c r="T11" i="11"/>
  <c r="T10" i="11"/>
  <c r="T12" i="11"/>
  <c r="T32" i="11"/>
  <c r="AS214" i="223"/>
  <c r="AS215" i="223"/>
  <c r="AS216" i="223"/>
  <c r="AS217" i="223"/>
  <c r="AS218" i="223"/>
  <c r="AS219" i="223"/>
  <c r="AS220" i="223"/>
  <c r="AS221" i="223"/>
  <c r="AS222" i="223"/>
  <c r="AS223" i="223"/>
  <c r="T34" i="11"/>
  <c r="AS203" i="223"/>
  <c r="AS204" i="223"/>
  <c r="AS205" i="223"/>
  <c r="AS206" i="223"/>
  <c r="AS207" i="223"/>
  <c r="AS208" i="223"/>
  <c r="AS209" i="223"/>
  <c r="AS210" i="223"/>
  <c r="AS211" i="223"/>
  <c r="AS212" i="223"/>
  <c r="T33" i="11"/>
  <c r="T35" i="11"/>
  <c r="AT89" i="223"/>
  <c r="AT90" i="223"/>
  <c r="AT91" i="223"/>
  <c r="AT92" i="223"/>
  <c r="AT93" i="223"/>
  <c r="AT94" i="223"/>
  <c r="AT95" i="223"/>
  <c r="AT96" i="223"/>
  <c r="AT97" i="223"/>
  <c r="AT98" i="223"/>
  <c r="U19" i="11"/>
  <c r="AT78" i="223"/>
  <c r="AT79" i="223"/>
  <c r="AT80" i="223"/>
  <c r="AT81" i="223"/>
  <c r="AT82" i="223"/>
  <c r="AT83" i="223"/>
  <c r="AT84" i="223"/>
  <c r="AT85" i="223"/>
  <c r="AT86" i="223"/>
  <c r="AT87" i="223"/>
  <c r="U18" i="11"/>
  <c r="AT45" i="223"/>
  <c r="AT46" i="223"/>
  <c r="AT47" i="223"/>
  <c r="AT48" i="223"/>
  <c r="AT49" i="223"/>
  <c r="AT50" i="223"/>
  <c r="AT51" i="223"/>
  <c r="AT52" i="223"/>
  <c r="AT53" i="223"/>
  <c r="AT54" i="223"/>
  <c r="U15" i="11"/>
  <c r="AT56" i="223"/>
  <c r="AT57" i="223"/>
  <c r="AT58" i="223"/>
  <c r="AT59" i="223"/>
  <c r="AT60" i="223"/>
  <c r="AT61" i="223"/>
  <c r="AT62" i="223"/>
  <c r="AT63" i="223"/>
  <c r="AT64" i="223"/>
  <c r="AT65" i="223"/>
  <c r="U16" i="11"/>
  <c r="AT67" i="223"/>
  <c r="AT68" i="223"/>
  <c r="AT69" i="223"/>
  <c r="AT70" i="223"/>
  <c r="AT71" i="223"/>
  <c r="AT72" i="223"/>
  <c r="AT73" i="223"/>
  <c r="AT74" i="223"/>
  <c r="AT75" i="223"/>
  <c r="AT76" i="223"/>
  <c r="U17" i="11"/>
  <c r="U14" i="11"/>
  <c r="AT101" i="223"/>
  <c r="AT102" i="223"/>
  <c r="AT103" i="223"/>
  <c r="AT104" i="223"/>
  <c r="AT105" i="223"/>
  <c r="AT106" i="223"/>
  <c r="AT107" i="223"/>
  <c r="AT108" i="223"/>
  <c r="AT109" i="223"/>
  <c r="AT110" i="223"/>
  <c r="U21" i="11"/>
  <c r="AT112" i="223"/>
  <c r="AT113" i="223"/>
  <c r="AT114" i="223"/>
  <c r="AT115" i="223"/>
  <c r="AT116" i="223"/>
  <c r="AT117" i="223"/>
  <c r="AT118" i="223"/>
  <c r="AT119" i="223"/>
  <c r="AT120" i="223"/>
  <c r="AT121" i="223"/>
  <c r="U22" i="11"/>
  <c r="AT123" i="223"/>
  <c r="AT124" i="223"/>
  <c r="AT125" i="223"/>
  <c r="AT126" i="223"/>
  <c r="AT127" i="223"/>
  <c r="AT128" i="223"/>
  <c r="AT129" i="223"/>
  <c r="AT130" i="223"/>
  <c r="AT131" i="223"/>
  <c r="AT132" i="223"/>
  <c r="U23" i="11"/>
  <c r="U20" i="11"/>
  <c r="AT134" i="223"/>
  <c r="AT135" i="223"/>
  <c r="AT136" i="223"/>
  <c r="AT137" i="223"/>
  <c r="AT138" i="223"/>
  <c r="AT139" i="223"/>
  <c r="AT140" i="223"/>
  <c r="AT141" i="223"/>
  <c r="AT142" i="223"/>
  <c r="AT143" i="223"/>
  <c r="U24" i="11"/>
  <c r="AT145" i="223"/>
  <c r="AT146" i="223"/>
  <c r="AT147" i="223"/>
  <c r="AT148" i="223"/>
  <c r="AT149" i="223"/>
  <c r="AT150" i="223"/>
  <c r="AT151" i="223"/>
  <c r="AT152" i="223"/>
  <c r="AT153" i="223"/>
  <c r="AT154" i="223"/>
  <c r="U25" i="11"/>
  <c r="AT157" i="223"/>
  <c r="AT158" i="223"/>
  <c r="AT159" i="223"/>
  <c r="AT160" i="223"/>
  <c r="AT161" i="223"/>
  <c r="AT162" i="223"/>
  <c r="AT163" i="223"/>
  <c r="AT164" i="223"/>
  <c r="AT165" i="223"/>
  <c r="AT166" i="223"/>
  <c r="U27" i="11"/>
  <c r="AT168" i="223"/>
  <c r="AT169" i="223"/>
  <c r="AT170" i="223"/>
  <c r="AT171" i="223"/>
  <c r="AT172" i="223"/>
  <c r="AT173" i="223"/>
  <c r="AT174" i="223"/>
  <c r="AT175" i="223"/>
  <c r="AT176" i="223"/>
  <c r="AT177" i="223"/>
  <c r="U28" i="11"/>
  <c r="U26" i="11"/>
  <c r="AT179" i="223"/>
  <c r="AT180" i="223"/>
  <c r="AT181" i="223"/>
  <c r="AT182" i="223"/>
  <c r="AT183" i="223"/>
  <c r="AT184" i="223"/>
  <c r="AT185" i="223"/>
  <c r="AT186" i="223"/>
  <c r="AT187" i="223"/>
  <c r="AT188" i="223"/>
  <c r="U29" i="11"/>
  <c r="AT190" i="223"/>
  <c r="AT191" i="223"/>
  <c r="AT192" i="223"/>
  <c r="AT193" i="223"/>
  <c r="AT194" i="223"/>
  <c r="AT195" i="223"/>
  <c r="AT196" i="223"/>
  <c r="AT197" i="223"/>
  <c r="AT198" i="223"/>
  <c r="AT199" i="223"/>
  <c r="U30" i="11"/>
  <c r="U31" i="11"/>
  <c r="AT8" i="223"/>
  <c r="AT9" i="223"/>
  <c r="AT10" i="223"/>
  <c r="AT11" i="223"/>
  <c r="AT12" i="223"/>
  <c r="AT13" i="223"/>
  <c r="AT14" i="223"/>
  <c r="AT15" i="223"/>
  <c r="AT16" i="223"/>
  <c r="AT17" i="223"/>
  <c r="U8" i="11"/>
  <c r="AT19" i="223"/>
  <c r="AT20" i="223"/>
  <c r="AT21" i="223"/>
  <c r="AT22" i="223"/>
  <c r="AT23" i="223"/>
  <c r="AT24" i="223"/>
  <c r="AT25" i="223"/>
  <c r="AT26" i="223"/>
  <c r="AT27" i="223"/>
  <c r="AT28" i="223"/>
  <c r="U9" i="11"/>
  <c r="U7" i="11"/>
  <c r="AT31" i="223"/>
  <c r="AT32" i="223"/>
  <c r="AT33" i="223"/>
  <c r="AT34" i="223"/>
  <c r="AT35" i="223"/>
  <c r="AT36" i="223"/>
  <c r="AT37" i="223"/>
  <c r="AT38" i="223"/>
  <c r="AT39" i="223"/>
  <c r="AT40" i="223"/>
  <c r="U11" i="11"/>
  <c r="U10" i="11"/>
  <c r="U12" i="11"/>
  <c r="U32" i="11"/>
  <c r="AT214" i="223"/>
  <c r="AT215" i="223"/>
  <c r="AT216" i="223"/>
  <c r="AT217" i="223"/>
  <c r="AT218" i="223"/>
  <c r="AT219" i="223"/>
  <c r="AT220" i="223"/>
  <c r="AT221" i="223"/>
  <c r="AT222" i="223"/>
  <c r="AT223" i="223"/>
  <c r="U34" i="11"/>
  <c r="AT203" i="223"/>
  <c r="AT204" i="223"/>
  <c r="AT205" i="223"/>
  <c r="AT206" i="223"/>
  <c r="AT207" i="223"/>
  <c r="AT208" i="223"/>
  <c r="AT209" i="223"/>
  <c r="AT210" i="223"/>
  <c r="AT211" i="223"/>
  <c r="AT212" i="223"/>
  <c r="U33" i="11"/>
  <c r="U35" i="11"/>
  <c r="AB5" i="213" a="1"/>
  <c r="AB5" i="213" s="1"/>
  <c r="AB6" i="213" a="1"/>
  <c r="AB6" i="213" s="1"/>
  <c r="AB7" i="213" a="1"/>
  <c r="AB7" i="213" s="1"/>
  <c r="AA4" i="213" a="1"/>
  <c r="AA4" i="213" s="1"/>
  <c r="C7" i="216" s="1"/>
  <c r="AU10" i="223"/>
  <c r="AV10" i="223"/>
  <c r="AW10" i="223"/>
  <c r="AX10" i="223"/>
  <c r="AY10" i="223"/>
  <c r="AG8" i="1"/>
  <c r="E92" i="212"/>
  <c r="BB57" i="218" s="1"/>
  <c r="H5" i="9"/>
  <c r="I5" i="9"/>
  <c r="J5" i="9"/>
  <c r="K5" i="9"/>
  <c r="L5" i="9"/>
  <c r="M5" i="9"/>
  <c r="N5" i="9"/>
  <c r="O5" i="9"/>
  <c r="P5" i="9"/>
  <c r="Q5" i="9"/>
  <c r="R5" i="9"/>
  <c r="S5" i="9"/>
  <c r="T5" i="9"/>
  <c r="U5" i="9"/>
  <c r="V5" i="9"/>
  <c r="W5" i="9"/>
  <c r="X5" i="9"/>
  <c r="Y5" i="9"/>
  <c r="Z5" i="9"/>
  <c r="AA5" i="9"/>
  <c r="H6" i="9"/>
  <c r="I6" i="9"/>
  <c r="J6" i="9"/>
  <c r="K6" i="9"/>
  <c r="L6" i="9"/>
  <c r="M6" i="9"/>
  <c r="N6" i="9"/>
  <c r="O6" i="9"/>
  <c r="P6" i="9"/>
  <c r="Q6" i="9"/>
  <c r="R6" i="9"/>
  <c r="S6" i="9"/>
  <c r="T6" i="9"/>
  <c r="U6" i="9"/>
  <c r="V6" i="9"/>
  <c r="W6" i="9"/>
  <c r="X6" i="9"/>
  <c r="Y6" i="9"/>
  <c r="Z6" i="9"/>
  <c r="AA6" i="9"/>
  <c r="H7" i="9"/>
  <c r="I7" i="9"/>
  <c r="J7" i="9"/>
  <c r="K7" i="9"/>
  <c r="L7" i="9"/>
  <c r="M7" i="9"/>
  <c r="N7" i="9"/>
  <c r="O7" i="9"/>
  <c r="P7" i="9"/>
  <c r="Q7" i="9"/>
  <c r="R7" i="9"/>
  <c r="S7" i="9"/>
  <c r="T7" i="9"/>
  <c r="U7" i="9"/>
  <c r="V7" i="9"/>
  <c r="W7" i="9"/>
  <c r="X7" i="9"/>
  <c r="Y7" i="9"/>
  <c r="Z7" i="9"/>
  <c r="AA7" i="9"/>
  <c r="H8" i="9"/>
  <c r="I8" i="9"/>
  <c r="J8" i="9"/>
  <c r="K8" i="9"/>
  <c r="L8" i="9"/>
  <c r="M8" i="9"/>
  <c r="N8" i="9"/>
  <c r="O8" i="9"/>
  <c r="P8" i="9"/>
  <c r="Q8" i="9"/>
  <c r="R8" i="9"/>
  <c r="S8" i="9"/>
  <c r="T8" i="9"/>
  <c r="U8" i="9"/>
  <c r="V8" i="9"/>
  <c r="W8" i="9"/>
  <c r="X8" i="9"/>
  <c r="Y8" i="9"/>
  <c r="Z8" i="9"/>
  <c r="AA8" i="9"/>
  <c r="H9" i="9"/>
  <c r="I9" i="9"/>
  <c r="J9" i="9"/>
  <c r="K9" i="9"/>
  <c r="L9" i="9"/>
  <c r="M9" i="9"/>
  <c r="N9" i="9"/>
  <c r="O9" i="9"/>
  <c r="P9" i="9"/>
  <c r="Q9" i="9"/>
  <c r="R9" i="9"/>
  <c r="S9" i="9"/>
  <c r="T9" i="9"/>
  <c r="U9" i="9"/>
  <c r="V9" i="9"/>
  <c r="W9" i="9"/>
  <c r="X9" i="9"/>
  <c r="Y9" i="9"/>
  <c r="Z9" i="9"/>
  <c r="AA9" i="9"/>
  <c r="H10" i="9"/>
  <c r="I10" i="9"/>
  <c r="J10" i="9"/>
  <c r="K10" i="9"/>
  <c r="L10" i="9"/>
  <c r="M10" i="9"/>
  <c r="N10" i="9"/>
  <c r="O10" i="9"/>
  <c r="P10" i="9"/>
  <c r="Q10" i="9"/>
  <c r="R10" i="9"/>
  <c r="S10" i="9"/>
  <c r="T10" i="9"/>
  <c r="U10" i="9"/>
  <c r="V10" i="9"/>
  <c r="W10" i="9"/>
  <c r="X10" i="9"/>
  <c r="Y10" i="9"/>
  <c r="Z10" i="9"/>
  <c r="AA10" i="9"/>
  <c r="H11" i="9"/>
  <c r="I11" i="9"/>
  <c r="J11" i="9"/>
  <c r="K11" i="9"/>
  <c r="L11" i="9"/>
  <c r="M11" i="9"/>
  <c r="N11" i="9"/>
  <c r="O11" i="9"/>
  <c r="P11" i="9"/>
  <c r="Q11" i="9"/>
  <c r="R11" i="9"/>
  <c r="S11" i="9"/>
  <c r="T11" i="9"/>
  <c r="U11" i="9"/>
  <c r="V11" i="9"/>
  <c r="W11" i="9"/>
  <c r="X11" i="9"/>
  <c r="Y11" i="9"/>
  <c r="Z11" i="9"/>
  <c r="AA11" i="9"/>
  <c r="H12" i="9"/>
  <c r="I12" i="9"/>
  <c r="J12" i="9"/>
  <c r="K12" i="9"/>
  <c r="L12" i="9"/>
  <c r="M12" i="9"/>
  <c r="N12" i="9"/>
  <c r="O12" i="9"/>
  <c r="P12" i="9"/>
  <c r="Q12" i="9"/>
  <c r="R12" i="9"/>
  <c r="S12" i="9"/>
  <c r="T12" i="9"/>
  <c r="U12" i="9"/>
  <c r="V12" i="9"/>
  <c r="W12" i="9"/>
  <c r="X12" i="9"/>
  <c r="Y12" i="9"/>
  <c r="Z12" i="9"/>
  <c r="AA12" i="9"/>
  <c r="H13" i="9"/>
  <c r="I13" i="9"/>
  <c r="J13" i="9"/>
  <c r="K13" i="9"/>
  <c r="L13" i="9"/>
  <c r="M13" i="9"/>
  <c r="N13" i="9"/>
  <c r="O13" i="9"/>
  <c r="P13" i="9"/>
  <c r="Q13" i="9"/>
  <c r="R13" i="9"/>
  <c r="S13" i="9"/>
  <c r="T13" i="9"/>
  <c r="U13" i="9"/>
  <c r="V13" i="9"/>
  <c r="W13" i="9"/>
  <c r="X13" i="9"/>
  <c r="Y13" i="9"/>
  <c r="Z13" i="9"/>
  <c r="AA13" i="9"/>
  <c r="H14" i="9"/>
  <c r="I14" i="9"/>
  <c r="J14" i="9"/>
  <c r="K14" i="9"/>
  <c r="L14" i="9"/>
  <c r="M14" i="9"/>
  <c r="N14" i="9"/>
  <c r="O14" i="9"/>
  <c r="P14" i="9"/>
  <c r="Q14" i="9"/>
  <c r="R14" i="9"/>
  <c r="S14" i="9"/>
  <c r="T14" i="9"/>
  <c r="U14" i="9"/>
  <c r="V14" i="9"/>
  <c r="W14" i="9"/>
  <c r="X14" i="9"/>
  <c r="Y14" i="9"/>
  <c r="Z14" i="9"/>
  <c r="AA14" i="9"/>
  <c r="H15" i="9"/>
  <c r="I15" i="9"/>
  <c r="J15" i="9"/>
  <c r="K15" i="9"/>
  <c r="L15" i="9"/>
  <c r="M15" i="9"/>
  <c r="N15" i="9"/>
  <c r="O15" i="9"/>
  <c r="P15" i="9"/>
  <c r="Q15" i="9"/>
  <c r="R15" i="9"/>
  <c r="S15" i="9"/>
  <c r="T15" i="9"/>
  <c r="U15" i="9"/>
  <c r="V15" i="9"/>
  <c r="W15" i="9"/>
  <c r="X15" i="9"/>
  <c r="Y15" i="9"/>
  <c r="Z15" i="9"/>
  <c r="AA15" i="9"/>
  <c r="H16" i="9"/>
  <c r="I16" i="9"/>
  <c r="J16" i="9"/>
  <c r="K16" i="9"/>
  <c r="L16" i="9"/>
  <c r="M16" i="9"/>
  <c r="N16" i="9"/>
  <c r="O16" i="9"/>
  <c r="P16" i="9"/>
  <c r="Q16" i="9"/>
  <c r="R16" i="9"/>
  <c r="S16" i="9"/>
  <c r="T16" i="9"/>
  <c r="U16" i="9"/>
  <c r="V16" i="9"/>
  <c r="W16" i="9"/>
  <c r="X16" i="9"/>
  <c r="Y16" i="9"/>
  <c r="Z16" i="9"/>
  <c r="AA16" i="9"/>
  <c r="H17" i="9"/>
  <c r="I17" i="9"/>
  <c r="J17" i="9"/>
  <c r="K17" i="9"/>
  <c r="L17" i="9"/>
  <c r="M17" i="9"/>
  <c r="N17" i="9"/>
  <c r="O17" i="9"/>
  <c r="P17" i="9"/>
  <c r="Q17" i="9"/>
  <c r="R17" i="9"/>
  <c r="S17" i="9"/>
  <c r="T17" i="9"/>
  <c r="U17" i="9"/>
  <c r="V17" i="9"/>
  <c r="W17" i="9"/>
  <c r="X17" i="9"/>
  <c r="Y17" i="9"/>
  <c r="Z17" i="9"/>
  <c r="AA17" i="9"/>
  <c r="Z279" i="11"/>
  <c r="Y279" i="11"/>
  <c r="X279" i="11"/>
  <c r="W279" i="11"/>
  <c r="V279" i="11"/>
  <c r="U279" i="11"/>
  <c r="T279" i="11"/>
  <c r="S279" i="11"/>
  <c r="R279" i="11"/>
  <c r="Q279" i="11"/>
  <c r="P279" i="11"/>
  <c r="O279" i="11"/>
  <c r="N279" i="11"/>
  <c r="M279" i="11"/>
  <c r="L279" i="11"/>
  <c r="K279" i="11"/>
  <c r="J279" i="11"/>
  <c r="I279" i="11"/>
  <c r="H279" i="11"/>
  <c r="G279" i="11"/>
  <c r="Z278" i="11"/>
  <c r="Y278" i="11"/>
  <c r="X278" i="11"/>
  <c r="W278" i="11"/>
  <c r="V278" i="11"/>
  <c r="U278" i="11"/>
  <c r="T278" i="11"/>
  <c r="S278" i="11"/>
  <c r="R278" i="11"/>
  <c r="Q278" i="11"/>
  <c r="P278" i="11"/>
  <c r="O278" i="11"/>
  <c r="N278" i="11"/>
  <c r="M278" i="11"/>
  <c r="L278" i="11"/>
  <c r="K278" i="11"/>
  <c r="J278" i="11"/>
  <c r="I278" i="11"/>
  <c r="H278" i="11"/>
  <c r="G278" i="11"/>
  <c r="Z277" i="11"/>
  <c r="Y277" i="11"/>
  <c r="X277" i="11"/>
  <c r="W277" i="11"/>
  <c r="V277" i="11"/>
  <c r="U277" i="11"/>
  <c r="T277" i="11"/>
  <c r="S277" i="11"/>
  <c r="R277" i="11"/>
  <c r="Q277" i="11"/>
  <c r="P277" i="11"/>
  <c r="O277" i="11"/>
  <c r="N277" i="11"/>
  <c r="M277" i="11"/>
  <c r="L277" i="11"/>
  <c r="K277" i="11"/>
  <c r="J277" i="11"/>
  <c r="I277" i="11"/>
  <c r="H277" i="11"/>
  <c r="G277" i="11"/>
  <c r="Z276" i="11"/>
  <c r="Y276" i="11"/>
  <c r="X276" i="11"/>
  <c r="W276" i="11"/>
  <c r="V276" i="11"/>
  <c r="U276" i="11"/>
  <c r="T276" i="11"/>
  <c r="S276" i="11"/>
  <c r="R276" i="11"/>
  <c r="Q276" i="11"/>
  <c r="P276" i="11"/>
  <c r="O276" i="11"/>
  <c r="N276" i="11"/>
  <c r="M276" i="11"/>
  <c r="L276" i="11"/>
  <c r="K276" i="11"/>
  <c r="J276" i="11"/>
  <c r="I276" i="11"/>
  <c r="H276" i="11"/>
  <c r="G276" i="11"/>
  <c r="Z275" i="11"/>
  <c r="Y275" i="11"/>
  <c r="X275" i="11"/>
  <c r="W275" i="11"/>
  <c r="V275" i="11"/>
  <c r="U275" i="11"/>
  <c r="T275" i="11"/>
  <c r="S275" i="11"/>
  <c r="R275" i="11"/>
  <c r="Q275" i="11"/>
  <c r="P275" i="11"/>
  <c r="O275" i="11"/>
  <c r="N275" i="11"/>
  <c r="M275" i="11"/>
  <c r="L275" i="11"/>
  <c r="K275" i="11"/>
  <c r="J275" i="11"/>
  <c r="I275" i="11"/>
  <c r="H275" i="11"/>
  <c r="G275" i="11"/>
  <c r="Z274" i="11"/>
  <c r="Y274" i="11"/>
  <c r="X274" i="11"/>
  <c r="W274" i="11"/>
  <c r="V274" i="11"/>
  <c r="U274" i="11"/>
  <c r="T274" i="11"/>
  <c r="S274" i="11"/>
  <c r="R274" i="11"/>
  <c r="Q274" i="11"/>
  <c r="P274" i="11"/>
  <c r="O274" i="11"/>
  <c r="N274" i="11"/>
  <c r="M274" i="11"/>
  <c r="L274" i="11"/>
  <c r="K274" i="11"/>
  <c r="J274" i="11"/>
  <c r="I274" i="11"/>
  <c r="H274" i="11"/>
  <c r="G274" i="11"/>
  <c r="Z273" i="11"/>
  <c r="Y273" i="11"/>
  <c r="X273" i="11"/>
  <c r="W273" i="11"/>
  <c r="V273" i="11"/>
  <c r="U273" i="11"/>
  <c r="T273" i="11"/>
  <c r="S273" i="11"/>
  <c r="R273" i="11"/>
  <c r="Q273" i="11"/>
  <c r="P273" i="11"/>
  <c r="O273" i="11"/>
  <c r="N273" i="11"/>
  <c r="M273" i="11"/>
  <c r="L273" i="11"/>
  <c r="K273" i="11"/>
  <c r="J273" i="11"/>
  <c r="I273" i="11"/>
  <c r="H273" i="11"/>
  <c r="G273" i="11"/>
  <c r="Z272" i="11"/>
  <c r="Y272" i="11"/>
  <c r="X272" i="11"/>
  <c r="W272" i="11"/>
  <c r="V272" i="11"/>
  <c r="U272" i="11"/>
  <c r="T272" i="11"/>
  <c r="S272" i="11"/>
  <c r="R272" i="11"/>
  <c r="Q272" i="11"/>
  <c r="P272" i="11"/>
  <c r="O272" i="11"/>
  <c r="N272" i="11"/>
  <c r="M272" i="11"/>
  <c r="L272" i="11"/>
  <c r="K272" i="11"/>
  <c r="J272" i="11"/>
  <c r="I272" i="11"/>
  <c r="H272" i="11"/>
  <c r="G272" i="11"/>
  <c r="Z271" i="11"/>
  <c r="Y271" i="11"/>
  <c r="X271" i="11"/>
  <c r="W271" i="11"/>
  <c r="V271" i="11"/>
  <c r="U271" i="11"/>
  <c r="T271" i="11"/>
  <c r="S271" i="11"/>
  <c r="R271" i="11"/>
  <c r="Q271" i="11"/>
  <c r="P271" i="11"/>
  <c r="O271" i="11"/>
  <c r="N271" i="11"/>
  <c r="M271" i="11"/>
  <c r="L271" i="11"/>
  <c r="K271" i="11"/>
  <c r="J271" i="11"/>
  <c r="I271" i="11"/>
  <c r="H271" i="11"/>
  <c r="G271" i="11"/>
  <c r="Z270" i="11"/>
  <c r="Y270" i="11"/>
  <c r="X270" i="11"/>
  <c r="W270" i="11"/>
  <c r="V270" i="11"/>
  <c r="U270" i="11"/>
  <c r="T270" i="11"/>
  <c r="S270" i="11"/>
  <c r="R270" i="11"/>
  <c r="Q270" i="11"/>
  <c r="P270" i="11"/>
  <c r="O270" i="11"/>
  <c r="N270" i="11"/>
  <c r="M270" i="11"/>
  <c r="L270" i="11"/>
  <c r="K270" i="11"/>
  <c r="J270" i="11"/>
  <c r="I270" i="11"/>
  <c r="H270" i="11"/>
  <c r="G270" i="11"/>
  <c r="Z268" i="11"/>
  <c r="Y268" i="11"/>
  <c r="X268" i="11"/>
  <c r="W268" i="11"/>
  <c r="V268" i="11"/>
  <c r="U268" i="11"/>
  <c r="T268" i="11"/>
  <c r="S268" i="11"/>
  <c r="R268" i="11"/>
  <c r="Q268" i="11"/>
  <c r="P268" i="11"/>
  <c r="O268" i="11"/>
  <c r="N268" i="11"/>
  <c r="M268" i="11"/>
  <c r="L268" i="11"/>
  <c r="K268" i="11"/>
  <c r="J268" i="11"/>
  <c r="I268" i="11"/>
  <c r="H268" i="11"/>
  <c r="G268" i="11"/>
  <c r="Z267" i="11"/>
  <c r="Y267" i="11"/>
  <c r="X267" i="11"/>
  <c r="W267" i="11"/>
  <c r="V267" i="11"/>
  <c r="U267" i="11"/>
  <c r="T267" i="11"/>
  <c r="S267" i="11"/>
  <c r="R267" i="11"/>
  <c r="Q267" i="11"/>
  <c r="P267" i="11"/>
  <c r="O267" i="11"/>
  <c r="N267" i="11"/>
  <c r="M267" i="11"/>
  <c r="L267" i="11"/>
  <c r="K267" i="11"/>
  <c r="J267" i="11"/>
  <c r="I267" i="11"/>
  <c r="H267" i="11"/>
  <c r="G267" i="11"/>
  <c r="Z266" i="11"/>
  <c r="Y266" i="11"/>
  <c r="X266" i="11"/>
  <c r="W266" i="11"/>
  <c r="V266" i="11"/>
  <c r="U266" i="11"/>
  <c r="T266" i="11"/>
  <c r="S266" i="11"/>
  <c r="R266" i="11"/>
  <c r="Q266" i="11"/>
  <c r="P266" i="11"/>
  <c r="O266" i="11"/>
  <c r="N266" i="11"/>
  <c r="M266" i="11"/>
  <c r="L266" i="11"/>
  <c r="K266" i="11"/>
  <c r="J266" i="11"/>
  <c r="I266" i="11"/>
  <c r="H266" i="11"/>
  <c r="G266" i="11"/>
  <c r="Z265" i="11"/>
  <c r="Y265" i="11"/>
  <c r="X265" i="11"/>
  <c r="W265" i="11"/>
  <c r="V265" i="11"/>
  <c r="U265" i="11"/>
  <c r="T265" i="11"/>
  <c r="S265" i="11"/>
  <c r="R265" i="11"/>
  <c r="Q265" i="11"/>
  <c r="P265" i="11"/>
  <c r="O265" i="11"/>
  <c r="N265" i="11"/>
  <c r="M265" i="11"/>
  <c r="L265" i="11"/>
  <c r="K265" i="11"/>
  <c r="J265" i="11"/>
  <c r="I265" i="11"/>
  <c r="H265" i="11"/>
  <c r="G265" i="11"/>
  <c r="Z264" i="11"/>
  <c r="Y264" i="11"/>
  <c r="X264" i="11"/>
  <c r="W264" i="11"/>
  <c r="V264" i="11"/>
  <c r="U264" i="11"/>
  <c r="T264" i="11"/>
  <c r="S264" i="11"/>
  <c r="R264" i="11"/>
  <c r="Q264" i="11"/>
  <c r="P264" i="11"/>
  <c r="O264" i="11"/>
  <c r="N264" i="11"/>
  <c r="M264" i="11"/>
  <c r="L264" i="11"/>
  <c r="K264" i="11"/>
  <c r="J264" i="11"/>
  <c r="I264" i="11"/>
  <c r="H264" i="11"/>
  <c r="G264" i="11"/>
  <c r="Z263" i="11"/>
  <c r="Y263" i="11"/>
  <c r="X263" i="11"/>
  <c r="W263" i="11"/>
  <c r="V263" i="11"/>
  <c r="U263" i="11"/>
  <c r="T263" i="11"/>
  <c r="S263" i="11"/>
  <c r="R263" i="11"/>
  <c r="Q263" i="11"/>
  <c r="P263" i="11"/>
  <c r="O263" i="11"/>
  <c r="N263" i="11"/>
  <c r="M263" i="11"/>
  <c r="L263" i="11"/>
  <c r="K263" i="11"/>
  <c r="J263" i="11"/>
  <c r="I263" i="11"/>
  <c r="H263" i="11"/>
  <c r="G263" i="11"/>
  <c r="Z262" i="11"/>
  <c r="Y262" i="11"/>
  <c r="X262" i="11"/>
  <c r="W262" i="11"/>
  <c r="V262" i="11"/>
  <c r="U262" i="11"/>
  <c r="T262" i="11"/>
  <c r="S262" i="11"/>
  <c r="R262" i="11"/>
  <c r="Q262" i="11"/>
  <c r="P262" i="11"/>
  <c r="O262" i="11"/>
  <c r="N262" i="11"/>
  <c r="M262" i="11"/>
  <c r="L262" i="11"/>
  <c r="K262" i="11"/>
  <c r="J262" i="11"/>
  <c r="I262" i="11"/>
  <c r="H262" i="11"/>
  <c r="G262" i="11"/>
  <c r="Z261" i="11"/>
  <c r="Y261" i="11"/>
  <c r="X261" i="11"/>
  <c r="W261" i="11"/>
  <c r="V261" i="11"/>
  <c r="U261" i="11"/>
  <c r="T261" i="11"/>
  <c r="S261" i="11"/>
  <c r="R261" i="11"/>
  <c r="Q261" i="11"/>
  <c r="P261" i="11"/>
  <c r="O261" i="11"/>
  <c r="N261" i="11"/>
  <c r="M261" i="11"/>
  <c r="L261" i="11"/>
  <c r="K261" i="11"/>
  <c r="J261" i="11"/>
  <c r="I261" i="11"/>
  <c r="H261" i="11"/>
  <c r="G261" i="11"/>
  <c r="Z260" i="11"/>
  <c r="Y260" i="11"/>
  <c r="X260" i="11"/>
  <c r="W260" i="11"/>
  <c r="V260" i="11"/>
  <c r="U260" i="11"/>
  <c r="T260" i="11"/>
  <c r="S260" i="11"/>
  <c r="R260" i="11"/>
  <c r="Q260" i="11"/>
  <c r="P260" i="11"/>
  <c r="O260" i="11"/>
  <c r="N260" i="11"/>
  <c r="M260" i="11"/>
  <c r="L260" i="11"/>
  <c r="K260" i="11"/>
  <c r="J260" i="11"/>
  <c r="I260" i="11"/>
  <c r="H260" i="11"/>
  <c r="G260" i="11"/>
  <c r="Z259" i="11"/>
  <c r="Y259" i="11"/>
  <c r="X259" i="11"/>
  <c r="W259" i="11"/>
  <c r="V259" i="11"/>
  <c r="U259" i="11"/>
  <c r="T259" i="11"/>
  <c r="S259" i="11"/>
  <c r="R259" i="11"/>
  <c r="Q259" i="11"/>
  <c r="P259" i="11"/>
  <c r="O259" i="11"/>
  <c r="N259" i="11"/>
  <c r="M259" i="11"/>
  <c r="L259" i="11"/>
  <c r="K259" i="11"/>
  <c r="J259" i="11"/>
  <c r="I259" i="11"/>
  <c r="H259" i="11"/>
  <c r="G259" i="11"/>
  <c r="Z255" i="11"/>
  <c r="Y255" i="11"/>
  <c r="X255" i="11"/>
  <c r="W255" i="11"/>
  <c r="V255" i="11"/>
  <c r="U255" i="11"/>
  <c r="T255" i="11"/>
  <c r="S255" i="11"/>
  <c r="R255" i="11"/>
  <c r="Q255" i="11"/>
  <c r="P255" i="11"/>
  <c r="O255" i="11"/>
  <c r="N255" i="11"/>
  <c r="M255" i="11"/>
  <c r="L255" i="11"/>
  <c r="K255" i="11"/>
  <c r="J255" i="11"/>
  <c r="I255" i="11"/>
  <c r="H255" i="11"/>
  <c r="G255" i="11"/>
  <c r="Z254" i="11"/>
  <c r="Y254" i="11"/>
  <c r="X254" i="11"/>
  <c r="W254" i="11"/>
  <c r="V254" i="11"/>
  <c r="U254" i="11"/>
  <c r="T254" i="11"/>
  <c r="S254" i="11"/>
  <c r="R254" i="11"/>
  <c r="Q254" i="11"/>
  <c r="P254" i="11"/>
  <c r="O254" i="11"/>
  <c r="N254" i="11"/>
  <c r="M254" i="11"/>
  <c r="L254" i="11"/>
  <c r="K254" i="11"/>
  <c r="J254" i="11"/>
  <c r="I254" i="11"/>
  <c r="H254" i="11"/>
  <c r="G254" i="11"/>
  <c r="Z253" i="11"/>
  <c r="Y253" i="11"/>
  <c r="X253" i="11"/>
  <c r="W253" i="11"/>
  <c r="V253" i="11"/>
  <c r="U253" i="11"/>
  <c r="T253" i="11"/>
  <c r="S253" i="11"/>
  <c r="R253" i="11"/>
  <c r="Q253" i="11"/>
  <c r="P253" i="11"/>
  <c r="O253" i="11"/>
  <c r="N253" i="11"/>
  <c r="M253" i="11"/>
  <c r="L253" i="11"/>
  <c r="K253" i="11"/>
  <c r="J253" i="11"/>
  <c r="I253" i="11"/>
  <c r="H253" i="11"/>
  <c r="G253" i="11"/>
  <c r="Z252" i="11"/>
  <c r="Y252" i="11"/>
  <c r="X252" i="11"/>
  <c r="W252" i="11"/>
  <c r="V252" i="11"/>
  <c r="U252" i="11"/>
  <c r="T252" i="11"/>
  <c r="S252" i="11"/>
  <c r="R252" i="11"/>
  <c r="Q252" i="11"/>
  <c r="P252" i="11"/>
  <c r="O252" i="11"/>
  <c r="N252" i="11"/>
  <c r="M252" i="11"/>
  <c r="L252" i="11"/>
  <c r="K252" i="11"/>
  <c r="J252" i="11"/>
  <c r="I252" i="11"/>
  <c r="H252" i="11"/>
  <c r="G252" i="11"/>
  <c r="Z251" i="11"/>
  <c r="Y251" i="11"/>
  <c r="X251" i="11"/>
  <c r="W251" i="11"/>
  <c r="V251" i="11"/>
  <c r="U251" i="11"/>
  <c r="T251" i="11"/>
  <c r="S251" i="11"/>
  <c r="R251" i="11"/>
  <c r="Q251" i="11"/>
  <c r="P251" i="11"/>
  <c r="O251" i="11"/>
  <c r="N251" i="11"/>
  <c r="M251" i="11"/>
  <c r="L251" i="11"/>
  <c r="K251" i="11"/>
  <c r="J251" i="11"/>
  <c r="I251" i="11"/>
  <c r="H251" i="11"/>
  <c r="G251" i="11"/>
  <c r="Z250" i="11"/>
  <c r="Y250" i="11"/>
  <c r="X250" i="11"/>
  <c r="W250" i="11"/>
  <c r="V250" i="11"/>
  <c r="U250" i="11"/>
  <c r="T250" i="11"/>
  <c r="S250" i="11"/>
  <c r="R250" i="11"/>
  <c r="Q250" i="11"/>
  <c r="P250" i="11"/>
  <c r="O250" i="11"/>
  <c r="N250" i="11"/>
  <c r="M250" i="11"/>
  <c r="L250" i="11"/>
  <c r="K250" i="11"/>
  <c r="J250" i="11"/>
  <c r="I250" i="11"/>
  <c r="H250" i="11"/>
  <c r="G250" i="11"/>
  <c r="Z249" i="11"/>
  <c r="Y249" i="11"/>
  <c r="X249" i="11"/>
  <c r="W249" i="11"/>
  <c r="V249" i="11"/>
  <c r="U249" i="11"/>
  <c r="T249" i="11"/>
  <c r="S249" i="11"/>
  <c r="R249" i="11"/>
  <c r="Q249" i="11"/>
  <c r="P249" i="11"/>
  <c r="O249" i="11"/>
  <c r="N249" i="11"/>
  <c r="M249" i="11"/>
  <c r="L249" i="11"/>
  <c r="K249" i="11"/>
  <c r="J249" i="11"/>
  <c r="I249" i="11"/>
  <c r="H249" i="11"/>
  <c r="G249" i="11"/>
  <c r="Z248" i="11"/>
  <c r="Y248" i="11"/>
  <c r="X248" i="11"/>
  <c r="W248" i="11"/>
  <c r="V248" i="11"/>
  <c r="U248" i="11"/>
  <c r="T248" i="11"/>
  <c r="S248" i="11"/>
  <c r="R248" i="11"/>
  <c r="Q248" i="11"/>
  <c r="P248" i="11"/>
  <c r="O248" i="11"/>
  <c r="N248" i="11"/>
  <c r="M248" i="11"/>
  <c r="L248" i="11"/>
  <c r="K248" i="11"/>
  <c r="J248" i="11"/>
  <c r="I248" i="11"/>
  <c r="H248" i="11"/>
  <c r="G248" i="11"/>
  <c r="Z247" i="11"/>
  <c r="Y247" i="11"/>
  <c r="X247" i="11"/>
  <c r="W247" i="11"/>
  <c r="V247" i="11"/>
  <c r="U247" i="11"/>
  <c r="T247" i="11"/>
  <c r="S247" i="11"/>
  <c r="R247" i="11"/>
  <c r="Q247" i="11"/>
  <c r="P247" i="11"/>
  <c r="O247" i="11"/>
  <c r="N247" i="11"/>
  <c r="M247" i="11"/>
  <c r="L247" i="11"/>
  <c r="K247" i="11"/>
  <c r="J247" i="11"/>
  <c r="I247" i="11"/>
  <c r="H247" i="11"/>
  <c r="G247" i="11"/>
  <c r="Z246" i="11"/>
  <c r="Y246" i="11"/>
  <c r="X246" i="11"/>
  <c r="W246" i="11"/>
  <c r="V246" i="11"/>
  <c r="U246" i="11"/>
  <c r="T246" i="11"/>
  <c r="S246" i="11"/>
  <c r="R246" i="11"/>
  <c r="Q246" i="11"/>
  <c r="P246" i="11"/>
  <c r="O246" i="11"/>
  <c r="N246" i="11"/>
  <c r="M246" i="11"/>
  <c r="L246" i="11"/>
  <c r="K246" i="11"/>
  <c r="J246" i="11"/>
  <c r="I246" i="11"/>
  <c r="H246" i="11"/>
  <c r="G246" i="11"/>
  <c r="Z244" i="11"/>
  <c r="Y244" i="11"/>
  <c r="X244" i="11"/>
  <c r="W244" i="11"/>
  <c r="V244" i="11"/>
  <c r="U244" i="11"/>
  <c r="T244" i="11"/>
  <c r="S244" i="11"/>
  <c r="R244" i="11"/>
  <c r="Q244" i="11"/>
  <c r="P244" i="11"/>
  <c r="O244" i="11"/>
  <c r="N244" i="11"/>
  <c r="M244" i="11"/>
  <c r="L244" i="11"/>
  <c r="K244" i="11"/>
  <c r="J244" i="11"/>
  <c r="I244" i="11"/>
  <c r="H244" i="11"/>
  <c r="G244" i="11"/>
  <c r="Z243" i="11"/>
  <c r="Y243" i="11"/>
  <c r="X243" i="11"/>
  <c r="W243" i="11"/>
  <c r="V243" i="11"/>
  <c r="U243" i="11"/>
  <c r="T243" i="11"/>
  <c r="S243" i="11"/>
  <c r="R243" i="11"/>
  <c r="Q243" i="11"/>
  <c r="P243" i="11"/>
  <c r="O243" i="11"/>
  <c r="N243" i="11"/>
  <c r="M243" i="11"/>
  <c r="L243" i="11"/>
  <c r="K243" i="11"/>
  <c r="J243" i="11"/>
  <c r="I243" i="11"/>
  <c r="H243" i="11"/>
  <c r="G243" i="11"/>
  <c r="Z242" i="11"/>
  <c r="Y242" i="11"/>
  <c r="X242" i="11"/>
  <c r="W242" i="11"/>
  <c r="V242" i="11"/>
  <c r="U242" i="11"/>
  <c r="T242" i="11"/>
  <c r="S242" i="11"/>
  <c r="R242" i="11"/>
  <c r="Q242" i="11"/>
  <c r="P242" i="11"/>
  <c r="O242" i="11"/>
  <c r="N242" i="11"/>
  <c r="M242" i="11"/>
  <c r="L242" i="11"/>
  <c r="K242" i="11"/>
  <c r="J242" i="11"/>
  <c r="I242" i="11"/>
  <c r="H242" i="11"/>
  <c r="G242" i="11"/>
  <c r="Z241" i="11"/>
  <c r="Y241" i="11"/>
  <c r="X241" i="11"/>
  <c r="W241" i="11"/>
  <c r="V241" i="11"/>
  <c r="U241" i="11"/>
  <c r="T241" i="11"/>
  <c r="S241" i="11"/>
  <c r="R241" i="11"/>
  <c r="Q241" i="11"/>
  <c r="P241" i="11"/>
  <c r="O241" i="11"/>
  <c r="N241" i="11"/>
  <c r="M241" i="11"/>
  <c r="L241" i="11"/>
  <c r="K241" i="11"/>
  <c r="J241" i="11"/>
  <c r="I241" i="11"/>
  <c r="H241" i="11"/>
  <c r="G241" i="11"/>
  <c r="Z240" i="11"/>
  <c r="Y240" i="11"/>
  <c r="X240" i="11"/>
  <c r="W240" i="11"/>
  <c r="V240" i="11"/>
  <c r="U240" i="11"/>
  <c r="T240" i="11"/>
  <c r="S240" i="11"/>
  <c r="R240" i="11"/>
  <c r="Q240" i="11"/>
  <c r="P240" i="11"/>
  <c r="O240" i="11"/>
  <c r="N240" i="11"/>
  <c r="M240" i="11"/>
  <c r="L240" i="11"/>
  <c r="K240" i="11"/>
  <c r="J240" i="11"/>
  <c r="I240" i="11"/>
  <c r="H240" i="11"/>
  <c r="G240" i="11"/>
  <c r="Z239" i="11"/>
  <c r="Y239" i="11"/>
  <c r="X239" i="11"/>
  <c r="W239" i="11"/>
  <c r="V239" i="11"/>
  <c r="U239" i="11"/>
  <c r="T239" i="11"/>
  <c r="S239" i="11"/>
  <c r="R239" i="11"/>
  <c r="Q239" i="11"/>
  <c r="P239" i="11"/>
  <c r="O239" i="11"/>
  <c r="N239" i="11"/>
  <c r="M239" i="11"/>
  <c r="L239" i="11"/>
  <c r="K239" i="11"/>
  <c r="J239" i="11"/>
  <c r="I239" i="11"/>
  <c r="H239" i="11"/>
  <c r="G239" i="11"/>
  <c r="Z238" i="11"/>
  <c r="Y238" i="11"/>
  <c r="X238" i="11"/>
  <c r="W238" i="11"/>
  <c r="V238" i="11"/>
  <c r="U238" i="11"/>
  <c r="T238" i="11"/>
  <c r="S238" i="11"/>
  <c r="R238" i="11"/>
  <c r="Q238" i="11"/>
  <c r="P238" i="11"/>
  <c r="O238" i="11"/>
  <c r="N238" i="11"/>
  <c r="M238" i="11"/>
  <c r="L238" i="11"/>
  <c r="K238" i="11"/>
  <c r="J238" i="11"/>
  <c r="I238" i="11"/>
  <c r="H238" i="11"/>
  <c r="G238" i="11"/>
  <c r="Z237" i="11"/>
  <c r="Y237" i="11"/>
  <c r="X237" i="11"/>
  <c r="W237" i="11"/>
  <c r="V237" i="11"/>
  <c r="U237" i="11"/>
  <c r="T237" i="11"/>
  <c r="S237" i="11"/>
  <c r="R237" i="11"/>
  <c r="Q237" i="11"/>
  <c r="P237" i="11"/>
  <c r="O237" i="11"/>
  <c r="N237" i="11"/>
  <c r="M237" i="11"/>
  <c r="L237" i="11"/>
  <c r="K237" i="11"/>
  <c r="J237" i="11"/>
  <c r="I237" i="11"/>
  <c r="H237" i="11"/>
  <c r="G237" i="11"/>
  <c r="Z236" i="11"/>
  <c r="Y236" i="11"/>
  <c r="X236" i="11"/>
  <c r="W236" i="11"/>
  <c r="V236" i="11"/>
  <c r="U236" i="11"/>
  <c r="T236" i="11"/>
  <c r="S236" i="11"/>
  <c r="R236" i="11"/>
  <c r="Q236" i="11"/>
  <c r="P236" i="11"/>
  <c r="O236" i="11"/>
  <c r="N236" i="11"/>
  <c r="M236" i="11"/>
  <c r="L236" i="11"/>
  <c r="K236" i="11"/>
  <c r="J236" i="11"/>
  <c r="I236" i="11"/>
  <c r="H236" i="11"/>
  <c r="G236" i="11"/>
  <c r="Z235" i="11"/>
  <c r="Y235" i="11"/>
  <c r="X235" i="11"/>
  <c r="W235" i="11"/>
  <c r="V235" i="11"/>
  <c r="U235" i="11"/>
  <c r="T235" i="11"/>
  <c r="S235" i="11"/>
  <c r="R235" i="11"/>
  <c r="Q235" i="11"/>
  <c r="P235" i="11"/>
  <c r="O235" i="11"/>
  <c r="N235" i="11"/>
  <c r="M235" i="11"/>
  <c r="L235" i="11"/>
  <c r="K235" i="11"/>
  <c r="J235" i="11"/>
  <c r="I235" i="11"/>
  <c r="H235" i="11"/>
  <c r="G235" i="11"/>
  <c r="Z233" i="11"/>
  <c r="Y233" i="11"/>
  <c r="X233" i="11"/>
  <c r="W233" i="11"/>
  <c r="V233" i="11"/>
  <c r="U233" i="11"/>
  <c r="T233" i="11"/>
  <c r="S233" i="11"/>
  <c r="R233" i="11"/>
  <c r="Q233" i="11"/>
  <c r="P233" i="11"/>
  <c r="O233" i="11"/>
  <c r="N233" i="11"/>
  <c r="M233" i="11"/>
  <c r="L233" i="11"/>
  <c r="K233" i="11"/>
  <c r="J233" i="11"/>
  <c r="I233" i="11"/>
  <c r="H233" i="11"/>
  <c r="G233" i="11"/>
  <c r="Z232" i="11"/>
  <c r="Y232" i="11"/>
  <c r="X232" i="11"/>
  <c r="W232" i="11"/>
  <c r="V232" i="11"/>
  <c r="U232" i="11"/>
  <c r="T232" i="11"/>
  <c r="S232" i="11"/>
  <c r="R232" i="11"/>
  <c r="Q232" i="11"/>
  <c r="P232" i="11"/>
  <c r="O232" i="11"/>
  <c r="N232" i="11"/>
  <c r="M232" i="11"/>
  <c r="L232" i="11"/>
  <c r="K232" i="11"/>
  <c r="J232" i="11"/>
  <c r="I232" i="11"/>
  <c r="H232" i="11"/>
  <c r="G232" i="11"/>
  <c r="Z231" i="11"/>
  <c r="Y231" i="11"/>
  <c r="X231" i="11"/>
  <c r="W231" i="11"/>
  <c r="V231" i="11"/>
  <c r="U231" i="11"/>
  <c r="T231" i="11"/>
  <c r="S231" i="11"/>
  <c r="R231" i="11"/>
  <c r="Q231" i="11"/>
  <c r="P231" i="11"/>
  <c r="O231" i="11"/>
  <c r="N231" i="11"/>
  <c r="M231" i="11"/>
  <c r="L231" i="11"/>
  <c r="K231" i="11"/>
  <c r="J231" i="11"/>
  <c r="I231" i="11"/>
  <c r="H231" i="11"/>
  <c r="G231" i="11"/>
  <c r="Z230" i="11"/>
  <c r="Y230" i="11"/>
  <c r="X230" i="11"/>
  <c r="W230" i="11"/>
  <c r="V230" i="11"/>
  <c r="U230" i="11"/>
  <c r="T230" i="11"/>
  <c r="S230" i="11"/>
  <c r="R230" i="11"/>
  <c r="Q230" i="11"/>
  <c r="P230" i="11"/>
  <c r="O230" i="11"/>
  <c r="N230" i="11"/>
  <c r="M230" i="11"/>
  <c r="L230" i="11"/>
  <c r="K230" i="11"/>
  <c r="J230" i="11"/>
  <c r="I230" i="11"/>
  <c r="H230" i="11"/>
  <c r="G230" i="11"/>
  <c r="Z229" i="11"/>
  <c r="Y229" i="11"/>
  <c r="X229" i="11"/>
  <c r="W229" i="11"/>
  <c r="V229" i="11"/>
  <c r="U229" i="11"/>
  <c r="T229" i="11"/>
  <c r="S229" i="11"/>
  <c r="R229" i="11"/>
  <c r="Q229" i="11"/>
  <c r="P229" i="11"/>
  <c r="O229" i="11"/>
  <c r="N229" i="11"/>
  <c r="M229" i="11"/>
  <c r="L229" i="11"/>
  <c r="K229" i="11"/>
  <c r="J229" i="11"/>
  <c r="I229" i="11"/>
  <c r="H229" i="11"/>
  <c r="G229" i="11"/>
  <c r="Z228" i="11"/>
  <c r="Y228" i="11"/>
  <c r="X228" i="11"/>
  <c r="W228" i="11"/>
  <c r="V228" i="11"/>
  <c r="U228" i="11"/>
  <c r="T228" i="11"/>
  <c r="S228" i="11"/>
  <c r="R228" i="11"/>
  <c r="Q228" i="11"/>
  <c r="P228" i="11"/>
  <c r="O228" i="11"/>
  <c r="N228" i="11"/>
  <c r="M228" i="11"/>
  <c r="L228" i="11"/>
  <c r="K228" i="11"/>
  <c r="J228" i="11"/>
  <c r="I228" i="11"/>
  <c r="H228" i="11"/>
  <c r="G228" i="11"/>
  <c r="Z227" i="11"/>
  <c r="Y227" i="11"/>
  <c r="X227" i="11"/>
  <c r="W227" i="11"/>
  <c r="V227" i="11"/>
  <c r="U227" i="11"/>
  <c r="T227" i="11"/>
  <c r="S227" i="11"/>
  <c r="R227" i="11"/>
  <c r="Q227" i="11"/>
  <c r="P227" i="11"/>
  <c r="O227" i="11"/>
  <c r="N227" i="11"/>
  <c r="M227" i="11"/>
  <c r="L227" i="11"/>
  <c r="K227" i="11"/>
  <c r="J227" i="11"/>
  <c r="I227" i="11"/>
  <c r="H227" i="11"/>
  <c r="G227" i="11"/>
  <c r="Z226" i="11"/>
  <c r="Y226" i="11"/>
  <c r="X226" i="11"/>
  <c r="W226" i="11"/>
  <c r="V226" i="11"/>
  <c r="U226" i="11"/>
  <c r="T226" i="11"/>
  <c r="S226" i="11"/>
  <c r="R226" i="11"/>
  <c r="Q226" i="11"/>
  <c r="P226" i="11"/>
  <c r="O226" i="11"/>
  <c r="N226" i="11"/>
  <c r="M226" i="11"/>
  <c r="L226" i="11"/>
  <c r="K226" i="11"/>
  <c r="J226" i="11"/>
  <c r="I226" i="11"/>
  <c r="H226" i="11"/>
  <c r="G226" i="11"/>
  <c r="Z225" i="11"/>
  <c r="Y225" i="11"/>
  <c r="X225" i="11"/>
  <c r="W225" i="11"/>
  <c r="V225" i="11"/>
  <c r="U225" i="11"/>
  <c r="T225" i="11"/>
  <c r="S225" i="11"/>
  <c r="R225" i="11"/>
  <c r="Q225" i="11"/>
  <c r="P225" i="11"/>
  <c r="O225" i="11"/>
  <c r="N225" i="11"/>
  <c r="M225" i="11"/>
  <c r="L225" i="11"/>
  <c r="K225" i="11"/>
  <c r="J225" i="11"/>
  <c r="I225" i="11"/>
  <c r="H225" i="11"/>
  <c r="G225" i="11"/>
  <c r="Z224" i="11"/>
  <c r="Y224" i="11"/>
  <c r="X224" i="11"/>
  <c r="W224" i="11"/>
  <c r="V224" i="11"/>
  <c r="U224" i="11"/>
  <c r="T224" i="11"/>
  <c r="S224" i="11"/>
  <c r="R224" i="11"/>
  <c r="Q224" i="11"/>
  <c r="P224" i="11"/>
  <c r="O224" i="11"/>
  <c r="N224" i="11"/>
  <c r="M224" i="11"/>
  <c r="L224" i="11"/>
  <c r="K224" i="11"/>
  <c r="J224" i="11"/>
  <c r="I224" i="11"/>
  <c r="H224" i="11"/>
  <c r="G224" i="11"/>
  <c r="Z222" i="11"/>
  <c r="Y222" i="11"/>
  <c r="X222" i="11"/>
  <c r="W222" i="11"/>
  <c r="V222" i="11"/>
  <c r="U222" i="11"/>
  <c r="T222" i="11"/>
  <c r="S222" i="11"/>
  <c r="R222" i="11"/>
  <c r="Q222" i="11"/>
  <c r="P222" i="11"/>
  <c r="O222" i="11"/>
  <c r="N222" i="11"/>
  <c r="M222" i="11"/>
  <c r="L222" i="11"/>
  <c r="K222" i="11"/>
  <c r="J222" i="11"/>
  <c r="I222" i="11"/>
  <c r="H222" i="11"/>
  <c r="G222" i="11"/>
  <c r="Z221" i="11"/>
  <c r="Y221" i="11"/>
  <c r="X221" i="11"/>
  <c r="W221" i="11"/>
  <c r="V221" i="11"/>
  <c r="U221" i="11"/>
  <c r="T221" i="11"/>
  <c r="S221" i="11"/>
  <c r="R221" i="11"/>
  <c r="Q221" i="11"/>
  <c r="P221" i="11"/>
  <c r="O221" i="11"/>
  <c r="N221" i="11"/>
  <c r="M221" i="11"/>
  <c r="L221" i="11"/>
  <c r="K221" i="11"/>
  <c r="J221" i="11"/>
  <c r="I221" i="11"/>
  <c r="H221" i="11"/>
  <c r="G221" i="11"/>
  <c r="Z220" i="11"/>
  <c r="Y220" i="11"/>
  <c r="X220" i="11"/>
  <c r="W220" i="11"/>
  <c r="V220" i="11"/>
  <c r="U220" i="11"/>
  <c r="T220" i="11"/>
  <c r="S220" i="11"/>
  <c r="R220" i="11"/>
  <c r="Q220" i="11"/>
  <c r="P220" i="11"/>
  <c r="O220" i="11"/>
  <c r="N220" i="11"/>
  <c r="M220" i="11"/>
  <c r="L220" i="11"/>
  <c r="K220" i="11"/>
  <c r="J220" i="11"/>
  <c r="I220" i="11"/>
  <c r="H220" i="11"/>
  <c r="G220" i="11"/>
  <c r="Z219" i="11"/>
  <c r="Y219" i="11"/>
  <c r="X219" i="11"/>
  <c r="W219" i="11"/>
  <c r="V219" i="11"/>
  <c r="U219" i="11"/>
  <c r="T219" i="11"/>
  <c r="S219" i="11"/>
  <c r="R219" i="11"/>
  <c r="Q219" i="11"/>
  <c r="P219" i="11"/>
  <c r="O219" i="11"/>
  <c r="N219" i="11"/>
  <c r="M219" i="11"/>
  <c r="L219" i="11"/>
  <c r="K219" i="11"/>
  <c r="J219" i="11"/>
  <c r="I219" i="11"/>
  <c r="H219" i="11"/>
  <c r="G219" i="11"/>
  <c r="Z218" i="11"/>
  <c r="Y218" i="11"/>
  <c r="X218" i="11"/>
  <c r="W218" i="11"/>
  <c r="V218" i="11"/>
  <c r="U218" i="11"/>
  <c r="T218" i="11"/>
  <c r="S218" i="11"/>
  <c r="R218" i="11"/>
  <c r="Q218" i="11"/>
  <c r="P218" i="11"/>
  <c r="O218" i="11"/>
  <c r="N218" i="11"/>
  <c r="M218" i="11"/>
  <c r="L218" i="11"/>
  <c r="K218" i="11"/>
  <c r="J218" i="11"/>
  <c r="I218" i="11"/>
  <c r="H218" i="11"/>
  <c r="G218" i="11"/>
  <c r="Z217" i="11"/>
  <c r="Y217" i="11"/>
  <c r="X217" i="11"/>
  <c r="W217" i="11"/>
  <c r="V217" i="11"/>
  <c r="U217" i="11"/>
  <c r="T217" i="11"/>
  <c r="S217" i="11"/>
  <c r="R217" i="11"/>
  <c r="Q217" i="11"/>
  <c r="P217" i="11"/>
  <c r="O217" i="11"/>
  <c r="N217" i="11"/>
  <c r="M217" i="11"/>
  <c r="L217" i="11"/>
  <c r="K217" i="11"/>
  <c r="J217" i="11"/>
  <c r="I217" i="11"/>
  <c r="H217" i="11"/>
  <c r="G217" i="11"/>
  <c r="Z216" i="11"/>
  <c r="Y216" i="11"/>
  <c r="X216" i="11"/>
  <c r="W216" i="11"/>
  <c r="V216" i="11"/>
  <c r="U216" i="11"/>
  <c r="T216" i="11"/>
  <c r="S216" i="11"/>
  <c r="R216" i="11"/>
  <c r="Q216" i="11"/>
  <c r="P216" i="11"/>
  <c r="O216" i="11"/>
  <c r="N216" i="11"/>
  <c r="M216" i="11"/>
  <c r="L216" i="11"/>
  <c r="K216" i="11"/>
  <c r="J216" i="11"/>
  <c r="I216" i="11"/>
  <c r="H216" i="11"/>
  <c r="G216" i="11"/>
  <c r="Z215" i="11"/>
  <c r="Y215" i="11"/>
  <c r="X215" i="11"/>
  <c r="W215" i="11"/>
  <c r="V215" i="11"/>
  <c r="U215" i="11"/>
  <c r="T215" i="11"/>
  <c r="S215" i="11"/>
  <c r="R215" i="11"/>
  <c r="Q215" i="11"/>
  <c r="P215" i="11"/>
  <c r="O215" i="11"/>
  <c r="N215" i="11"/>
  <c r="M215" i="11"/>
  <c r="L215" i="11"/>
  <c r="K215" i="11"/>
  <c r="J215" i="11"/>
  <c r="I215" i="11"/>
  <c r="H215" i="11"/>
  <c r="G215" i="11"/>
  <c r="Z214" i="11"/>
  <c r="Y214" i="11"/>
  <c r="X214" i="11"/>
  <c r="W214" i="11"/>
  <c r="V214" i="11"/>
  <c r="U214" i="11"/>
  <c r="T214" i="11"/>
  <c r="S214" i="11"/>
  <c r="R214" i="11"/>
  <c r="Q214" i="11"/>
  <c r="P214" i="11"/>
  <c r="O214" i="11"/>
  <c r="N214" i="11"/>
  <c r="M214" i="11"/>
  <c r="L214" i="11"/>
  <c r="K214" i="11"/>
  <c r="J214" i="11"/>
  <c r="I214" i="11"/>
  <c r="H214" i="11"/>
  <c r="G214" i="11"/>
  <c r="Z213" i="11"/>
  <c r="Y213" i="11"/>
  <c r="X213" i="11"/>
  <c r="W213" i="11"/>
  <c r="V213" i="11"/>
  <c r="U213" i="11"/>
  <c r="T213" i="11"/>
  <c r="S213" i="11"/>
  <c r="R213" i="11"/>
  <c r="Q213" i="11"/>
  <c r="P213" i="11"/>
  <c r="O213" i="11"/>
  <c r="N213" i="11"/>
  <c r="M213" i="11"/>
  <c r="L213" i="11"/>
  <c r="K213" i="11"/>
  <c r="J213" i="11"/>
  <c r="I213" i="11"/>
  <c r="H213" i="11"/>
  <c r="G213" i="11"/>
  <c r="Z210" i="11"/>
  <c r="Y210" i="11"/>
  <c r="X210" i="11"/>
  <c r="W210" i="11"/>
  <c r="V210" i="11"/>
  <c r="U210" i="11"/>
  <c r="T210" i="11"/>
  <c r="S210" i="11"/>
  <c r="R210" i="11"/>
  <c r="Q210" i="11"/>
  <c r="P210" i="11"/>
  <c r="O210" i="11"/>
  <c r="N210" i="11"/>
  <c r="M210" i="11"/>
  <c r="L210" i="11"/>
  <c r="K210" i="11"/>
  <c r="J210" i="11"/>
  <c r="I210" i="11"/>
  <c r="H210" i="11"/>
  <c r="G210" i="11"/>
  <c r="Z209" i="11"/>
  <c r="Y209" i="11"/>
  <c r="X209" i="11"/>
  <c r="W209" i="11"/>
  <c r="V209" i="11"/>
  <c r="U209" i="11"/>
  <c r="T209" i="11"/>
  <c r="S209" i="11"/>
  <c r="R209" i="11"/>
  <c r="Q209" i="11"/>
  <c r="P209" i="11"/>
  <c r="O209" i="11"/>
  <c r="N209" i="11"/>
  <c r="M209" i="11"/>
  <c r="L209" i="11"/>
  <c r="K209" i="11"/>
  <c r="J209" i="11"/>
  <c r="I209" i="11"/>
  <c r="H209" i="11"/>
  <c r="G209" i="11"/>
  <c r="Z208" i="11"/>
  <c r="Y208" i="11"/>
  <c r="X208" i="11"/>
  <c r="W208" i="11"/>
  <c r="V208" i="11"/>
  <c r="U208" i="11"/>
  <c r="T208" i="11"/>
  <c r="S208" i="11"/>
  <c r="R208" i="11"/>
  <c r="Q208" i="11"/>
  <c r="P208" i="11"/>
  <c r="O208" i="11"/>
  <c r="N208" i="11"/>
  <c r="M208" i="11"/>
  <c r="L208" i="11"/>
  <c r="K208" i="11"/>
  <c r="J208" i="11"/>
  <c r="I208" i="11"/>
  <c r="H208" i="11"/>
  <c r="G208" i="11"/>
  <c r="Z207" i="11"/>
  <c r="Y207" i="11"/>
  <c r="X207" i="11"/>
  <c r="W207" i="11"/>
  <c r="V207" i="11"/>
  <c r="U207" i="11"/>
  <c r="T207" i="11"/>
  <c r="S207" i="11"/>
  <c r="R207" i="11"/>
  <c r="Q207" i="11"/>
  <c r="P207" i="11"/>
  <c r="O207" i="11"/>
  <c r="N207" i="11"/>
  <c r="M207" i="11"/>
  <c r="L207" i="11"/>
  <c r="K207" i="11"/>
  <c r="J207" i="11"/>
  <c r="I207" i="11"/>
  <c r="H207" i="11"/>
  <c r="G207" i="11"/>
  <c r="Z206" i="11"/>
  <c r="Y206" i="11"/>
  <c r="X206" i="11"/>
  <c r="W206" i="11"/>
  <c r="V206" i="11"/>
  <c r="U206" i="11"/>
  <c r="T206" i="11"/>
  <c r="S206" i="11"/>
  <c r="R206" i="11"/>
  <c r="Q206" i="11"/>
  <c r="P206" i="11"/>
  <c r="O206" i="11"/>
  <c r="N206" i="11"/>
  <c r="M206" i="11"/>
  <c r="L206" i="11"/>
  <c r="K206" i="11"/>
  <c r="J206" i="11"/>
  <c r="I206" i="11"/>
  <c r="H206" i="11"/>
  <c r="G206" i="11"/>
  <c r="Z205" i="11"/>
  <c r="Y205" i="11"/>
  <c r="X205" i="11"/>
  <c r="W205" i="11"/>
  <c r="V205" i="11"/>
  <c r="U205" i="11"/>
  <c r="T205" i="11"/>
  <c r="S205" i="11"/>
  <c r="R205" i="11"/>
  <c r="Q205" i="11"/>
  <c r="P205" i="11"/>
  <c r="O205" i="11"/>
  <c r="N205" i="11"/>
  <c r="M205" i="11"/>
  <c r="L205" i="11"/>
  <c r="K205" i="11"/>
  <c r="J205" i="11"/>
  <c r="I205" i="11"/>
  <c r="H205" i="11"/>
  <c r="G205" i="11"/>
  <c r="Z204" i="11"/>
  <c r="Y204" i="11"/>
  <c r="X204" i="11"/>
  <c r="W204" i="11"/>
  <c r="V204" i="11"/>
  <c r="U204" i="11"/>
  <c r="T204" i="11"/>
  <c r="S204" i="11"/>
  <c r="R204" i="11"/>
  <c r="Q204" i="11"/>
  <c r="P204" i="11"/>
  <c r="O204" i="11"/>
  <c r="N204" i="11"/>
  <c r="M204" i="11"/>
  <c r="L204" i="11"/>
  <c r="K204" i="11"/>
  <c r="J204" i="11"/>
  <c r="I204" i="11"/>
  <c r="H204" i="11"/>
  <c r="G204" i="11"/>
  <c r="Z203" i="11"/>
  <c r="Y203" i="11"/>
  <c r="X203" i="11"/>
  <c r="W203" i="11"/>
  <c r="V203" i="11"/>
  <c r="U203" i="11"/>
  <c r="T203" i="11"/>
  <c r="S203" i="11"/>
  <c r="R203" i="11"/>
  <c r="Q203" i="11"/>
  <c r="P203" i="11"/>
  <c r="O203" i="11"/>
  <c r="N203" i="11"/>
  <c r="M203" i="11"/>
  <c r="L203" i="11"/>
  <c r="K203" i="11"/>
  <c r="J203" i="11"/>
  <c r="I203" i="11"/>
  <c r="H203" i="11"/>
  <c r="G203" i="11"/>
  <c r="Z202" i="11"/>
  <c r="Y202" i="11"/>
  <c r="X202" i="11"/>
  <c r="W202" i="11"/>
  <c r="V202" i="11"/>
  <c r="U202" i="11"/>
  <c r="T202" i="11"/>
  <c r="S202" i="11"/>
  <c r="R202" i="11"/>
  <c r="Q202" i="11"/>
  <c r="P202" i="11"/>
  <c r="O202" i="11"/>
  <c r="N202" i="11"/>
  <c r="M202" i="11"/>
  <c r="L202" i="11"/>
  <c r="K202" i="11"/>
  <c r="J202" i="11"/>
  <c r="I202" i="11"/>
  <c r="H202" i="11"/>
  <c r="G202" i="11"/>
  <c r="Z201" i="11"/>
  <c r="Y201" i="11"/>
  <c r="X201" i="11"/>
  <c r="W201" i="11"/>
  <c r="V201" i="11"/>
  <c r="U201" i="11"/>
  <c r="T201" i="11"/>
  <c r="S201" i="11"/>
  <c r="R201" i="11"/>
  <c r="Q201" i="11"/>
  <c r="P201" i="11"/>
  <c r="O201" i="11"/>
  <c r="N201" i="11"/>
  <c r="M201" i="11"/>
  <c r="L201" i="11"/>
  <c r="K201" i="11"/>
  <c r="J201" i="11"/>
  <c r="I201" i="11"/>
  <c r="H201" i="11"/>
  <c r="G201" i="11"/>
  <c r="Z199" i="11"/>
  <c r="Y199" i="11"/>
  <c r="X199" i="11"/>
  <c r="W199" i="11"/>
  <c r="V199" i="11"/>
  <c r="U199" i="11"/>
  <c r="T199" i="11"/>
  <c r="S199" i="11"/>
  <c r="R199" i="11"/>
  <c r="Q199" i="11"/>
  <c r="P199" i="11"/>
  <c r="O199" i="11"/>
  <c r="N199" i="11"/>
  <c r="M199" i="11"/>
  <c r="L199" i="11"/>
  <c r="K199" i="11"/>
  <c r="J199" i="11"/>
  <c r="I199" i="11"/>
  <c r="H199" i="11"/>
  <c r="G199" i="11"/>
  <c r="Z198" i="11"/>
  <c r="Y198" i="11"/>
  <c r="X198" i="11"/>
  <c r="W198" i="11"/>
  <c r="V198" i="11"/>
  <c r="U198" i="11"/>
  <c r="T198" i="11"/>
  <c r="S198" i="11"/>
  <c r="R198" i="11"/>
  <c r="Q198" i="11"/>
  <c r="P198" i="11"/>
  <c r="O198" i="11"/>
  <c r="N198" i="11"/>
  <c r="M198" i="11"/>
  <c r="L198" i="11"/>
  <c r="K198" i="11"/>
  <c r="J198" i="11"/>
  <c r="I198" i="11"/>
  <c r="H198" i="11"/>
  <c r="G198" i="11"/>
  <c r="Z197" i="11"/>
  <c r="Y197" i="11"/>
  <c r="X197" i="11"/>
  <c r="W197" i="11"/>
  <c r="V197" i="11"/>
  <c r="U197" i="11"/>
  <c r="T197" i="11"/>
  <c r="S197" i="11"/>
  <c r="R197" i="11"/>
  <c r="Q197" i="11"/>
  <c r="P197" i="11"/>
  <c r="O197" i="11"/>
  <c r="N197" i="11"/>
  <c r="M197" i="11"/>
  <c r="L197" i="11"/>
  <c r="K197" i="11"/>
  <c r="J197" i="11"/>
  <c r="I197" i="11"/>
  <c r="H197" i="11"/>
  <c r="G197" i="11"/>
  <c r="Z196" i="11"/>
  <c r="Y196" i="11"/>
  <c r="X196" i="11"/>
  <c r="W196" i="11"/>
  <c r="V196" i="11"/>
  <c r="U196" i="11"/>
  <c r="T196" i="11"/>
  <c r="S196" i="11"/>
  <c r="R196" i="11"/>
  <c r="Q196" i="11"/>
  <c r="P196" i="11"/>
  <c r="O196" i="11"/>
  <c r="N196" i="11"/>
  <c r="M196" i="11"/>
  <c r="L196" i="11"/>
  <c r="K196" i="11"/>
  <c r="J196" i="11"/>
  <c r="I196" i="11"/>
  <c r="H196" i="11"/>
  <c r="G196" i="11"/>
  <c r="Z195" i="11"/>
  <c r="Y195" i="11"/>
  <c r="X195" i="11"/>
  <c r="W195" i="11"/>
  <c r="V195" i="11"/>
  <c r="U195" i="11"/>
  <c r="T195" i="11"/>
  <c r="S195" i="11"/>
  <c r="R195" i="11"/>
  <c r="Q195" i="11"/>
  <c r="P195" i="11"/>
  <c r="O195" i="11"/>
  <c r="N195" i="11"/>
  <c r="M195" i="11"/>
  <c r="L195" i="11"/>
  <c r="K195" i="11"/>
  <c r="J195" i="11"/>
  <c r="I195" i="11"/>
  <c r="H195" i="11"/>
  <c r="G195" i="11"/>
  <c r="Z194" i="11"/>
  <c r="Y194" i="11"/>
  <c r="X194" i="11"/>
  <c r="W194" i="11"/>
  <c r="V194" i="11"/>
  <c r="U194" i="11"/>
  <c r="T194" i="11"/>
  <c r="S194" i="11"/>
  <c r="R194" i="11"/>
  <c r="Q194" i="11"/>
  <c r="P194" i="11"/>
  <c r="O194" i="11"/>
  <c r="N194" i="11"/>
  <c r="M194" i="11"/>
  <c r="L194" i="11"/>
  <c r="K194" i="11"/>
  <c r="J194" i="11"/>
  <c r="I194" i="11"/>
  <c r="H194" i="11"/>
  <c r="G194" i="11"/>
  <c r="Z193" i="11"/>
  <c r="Y193" i="11"/>
  <c r="X193" i="11"/>
  <c r="W193" i="11"/>
  <c r="V193" i="11"/>
  <c r="U193" i="11"/>
  <c r="T193" i="11"/>
  <c r="S193" i="11"/>
  <c r="R193" i="11"/>
  <c r="Q193" i="11"/>
  <c r="P193" i="11"/>
  <c r="O193" i="11"/>
  <c r="N193" i="11"/>
  <c r="M193" i="11"/>
  <c r="L193" i="11"/>
  <c r="K193" i="11"/>
  <c r="J193" i="11"/>
  <c r="I193" i="11"/>
  <c r="H193" i="11"/>
  <c r="G193" i="11"/>
  <c r="Z192" i="11"/>
  <c r="Y192" i="11"/>
  <c r="X192" i="11"/>
  <c r="W192" i="11"/>
  <c r="V192" i="11"/>
  <c r="U192" i="11"/>
  <c r="T192" i="11"/>
  <c r="S192" i="11"/>
  <c r="R192" i="11"/>
  <c r="Q192" i="11"/>
  <c r="P192" i="11"/>
  <c r="O192" i="11"/>
  <c r="N192" i="11"/>
  <c r="M192" i="11"/>
  <c r="L192" i="11"/>
  <c r="K192" i="11"/>
  <c r="J192" i="11"/>
  <c r="I192" i="11"/>
  <c r="H192" i="11"/>
  <c r="G192" i="11"/>
  <c r="Z191" i="11"/>
  <c r="Y191" i="11"/>
  <c r="X191" i="11"/>
  <c r="W191" i="11"/>
  <c r="V191" i="11"/>
  <c r="U191" i="11"/>
  <c r="T191" i="11"/>
  <c r="S191" i="11"/>
  <c r="R191" i="11"/>
  <c r="Q191" i="11"/>
  <c r="P191" i="11"/>
  <c r="O191" i="11"/>
  <c r="N191" i="11"/>
  <c r="M191" i="11"/>
  <c r="L191" i="11"/>
  <c r="K191" i="11"/>
  <c r="J191" i="11"/>
  <c r="I191" i="11"/>
  <c r="H191" i="11"/>
  <c r="G191" i="11"/>
  <c r="Z190" i="11"/>
  <c r="Y190" i="11"/>
  <c r="X190" i="11"/>
  <c r="W190" i="11"/>
  <c r="V190" i="11"/>
  <c r="U190" i="11"/>
  <c r="T190" i="11"/>
  <c r="S190" i="11"/>
  <c r="R190" i="11"/>
  <c r="Q190" i="11"/>
  <c r="P190" i="11"/>
  <c r="O190" i="11"/>
  <c r="N190" i="11"/>
  <c r="M190" i="11"/>
  <c r="L190" i="11"/>
  <c r="K190" i="11"/>
  <c r="J190" i="11"/>
  <c r="I190" i="11"/>
  <c r="H190" i="11"/>
  <c r="G190" i="11"/>
  <c r="Z188" i="11"/>
  <c r="Y188" i="11"/>
  <c r="X188" i="11"/>
  <c r="W188" i="11"/>
  <c r="V188" i="11"/>
  <c r="U188" i="11"/>
  <c r="T188" i="11"/>
  <c r="S188" i="11"/>
  <c r="R188" i="11"/>
  <c r="Q188" i="11"/>
  <c r="P188" i="11"/>
  <c r="O188" i="11"/>
  <c r="N188" i="11"/>
  <c r="M188" i="11"/>
  <c r="L188" i="11"/>
  <c r="K188" i="11"/>
  <c r="J188" i="11"/>
  <c r="I188" i="11"/>
  <c r="H188" i="11"/>
  <c r="G188" i="11"/>
  <c r="Z187" i="11"/>
  <c r="Y187" i="11"/>
  <c r="X187" i="11"/>
  <c r="W187" i="11"/>
  <c r="V187" i="11"/>
  <c r="U187" i="11"/>
  <c r="T187" i="11"/>
  <c r="S187" i="11"/>
  <c r="R187" i="11"/>
  <c r="Q187" i="11"/>
  <c r="P187" i="11"/>
  <c r="O187" i="11"/>
  <c r="N187" i="11"/>
  <c r="M187" i="11"/>
  <c r="L187" i="11"/>
  <c r="K187" i="11"/>
  <c r="J187" i="11"/>
  <c r="I187" i="11"/>
  <c r="H187" i="11"/>
  <c r="G187" i="11"/>
  <c r="Z186" i="11"/>
  <c r="Y186" i="11"/>
  <c r="X186" i="11"/>
  <c r="W186" i="11"/>
  <c r="V186" i="11"/>
  <c r="U186" i="11"/>
  <c r="T186" i="11"/>
  <c r="S186" i="11"/>
  <c r="R186" i="11"/>
  <c r="Q186" i="11"/>
  <c r="P186" i="11"/>
  <c r="O186" i="11"/>
  <c r="N186" i="11"/>
  <c r="M186" i="11"/>
  <c r="L186" i="11"/>
  <c r="K186" i="11"/>
  <c r="J186" i="11"/>
  <c r="I186" i="11"/>
  <c r="H186" i="11"/>
  <c r="G186" i="11"/>
  <c r="Z185" i="11"/>
  <c r="Y185" i="11"/>
  <c r="X185" i="11"/>
  <c r="W185" i="11"/>
  <c r="V185" i="11"/>
  <c r="U185" i="11"/>
  <c r="T185" i="11"/>
  <c r="S185" i="11"/>
  <c r="R185" i="11"/>
  <c r="Q185" i="11"/>
  <c r="P185" i="11"/>
  <c r="O185" i="11"/>
  <c r="N185" i="11"/>
  <c r="M185" i="11"/>
  <c r="L185" i="11"/>
  <c r="K185" i="11"/>
  <c r="J185" i="11"/>
  <c r="I185" i="11"/>
  <c r="H185" i="11"/>
  <c r="G185" i="11"/>
  <c r="E185" i="11"/>
  <c r="Z184" i="11"/>
  <c r="Y184" i="11"/>
  <c r="X184" i="11"/>
  <c r="W184" i="11"/>
  <c r="V184" i="11"/>
  <c r="U184" i="11"/>
  <c r="T184" i="11"/>
  <c r="S184" i="11"/>
  <c r="R184" i="11"/>
  <c r="Q184" i="11"/>
  <c r="P184" i="11"/>
  <c r="O184" i="11"/>
  <c r="N184" i="11"/>
  <c r="M184" i="11"/>
  <c r="L184" i="11"/>
  <c r="K184" i="11"/>
  <c r="J184" i="11"/>
  <c r="I184" i="11"/>
  <c r="H184" i="11"/>
  <c r="G184" i="11"/>
  <c r="Z183" i="11"/>
  <c r="Y183" i="11"/>
  <c r="X183" i="11"/>
  <c r="W183" i="11"/>
  <c r="V183" i="11"/>
  <c r="U183" i="11"/>
  <c r="T183" i="11"/>
  <c r="S183" i="11"/>
  <c r="R183" i="11"/>
  <c r="Q183" i="11"/>
  <c r="P183" i="11"/>
  <c r="O183" i="11"/>
  <c r="N183" i="11"/>
  <c r="M183" i="11"/>
  <c r="L183" i="11"/>
  <c r="K183" i="11"/>
  <c r="J183" i="11"/>
  <c r="I183" i="11"/>
  <c r="H183" i="11"/>
  <c r="G183" i="11"/>
  <c r="Z182" i="11"/>
  <c r="Y182" i="11"/>
  <c r="X182" i="11"/>
  <c r="W182" i="11"/>
  <c r="V182" i="11"/>
  <c r="U182" i="11"/>
  <c r="T182" i="11"/>
  <c r="S182" i="11"/>
  <c r="R182" i="11"/>
  <c r="Q182" i="11"/>
  <c r="P182" i="11"/>
  <c r="O182" i="11"/>
  <c r="N182" i="11"/>
  <c r="M182" i="11"/>
  <c r="L182" i="11"/>
  <c r="K182" i="11"/>
  <c r="J182" i="11"/>
  <c r="I182" i="11"/>
  <c r="H182" i="11"/>
  <c r="G182" i="11"/>
  <c r="Z181" i="11"/>
  <c r="Y181" i="11"/>
  <c r="X181" i="11"/>
  <c r="W181" i="11"/>
  <c r="V181" i="11"/>
  <c r="U181" i="11"/>
  <c r="T181" i="11"/>
  <c r="S181" i="11"/>
  <c r="R181" i="11"/>
  <c r="Q181" i="11"/>
  <c r="P181" i="11"/>
  <c r="O181" i="11"/>
  <c r="N181" i="11"/>
  <c r="M181" i="11"/>
  <c r="L181" i="11"/>
  <c r="K181" i="11"/>
  <c r="J181" i="11"/>
  <c r="I181" i="11"/>
  <c r="H181" i="11"/>
  <c r="G181" i="11"/>
  <c r="Z180" i="11"/>
  <c r="Y180" i="11"/>
  <c r="X180" i="11"/>
  <c r="W180" i="11"/>
  <c r="V180" i="11"/>
  <c r="U180" i="11"/>
  <c r="T180" i="11"/>
  <c r="S180" i="11"/>
  <c r="R180" i="11"/>
  <c r="Q180" i="11"/>
  <c r="P180" i="11"/>
  <c r="O180" i="11"/>
  <c r="N180" i="11"/>
  <c r="M180" i="11"/>
  <c r="L180" i="11"/>
  <c r="K180" i="11"/>
  <c r="J180" i="11"/>
  <c r="I180" i="11"/>
  <c r="H180" i="11"/>
  <c r="G180" i="11"/>
  <c r="Z179" i="11"/>
  <c r="Y179" i="11"/>
  <c r="X179" i="11"/>
  <c r="W179" i="11"/>
  <c r="V179" i="11"/>
  <c r="U179" i="11"/>
  <c r="T179" i="11"/>
  <c r="S179" i="11"/>
  <c r="R179" i="11"/>
  <c r="Q179" i="11"/>
  <c r="P179" i="11"/>
  <c r="O179" i="11"/>
  <c r="N179" i="11"/>
  <c r="M179" i="11"/>
  <c r="L179" i="11"/>
  <c r="K179" i="11"/>
  <c r="J179" i="11"/>
  <c r="I179" i="11"/>
  <c r="H179" i="11"/>
  <c r="G179" i="11"/>
  <c r="Z177" i="11"/>
  <c r="Y177" i="11"/>
  <c r="X177" i="11"/>
  <c r="W177" i="11"/>
  <c r="V177" i="11"/>
  <c r="U177" i="11"/>
  <c r="T177" i="11"/>
  <c r="S177" i="11"/>
  <c r="R177" i="11"/>
  <c r="Q177" i="11"/>
  <c r="P177" i="11"/>
  <c r="O177" i="11"/>
  <c r="N177" i="11"/>
  <c r="M177" i="11"/>
  <c r="L177" i="11"/>
  <c r="K177" i="11"/>
  <c r="J177" i="11"/>
  <c r="I177" i="11"/>
  <c r="H177" i="11"/>
  <c r="G177" i="11"/>
  <c r="Z176" i="11"/>
  <c r="Y176" i="11"/>
  <c r="X176" i="11"/>
  <c r="W176" i="11"/>
  <c r="V176" i="11"/>
  <c r="U176" i="11"/>
  <c r="T176" i="11"/>
  <c r="S176" i="11"/>
  <c r="R176" i="11"/>
  <c r="Q176" i="11"/>
  <c r="P176" i="11"/>
  <c r="O176" i="11"/>
  <c r="N176" i="11"/>
  <c r="M176" i="11"/>
  <c r="L176" i="11"/>
  <c r="K176" i="11"/>
  <c r="J176" i="11"/>
  <c r="I176" i="11"/>
  <c r="H176" i="11"/>
  <c r="G176" i="11"/>
  <c r="Z175" i="11"/>
  <c r="Y175" i="11"/>
  <c r="X175" i="11"/>
  <c r="W175" i="11"/>
  <c r="V175" i="11"/>
  <c r="U175" i="11"/>
  <c r="T175" i="11"/>
  <c r="S175" i="11"/>
  <c r="R175" i="11"/>
  <c r="Q175" i="11"/>
  <c r="P175" i="11"/>
  <c r="O175" i="11"/>
  <c r="N175" i="11"/>
  <c r="M175" i="11"/>
  <c r="L175" i="11"/>
  <c r="K175" i="11"/>
  <c r="J175" i="11"/>
  <c r="I175" i="11"/>
  <c r="H175" i="11"/>
  <c r="G175" i="11"/>
  <c r="Z174" i="11"/>
  <c r="Y174" i="11"/>
  <c r="X174" i="11"/>
  <c r="W174" i="11"/>
  <c r="V174" i="11"/>
  <c r="U174" i="11"/>
  <c r="T174" i="11"/>
  <c r="S174" i="11"/>
  <c r="R174" i="11"/>
  <c r="Q174" i="11"/>
  <c r="P174" i="11"/>
  <c r="O174" i="11"/>
  <c r="N174" i="11"/>
  <c r="M174" i="11"/>
  <c r="L174" i="11"/>
  <c r="K174" i="11"/>
  <c r="J174" i="11"/>
  <c r="I174" i="11"/>
  <c r="H174" i="11"/>
  <c r="G174" i="11"/>
  <c r="Z173" i="11"/>
  <c r="Y173" i="11"/>
  <c r="X173" i="11"/>
  <c r="W173" i="11"/>
  <c r="V173" i="11"/>
  <c r="U173" i="11"/>
  <c r="T173" i="11"/>
  <c r="S173" i="11"/>
  <c r="R173" i="11"/>
  <c r="Q173" i="11"/>
  <c r="P173" i="11"/>
  <c r="O173" i="11"/>
  <c r="N173" i="11"/>
  <c r="M173" i="11"/>
  <c r="L173" i="11"/>
  <c r="K173" i="11"/>
  <c r="J173" i="11"/>
  <c r="I173" i="11"/>
  <c r="H173" i="11"/>
  <c r="G173" i="11"/>
  <c r="Z172" i="11"/>
  <c r="Y172" i="11"/>
  <c r="X172" i="11"/>
  <c r="W172" i="11"/>
  <c r="V172" i="11"/>
  <c r="U172" i="11"/>
  <c r="T172" i="11"/>
  <c r="S172" i="11"/>
  <c r="R172" i="11"/>
  <c r="Q172" i="11"/>
  <c r="P172" i="11"/>
  <c r="O172" i="11"/>
  <c r="N172" i="11"/>
  <c r="M172" i="11"/>
  <c r="L172" i="11"/>
  <c r="K172" i="11"/>
  <c r="J172" i="11"/>
  <c r="I172" i="11"/>
  <c r="H172" i="11"/>
  <c r="G172" i="11"/>
  <c r="Z171" i="11"/>
  <c r="Y171" i="11"/>
  <c r="X171" i="11"/>
  <c r="W171" i="11"/>
  <c r="V171" i="11"/>
  <c r="U171" i="11"/>
  <c r="T171" i="11"/>
  <c r="S171" i="11"/>
  <c r="R171" i="11"/>
  <c r="Q171" i="11"/>
  <c r="P171" i="11"/>
  <c r="O171" i="11"/>
  <c r="N171" i="11"/>
  <c r="M171" i="11"/>
  <c r="L171" i="11"/>
  <c r="K171" i="11"/>
  <c r="J171" i="11"/>
  <c r="I171" i="11"/>
  <c r="H171" i="11"/>
  <c r="G171" i="11"/>
  <c r="Z170" i="11"/>
  <c r="Y170" i="11"/>
  <c r="X170" i="11"/>
  <c r="W170" i="11"/>
  <c r="V170" i="11"/>
  <c r="U170" i="11"/>
  <c r="T170" i="11"/>
  <c r="S170" i="11"/>
  <c r="R170" i="11"/>
  <c r="Q170" i="11"/>
  <c r="P170" i="11"/>
  <c r="O170" i="11"/>
  <c r="N170" i="11"/>
  <c r="M170" i="11"/>
  <c r="L170" i="11"/>
  <c r="K170" i="11"/>
  <c r="J170" i="11"/>
  <c r="I170" i="11"/>
  <c r="H170" i="11"/>
  <c r="G170" i="11"/>
  <c r="Z169" i="11"/>
  <c r="Y169" i="11"/>
  <c r="X169" i="11"/>
  <c r="W169" i="11"/>
  <c r="V169" i="11"/>
  <c r="U169" i="11"/>
  <c r="T169" i="11"/>
  <c r="S169" i="11"/>
  <c r="R169" i="11"/>
  <c r="Q169" i="11"/>
  <c r="P169" i="11"/>
  <c r="O169" i="11"/>
  <c r="N169" i="11"/>
  <c r="M169" i="11"/>
  <c r="L169" i="11"/>
  <c r="K169" i="11"/>
  <c r="J169" i="11"/>
  <c r="I169" i="11"/>
  <c r="H169" i="11"/>
  <c r="G169" i="11"/>
  <c r="Z168" i="11"/>
  <c r="Y168" i="11"/>
  <c r="X168" i="11"/>
  <c r="W168" i="11"/>
  <c r="V168" i="11"/>
  <c r="U168" i="11"/>
  <c r="T168" i="11"/>
  <c r="S168" i="11"/>
  <c r="R168" i="11"/>
  <c r="Q168" i="11"/>
  <c r="P168" i="11"/>
  <c r="O168" i="11"/>
  <c r="N168" i="11"/>
  <c r="M168" i="11"/>
  <c r="L168" i="11"/>
  <c r="K168" i="11"/>
  <c r="J168" i="11"/>
  <c r="I168" i="11"/>
  <c r="H168" i="11"/>
  <c r="G168" i="11"/>
  <c r="Z166" i="11"/>
  <c r="Y166" i="11"/>
  <c r="X166" i="11"/>
  <c r="W166" i="11"/>
  <c r="V166" i="11"/>
  <c r="U166" i="11"/>
  <c r="T166" i="11"/>
  <c r="S166" i="11"/>
  <c r="R166" i="11"/>
  <c r="Q166" i="11"/>
  <c r="P166" i="11"/>
  <c r="O166" i="11"/>
  <c r="N166" i="11"/>
  <c r="M166" i="11"/>
  <c r="L166" i="11"/>
  <c r="K166" i="11"/>
  <c r="J166" i="11"/>
  <c r="I166" i="11"/>
  <c r="H166" i="11"/>
  <c r="G166" i="11"/>
  <c r="Z165" i="11"/>
  <c r="Y165" i="11"/>
  <c r="X165" i="11"/>
  <c r="W165" i="11"/>
  <c r="V165" i="11"/>
  <c r="U165" i="11"/>
  <c r="T165" i="11"/>
  <c r="S165" i="11"/>
  <c r="R165" i="11"/>
  <c r="Q165" i="11"/>
  <c r="P165" i="11"/>
  <c r="O165" i="11"/>
  <c r="N165" i="11"/>
  <c r="M165" i="11"/>
  <c r="L165" i="11"/>
  <c r="K165" i="11"/>
  <c r="J165" i="11"/>
  <c r="I165" i="11"/>
  <c r="H165" i="11"/>
  <c r="G165" i="11"/>
  <c r="Z164" i="11"/>
  <c r="Y164" i="11"/>
  <c r="X164" i="11"/>
  <c r="W164" i="11"/>
  <c r="V164" i="11"/>
  <c r="U164" i="11"/>
  <c r="T164" i="11"/>
  <c r="S164" i="11"/>
  <c r="R164" i="11"/>
  <c r="Q164" i="11"/>
  <c r="P164" i="11"/>
  <c r="O164" i="11"/>
  <c r="N164" i="11"/>
  <c r="M164" i="11"/>
  <c r="L164" i="11"/>
  <c r="K164" i="11"/>
  <c r="J164" i="11"/>
  <c r="I164" i="11"/>
  <c r="H164" i="11"/>
  <c r="G164" i="11"/>
  <c r="B164" i="11"/>
  <c r="Z163" i="11"/>
  <c r="Y163" i="11"/>
  <c r="X163" i="11"/>
  <c r="W163" i="11"/>
  <c r="V163" i="11"/>
  <c r="U163" i="11"/>
  <c r="T163" i="11"/>
  <c r="S163" i="11"/>
  <c r="R163" i="11"/>
  <c r="Q163" i="11"/>
  <c r="P163" i="11"/>
  <c r="O163" i="11"/>
  <c r="N163" i="11"/>
  <c r="M163" i="11"/>
  <c r="L163" i="11"/>
  <c r="K163" i="11"/>
  <c r="J163" i="11"/>
  <c r="I163" i="11"/>
  <c r="H163" i="11"/>
  <c r="G163" i="11"/>
  <c r="Z162" i="11"/>
  <c r="Y162" i="11"/>
  <c r="X162" i="11"/>
  <c r="W162" i="11"/>
  <c r="V162" i="11"/>
  <c r="U162" i="11"/>
  <c r="T162" i="11"/>
  <c r="S162" i="11"/>
  <c r="R162" i="11"/>
  <c r="Q162" i="11"/>
  <c r="P162" i="11"/>
  <c r="O162" i="11"/>
  <c r="N162" i="11"/>
  <c r="M162" i="11"/>
  <c r="L162" i="11"/>
  <c r="K162" i="11"/>
  <c r="J162" i="11"/>
  <c r="I162" i="11"/>
  <c r="H162" i="11"/>
  <c r="G162" i="11"/>
  <c r="Z161" i="11"/>
  <c r="Y161" i="11"/>
  <c r="X161" i="11"/>
  <c r="W161" i="11"/>
  <c r="V161" i="11"/>
  <c r="U161" i="11"/>
  <c r="T161" i="11"/>
  <c r="S161" i="11"/>
  <c r="R161" i="11"/>
  <c r="Q161" i="11"/>
  <c r="P161" i="11"/>
  <c r="O161" i="11"/>
  <c r="N161" i="11"/>
  <c r="M161" i="11"/>
  <c r="L161" i="11"/>
  <c r="K161" i="11"/>
  <c r="J161" i="11"/>
  <c r="I161" i="11"/>
  <c r="H161" i="11"/>
  <c r="G161" i="11"/>
  <c r="Z160" i="11"/>
  <c r="Y160" i="11"/>
  <c r="X160" i="11"/>
  <c r="W160" i="11"/>
  <c r="V160" i="11"/>
  <c r="U160" i="11"/>
  <c r="T160" i="11"/>
  <c r="S160" i="11"/>
  <c r="R160" i="11"/>
  <c r="Q160" i="11"/>
  <c r="P160" i="11"/>
  <c r="O160" i="11"/>
  <c r="N160" i="11"/>
  <c r="M160" i="11"/>
  <c r="L160" i="11"/>
  <c r="K160" i="11"/>
  <c r="J160" i="11"/>
  <c r="I160" i="11"/>
  <c r="H160" i="11"/>
  <c r="G160" i="11"/>
  <c r="Z159" i="11"/>
  <c r="Y159" i="11"/>
  <c r="X159" i="11"/>
  <c r="W159" i="11"/>
  <c r="V159" i="11"/>
  <c r="U159" i="11"/>
  <c r="T159" i="11"/>
  <c r="S159" i="11"/>
  <c r="R159" i="11"/>
  <c r="Q159" i="11"/>
  <c r="P159" i="11"/>
  <c r="O159" i="11"/>
  <c r="N159" i="11"/>
  <c r="M159" i="11"/>
  <c r="L159" i="11"/>
  <c r="K159" i="11"/>
  <c r="J159" i="11"/>
  <c r="I159" i="11"/>
  <c r="H159" i="11"/>
  <c r="G159" i="11"/>
  <c r="Z158" i="11"/>
  <c r="Y158" i="11"/>
  <c r="X158" i="11"/>
  <c r="W158" i="11"/>
  <c r="V158" i="11"/>
  <c r="U158" i="11"/>
  <c r="T158" i="11"/>
  <c r="S158" i="11"/>
  <c r="R158" i="11"/>
  <c r="Q158" i="11"/>
  <c r="P158" i="11"/>
  <c r="O158" i="11"/>
  <c r="N158" i="11"/>
  <c r="M158" i="11"/>
  <c r="L158" i="11"/>
  <c r="K158" i="11"/>
  <c r="J158" i="11"/>
  <c r="I158" i="11"/>
  <c r="H158" i="11"/>
  <c r="G158" i="11"/>
  <c r="Z157" i="11"/>
  <c r="Y157" i="11"/>
  <c r="X157" i="11"/>
  <c r="W157" i="11"/>
  <c r="V157" i="11"/>
  <c r="U157" i="11"/>
  <c r="T157" i="11"/>
  <c r="S157" i="11"/>
  <c r="R157" i="11"/>
  <c r="Q157" i="11"/>
  <c r="P157" i="11"/>
  <c r="O157" i="11"/>
  <c r="N157" i="11"/>
  <c r="M157" i="11"/>
  <c r="L157" i="11"/>
  <c r="K157" i="11"/>
  <c r="J157" i="11"/>
  <c r="I157" i="11"/>
  <c r="H157" i="11"/>
  <c r="G157" i="11"/>
  <c r="Z154" i="11"/>
  <c r="Y154" i="11"/>
  <c r="X154" i="11"/>
  <c r="W154" i="11"/>
  <c r="V154" i="11"/>
  <c r="U154" i="11"/>
  <c r="T154" i="11"/>
  <c r="S154" i="11"/>
  <c r="R154" i="11"/>
  <c r="Q154" i="11"/>
  <c r="P154" i="11"/>
  <c r="O154" i="11"/>
  <c r="N154" i="11"/>
  <c r="M154" i="11"/>
  <c r="L154" i="11"/>
  <c r="K154" i="11"/>
  <c r="J154" i="11"/>
  <c r="I154" i="11"/>
  <c r="H154" i="11"/>
  <c r="G154" i="11"/>
  <c r="Z153" i="11"/>
  <c r="Y153" i="11"/>
  <c r="X153" i="11"/>
  <c r="W153" i="11"/>
  <c r="V153" i="11"/>
  <c r="U153" i="11"/>
  <c r="T153" i="11"/>
  <c r="S153" i="11"/>
  <c r="R153" i="11"/>
  <c r="Q153" i="11"/>
  <c r="P153" i="11"/>
  <c r="O153" i="11"/>
  <c r="N153" i="11"/>
  <c r="M153" i="11"/>
  <c r="L153" i="11"/>
  <c r="K153" i="11"/>
  <c r="J153" i="11"/>
  <c r="I153" i="11"/>
  <c r="H153" i="11"/>
  <c r="G153" i="11"/>
  <c r="Z152" i="11"/>
  <c r="Y152" i="11"/>
  <c r="X152" i="11"/>
  <c r="W152" i="11"/>
  <c r="V152" i="11"/>
  <c r="U152" i="11"/>
  <c r="T152" i="11"/>
  <c r="S152" i="11"/>
  <c r="R152" i="11"/>
  <c r="Q152" i="11"/>
  <c r="P152" i="11"/>
  <c r="O152" i="11"/>
  <c r="N152" i="11"/>
  <c r="M152" i="11"/>
  <c r="L152" i="11"/>
  <c r="K152" i="11"/>
  <c r="J152" i="11"/>
  <c r="I152" i="11"/>
  <c r="H152" i="11"/>
  <c r="G152" i="11"/>
  <c r="Z151" i="11"/>
  <c r="Y151" i="11"/>
  <c r="X151" i="11"/>
  <c r="W151" i="11"/>
  <c r="V151" i="11"/>
  <c r="U151" i="11"/>
  <c r="T151" i="11"/>
  <c r="S151" i="11"/>
  <c r="R151" i="11"/>
  <c r="Q151" i="11"/>
  <c r="P151" i="11"/>
  <c r="O151" i="11"/>
  <c r="N151" i="11"/>
  <c r="M151" i="11"/>
  <c r="L151" i="11"/>
  <c r="K151" i="11"/>
  <c r="J151" i="11"/>
  <c r="I151" i="11"/>
  <c r="H151" i="11"/>
  <c r="G151" i="11"/>
  <c r="Z150" i="11"/>
  <c r="Y150" i="11"/>
  <c r="X150" i="11"/>
  <c r="W150" i="11"/>
  <c r="V150" i="11"/>
  <c r="U150" i="11"/>
  <c r="T150" i="11"/>
  <c r="S150" i="11"/>
  <c r="R150" i="11"/>
  <c r="Q150" i="11"/>
  <c r="P150" i="11"/>
  <c r="O150" i="11"/>
  <c r="N150" i="11"/>
  <c r="M150" i="11"/>
  <c r="L150" i="11"/>
  <c r="K150" i="11"/>
  <c r="J150" i="11"/>
  <c r="I150" i="11"/>
  <c r="H150" i="11"/>
  <c r="G150" i="11"/>
  <c r="Z149" i="11"/>
  <c r="Y149" i="11"/>
  <c r="X149" i="11"/>
  <c r="W149" i="11"/>
  <c r="V149" i="11"/>
  <c r="U149" i="11"/>
  <c r="T149" i="11"/>
  <c r="S149" i="11"/>
  <c r="R149" i="11"/>
  <c r="Q149" i="11"/>
  <c r="P149" i="11"/>
  <c r="O149" i="11"/>
  <c r="N149" i="11"/>
  <c r="M149" i="11"/>
  <c r="L149" i="11"/>
  <c r="K149" i="11"/>
  <c r="J149" i="11"/>
  <c r="I149" i="11"/>
  <c r="H149" i="11"/>
  <c r="G149" i="11"/>
  <c r="Z148" i="11"/>
  <c r="Y148" i="11"/>
  <c r="X148" i="11"/>
  <c r="W148" i="11"/>
  <c r="V148" i="11"/>
  <c r="U148" i="11"/>
  <c r="T148" i="11"/>
  <c r="S148" i="11"/>
  <c r="R148" i="11"/>
  <c r="Q148" i="11"/>
  <c r="P148" i="11"/>
  <c r="O148" i="11"/>
  <c r="N148" i="11"/>
  <c r="M148" i="11"/>
  <c r="L148" i="11"/>
  <c r="K148" i="11"/>
  <c r="J148" i="11"/>
  <c r="I148" i="11"/>
  <c r="H148" i="11"/>
  <c r="G148" i="11"/>
  <c r="Z147" i="11"/>
  <c r="Y147" i="11"/>
  <c r="X147" i="11"/>
  <c r="W147" i="11"/>
  <c r="V147" i="11"/>
  <c r="U147" i="11"/>
  <c r="T147" i="11"/>
  <c r="S147" i="11"/>
  <c r="R147" i="11"/>
  <c r="Q147" i="11"/>
  <c r="P147" i="11"/>
  <c r="O147" i="11"/>
  <c r="N147" i="11"/>
  <c r="M147" i="11"/>
  <c r="L147" i="11"/>
  <c r="K147" i="11"/>
  <c r="J147" i="11"/>
  <c r="I147" i="11"/>
  <c r="H147" i="11"/>
  <c r="G147" i="11"/>
  <c r="Z146" i="11"/>
  <c r="Y146" i="11"/>
  <c r="X146" i="11"/>
  <c r="W146" i="11"/>
  <c r="V146" i="11"/>
  <c r="U146" i="11"/>
  <c r="T146" i="11"/>
  <c r="S146" i="11"/>
  <c r="R146" i="11"/>
  <c r="Q146" i="11"/>
  <c r="P146" i="11"/>
  <c r="O146" i="11"/>
  <c r="N146" i="11"/>
  <c r="M146" i="11"/>
  <c r="L146" i="11"/>
  <c r="K146" i="11"/>
  <c r="J146" i="11"/>
  <c r="I146" i="11"/>
  <c r="H146" i="11"/>
  <c r="G146" i="11"/>
  <c r="Z145" i="11"/>
  <c r="Y145" i="11"/>
  <c r="X145" i="11"/>
  <c r="W145" i="11"/>
  <c r="V145" i="11"/>
  <c r="U145" i="11"/>
  <c r="T145" i="11"/>
  <c r="S145" i="11"/>
  <c r="R145" i="11"/>
  <c r="Q145" i="11"/>
  <c r="P145" i="11"/>
  <c r="O145" i="11"/>
  <c r="N145" i="11"/>
  <c r="M145" i="11"/>
  <c r="L145" i="11"/>
  <c r="K145" i="11"/>
  <c r="J145" i="11"/>
  <c r="I145" i="11"/>
  <c r="H145" i="11"/>
  <c r="G145" i="11"/>
  <c r="Z143" i="11"/>
  <c r="Y143" i="11"/>
  <c r="X143" i="11"/>
  <c r="W143" i="11"/>
  <c r="V143" i="11"/>
  <c r="U143" i="11"/>
  <c r="T143" i="11"/>
  <c r="S143" i="11"/>
  <c r="R143" i="11"/>
  <c r="Q143" i="11"/>
  <c r="P143" i="11"/>
  <c r="O143" i="11"/>
  <c r="N143" i="11"/>
  <c r="M143" i="11"/>
  <c r="L143" i="11"/>
  <c r="K143" i="11"/>
  <c r="J143" i="11"/>
  <c r="I143" i="11"/>
  <c r="H143" i="11"/>
  <c r="G143" i="11"/>
  <c r="Z142" i="11"/>
  <c r="Y142" i="11"/>
  <c r="X142" i="11"/>
  <c r="W142" i="11"/>
  <c r="V142" i="11"/>
  <c r="U142" i="11"/>
  <c r="T142" i="11"/>
  <c r="S142" i="11"/>
  <c r="R142" i="11"/>
  <c r="Q142" i="11"/>
  <c r="P142" i="11"/>
  <c r="O142" i="11"/>
  <c r="N142" i="11"/>
  <c r="M142" i="11"/>
  <c r="L142" i="11"/>
  <c r="K142" i="11"/>
  <c r="J142" i="11"/>
  <c r="I142" i="11"/>
  <c r="H142" i="11"/>
  <c r="G142" i="11"/>
  <c r="Z141" i="11"/>
  <c r="Y141" i="11"/>
  <c r="X141" i="11"/>
  <c r="W141" i="11"/>
  <c r="V141" i="11"/>
  <c r="U141" i="11"/>
  <c r="T141" i="11"/>
  <c r="S141" i="11"/>
  <c r="R141" i="11"/>
  <c r="Q141" i="11"/>
  <c r="P141" i="11"/>
  <c r="O141" i="11"/>
  <c r="N141" i="11"/>
  <c r="M141" i="11"/>
  <c r="L141" i="11"/>
  <c r="K141" i="11"/>
  <c r="J141" i="11"/>
  <c r="I141" i="11"/>
  <c r="H141" i="11"/>
  <c r="G141" i="11"/>
  <c r="Z140" i="11"/>
  <c r="Y140" i="11"/>
  <c r="X140" i="11"/>
  <c r="W140" i="11"/>
  <c r="V140" i="11"/>
  <c r="U140" i="11"/>
  <c r="T140" i="11"/>
  <c r="S140" i="11"/>
  <c r="R140" i="11"/>
  <c r="Q140" i="11"/>
  <c r="P140" i="11"/>
  <c r="O140" i="11"/>
  <c r="N140" i="11"/>
  <c r="M140" i="11"/>
  <c r="L140" i="11"/>
  <c r="K140" i="11"/>
  <c r="J140" i="11"/>
  <c r="I140" i="11"/>
  <c r="H140" i="11"/>
  <c r="G140" i="11"/>
  <c r="Z139" i="11"/>
  <c r="Y139" i="11"/>
  <c r="X139" i="11"/>
  <c r="W139" i="11"/>
  <c r="V139" i="11"/>
  <c r="U139" i="11"/>
  <c r="T139" i="11"/>
  <c r="S139" i="11"/>
  <c r="R139" i="11"/>
  <c r="Q139" i="11"/>
  <c r="P139" i="11"/>
  <c r="O139" i="11"/>
  <c r="N139" i="11"/>
  <c r="M139" i="11"/>
  <c r="L139" i="11"/>
  <c r="K139" i="11"/>
  <c r="J139" i="11"/>
  <c r="I139" i="11"/>
  <c r="H139" i="11"/>
  <c r="G139" i="11"/>
  <c r="Z138" i="11"/>
  <c r="Y138" i="11"/>
  <c r="X138" i="11"/>
  <c r="W138" i="11"/>
  <c r="V138" i="11"/>
  <c r="U138" i="11"/>
  <c r="T138" i="11"/>
  <c r="S138" i="11"/>
  <c r="R138" i="11"/>
  <c r="Q138" i="11"/>
  <c r="P138" i="11"/>
  <c r="O138" i="11"/>
  <c r="N138" i="11"/>
  <c r="M138" i="11"/>
  <c r="L138" i="11"/>
  <c r="K138" i="11"/>
  <c r="J138" i="11"/>
  <c r="I138" i="11"/>
  <c r="H138" i="11"/>
  <c r="G138" i="11"/>
  <c r="Z137" i="11"/>
  <c r="Y137" i="11"/>
  <c r="X137" i="11"/>
  <c r="W137" i="11"/>
  <c r="V137" i="11"/>
  <c r="U137" i="11"/>
  <c r="T137" i="11"/>
  <c r="S137" i="11"/>
  <c r="R137" i="11"/>
  <c r="Q137" i="11"/>
  <c r="P137" i="11"/>
  <c r="O137" i="11"/>
  <c r="N137" i="11"/>
  <c r="M137" i="11"/>
  <c r="L137" i="11"/>
  <c r="K137" i="11"/>
  <c r="J137" i="11"/>
  <c r="I137" i="11"/>
  <c r="H137" i="11"/>
  <c r="G137" i="11"/>
  <c r="Z136" i="11"/>
  <c r="Y136" i="11"/>
  <c r="X136" i="11"/>
  <c r="W136" i="11"/>
  <c r="V136" i="11"/>
  <c r="U136" i="11"/>
  <c r="T136" i="11"/>
  <c r="S136" i="11"/>
  <c r="R136" i="11"/>
  <c r="Q136" i="11"/>
  <c r="P136" i="11"/>
  <c r="O136" i="11"/>
  <c r="N136" i="11"/>
  <c r="M136" i="11"/>
  <c r="L136" i="11"/>
  <c r="K136" i="11"/>
  <c r="J136" i="11"/>
  <c r="I136" i="11"/>
  <c r="H136" i="11"/>
  <c r="G136" i="11"/>
  <c r="B136" i="11"/>
  <c r="Z135" i="11"/>
  <c r="Y135" i="11"/>
  <c r="X135" i="11"/>
  <c r="W135" i="11"/>
  <c r="V135" i="11"/>
  <c r="U135" i="11"/>
  <c r="T135" i="11"/>
  <c r="S135" i="11"/>
  <c r="R135" i="11"/>
  <c r="Q135" i="11"/>
  <c r="P135" i="11"/>
  <c r="O135" i="11"/>
  <c r="N135" i="11"/>
  <c r="M135" i="11"/>
  <c r="L135" i="11"/>
  <c r="K135" i="11"/>
  <c r="J135" i="11"/>
  <c r="I135" i="11"/>
  <c r="H135" i="11"/>
  <c r="G135" i="11"/>
  <c r="F135" i="11"/>
  <c r="Z134" i="11"/>
  <c r="Y134" i="11"/>
  <c r="X134" i="11"/>
  <c r="W134" i="11"/>
  <c r="V134" i="11"/>
  <c r="U134" i="11"/>
  <c r="T134" i="11"/>
  <c r="S134" i="11"/>
  <c r="R134" i="11"/>
  <c r="Q134" i="11"/>
  <c r="P134" i="11"/>
  <c r="O134" i="11"/>
  <c r="N134" i="11"/>
  <c r="M134" i="11"/>
  <c r="L134" i="11"/>
  <c r="K134" i="11"/>
  <c r="J134" i="11"/>
  <c r="I134" i="11"/>
  <c r="H134" i="11"/>
  <c r="G134" i="11"/>
  <c r="Z132" i="11"/>
  <c r="Y132" i="11"/>
  <c r="X132" i="11"/>
  <c r="W132" i="11"/>
  <c r="V132" i="11"/>
  <c r="U132" i="11"/>
  <c r="T132" i="11"/>
  <c r="S132" i="11"/>
  <c r="R132" i="11"/>
  <c r="Q132" i="11"/>
  <c r="P132" i="11"/>
  <c r="O132" i="11"/>
  <c r="N132" i="11"/>
  <c r="M132" i="11"/>
  <c r="L132" i="11"/>
  <c r="K132" i="11"/>
  <c r="J132" i="11"/>
  <c r="I132" i="11"/>
  <c r="H132" i="11"/>
  <c r="G132" i="11"/>
  <c r="Z131" i="11"/>
  <c r="Y131" i="11"/>
  <c r="X131" i="11"/>
  <c r="W131" i="11"/>
  <c r="V131" i="11"/>
  <c r="U131" i="11"/>
  <c r="T131" i="11"/>
  <c r="S131" i="11"/>
  <c r="R131" i="11"/>
  <c r="Q131" i="11"/>
  <c r="P131" i="11"/>
  <c r="O131" i="11"/>
  <c r="N131" i="11"/>
  <c r="M131" i="11"/>
  <c r="L131" i="11"/>
  <c r="K131" i="11"/>
  <c r="J131" i="11"/>
  <c r="I131" i="11"/>
  <c r="H131" i="11"/>
  <c r="G131" i="11"/>
  <c r="Z130" i="11"/>
  <c r="Y130" i="11"/>
  <c r="X130" i="11"/>
  <c r="W130" i="11"/>
  <c r="V130" i="11"/>
  <c r="U130" i="11"/>
  <c r="T130" i="11"/>
  <c r="S130" i="11"/>
  <c r="R130" i="11"/>
  <c r="Q130" i="11"/>
  <c r="P130" i="11"/>
  <c r="O130" i="11"/>
  <c r="N130" i="11"/>
  <c r="M130" i="11"/>
  <c r="L130" i="11"/>
  <c r="K130" i="11"/>
  <c r="J130" i="11"/>
  <c r="I130" i="11"/>
  <c r="H130" i="11"/>
  <c r="G130" i="11"/>
  <c r="Z129" i="11"/>
  <c r="Y129" i="11"/>
  <c r="X129" i="11"/>
  <c r="W129" i="11"/>
  <c r="V129" i="11"/>
  <c r="U129" i="11"/>
  <c r="T129" i="11"/>
  <c r="S129" i="11"/>
  <c r="R129" i="11"/>
  <c r="Q129" i="11"/>
  <c r="P129" i="11"/>
  <c r="O129" i="11"/>
  <c r="N129" i="11"/>
  <c r="M129" i="11"/>
  <c r="L129" i="11"/>
  <c r="K129" i="11"/>
  <c r="J129" i="11"/>
  <c r="I129" i="11"/>
  <c r="H129" i="11"/>
  <c r="G129" i="11"/>
  <c r="Z128" i="11"/>
  <c r="Y128" i="11"/>
  <c r="X128" i="11"/>
  <c r="W128" i="11"/>
  <c r="V128" i="11"/>
  <c r="U128" i="11"/>
  <c r="T128" i="11"/>
  <c r="S128" i="11"/>
  <c r="R128" i="11"/>
  <c r="Q128" i="11"/>
  <c r="P128" i="11"/>
  <c r="O128" i="11"/>
  <c r="N128" i="11"/>
  <c r="M128" i="11"/>
  <c r="L128" i="11"/>
  <c r="K128" i="11"/>
  <c r="J128" i="11"/>
  <c r="I128" i="11"/>
  <c r="H128" i="11"/>
  <c r="G128" i="11"/>
  <c r="Z127" i="11"/>
  <c r="Y127" i="11"/>
  <c r="X127" i="11"/>
  <c r="W127" i="11"/>
  <c r="V127" i="11"/>
  <c r="U127" i="11"/>
  <c r="T127" i="11"/>
  <c r="S127" i="11"/>
  <c r="R127" i="11"/>
  <c r="Q127" i="11"/>
  <c r="P127" i="11"/>
  <c r="O127" i="11"/>
  <c r="N127" i="11"/>
  <c r="M127" i="11"/>
  <c r="L127" i="11"/>
  <c r="K127" i="11"/>
  <c r="J127" i="11"/>
  <c r="I127" i="11"/>
  <c r="H127" i="11"/>
  <c r="G127" i="11"/>
  <c r="Z126" i="11"/>
  <c r="Y126" i="11"/>
  <c r="X126" i="11"/>
  <c r="W126" i="11"/>
  <c r="V126" i="11"/>
  <c r="U126" i="11"/>
  <c r="T126" i="11"/>
  <c r="S126" i="11"/>
  <c r="R126" i="11"/>
  <c r="Q126" i="11"/>
  <c r="P126" i="11"/>
  <c r="O126" i="11"/>
  <c r="N126" i="11"/>
  <c r="M126" i="11"/>
  <c r="L126" i="11"/>
  <c r="K126" i="11"/>
  <c r="J126" i="11"/>
  <c r="I126" i="11"/>
  <c r="H126" i="11"/>
  <c r="G126" i="11"/>
  <c r="Z125" i="11"/>
  <c r="Y125" i="11"/>
  <c r="X125" i="11"/>
  <c r="W125" i="11"/>
  <c r="V125" i="11"/>
  <c r="U125" i="11"/>
  <c r="T125" i="11"/>
  <c r="S125" i="11"/>
  <c r="R125" i="11"/>
  <c r="Q125" i="11"/>
  <c r="P125" i="11"/>
  <c r="O125" i="11"/>
  <c r="N125" i="11"/>
  <c r="M125" i="11"/>
  <c r="L125" i="11"/>
  <c r="K125" i="11"/>
  <c r="J125" i="11"/>
  <c r="I125" i="11"/>
  <c r="H125" i="11"/>
  <c r="G125" i="11"/>
  <c r="Z124" i="11"/>
  <c r="Y124" i="11"/>
  <c r="X124" i="11"/>
  <c r="W124" i="11"/>
  <c r="V124" i="11"/>
  <c r="U124" i="11"/>
  <c r="T124" i="11"/>
  <c r="S124" i="11"/>
  <c r="R124" i="11"/>
  <c r="Q124" i="11"/>
  <c r="P124" i="11"/>
  <c r="O124" i="11"/>
  <c r="N124" i="11"/>
  <c r="M124" i="11"/>
  <c r="L124" i="11"/>
  <c r="K124" i="11"/>
  <c r="J124" i="11"/>
  <c r="I124" i="11"/>
  <c r="H124" i="11"/>
  <c r="G124" i="11"/>
  <c r="Z123" i="11"/>
  <c r="Y123" i="11"/>
  <c r="X123" i="11"/>
  <c r="W123" i="11"/>
  <c r="V123" i="11"/>
  <c r="U123" i="11"/>
  <c r="T123" i="11"/>
  <c r="S123" i="11"/>
  <c r="R123" i="11"/>
  <c r="Q123" i="11"/>
  <c r="P123" i="11"/>
  <c r="O123" i="11"/>
  <c r="N123" i="11"/>
  <c r="M123" i="11"/>
  <c r="L123" i="11"/>
  <c r="K123" i="11"/>
  <c r="J123" i="11"/>
  <c r="I123" i="11"/>
  <c r="H123" i="11"/>
  <c r="G123" i="11"/>
  <c r="Z121" i="11"/>
  <c r="Y121" i="11"/>
  <c r="X121" i="11"/>
  <c r="W121" i="11"/>
  <c r="V121" i="11"/>
  <c r="U121" i="11"/>
  <c r="T121" i="11"/>
  <c r="S121" i="11"/>
  <c r="R121" i="11"/>
  <c r="Q121" i="11"/>
  <c r="P121" i="11"/>
  <c r="O121" i="11"/>
  <c r="N121" i="11"/>
  <c r="M121" i="11"/>
  <c r="L121" i="11"/>
  <c r="K121" i="11"/>
  <c r="J121" i="11"/>
  <c r="I121" i="11"/>
  <c r="H121" i="11"/>
  <c r="G121" i="11"/>
  <c r="F121" i="11"/>
  <c r="Z120" i="11"/>
  <c r="Y120" i="11"/>
  <c r="X120" i="11"/>
  <c r="W120" i="11"/>
  <c r="V120" i="11"/>
  <c r="U120" i="11"/>
  <c r="T120" i="11"/>
  <c r="S120" i="11"/>
  <c r="R120" i="11"/>
  <c r="Q120" i="11"/>
  <c r="P120" i="11"/>
  <c r="O120" i="11"/>
  <c r="N120" i="11"/>
  <c r="M120" i="11"/>
  <c r="L120" i="11"/>
  <c r="K120" i="11"/>
  <c r="J120" i="11"/>
  <c r="I120" i="11"/>
  <c r="H120" i="11"/>
  <c r="G120" i="11"/>
  <c r="Z119" i="11"/>
  <c r="Y119" i="11"/>
  <c r="X119" i="11"/>
  <c r="W119" i="11"/>
  <c r="V119" i="11"/>
  <c r="U119" i="11"/>
  <c r="T119" i="11"/>
  <c r="S119" i="11"/>
  <c r="R119" i="11"/>
  <c r="Q119" i="11"/>
  <c r="P119" i="11"/>
  <c r="O119" i="11"/>
  <c r="N119" i="11"/>
  <c r="M119" i="11"/>
  <c r="L119" i="11"/>
  <c r="K119" i="11"/>
  <c r="J119" i="11"/>
  <c r="I119" i="11"/>
  <c r="H119" i="11"/>
  <c r="G119" i="11"/>
  <c r="Z118" i="11"/>
  <c r="Y118" i="11"/>
  <c r="X118" i="11"/>
  <c r="W118" i="11"/>
  <c r="V118" i="11"/>
  <c r="U118" i="11"/>
  <c r="T118" i="11"/>
  <c r="S118" i="11"/>
  <c r="R118" i="11"/>
  <c r="Q118" i="11"/>
  <c r="P118" i="11"/>
  <c r="O118" i="11"/>
  <c r="N118" i="11"/>
  <c r="M118" i="11"/>
  <c r="L118" i="11"/>
  <c r="K118" i="11"/>
  <c r="J118" i="11"/>
  <c r="I118" i="11"/>
  <c r="H118" i="11"/>
  <c r="G118" i="11"/>
  <c r="F118" i="11"/>
  <c r="Z117" i="11"/>
  <c r="Y117" i="11"/>
  <c r="X117" i="11"/>
  <c r="W117" i="11"/>
  <c r="V117" i="11"/>
  <c r="U117" i="11"/>
  <c r="T117" i="11"/>
  <c r="S117" i="11"/>
  <c r="R117" i="11"/>
  <c r="Q117" i="11"/>
  <c r="P117" i="11"/>
  <c r="O117" i="11"/>
  <c r="N117" i="11"/>
  <c r="M117" i="11"/>
  <c r="L117" i="11"/>
  <c r="K117" i="11"/>
  <c r="J117" i="11"/>
  <c r="I117" i="11"/>
  <c r="H117" i="11"/>
  <c r="G117" i="11"/>
  <c r="F117" i="11"/>
  <c r="Z116" i="11"/>
  <c r="Y116" i="11"/>
  <c r="X116" i="11"/>
  <c r="W116" i="11"/>
  <c r="V116" i="11"/>
  <c r="U116" i="11"/>
  <c r="T116" i="11"/>
  <c r="S116" i="11"/>
  <c r="R116" i="11"/>
  <c r="Q116" i="11"/>
  <c r="P116" i="11"/>
  <c r="O116" i="11"/>
  <c r="N116" i="11"/>
  <c r="M116" i="11"/>
  <c r="L116" i="11"/>
  <c r="K116" i="11"/>
  <c r="J116" i="11"/>
  <c r="I116" i="11"/>
  <c r="H116" i="11"/>
  <c r="G116" i="11"/>
  <c r="F116" i="11"/>
  <c r="Z115" i="11"/>
  <c r="Y115" i="11"/>
  <c r="X115" i="11"/>
  <c r="W115" i="11"/>
  <c r="V115" i="11"/>
  <c r="U115" i="11"/>
  <c r="T115" i="11"/>
  <c r="S115" i="11"/>
  <c r="R115" i="11"/>
  <c r="Q115" i="11"/>
  <c r="P115" i="11"/>
  <c r="O115" i="11"/>
  <c r="N115" i="11"/>
  <c r="M115" i="11"/>
  <c r="L115" i="11"/>
  <c r="K115" i="11"/>
  <c r="J115" i="11"/>
  <c r="I115" i="11"/>
  <c r="H115" i="11"/>
  <c r="G115" i="11"/>
  <c r="Z114" i="11"/>
  <c r="Y114" i="11"/>
  <c r="X114" i="11"/>
  <c r="W114" i="11"/>
  <c r="V114" i="11"/>
  <c r="U114" i="11"/>
  <c r="T114" i="11"/>
  <c r="S114" i="11"/>
  <c r="R114" i="11"/>
  <c r="Q114" i="11"/>
  <c r="P114" i="11"/>
  <c r="O114" i="11"/>
  <c r="N114" i="11"/>
  <c r="M114" i="11"/>
  <c r="L114" i="11"/>
  <c r="K114" i="11"/>
  <c r="J114" i="11"/>
  <c r="I114" i="11"/>
  <c r="H114" i="11"/>
  <c r="G114" i="11"/>
  <c r="Z113" i="11"/>
  <c r="Y113" i="11"/>
  <c r="X113" i="11"/>
  <c r="W113" i="11"/>
  <c r="V113" i="11"/>
  <c r="U113" i="11"/>
  <c r="T113" i="11"/>
  <c r="S113" i="11"/>
  <c r="R113" i="11"/>
  <c r="Q113" i="11"/>
  <c r="P113" i="11"/>
  <c r="O113" i="11"/>
  <c r="N113" i="11"/>
  <c r="M113" i="11"/>
  <c r="L113" i="11"/>
  <c r="K113" i="11"/>
  <c r="J113" i="11"/>
  <c r="I113" i="11"/>
  <c r="H113" i="11"/>
  <c r="G113" i="11"/>
  <c r="Z112" i="11"/>
  <c r="Y112" i="11"/>
  <c r="X112" i="11"/>
  <c r="W112" i="11"/>
  <c r="V112" i="11"/>
  <c r="U112" i="11"/>
  <c r="T112" i="11"/>
  <c r="S112" i="11"/>
  <c r="R112" i="11"/>
  <c r="Q112" i="11"/>
  <c r="P112" i="11"/>
  <c r="O112" i="11"/>
  <c r="N112" i="11"/>
  <c r="M112" i="11"/>
  <c r="L112" i="11"/>
  <c r="K112" i="11"/>
  <c r="J112" i="11"/>
  <c r="I112" i="11"/>
  <c r="H112" i="11"/>
  <c r="G112" i="11"/>
  <c r="D112" i="11"/>
  <c r="Z110" i="11"/>
  <c r="Y110" i="11"/>
  <c r="X110" i="11"/>
  <c r="W110" i="11"/>
  <c r="V110" i="11"/>
  <c r="U110" i="11"/>
  <c r="T110" i="11"/>
  <c r="S110" i="11"/>
  <c r="R110" i="11"/>
  <c r="Q110" i="11"/>
  <c r="P110" i="11"/>
  <c r="O110" i="11"/>
  <c r="N110" i="11"/>
  <c r="M110" i="11"/>
  <c r="L110" i="11"/>
  <c r="K110" i="11"/>
  <c r="J110" i="11"/>
  <c r="I110" i="11"/>
  <c r="H110" i="11"/>
  <c r="G110" i="11"/>
  <c r="Z109" i="11"/>
  <c r="Y109" i="11"/>
  <c r="X109" i="11"/>
  <c r="W109" i="11"/>
  <c r="V109" i="11"/>
  <c r="U109" i="11"/>
  <c r="T109" i="11"/>
  <c r="S109" i="11"/>
  <c r="R109" i="11"/>
  <c r="Q109" i="11"/>
  <c r="P109" i="11"/>
  <c r="O109" i="11"/>
  <c r="N109" i="11"/>
  <c r="M109" i="11"/>
  <c r="L109" i="11"/>
  <c r="K109" i="11"/>
  <c r="J109" i="11"/>
  <c r="I109" i="11"/>
  <c r="H109" i="11"/>
  <c r="G109" i="11"/>
  <c r="Z108" i="11"/>
  <c r="Y108" i="11"/>
  <c r="X108" i="11"/>
  <c r="W108" i="11"/>
  <c r="V108" i="11"/>
  <c r="U108" i="11"/>
  <c r="T108" i="11"/>
  <c r="S108" i="11"/>
  <c r="R108" i="11"/>
  <c r="Q108" i="11"/>
  <c r="P108" i="11"/>
  <c r="O108" i="11"/>
  <c r="N108" i="11"/>
  <c r="M108" i="11"/>
  <c r="L108" i="11"/>
  <c r="K108" i="11"/>
  <c r="J108" i="11"/>
  <c r="I108" i="11"/>
  <c r="H108" i="11"/>
  <c r="G108" i="11"/>
  <c r="E108" i="11"/>
  <c r="Z107" i="11"/>
  <c r="Y107" i="11"/>
  <c r="X107" i="11"/>
  <c r="W107" i="11"/>
  <c r="V107" i="11"/>
  <c r="U107" i="11"/>
  <c r="T107" i="11"/>
  <c r="S107" i="11"/>
  <c r="R107" i="11"/>
  <c r="Q107" i="11"/>
  <c r="P107" i="11"/>
  <c r="O107" i="11"/>
  <c r="N107" i="11"/>
  <c r="M107" i="11"/>
  <c r="L107" i="11"/>
  <c r="K107" i="11"/>
  <c r="J107" i="11"/>
  <c r="I107" i="11"/>
  <c r="H107" i="11"/>
  <c r="G107" i="11"/>
  <c r="Z106" i="11"/>
  <c r="Y106" i="11"/>
  <c r="X106" i="11"/>
  <c r="W106" i="11"/>
  <c r="V106" i="11"/>
  <c r="U106" i="11"/>
  <c r="T106" i="11"/>
  <c r="S106" i="11"/>
  <c r="R106" i="11"/>
  <c r="Q106" i="11"/>
  <c r="P106" i="11"/>
  <c r="O106" i="11"/>
  <c r="N106" i="11"/>
  <c r="M106" i="11"/>
  <c r="L106" i="11"/>
  <c r="K106" i="11"/>
  <c r="J106" i="11"/>
  <c r="I106" i="11"/>
  <c r="H106" i="11"/>
  <c r="G106" i="11"/>
  <c r="Z105" i="11"/>
  <c r="Y105" i="11"/>
  <c r="X105" i="11"/>
  <c r="W105" i="11"/>
  <c r="V105" i="11"/>
  <c r="U105" i="11"/>
  <c r="T105" i="11"/>
  <c r="S105" i="11"/>
  <c r="R105" i="11"/>
  <c r="Q105" i="11"/>
  <c r="P105" i="11"/>
  <c r="O105" i="11"/>
  <c r="N105" i="11"/>
  <c r="M105" i="11"/>
  <c r="L105" i="11"/>
  <c r="K105" i="11"/>
  <c r="J105" i="11"/>
  <c r="I105" i="11"/>
  <c r="H105" i="11"/>
  <c r="G105" i="11"/>
  <c r="Z104" i="11"/>
  <c r="Y104" i="11"/>
  <c r="X104" i="11"/>
  <c r="W104" i="11"/>
  <c r="V104" i="11"/>
  <c r="U104" i="11"/>
  <c r="T104" i="11"/>
  <c r="S104" i="11"/>
  <c r="R104" i="11"/>
  <c r="Q104" i="11"/>
  <c r="P104" i="11"/>
  <c r="O104" i="11"/>
  <c r="N104" i="11"/>
  <c r="M104" i="11"/>
  <c r="L104" i="11"/>
  <c r="K104" i="11"/>
  <c r="J104" i="11"/>
  <c r="I104" i="11"/>
  <c r="H104" i="11"/>
  <c r="G104" i="11"/>
  <c r="Z103" i="11"/>
  <c r="Y103" i="11"/>
  <c r="X103" i="11"/>
  <c r="W103" i="11"/>
  <c r="V103" i="11"/>
  <c r="U103" i="11"/>
  <c r="T103" i="11"/>
  <c r="S103" i="11"/>
  <c r="R103" i="11"/>
  <c r="Q103" i="11"/>
  <c r="P103" i="11"/>
  <c r="O103" i="11"/>
  <c r="N103" i="11"/>
  <c r="M103" i="11"/>
  <c r="L103" i="11"/>
  <c r="K103" i="11"/>
  <c r="J103" i="11"/>
  <c r="I103" i="11"/>
  <c r="H103" i="11"/>
  <c r="G103" i="11"/>
  <c r="Z102" i="11"/>
  <c r="Y102" i="11"/>
  <c r="X102" i="11"/>
  <c r="W102" i="11"/>
  <c r="V102" i="11"/>
  <c r="U102" i="11"/>
  <c r="T102" i="11"/>
  <c r="S102" i="11"/>
  <c r="R102" i="11"/>
  <c r="Q102" i="11"/>
  <c r="P102" i="11"/>
  <c r="O102" i="11"/>
  <c r="N102" i="11"/>
  <c r="M102" i="11"/>
  <c r="L102" i="11"/>
  <c r="K102" i="11"/>
  <c r="J102" i="11"/>
  <c r="I102" i="11"/>
  <c r="H102" i="11"/>
  <c r="G102" i="11"/>
  <c r="Z101" i="11"/>
  <c r="Y101" i="11"/>
  <c r="X101" i="11"/>
  <c r="W101" i="11"/>
  <c r="V101" i="11"/>
  <c r="U101" i="11"/>
  <c r="T101" i="11"/>
  <c r="S101" i="11"/>
  <c r="R101" i="11"/>
  <c r="Q101" i="11"/>
  <c r="P101" i="11"/>
  <c r="O101" i="11"/>
  <c r="N101" i="11"/>
  <c r="M101" i="11"/>
  <c r="L101" i="11"/>
  <c r="K101" i="11"/>
  <c r="J101" i="11"/>
  <c r="I101" i="11"/>
  <c r="H101" i="11"/>
  <c r="G101" i="11"/>
  <c r="D87" i="11"/>
  <c r="G87" i="11"/>
  <c r="H87" i="11"/>
  <c r="I87" i="11"/>
  <c r="J87" i="11"/>
  <c r="K87" i="11"/>
  <c r="L87" i="11"/>
  <c r="M87" i="11"/>
  <c r="N87" i="11"/>
  <c r="O87" i="11"/>
  <c r="P87" i="11"/>
  <c r="Q87" i="11"/>
  <c r="R87" i="11"/>
  <c r="S87" i="11"/>
  <c r="T87" i="11"/>
  <c r="U87" i="11"/>
  <c r="V87" i="11"/>
  <c r="W87" i="11"/>
  <c r="X87" i="11"/>
  <c r="Y87" i="11"/>
  <c r="Z87" i="11"/>
  <c r="G88" i="11"/>
  <c r="H88" i="11"/>
  <c r="I88" i="11"/>
  <c r="J88" i="11"/>
  <c r="K88" i="11"/>
  <c r="L88" i="11"/>
  <c r="M88" i="11"/>
  <c r="N88" i="11"/>
  <c r="O88" i="11"/>
  <c r="P88" i="11"/>
  <c r="Q88" i="11"/>
  <c r="R88" i="11"/>
  <c r="S88" i="11"/>
  <c r="T88" i="11"/>
  <c r="U88" i="11"/>
  <c r="V88" i="11"/>
  <c r="W88" i="11"/>
  <c r="X88" i="11"/>
  <c r="Y88" i="11"/>
  <c r="Z88" i="11"/>
  <c r="G89" i="11"/>
  <c r="H89" i="11"/>
  <c r="I89" i="11"/>
  <c r="J89" i="11"/>
  <c r="K89" i="11"/>
  <c r="L89" i="11"/>
  <c r="M89" i="11"/>
  <c r="N89" i="11"/>
  <c r="O89" i="11"/>
  <c r="P89" i="11"/>
  <c r="Q89" i="11"/>
  <c r="R89" i="11"/>
  <c r="S89" i="11"/>
  <c r="T89" i="11"/>
  <c r="U89" i="11"/>
  <c r="V89" i="11"/>
  <c r="W89" i="11"/>
  <c r="X89" i="11"/>
  <c r="Y89" i="11"/>
  <c r="Z89" i="11"/>
  <c r="G90" i="11"/>
  <c r="H90" i="11"/>
  <c r="I90" i="11"/>
  <c r="J90" i="11"/>
  <c r="K90" i="11"/>
  <c r="L90" i="11"/>
  <c r="M90" i="11"/>
  <c r="N90" i="11"/>
  <c r="O90" i="11"/>
  <c r="P90" i="11"/>
  <c r="Q90" i="11"/>
  <c r="R90" i="11"/>
  <c r="S90" i="11"/>
  <c r="T90" i="11"/>
  <c r="U90" i="11"/>
  <c r="V90" i="11"/>
  <c r="W90" i="11"/>
  <c r="X90" i="11"/>
  <c r="Y90" i="11"/>
  <c r="Z90" i="11"/>
  <c r="G91" i="11"/>
  <c r="H91" i="11"/>
  <c r="I91" i="11"/>
  <c r="J91" i="11"/>
  <c r="K91" i="11"/>
  <c r="L91" i="11"/>
  <c r="M91" i="11"/>
  <c r="N91" i="11"/>
  <c r="O91" i="11"/>
  <c r="P91" i="11"/>
  <c r="Q91" i="11"/>
  <c r="R91" i="11"/>
  <c r="S91" i="11"/>
  <c r="T91" i="11"/>
  <c r="U91" i="11"/>
  <c r="V91" i="11"/>
  <c r="W91" i="11"/>
  <c r="X91" i="11"/>
  <c r="Y91" i="11"/>
  <c r="Z91" i="11"/>
  <c r="G92" i="11"/>
  <c r="H92" i="11"/>
  <c r="I92" i="11"/>
  <c r="J92" i="11"/>
  <c r="K92" i="11"/>
  <c r="L92" i="11"/>
  <c r="M92" i="11"/>
  <c r="N92" i="11"/>
  <c r="O92" i="11"/>
  <c r="P92" i="11"/>
  <c r="Q92" i="11"/>
  <c r="R92" i="11"/>
  <c r="S92" i="11"/>
  <c r="T92" i="11"/>
  <c r="U92" i="11"/>
  <c r="V92" i="11"/>
  <c r="W92" i="11"/>
  <c r="X92" i="11"/>
  <c r="Y92" i="11"/>
  <c r="Z92" i="11"/>
  <c r="G93" i="11"/>
  <c r="H93" i="11"/>
  <c r="I93" i="11"/>
  <c r="J93" i="11"/>
  <c r="K93" i="11"/>
  <c r="L93" i="11"/>
  <c r="M93" i="11"/>
  <c r="N93" i="11"/>
  <c r="O93" i="11"/>
  <c r="P93" i="11"/>
  <c r="Q93" i="11"/>
  <c r="R93" i="11"/>
  <c r="S93" i="11"/>
  <c r="T93" i="11"/>
  <c r="U93" i="11"/>
  <c r="V93" i="11"/>
  <c r="W93" i="11"/>
  <c r="X93" i="11"/>
  <c r="Y93" i="11"/>
  <c r="Z93" i="11"/>
  <c r="G94" i="11"/>
  <c r="H94" i="11"/>
  <c r="I94" i="11"/>
  <c r="J94" i="11"/>
  <c r="K94" i="11"/>
  <c r="L94" i="11"/>
  <c r="M94" i="11"/>
  <c r="N94" i="11"/>
  <c r="O94" i="11"/>
  <c r="P94" i="11"/>
  <c r="Q94" i="11"/>
  <c r="R94" i="11"/>
  <c r="S94" i="11"/>
  <c r="T94" i="11"/>
  <c r="U94" i="11"/>
  <c r="V94" i="11"/>
  <c r="W94" i="11"/>
  <c r="X94" i="11"/>
  <c r="Y94" i="11"/>
  <c r="Z94" i="11"/>
  <c r="G95" i="11"/>
  <c r="H95" i="11"/>
  <c r="I95" i="11"/>
  <c r="J95" i="11"/>
  <c r="K95" i="11"/>
  <c r="L95" i="11"/>
  <c r="M95" i="11"/>
  <c r="N95" i="11"/>
  <c r="O95" i="11"/>
  <c r="P95" i="11"/>
  <c r="Q95" i="11"/>
  <c r="R95" i="11"/>
  <c r="S95" i="11"/>
  <c r="T95" i="11"/>
  <c r="U95" i="11"/>
  <c r="V95" i="11"/>
  <c r="W95" i="11"/>
  <c r="X95" i="11"/>
  <c r="Y95" i="11"/>
  <c r="Z95" i="11"/>
  <c r="G96" i="11"/>
  <c r="H96" i="11"/>
  <c r="I96" i="11"/>
  <c r="J96" i="11"/>
  <c r="K96" i="11"/>
  <c r="L96" i="11"/>
  <c r="M96" i="11"/>
  <c r="N96" i="11"/>
  <c r="O96" i="11"/>
  <c r="P96" i="11"/>
  <c r="Q96" i="11"/>
  <c r="R96" i="11"/>
  <c r="S96" i="11"/>
  <c r="T96" i="11"/>
  <c r="U96" i="11"/>
  <c r="V96" i="11"/>
  <c r="W96" i="11"/>
  <c r="X96" i="11"/>
  <c r="Y96" i="11"/>
  <c r="Z96" i="11"/>
  <c r="B88" i="11"/>
  <c r="G75" i="11"/>
  <c r="H75" i="11"/>
  <c r="I75" i="11"/>
  <c r="J75" i="11"/>
  <c r="K75" i="11"/>
  <c r="L75" i="11"/>
  <c r="M75" i="11"/>
  <c r="N75" i="11"/>
  <c r="O75" i="11"/>
  <c r="P75" i="11"/>
  <c r="Q75" i="11"/>
  <c r="R75" i="11"/>
  <c r="S75" i="11"/>
  <c r="T75" i="11"/>
  <c r="U75" i="11"/>
  <c r="V75" i="11"/>
  <c r="W75" i="11"/>
  <c r="X75" i="11"/>
  <c r="Y75" i="11"/>
  <c r="Z75" i="11"/>
  <c r="G76" i="11"/>
  <c r="H76" i="11"/>
  <c r="I76" i="11"/>
  <c r="J76" i="11"/>
  <c r="K76" i="11"/>
  <c r="L76" i="11"/>
  <c r="M76" i="11"/>
  <c r="N76" i="11"/>
  <c r="O76" i="11"/>
  <c r="P76" i="11"/>
  <c r="Q76" i="11"/>
  <c r="R76" i="11"/>
  <c r="S76" i="11"/>
  <c r="T76" i="11"/>
  <c r="U76" i="11"/>
  <c r="V76" i="11"/>
  <c r="W76" i="11"/>
  <c r="X76" i="11"/>
  <c r="Y76" i="11"/>
  <c r="Z76" i="11"/>
  <c r="G77" i="11"/>
  <c r="H77" i="11"/>
  <c r="I77" i="11"/>
  <c r="J77" i="11"/>
  <c r="K77" i="11"/>
  <c r="L77" i="11"/>
  <c r="M77" i="11"/>
  <c r="N77" i="11"/>
  <c r="O77" i="11"/>
  <c r="P77" i="11"/>
  <c r="Q77" i="11"/>
  <c r="R77" i="11"/>
  <c r="S77" i="11"/>
  <c r="T77" i="11"/>
  <c r="U77" i="11"/>
  <c r="V77" i="11"/>
  <c r="W77" i="11"/>
  <c r="X77" i="11"/>
  <c r="Y77" i="11"/>
  <c r="Z77" i="11"/>
  <c r="G78" i="11"/>
  <c r="H78" i="11"/>
  <c r="I78" i="11"/>
  <c r="J78" i="11"/>
  <c r="K78" i="11"/>
  <c r="L78" i="11"/>
  <c r="M78" i="11"/>
  <c r="N78" i="11"/>
  <c r="O78" i="11"/>
  <c r="P78" i="11"/>
  <c r="Q78" i="11"/>
  <c r="R78" i="11"/>
  <c r="S78" i="11"/>
  <c r="T78" i="11"/>
  <c r="U78" i="11"/>
  <c r="V78" i="11"/>
  <c r="W78" i="11"/>
  <c r="X78" i="11"/>
  <c r="Y78" i="11"/>
  <c r="Z78" i="11"/>
  <c r="G79" i="11"/>
  <c r="H79" i="11"/>
  <c r="I79" i="11"/>
  <c r="J79" i="11"/>
  <c r="K79" i="11"/>
  <c r="L79" i="11"/>
  <c r="M79" i="11"/>
  <c r="N79" i="11"/>
  <c r="O79" i="11"/>
  <c r="P79" i="11"/>
  <c r="Q79" i="11"/>
  <c r="R79" i="11"/>
  <c r="S79" i="11"/>
  <c r="T79" i="11"/>
  <c r="U79" i="11"/>
  <c r="V79" i="11"/>
  <c r="W79" i="11"/>
  <c r="X79" i="11"/>
  <c r="Y79" i="11"/>
  <c r="Z79" i="11"/>
  <c r="G80" i="11"/>
  <c r="H80" i="11"/>
  <c r="I80" i="11"/>
  <c r="J80" i="11"/>
  <c r="K80" i="11"/>
  <c r="L80" i="11"/>
  <c r="M80" i="11"/>
  <c r="N80" i="11"/>
  <c r="O80" i="11"/>
  <c r="P80" i="11"/>
  <c r="Q80" i="11"/>
  <c r="R80" i="11"/>
  <c r="S80" i="11"/>
  <c r="T80" i="11"/>
  <c r="U80" i="11"/>
  <c r="V80" i="11"/>
  <c r="W80" i="11"/>
  <c r="X80" i="11"/>
  <c r="Y80" i="11"/>
  <c r="Z80" i="11"/>
  <c r="G81" i="11"/>
  <c r="H81" i="11"/>
  <c r="I81" i="11"/>
  <c r="J81" i="11"/>
  <c r="K81" i="11"/>
  <c r="L81" i="11"/>
  <c r="M81" i="11"/>
  <c r="N81" i="11"/>
  <c r="O81" i="11"/>
  <c r="P81" i="11"/>
  <c r="Q81" i="11"/>
  <c r="R81" i="11"/>
  <c r="S81" i="11"/>
  <c r="T81" i="11"/>
  <c r="U81" i="11"/>
  <c r="V81" i="11"/>
  <c r="W81" i="11"/>
  <c r="X81" i="11"/>
  <c r="Y81" i="11"/>
  <c r="Z81" i="11"/>
  <c r="G82" i="11"/>
  <c r="H82" i="11"/>
  <c r="I82" i="11"/>
  <c r="J82" i="11"/>
  <c r="K82" i="11"/>
  <c r="L82" i="11"/>
  <c r="M82" i="11"/>
  <c r="N82" i="11"/>
  <c r="O82" i="11"/>
  <c r="P82" i="11"/>
  <c r="Q82" i="11"/>
  <c r="R82" i="11"/>
  <c r="S82" i="11"/>
  <c r="T82" i="11"/>
  <c r="U82" i="11"/>
  <c r="V82" i="11"/>
  <c r="W82" i="11"/>
  <c r="X82" i="11"/>
  <c r="Y82" i="11"/>
  <c r="Z82" i="11"/>
  <c r="G83" i="11"/>
  <c r="H83" i="11"/>
  <c r="I83" i="11"/>
  <c r="J83" i="11"/>
  <c r="K83" i="11"/>
  <c r="L83" i="11"/>
  <c r="M83" i="11"/>
  <c r="N83" i="11"/>
  <c r="O83" i="11"/>
  <c r="P83" i="11"/>
  <c r="Q83" i="11"/>
  <c r="R83" i="11"/>
  <c r="S83" i="11"/>
  <c r="T83" i="11"/>
  <c r="U83" i="11"/>
  <c r="V83" i="11"/>
  <c r="W83" i="11"/>
  <c r="X83" i="11"/>
  <c r="Y83" i="11"/>
  <c r="Z83" i="11"/>
  <c r="G84" i="11"/>
  <c r="H84" i="11"/>
  <c r="I84" i="11"/>
  <c r="J84" i="11"/>
  <c r="K84" i="11"/>
  <c r="L84" i="11"/>
  <c r="M84" i="11"/>
  <c r="N84" i="11"/>
  <c r="O84" i="11"/>
  <c r="P84" i="11"/>
  <c r="Q84" i="11"/>
  <c r="R84" i="11"/>
  <c r="S84" i="11"/>
  <c r="T84" i="11"/>
  <c r="U84" i="11"/>
  <c r="V84" i="11"/>
  <c r="W84" i="11"/>
  <c r="X84" i="11"/>
  <c r="Y84" i="11"/>
  <c r="Z84" i="11"/>
  <c r="G65" i="11"/>
  <c r="H65" i="11"/>
  <c r="I65" i="11"/>
  <c r="J65" i="11"/>
  <c r="K65" i="11"/>
  <c r="L65" i="11"/>
  <c r="M65" i="11"/>
  <c r="N65" i="11"/>
  <c r="O65" i="11"/>
  <c r="P65" i="11"/>
  <c r="Q65" i="11"/>
  <c r="R65" i="11"/>
  <c r="S65" i="11"/>
  <c r="T65" i="11"/>
  <c r="U65" i="11"/>
  <c r="V65" i="11"/>
  <c r="W65" i="11"/>
  <c r="X65" i="11"/>
  <c r="Y65" i="11"/>
  <c r="Z65" i="11"/>
  <c r="G66" i="11"/>
  <c r="H66" i="11"/>
  <c r="I66" i="11"/>
  <c r="J66" i="11"/>
  <c r="K66" i="11"/>
  <c r="L66" i="11"/>
  <c r="M66" i="11"/>
  <c r="N66" i="11"/>
  <c r="O66" i="11"/>
  <c r="P66" i="11"/>
  <c r="Q66" i="11"/>
  <c r="R66" i="11"/>
  <c r="S66" i="11"/>
  <c r="T66" i="11"/>
  <c r="U66" i="11"/>
  <c r="V66" i="11"/>
  <c r="W66" i="11"/>
  <c r="X66" i="11"/>
  <c r="Y66" i="11"/>
  <c r="Z66" i="11"/>
  <c r="G67" i="11"/>
  <c r="H67" i="11"/>
  <c r="I67" i="11"/>
  <c r="J67" i="11"/>
  <c r="K67" i="11"/>
  <c r="L67" i="11"/>
  <c r="M67" i="11"/>
  <c r="N67" i="11"/>
  <c r="O67" i="11"/>
  <c r="P67" i="11"/>
  <c r="Q67" i="11"/>
  <c r="R67" i="11"/>
  <c r="S67" i="11"/>
  <c r="T67" i="11"/>
  <c r="U67" i="11"/>
  <c r="V67" i="11"/>
  <c r="W67" i="11"/>
  <c r="X67" i="11"/>
  <c r="Y67" i="11"/>
  <c r="Z67" i="11"/>
  <c r="G68" i="11"/>
  <c r="H68" i="11"/>
  <c r="I68" i="11"/>
  <c r="J68" i="11"/>
  <c r="K68" i="11"/>
  <c r="L68" i="11"/>
  <c r="M68" i="11"/>
  <c r="N68" i="11"/>
  <c r="O68" i="11"/>
  <c r="P68" i="11"/>
  <c r="Q68" i="11"/>
  <c r="R68" i="11"/>
  <c r="S68" i="11"/>
  <c r="T68" i="11"/>
  <c r="U68" i="11"/>
  <c r="V68" i="11"/>
  <c r="W68" i="11"/>
  <c r="X68" i="11"/>
  <c r="Y68" i="11"/>
  <c r="Z68" i="11"/>
  <c r="G69" i="11"/>
  <c r="H69" i="11"/>
  <c r="I69" i="11"/>
  <c r="J69" i="11"/>
  <c r="K69" i="11"/>
  <c r="L69" i="11"/>
  <c r="M69" i="11"/>
  <c r="N69" i="11"/>
  <c r="O69" i="11"/>
  <c r="P69" i="11"/>
  <c r="Q69" i="11"/>
  <c r="R69" i="11"/>
  <c r="S69" i="11"/>
  <c r="T69" i="11"/>
  <c r="U69" i="11"/>
  <c r="V69" i="11"/>
  <c r="W69" i="11"/>
  <c r="X69" i="11"/>
  <c r="Y69" i="11"/>
  <c r="Z69" i="11"/>
  <c r="G70" i="11"/>
  <c r="H70" i="11"/>
  <c r="I70" i="11"/>
  <c r="J70" i="11"/>
  <c r="K70" i="11"/>
  <c r="L70" i="11"/>
  <c r="M70" i="11"/>
  <c r="N70" i="11"/>
  <c r="O70" i="11"/>
  <c r="P70" i="11"/>
  <c r="Q70" i="11"/>
  <c r="R70" i="11"/>
  <c r="S70" i="11"/>
  <c r="T70" i="11"/>
  <c r="U70" i="11"/>
  <c r="V70" i="11"/>
  <c r="W70" i="11"/>
  <c r="X70" i="11"/>
  <c r="Y70" i="11"/>
  <c r="Z70" i="11"/>
  <c r="G71" i="11"/>
  <c r="H71" i="11"/>
  <c r="I71" i="11"/>
  <c r="J71" i="11"/>
  <c r="K71" i="11"/>
  <c r="L71" i="11"/>
  <c r="M71" i="11"/>
  <c r="N71" i="11"/>
  <c r="O71" i="11"/>
  <c r="P71" i="11"/>
  <c r="Q71" i="11"/>
  <c r="R71" i="11"/>
  <c r="S71" i="11"/>
  <c r="T71" i="11"/>
  <c r="U71" i="11"/>
  <c r="V71" i="11"/>
  <c r="W71" i="11"/>
  <c r="X71" i="11"/>
  <c r="Y71" i="11"/>
  <c r="Z71" i="11"/>
  <c r="G72" i="11"/>
  <c r="H72" i="11"/>
  <c r="I72" i="11"/>
  <c r="J72" i="11"/>
  <c r="K72" i="11"/>
  <c r="L72" i="11"/>
  <c r="M72" i="11"/>
  <c r="N72" i="11"/>
  <c r="O72" i="11"/>
  <c r="P72" i="11"/>
  <c r="Q72" i="11"/>
  <c r="R72" i="11"/>
  <c r="S72" i="11"/>
  <c r="T72" i="11"/>
  <c r="U72" i="11"/>
  <c r="V72" i="11"/>
  <c r="W72" i="11"/>
  <c r="X72" i="11"/>
  <c r="Y72" i="11"/>
  <c r="Z72" i="11"/>
  <c r="G73" i="11"/>
  <c r="H73" i="11"/>
  <c r="I73" i="11"/>
  <c r="J73" i="11"/>
  <c r="K73" i="11"/>
  <c r="L73" i="11"/>
  <c r="M73" i="11"/>
  <c r="N73" i="11"/>
  <c r="O73" i="11"/>
  <c r="P73" i="11"/>
  <c r="Q73" i="11"/>
  <c r="R73" i="11"/>
  <c r="S73" i="11"/>
  <c r="T73" i="11"/>
  <c r="U73" i="11"/>
  <c r="V73" i="11"/>
  <c r="W73" i="11"/>
  <c r="X73" i="11"/>
  <c r="Y73" i="11"/>
  <c r="Z73" i="11"/>
  <c r="G64" i="11"/>
  <c r="H64" i="11"/>
  <c r="I64" i="11"/>
  <c r="J64" i="11"/>
  <c r="K64" i="11"/>
  <c r="L64" i="11"/>
  <c r="M64" i="11"/>
  <c r="N64" i="11"/>
  <c r="O64" i="11"/>
  <c r="P64" i="11"/>
  <c r="Q64" i="11"/>
  <c r="R64" i="11"/>
  <c r="S64" i="11"/>
  <c r="T64" i="11"/>
  <c r="U64" i="11"/>
  <c r="V64" i="11"/>
  <c r="W64" i="11"/>
  <c r="X64" i="11"/>
  <c r="Y64" i="11"/>
  <c r="Z64" i="11"/>
  <c r="V34" i="11"/>
  <c r="W34" i="11"/>
  <c r="X34" i="11"/>
  <c r="Y34" i="11"/>
  <c r="Z34" i="11"/>
  <c r="V33" i="11"/>
  <c r="W33" i="11"/>
  <c r="X33" i="11"/>
  <c r="Y33" i="11"/>
  <c r="Z33" i="11"/>
  <c r="V30" i="11"/>
  <c r="W30" i="11"/>
  <c r="X30" i="11"/>
  <c r="Y30" i="11"/>
  <c r="Z30" i="11"/>
  <c r="V29" i="11"/>
  <c r="W29" i="11"/>
  <c r="X29" i="11"/>
  <c r="Y29" i="11"/>
  <c r="Z29" i="11"/>
  <c r="V28" i="11"/>
  <c r="W28" i="11"/>
  <c r="X28" i="11"/>
  <c r="Y28" i="11"/>
  <c r="Z28" i="11"/>
  <c r="V27" i="11"/>
  <c r="W27" i="11"/>
  <c r="X27" i="11"/>
  <c r="Y27" i="11"/>
  <c r="Z27" i="11"/>
  <c r="V25" i="11"/>
  <c r="W25" i="11"/>
  <c r="X25" i="11"/>
  <c r="Y25" i="11"/>
  <c r="Z25" i="11"/>
  <c r="V24" i="11"/>
  <c r="W24" i="11"/>
  <c r="X24" i="11"/>
  <c r="Y24" i="11"/>
  <c r="Z24" i="11"/>
  <c r="V23" i="11"/>
  <c r="W23" i="11"/>
  <c r="X23" i="11"/>
  <c r="Y23" i="11"/>
  <c r="Z23" i="11"/>
  <c r="V22" i="11"/>
  <c r="W22" i="11"/>
  <c r="X22" i="11"/>
  <c r="Y22" i="11"/>
  <c r="Z22" i="11"/>
  <c r="V21" i="11"/>
  <c r="W21" i="11"/>
  <c r="X21" i="11"/>
  <c r="Y21" i="11"/>
  <c r="Z21" i="11"/>
  <c r="V19" i="11"/>
  <c r="W19" i="11"/>
  <c r="X19" i="11"/>
  <c r="Y19" i="11"/>
  <c r="Z19" i="11"/>
  <c r="V18" i="11"/>
  <c r="W18" i="11"/>
  <c r="X18" i="11"/>
  <c r="Y18" i="11"/>
  <c r="Z18" i="11"/>
  <c r="V17" i="11"/>
  <c r="W17" i="11"/>
  <c r="X17" i="11"/>
  <c r="Y17" i="11"/>
  <c r="Z17" i="11"/>
  <c r="V16" i="11"/>
  <c r="W16" i="11"/>
  <c r="X16" i="11"/>
  <c r="Y16" i="11"/>
  <c r="Z16" i="11"/>
  <c r="V15" i="11"/>
  <c r="W15" i="11"/>
  <c r="X15" i="11"/>
  <c r="Y15" i="11"/>
  <c r="Z15" i="11"/>
  <c r="V11" i="11"/>
  <c r="W11" i="11"/>
  <c r="X11" i="11"/>
  <c r="Y11" i="11"/>
  <c r="Z11" i="11"/>
  <c r="V9" i="11"/>
  <c r="W9" i="11"/>
  <c r="X9" i="11"/>
  <c r="Y9" i="11"/>
  <c r="Z9" i="11"/>
  <c r="V8" i="11"/>
  <c r="W8" i="11"/>
  <c r="X8" i="11"/>
  <c r="Y8" i="11"/>
  <c r="Z8" i="11"/>
  <c r="A215" i="223"/>
  <c r="A216" i="223"/>
  <c r="A217" i="223"/>
  <c r="A218" i="223"/>
  <c r="A219" i="223"/>
  <c r="A220" i="223"/>
  <c r="A221" i="223"/>
  <c r="A222" i="223"/>
  <c r="A223" i="223"/>
  <c r="A214" i="223"/>
  <c r="A204" i="223"/>
  <c r="A205" i="223"/>
  <c r="A206" i="223"/>
  <c r="A207" i="223"/>
  <c r="A208" i="223"/>
  <c r="A209" i="223"/>
  <c r="A210" i="223"/>
  <c r="A211" i="223"/>
  <c r="A212" i="223"/>
  <c r="A203" i="223"/>
  <c r="A191" i="223"/>
  <c r="A192" i="223"/>
  <c r="A193" i="223"/>
  <c r="A194" i="223"/>
  <c r="A195" i="223"/>
  <c r="A196" i="223"/>
  <c r="A197" i="223"/>
  <c r="A198" i="223"/>
  <c r="A199" i="223"/>
  <c r="A190" i="223"/>
  <c r="A180" i="223"/>
  <c r="A181" i="223"/>
  <c r="A182" i="223"/>
  <c r="A183" i="223"/>
  <c r="A184" i="223"/>
  <c r="A185" i="223"/>
  <c r="A186" i="223"/>
  <c r="A187" i="223"/>
  <c r="A188" i="223"/>
  <c r="A179" i="223"/>
  <c r="A169" i="223"/>
  <c r="A170" i="223"/>
  <c r="A171" i="223"/>
  <c r="A172" i="223"/>
  <c r="A173" i="223"/>
  <c r="A174" i="223"/>
  <c r="A175" i="223"/>
  <c r="A176" i="223"/>
  <c r="A177" i="223"/>
  <c r="A168" i="223"/>
  <c r="A158" i="223"/>
  <c r="A159" i="223"/>
  <c r="A160" i="223"/>
  <c r="A161" i="223"/>
  <c r="A162" i="223"/>
  <c r="A163" i="223"/>
  <c r="A164" i="223"/>
  <c r="A165" i="223"/>
  <c r="A166" i="223"/>
  <c r="A157" i="223"/>
  <c r="A146" i="223"/>
  <c r="A147" i="223"/>
  <c r="A148" i="223"/>
  <c r="A149" i="223"/>
  <c r="A150" i="223"/>
  <c r="A151" i="223"/>
  <c r="A152" i="223"/>
  <c r="A153" i="223"/>
  <c r="A154" i="223"/>
  <c r="A145" i="223"/>
  <c r="A135" i="223"/>
  <c r="A136" i="223"/>
  <c r="A137" i="223"/>
  <c r="A138" i="223"/>
  <c r="A139" i="223"/>
  <c r="A140" i="223"/>
  <c r="A141" i="223"/>
  <c r="A142" i="223"/>
  <c r="A143" i="223"/>
  <c r="A134" i="223"/>
  <c r="A124" i="223"/>
  <c r="A125" i="223"/>
  <c r="A126" i="223"/>
  <c r="A127" i="223"/>
  <c r="A128" i="223"/>
  <c r="A129" i="223"/>
  <c r="A130" i="223"/>
  <c r="A131" i="223"/>
  <c r="A132" i="223"/>
  <c r="A123" i="223"/>
  <c r="A113" i="223"/>
  <c r="A114" i="223"/>
  <c r="A115" i="223"/>
  <c r="A116" i="223"/>
  <c r="A117" i="223"/>
  <c r="A118" i="223"/>
  <c r="A119" i="223"/>
  <c r="A120" i="223"/>
  <c r="A121" i="223"/>
  <c r="A112" i="223"/>
  <c r="A102" i="223"/>
  <c r="A103" i="223"/>
  <c r="A104" i="223"/>
  <c r="A105" i="223"/>
  <c r="A106" i="223"/>
  <c r="A107" i="223"/>
  <c r="A108" i="223"/>
  <c r="A109" i="223"/>
  <c r="A110" i="223"/>
  <c r="A101" i="223"/>
  <c r="A90" i="223"/>
  <c r="A91" i="223"/>
  <c r="A92" i="223"/>
  <c r="A93" i="223"/>
  <c r="A94" i="223"/>
  <c r="A95" i="223"/>
  <c r="A96" i="223"/>
  <c r="A97" i="223"/>
  <c r="A98" i="223"/>
  <c r="A89" i="223"/>
  <c r="A79" i="223"/>
  <c r="A80" i="223"/>
  <c r="A81" i="223"/>
  <c r="A82" i="223"/>
  <c r="A83" i="223"/>
  <c r="A84" i="223"/>
  <c r="A85" i="223"/>
  <c r="A86" i="223"/>
  <c r="A87" i="223"/>
  <c r="A78" i="223"/>
  <c r="A68" i="223"/>
  <c r="A69" i="223"/>
  <c r="A70" i="223"/>
  <c r="A71" i="223"/>
  <c r="A72" i="223"/>
  <c r="A73" i="223"/>
  <c r="A74" i="223"/>
  <c r="A75" i="223"/>
  <c r="A76" i="223"/>
  <c r="A67" i="223"/>
  <c r="A57" i="223"/>
  <c r="A58" i="223"/>
  <c r="A59" i="223"/>
  <c r="A60" i="223"/>
  <c r="A61" i="223"/>
  <c r="A62" i="223"/>
  <c r="A63" i="223"/>
  <c r="A64" i="223"/>
  <c r="A65" i="223"/>
  <c r="A56" i="223"/>
  <c r="A46" i="223"/>
  <c r="A47" i="223"/>
  <c r="A48" i="223"/>
  <c r="A49" i="223"/>
  <c r="A50" i="223"/>
  <c r="A51" i="223"/>
  <c r="A52" i="223"/>
  <c r="A53" i="223"/>
  <c r="A54" i="223"/>
  <c r="A45" i="223"/>
  <c r="A32" i="223"/>
  <c r="A33" i="223"/>
  <c r="A34" i="223"/>
  <c r="A35" i="223"/>
  <c r="A36" i="223"/>
  <c r="A37" i="223"/>
  <c r="A38" i="223"/>
  <c r="A39" i="223"/>
  <c r="A40" i="223"/>
  <c r="A31" i="223"/>
  <c r="A20" i="223"/>
  <c r="A21" i="223"/>
  <c r="A22" i="223"/>
  <c r="A23" i="223"/>
  <c r="A24" i="223"/>
  <c r="A25" i="223"/>
  <c r="A26" i="223"/>
  <c r="A27" i="223"/>
  <c r="A28" i="223"/>
  <c r="A19" i="223"/>
  <c r="A9" i="223"/>
  <c r="A10" i="223"/>
  <c r="A11" i="223"/>
  <c r="A12" i="223"/>
  <c r="A13" i="223"/>
  <c r="A14" i="223"/>
  <c r="A15" i="223"/>
  <c r="A16" i="223"/>
  <c r="A17" i="223"/>
  <c r="A8" i="223"/>
  <c r="AU116" i="223"/>
  <c r="AV116" i="223"/>
  <c r="AW116" i="223"/>
  <c r="AX116" i="223"/>
  <c r="AY116" i="223"/>
  <c r="AU8" i="223"/>
  <c r="AV8" i="223"/>
  <c r="AW8" i="223"/>
  <c r="AX8" i="223"/>
  <c r="AY8" i="223"/>
  <c r="AU223" i="223"/>
  <c r="AV223" i="223"/>
  <c r="AW223" i="223"/>
  <c r="AX223" i="223"/>
  <c r="AY223" i="223"/>
  <c r="AU222" i="223"/>
  <c r="AV222" i="223"/>
  <c r="AW222" i="223"/>
  <c r="AX222" i="223"/>
  <c r="AY222" i="223"/>
  <c r="AU221" i="223"/>
  <c r="AV221" i="223"/>
  <c r="AW221" i="223"/>
  <c r="AX221" i="223"/>
  <c r="AY221" i="223"/>
  <c r="AU220" i="223"/>
  <c r="AV220" i="223"/>
  <c r="AW220" i="223"/>
  <c r="AX220" i="223"/>
  <c r="AY220" i="223"/>
  <c r="AU219" i="223"/>
  <c r="AV219" i="223"/>
  <c r="AW219" i="223"/>
  <c r="AX219" i="223"/>
  <c r="AY219" i="223"/>
  <c r="AU218" i="223"/>
  <c r="AV218" i="223"/>
  <c r="AW218" i="223"/>
  <c r="AX218" i="223"/>
  <c r="AY218" i="223"/>
  <c r="AU217" i="223"/>
  <c r="AV217" i="223"/>
  <c r="AW217" i="223"/>
  <c r="AX217" i="223"/>
  <c r="AY217" i="223"/>
  <c r="AU216" i="223"/>
  <c r="AV216" i="223"/>
  <c r="AW216" i="223"/>
  <c r="AX216" i="223"/>
  <c r="AY216" i="223"/>
  <c r="AU215" i="223"/>
  <c r="AV215" i="223"/>
  <c r="AW215" i="223"/>
  <c r="AX215" i="223"/>
  <c r="AY215" i="223"/>
  <c r="AU214" i="223"/>
  <c r="AV214" i="223"/>
  <c r="AW214" i="223"/>
  <c r="AX214" i="223"/>
  <c r="AY214" i="223"/>
  <c r="AU212" i="223"/>
  <c r="AV212" i="223"/>
  <c r="AW212" i="223"/>
  <c r="AX212" i="223"/>
  <c r="AY212" i="223"/>
  <c r="AU211" i="223"/>
  <c r="AV211" i="223"/>
  <c r="AW211" i="223"/>
  <c r="AX211" i="223"/>
  <c r="AY211" i="223"/>
  <c r="AU210" i="223"/>
  <c r="AV210" i="223"/>
  <c r="AW210" i="223"/>
  <c r="AX210" i="223"/>
  <c r="AY210" i="223"/>
  <c r="AU209" i="223"/>
  <c r="AV209" i="223"/>
  <c r="AW209" i="223"/>
  <c r="AX209" i="223"/>
  <c r="AY209" i="223"/>
  <c r="AU208" i="223"/>
  <c r="AV208" i="223"/>
  <c r="AW208" i="223"/>
  <c r="AX208" i="223"/>
  <c r="AY208" i="223"/>
  <c r="AU207" i="223"/>
  <c r="AV207" i="223"/>
  <c r="AW207" i="223"/>
  <c r="AX207" i="223"/>
  <c r="AY207" i="223"/>
  <c r="AU206" i="223"/>
  <c r="AV206" i="223"/>
  <c r="AW206" i="223"/>
  <c r="AX206" i="223"/>
  <c r="AY206" i="223"/>
  <c r="AU205" i="223"/>
  <c r="AV205" i="223"/>
  <c r="AW205" i="223"/>
  <c r="AX205" i="223"/>
  <c r="AY205" i="223"/>
  <c r="AU204" i="223"/>
  <c r="AV204" i="223"/>
  <c r="AW204" i="223"/>
  <c r="AX204" i="223"/>
  <c r="AY204" i="223"/>
  <c r="AU203" i="223"/>
  <c r="AV203" i="223"/>
  <c r="AW203" i="223"/>
  <c r="AX203" i="223"/>
  <c r="AY203" i="223"/>
  <c r="AU199" i="223"/>
  <c r="AV199" i="223"/>
  <c r="AW199" i="223"/>
  <c r="AX199" i="223"/>
  <c r="AY199" i="223"/>
  <c r="AU198" i="223"/>
  <c r="AV198" i="223"/>
  <c r="AW198" i="223"/>
  <c r="AX198" i="223"/>
  <c r="AY198" i="223"/>
  <c r="AU197" i="223"/>
  <c r="AV197" i="223"/>
  <c r="AW197" i="223"/>
  <c r="AX197" i="223"/>
  <c r="AY197" i="223"/>
  <c r="AU196" i="223"/>
  <c r="AV196" i="223"/>
  <c r="AW196" i="223"/>
  <c r="AX196" i="223"/>
  <c r="AY196" i="223"/>
  <c r="AU195" i="223"/>
  <c r="AV195" i="223"/>
  <c r="AW195" i="223"/>
  <c r="AX195" i="223"/>
  <c r="AY195" i="223"/>
  <c r="AU194" i="223"/>
  <c r="AV194" i="223"/>
  <c r="AW194" i="223"/>
  <c r="AX194" i="223"/>
  <c r="AY194" i="223"/>
  <c r="AU193" i="223"/>
  <c r="AV193" i="223"/>
  <c r="AW193" i="223"/>
  <c r="AX193" i="223"/>
  <c r="AY193" i="223"/>
  <c r="AU192" i="223"/>
  <c r="AV192" i="223"/>
  <c r="AW192" i="223"/>
  <c r="AX192" i="223"/>
  <c r="AY192" i="223"/>
  <c r="AU191" i="223"/>
  <c r="AV191" i="223"/>
  <c r="AW191" i="223"/>
  <c r="AX191" i="223"/>
  <c r="AY191" i="223"/>
  <c r="AU190" i="223"/>
  <c r="AV190" i="223"/>
  <c r="AW190" i="223"/>
  <c r="AX190" i="223"/>
  <c r="AY190" i="223"/>
  <c r="AU188" i="223"/>
  <c r="AV188" i="223"/>
  <c r="AW188" i="223"/>
  <c r="AX188" i="223"/>
  <c r="AY188" i="223"/>
  <c r="AU187" i="223"/>
  <c r="AV187" i="223"/>
  <c r="AW187" i="223"/>
  <c r="AX187" i="223"/>
  <c r="AY187" i="223"/>
  <c r="AU186" i="223"/>
  <c r="AV186" i="223"/>
  <c r="AW186" i="223"/>
  <c r="AX186" i="223"/>
  <c r="AY186" i="223"/>
  <c r="AU185" i="223"/>
  <c r="AV185" i="223"/>
  <c r="AW185" i="223"/>
  <c r="AX185" i="223"/>
  <c r="AY185" i="223"/>
  <c r="AU184" i="223"/>
  <c r="AV184" i="223"/>
  <c r="AW184" i="223"/>
  <c r="AX184" i="223"/>
  <c r="AY184" i="223"/>
  <c r="AU183" i="223"/>
  <c r="AV183" i="223"/>
  <c r="AW183" i="223"/>
  <c r="AX183" i="223"/>
  <c r="AY183" i="223"/>
  <c r="AU182" i="223"/>
  <c r="AV182" i="223"/>
  <c r="AW182" i="223"/>
  <c r="AX182" i="223"/>
  <c r="AY182" i="223"/>
  <c r="AU181" i="223"/>
  <c r="AV181" i="223"/>
  <c r="AW181" i="223"/>
  <c r="AX181" i="223"/>
  <c r="AY181" i="223"/>
  <c r="AU180" i="223"/>
  <c r="AV180" i="223"/>
  <c r="AW180" i="223"/>
  <c r="AX180" i="223"/>
  <c r="AY180" i="223"/>
  <c r="AU179" i="223"/>
  <c r="AV179" i="223"/>
  <c r="AW179" i="223"/>
  <c r="AX179" i="223"/>
  <c r="AY179" i="223"/>
  <c r="AU177" i="223"/>
  <c r="AV177" i="223"/>
  <c r="AW177" i="223"/>
  <c r="AX177" i="223"/>
  <c r="AY177" i="223"/>
  <c r="AU176" i="223"/>
  <c r="AV176" i="223"/>
  <c r="AW176" i="223"/>
  <c r="AX176" i="223"/>
  <c r="AY176" i="223"/>
  <c r="AU175" i="223"/>
  <c r="AV175" i="223"/>
  <c r="AW175" i="223"/>
  <c r="AX175" i="223"/>
  <c r="AY175" i="223"/>
  <c r="AU174" i="223"/>
  <c r="AV174" i="223"/>
  <c r="AW174" i="223"/>
  <c r="AX174" i="223"/>
  <c r="AY174" i="223"/>
  <c r="AU173" i="223"/>
  <c r="AV173" i="223"/>
  <c r="AW173" i="223"/>
  <c r="AX173" i="223"/>
  <c r="AY173" i="223"/>
  <c r="AU172" i="223"/>
  <c r="AV172" i="223"/>
  <c r="AW172" i="223"/>
  <c r="AX172" i="223"/>
  <c r="AY172" i="223"/>
  <c r="AU171" i="223"/>
  <c r="AV171" i="223"/>
  <c r="AW171" i="223"/>
  <c r="AX171" i="223"/>
  <c r="AY171" i="223"/>
  <c r="AU170" i="223"/>
  <c r="AV170" i="223"/>
  <c r="AW170" i="223"/>
  <c r="AX170" i="223"/>
  <c r="AY170" i="223"/>
  <c r="AU169" i="223"/>
  <c r="AV169" i="223"/>
  <c r="AW169" i="223"/>
  <c r="AX169" i="223"/>
  <c r="AY169" i="223"/>
  <c r="AU168" i="223"/>
  <c r="AV168" i="223"/>
  <c r="AW168" i="223"/>
  <c r="AX168" i="223"/>
  <c r="AY168" i="223"/>
  <c r="AU166" i="223"/>
  <c r="AV166" i="223"/>
  <c r="AW166" i="223"/>
  <c r="AX166" i="223"/>
  <c r="AY166" i="223"/>
  <c r="AU165" i="223"/>
  <c r="AV165" i="223"/>
  <c r="AW165" i="223"/>
  <c r="AX165" i="223"/>
  <c r="AY165" i="223"/>
  <c r="AU164" i="223"/>
  <c r="AV164" i="223"/>
  <c r="AW164" i="223"/>
  <c r="AX164" i="223"/>
  <c r="AY164" i="223"/>
  <c r="AU163" i="223"/>
  <c r="AV163" i="223"/>
  <c r="AW163" i="223"/>
  <c r="AX163" i="223"/>
  <c r="AY163" i="223"/>
  <c r="AU162" i="223"/>
  <c r="AV162" i="223"/>
  <c r="AW162" i="223"/>
  <c r="AX162" i="223"/>
  <c r="AY162" i="223"/>
  <c r="AU161" i="223"/>
  <c r="AV161" i="223"/>
  <c r="AW161" i="223"/>
  <c r="AX161" i="223"/>
  <c r="AY161" i="223"/>
  <c r="AU160" i="223"/>
  <c r="AV160" i="223"/>
  <c r="AW160" i="223"/>
  <c r="AX160" i="223"/>
  <c r="AY160" i="223"/>
  <c r="AU159" i="223"/>
  <c r="AV159" i="223"/>
  <c r="AW159" i="223"/>
  <c r="AX159" i="223"/>
  <c r="AY159" i="223"/>
  <c r="AU158" i="223"/>
  <c r="AV158" i="223"/>
  <c r="AW158" i="223"/>
  <c r="AX158" i="223"/>
  <c r="AY158" i="223"/>
  <c r="AU157" i="223"/>
  <c r="AV157" i="223"/>
  <c r="AW157" i="223"/>
  <c r="AX157" i="223"/>
  <c r="AY157" i="223"/>
  <c r="AU154" i="223"/>
  <c r="AV154" i="223"/>
  <c r="AW154" i="223"/>
  <c r="AX154" i="223"/>
  <c r="AY154" i="223"/>
  <c r="AU153" i="223"/>
  <c r="AV153" i="223"/>
  <c r="AW153" i="223"/>
  <c r="AX153" i="223"/>
  <c r="AY153" i="223"/>
  <c r="AU152" i="223"/>
  <c r="AV152" i="223"/>
  <c r="AW152" i="223"/>
  <c r="AX152" i="223"/>
  <c r="AY152" i="223"/>
  <c r="AU151" i="223"/>
  <c r="AV151" i="223"/>
  <c r="AW151" i="223"/>
  <c r="AX151" i="223"/>
  <c r="AY151" i="223"/>
  <c r="AU150" i="223"/>
  <c r="AV150" i="223"/>
  <c r="AW150" i="223"/>
  <c r="AX150" i="223"/>
  <c r="AY150" i="223"/>
  <c r="AU149" i="223"/>
  <c r="AV149" i="223"/>
  <c r="AW149" i="223"/>
  <c r="AX149" i="223"/>
  <c r="AY149" i="223"/>
  <c r="AU148" i="223"/>
  <c r="AV148" i="223"/>
  <c r="AW148" i="223"/>
  <c r="AX148" i="223"/>
  <c r="AY148" i="223"/>
  <c r="AU147" i="223"/>
  <c r="AV147" i="223"/>
  <c r="AW147" i="223"/>
  <c r="AX147" i="223"/>
  <c r="AY147" i="223"/>
  <c r="AU146" i="223"/>
  <c r="AV146" i="223"/>
  <c r="AW146" i="223"/>
  <c r="AX146" i="223"/>
  <c r="AY146" i="223"/>
  <c r="AU145" i="223"/>
  <c r="AV145" i="223"/>
  <c r="AW145" i="223"/>
  <c r="AX145" i="223"/>
  <c r="AY145" i="223"/>
  <c r="AU143" i="223"/>
  <c r="AV143" i="223"/>
  <c r="AW143" i="223"/>
  <c r="AX143" i="223"/>
  <c r="AY143" i="223"/>
  <c r="AU142" i="223"/>
  <c r="AV142" i="223"/>
  <c r="AW142" i="223"/>
  <c r="AX142" i="223"/>
  <c r="AY142" i="223"/>
  <c r="AU141" i="223"/>
  <c r="AV141" i="223"/>
  <c r="AW141" i="223"/>
  <c r="AX141" i="223"/>
  <c r="AY141" i="223"/>
  <c r="AU140" i="223"/>
  <c r="AV140" i="223"/>
  <c r="AW140" i="223"/>
  <c r="AX140" i="223"/>
  <c r="AY140" i="223"/>
  <c r="AU139" i="223"/>
  <c r="AV139" i="223"/>
  <c r="AW139" i="223"/>
  <c r="AX139" i="223"/>
  <c r="AY139" i="223"/>
  <c r="AU138" i="223"/>
  <c r="AV138" i="223"/>
  <c r="AW138" i="223"/>
  <c r="AX138" i="223"/>
  <c r="AY138" i="223"/>
  <c r="AU137" i="223"/>
  <c r="AV137" i="223"/>
  <c r="AW137" i="223"/>
  <c r="AX137" i="223"/>
  <c r="AY137" i="223"/>
  <c r="AU136" i="223"/>
  <c r="AV136" i="223"/>
  <c r="AW136" i="223"/>
  <c r="AX136" i="223"/>
  <c r="AY136" i="223"/>
  <c r="AU135" i="223"/>
  <c r="AV135" i="223"/>
  <c r="AW135" i="223"/>
  <c r="AX135" i="223"/>
  <c r="AY135" i="223"/>
  <c r="AU134" i="223"/>
  <c r="AV134" i="223"/>
  <c r="AW134" i="223"/>
  <c r="AX134" i="223"/>
  <c r="AY134" i="223"/>
  <c r="AU132" i="223"/>
  <c r="AV132" i="223"/>
  <c r="AW132" i="223"/>
  <c r="AX132" i="223"/>
  <c r="AY132" i="223"/>
  <c r="AU131" i="223"/>
  <c r="AV131" i="223"/>
  <c r="AW131" i="223"/>
  <c r="AX131" i="223"/>
  <c r="AY131" i="223"/>
  <c r="AU130" i="223"/>
  <c r="AV130" i="223"/>
  <c r="AW130" i="223"/>
  <c r="AX130" i="223"/>
  <c r="AY130" i="223"/>
  <c r="AU129" i="223"/>
  <c r="AV129" i="223"/>
  <c r="AW129" i="223"/>
  <c r="AX129" i="223"/>
  <c r="AY129" i="223"/>
  <c r="AU128" i="223"/>
  <c r="AV128" i="223"/>
  <c r="AW128" i="223"/>
  <c r="AX128" i="223"/>
  <c r="AY128" i="223"/>
  <c r="AU127" i="223"/>
  <c r="AV127" i="223"/>
  <c r="AW127" i="223"/>
  <c r="AX127" i="223"/>
  <c r="AY127" i="223"/>
  <c r="AU126" i="223"/>
  <c r="AV126" i="223"/>
  <c r="AW126" i="223"/>
  <c r="AX126" i="223"/>
  <c r="AY126" i="223"/>
  <c r="AU125" i="223"/>
  <c r="AV125" i="223"/>
  <c r="AW125" i="223"/>
  <c r="AX125" i="223"/>
  <c r="AY125" i="223"/>
  <c r="AU124" i="223"/>
  <c r="AV124" i="223"/>
  <c r="AW124" i="223"/>
  <c r="AX124" i="223"/>
  <c r="AY124" i="223"/>
  <c r="AU123" i="223"/>
  <c r="AV123" i="223"/>
  <c r="AW123" i="223"/>
  <c r="AX123" i="223"/>
  <c r="AY123" i="223"/>
  <c r="AU121" i="223"/>
  <c r="AV121" i="223"/>
  <c r="AW121" i="223"/>
  <c r="AX121" i="223"/>
  <c r="AY121" i="223"/>
  <c r="AU120" i="223"/>
  <c r="AV120" i="223"/>
  <c r="AW120" i="223"/>
  <c r="AX120" i="223"/>
  <c r="AY120" i="223"/>
  <c r="AU119" i="223"/>
  <c r="AV119" i="223"/>
  <c r="AW119" i="223"/>
  <c r="AX119" i="223"/>
  <c r="AY119" i="223"/>
  <c r="AU118" i="223"/>
  <c r="AV118" i="223"/>
  <c r="AW118" i="223"/>
  <c r="AX118" i="223"/>
  <c r="AY118" i="223"/>
  <c r="AU117" i="223"/>
  <c r="AV117" i="223"/>
  <c r="AW117" i="223"/>
  <c r="AX117" i="223"/>
  <c r="AY117" i="223"/>
  <c r="AU115" i="223"/>
  <c r="AV115" i="223"/>
  <c r="AW115" i="223"/>
  <c r="AX115" i="223"/>
  <c r="AY115" i="223"/>
  <c r="AU114" i="223"/>
  <c r="AV114" i="223"/>
  <c r="AW114" i="223"/>
  <c r="AX114" i="223"/>
  <c r="AY114" i="223"/>
  <c r="AU113" i="223"/>
  <c r="AV113" i="223"/>
  <c r="AW113" i="223"/>
  <c r="AX113" i="223"/>
  <c r="AY113" i="223"/>
  <c r="AU112" i="223"/>
  <c r="AV112" i="223"/>
  <c r="AW112" i="223"/>
  <c r="AX112" i="223"/>
  <c r="AY112" i="223"/>
  <c r="AU110" i="223"/>
  <c r="AV110" i="223"/>
  <c r="AW110" i="223"/>
  <c r="AX110" i="223"/>
  <c r="AY110" i="223"/>
  <c r="AU109" i="223"/>
  <c r="AV109" i="223"/>
  <c r="AW109" i="223"/>
  <c r="AX109" i="223"/>
  <c r="AY109" i="223"/>
  <c r="AU108" i="223"/>
  <c r="AV108" i="223"/>
  <c r="AW108" i="223"/>
  <c r="AX108" i="223"/>
  <c r="AY108" i="223"/>
  <c r="AU107" i="223"/>
  <c r="AV107" i="223"/>
  <c r="AW107" i="223"/>
  <c r="AX107" i="223"/>
  <c r="AY107" i="223"/>
  <c r="AU106" i="223"/>
  <c r="AV106" i="223"/>
  <c r="AW106" i="223"/>
  <c r="AX106" i="223"/>
  <c r="AY106" i="223"/>
  <c r="AU105" i="223"/>
  <c r="AV105" i="223"/>
  <c r="AW105" i="223"/>
  <c r="AX105" i="223"/>
  <c r="AY105" i="223"/>
  <c r="AU104" i="223"/>
  <c r="AV104" i="223"/>
  <c r="AW104" i="223"/>
  <c r="AX104" i="223"/>
  <c r="AY104" i="223"/>
  <c r="AU103" i="223"/>
  <c r="AV103" i="223"/>
  <c r="AW103" i="223"/>
  <c r="AX103" i="223"/>
  <c r="AY103" i="223"/>
  <c r="AU102" i="223"/>
  <c r="AV102" i="223"/>
  <c r="AW102" i="223"/>
  <c r="AX102" i="223"/>
  <c r="AY102" i="223"/>
  <c r="AU101" i="223"/>
  <c r="AV101" i="223"/>
  <c r="AW101" i="223"/>
  <c r="AX101" i="223"/>
  <c r="AY101" i="223"/>
  <c r="AU98" i="223"/>
  <c r="AV98" i="223"/>
  <c r="AW98" i="223"/>
  <c r="AX98" i="223"/>
  <c r="AY98" i="223"/>
  <c r="AU97" i="223"/>
  <c r="AV97" i="223"/>
  <c r="AW97" i="223"/>
  <c r="AX97" i="223"/>
  <c r="AY97" i="223"/>
  <c r="AU96" i="223"/>
  <c r="AV96" i="223"/>
  <c r="AW96" i="223"/>
  <c r="AX96" i="223"/>
  <c r="AY96" i="223"/>
  <c r="AU95" i="223"/>
  <c r="AV95" i="223"/>
  <c r="AW95" i="223"/>
  <c r="AX95" i="223"/>
  <c r="AY95" i="223"/>
  <c r="AU94" i="223"/>
  <c r="AV94" i="223"/>
  <c r="AW94" i="223"/>
  <c r="AX94" i="223"/>
  <c r="AY94" i="223"/>
  <c r="AU93" i="223"/>
  <c r="AV93" i="223"/>
  <c r="AW93" i="223"/>
  <c r="AX93" i="223"/>
  <c r="AY93" i="223"/>
  <c r="AU92" i="223"/>
  <c r="AV92" i="223"/>
  <c r="AW92" i="223"/>
  <c r="AX92" i="223"/>
  <c r="AY92" i="223"/>
  <c r="AU91" i="223"/>
  <c r="AV91" i="223"/>
  <c r="AW91" i="223"/>
  <c r="AX91" i="223"/>
  <c r="AY91" i="223"/>
  <c r="AU90" i="223"/>
  <c r="AV90" i="223"/>
  <c r="AW90" i="223"/>
  <c r="AX90" i="223"/>
  <c r="AY90" i="223"/>
  <c r="AU89" i="223"/>
  <c r="AV89" i="223"/>
  <c r="AW89" i="223"/>
  <c r="AX89" i="223"/>
  <c r="AY89" i="223"/>
  <c r="AU87" i="223"/>
  <c r="AV87" i="223"/>
  <c r="AW87" i="223"/>
  <c r="AX87" i="223"/>
  <c r="AY87" i="223"/>
  <c r="AU86" i="223"/>
  <c r="AV86" i="223"/>
  <c r="AW86" i="223"/>
  <c r="AX86" i="223"/>
  <c r="AY86" i="223"/>
  <c r="AU85" i="223"/>
  <c r="AV85" i="223"/>
  <c r="AW85" i="223"/>
  <c r="AX85" i="223"/>
  <c r="AY85" i="223"/>
  <c r="AU84" i="223"/>
  <c r="AV84" i="223"/>
  <c r="AW84" i="223"/>
  <c r="AX84" i="223"/>
  <c r="AY84" i="223"/>
  <c r="AU83" i="223"/>
  <c r="AV83" i="223"/>
  <c r="AW83" i="223"/>
  <c r="AX83" i="223"/>
  <c r="AY83" i="223"/>
  <c r="AU82" i="223"/>
  <c r="AV82" i="223"/>
  <c r="AW82" i="223"/>
  <c r="AX82" i="223"/>
  <c r="AY82" i="223"/>
  <c r="AU81" i="223"/>
  <c r="AV81" i="223"/>
  <c r="AW81" i="223"/>
  <c r="AX81" i="223"/>
  <c r="AY81" i="223"/>
  <c r="AU80" i="223"/>
  <c r="AV80" i="223"/>
  <c r="AW80" i="223"/>
  <c r="AX80" i="223"/>
  <c r="AY80" i="223"/>
  <c r="AU79" i="223"/>
  <c r="AV79" i="223"/>
  <c r="AW79" i="223"/>
  <c r="AX79" i="223"/>
  <c r="AY79" i="223"/>
  <c r="AU78" i="223"/>
  <c r="AV78" i="223"/>
  <c r="AW78" i="223"/>
  <c r="AX78" i="223"/>
  <c r="AY78" i="223"/>
  <c r="AU76" i="223"/>
  <c r="AV76" i="223"/>
  <c r="AW76" i="223"/>
  <c r="AX76" i="223"/>
  <c r="AY76" i="223"/>
  <c r="AU75" i="223"/>
  <c r="AV75" i="223"/>
  <c r="AW75" i="223"/>
  <c r="AX75" i="223"/>
  <c r="AY75" i="223"/>
  <c r="AU74" i="223"/>
  <c r="AV74" i="223"/>
  <c r="AW74" i="223"/>
  <c r="AX74" i="223"/>
  <c r="AY74" i="223"/>
  <c r="AU73" i="223"/>
  <c r="AV73" i="223"/>
  <c r="AW73" i="223"/>
  <c r="AX73" i="223"/>
  <c r="AY73" i="223"/>
  <c r="AU72" i="223"/>
  <c r="AV72" i="223"/>
  <c r="AW72" i="223"/>
  <c r="AX72" i="223"/>
  <c r="AY72" i="223"/>
  <c r="AU71" i="223"/>
  <c r="AV71" i="223"/>
  <c r="AW71" i="223"/>
  <c r="AX71" i="223"/>
  <c r="AY71" i="223"/>
  <c r="AU70" i="223"/>
  <c r="AV70" i="223"/>
  <c r="AW70" i="223"/>
  <c r="AX70" i="223"/>
  <c r="AY70" i="223"/>
  <c r="AU69" i="223"/>
  <c r="AV69" i="223"/>
  <c r="AW69" i="223"/>
  <c r="AX69" i="223"/>
  <c r="AY69" i="223"/>
  <c r="AU68" i="223"/>
  <c r="AV68" i="223"/>
  <c r="AW68" i="223"/>
  <c r="AX68" i="223"/>
  <c r="AY68" i="223"/>
  <c r="AU67" i="223"/>
  <c r="AV67" i="223"/>
  <c r="AW67" i="223"/>
  <c r="AX67" i="223"/>
  <c r="AY67" i="223"/>
  <c r="AU65" i="223"/>
  <c r="AV65" i="223"/>
  <c r="AW65" i="223"/>
  <c r="AX65" i="223"/>
  <c r="AY65" i="223"/>
  <c r="AU64" i="223"/>
  <c r="AV64" i="223"/>
  <c r="AW64" i="223"/>
  <c r="AX64" i="223"/>
  <c r="AY64" i="223"/>
  <c r="AU63" i="223"/>
  <c r="AV63" i="223"/>
  <c r="AW63" i="223"/>
  <c r="AX63" i="223"/>
  <c r="AY63" i="223"/>
  <c r="AU62" i="223"/>
  <c r="AV62" i="223"/>
  <c r="AW62" i="223"/>
  <c r="AX62" i="223"/>
  <c r="AY62" i="223"/>
  <c r="AU61" i="223"/>
  <c r="AV61" i="223"/>
  <c r="AW61" i="223"/>
  <c r="AX61" i="223"/>
  <c r="AY61" i="223"/>
  <c r="AU60" i="223"/>
  <c r="AV60" i="223"/>
  <c r="AW60" i="223"/>
  <c r="AX60" i="223"/>
  <c r="AY60" i="223"/>
  <c r="AU59" i="223"/>
  <c r="AV59" i="223"/>
  <c r="AW59" i="223"/>
  <c r="AX59" i="223"/>
  <c r="AY59" i="223"/>
  <c r="AU58" i="223"/>
  <c r="AV58" i="223"/>
  <c r="AW58" i="223"/>
  <c r="AX58" i="223"/>
  <c r="AY58" i="223"/>
  <c r="AU57" i="223"/>
  <c r="AV57" i="223"/>
  <c r="AW57" i="223"/>
  <c r="AX57" i="223"/>
  <c r="AY57" i="223"/>
  <c r="AU56" i="223"/>
  <c r="AV56" i="223"/>
  <c r="AW56" i="223"/>
  <c r="AX56" i="223"/>
  <c r="AY56" i="223"/>
  <c r="AU54" i="223"/>
  <c r="AV54" i="223"/>
  <c r="AW54" i="223"/>
  <c r="AX54" i="223"/>
  <c r="AY54" i="223"/>
  <c r="AU53" i="223"/>
  <c r="AV53" i="223"/>
  <c r="AW53" i="223"/>
  <c r="AX53" i="223"/>
  <c r="AY53" i="223"/>
  <c r="AU52" i="223"/>
  <c r="AV52" i="223"/>
  <c r="AW52" i="223"/>
  <c r="AX52" i="223"/>
  <c r="AY52" i="223"/>
  <c r="AU51" i="223"/>
  <c r="AV51" i="223"/>
  <c r="AW51" i="223"/>
  <c r="AX51" i="223"/>
  <c r="AY51" i="223"/>
  <c r="AU50" i="223"/>
  <c r="AV50" i="223"/>
  <c r="AW50" i="223"/>
  <c r="AX50" i="223"/>
  <c r="AY50" i="223"/>
  <c r="AU49" i="223"/>
  <c r="AV49" i="223"/>
  <c r="AW49" i="223"/>
  <c r="AX49" i="223"/>
  <c r="AY49" i="223"/>
  <c r="AU48" i="223"/>
  <c r="AV48" i="223"/>
  <c r="AW48" i="223"/>
  <c r="AX48" i="223"/>
  <c r="AY48" i="223"/>
  <c r="AU47" i="223"/>
  <c r="AV47" i="223"/>
  <c r="AW47" i="223"/>
  <c r="AX47" i="223"/>
  <c r="AY47" i="223"/>
  <c r="AU46" i="223"/>
  <c r="AV46" i="223"/>
  <c r="AW46" i="223"/>
  <c r="AX46" i="223"/>
  <c r="AY46" i="223"/>
  <c r="AU45" i="223"/>
  <c r="AV45" i="223"/>
  <c r="AW45" i="223"/>
  <c r="AX45" i="223"/>
  <c r="AY45" i="223"/>
  <c r="AU40" i="223"/>
  <c r="AV40" i="223"/>
  <c r="AW40" i="223"/>
  <c r="AX40" i="223"/>
  <c r="AY40" i="223"/>
  <c r="AU39" i="223"/>
  <c r="AV39" i="223"/>
  <c r="AW39" i="223"/>
  <c r="AX39" i="223"/>
  <c r="AY39" i="223"/>
  <c r="AU38" i="223"/>
  <c r="AV38" i="223"/>
  <c r="AW38" i="223"/>
  <c r="AX38" i="223"/>
  <c r="AY38" i="223"/>
  <c r="AU37" i="223"/>
  <c r="AV37" i="223"/>
  <c r="AW37" i="223"/>
  <c r="AX37" i="223"/>
  <c r="AY37" i="223"/>
  <c r="AU36" i="223"/>
  <c r="AV36" i="223"/>
  <c r="AW36" i="223"/>
  <c r="AX36" i="223"/>
  <c r="AY36" i="223"/>
  <c r="AU35" i="223"/>
  <c r="AV35" i="223"/>
  <c r="AW35" i="223"/>
  <c r="AX35" i="223"/>
  <c r="AY35" i="223"/>
  <c r="AU34" i="223"/>
  <c r="AV34" i="223"/>
  <c r="AW34" i="223"/>
  <c r="AX34" i="223"/>
  <c r="AY34" i="223"/>
  <c r="AU33" i="223"/>
  <c r="AV33" i="223"/>
  <c r="AW33" i="223"/>
  <c r="AX33" i="223"/>
  <c r="AY33" i="223"/>
  <c r="AU32" i="223"/>
  <c r="AV32" i="223"/>
  <c r="AW32" i="223"/>
  <c r="AX32" i="223"/>
  <c r="AY32" i="223"/>
  <c r="AU31" i="223"/>
  <c r="AV31" i="223"/>
  <c r="AW31" i="223"/>
  <c r="AX31" i="223"/>
  <c r="AY31" i="223"/>
  <c r="AU28" i="223"/>
  <c r="AV28" i="223"/>
  <c r="AW28" i="223"/>
  <c r="AX28" i="223"/>
  <c r="AY28" i="223"/>
  <c r="AU27" i="223"/>
  <c r="AV27" i="223"/>
  <c r="AW27" i="223"/>
  <c r="AX27" i="223"/>
  <c r="AY27" i="223"/>
  <c r="AU26" i="223"/>
  <c r="AV26" i="223"/>
  <c r="AW26" i="223"/>
  <c r="AX26" i="223"/>
  <c r="AY26" i="223"/>
  <c r="AU25" i="223"/>
  <c r="AV25" i="223"/>
  <c r="AW25" i="223"/>
  <c r="AX25" i="223"/>
  <c r="AY25" i="223"/>
  <c r="AU24" i="223"/>
  <c r="AV24" i="223"/>
  <c r="AW24" i="223"/>
  <c r="AX24" i="223"/>
  <c r="AY24" i="223"/>
  <c r="AU23" i="223"/>
  <c r="AV23" i="223"/>
  <c r="AW23" i="223"/>
  <c r="AX23" i="223"/>
  <c r="AY23" i="223"/>
  <c r="AU22" i="223"/>
  <c r="AV22" i="223"/>
  <c r="AW22" i="223"/>
  <c r="AX22" i="223"/>
  <c r="AY22" i="223"/>
  <c r="AU21" i="223"/>
  <c r="AV21" i="223"/>
  <c r="AW21" i="223"/>
  <c r="AX21" i="223"/>
  <c r="AY21" i="223"/>
  <c r="AU20" i="223"/>
  <c r="AV20" i="223"/>
  <c r="AW20" i="223"/>
  <c r="AX20" i="223"/>
  <c r="AY20" i="223"/>
  <c r="AU19" i="223"/>
  <c r="AV19" i="223"/>
  <c r="AW19" i="223"/>
  <c r="AX19" i="223"/>
  <c r="AY19" i="223"/>
  <c r="AU17" i="223"/>
  <c r="AV17" i="223"/>
  <c r="AW17" i="223"/>
  <c r="AX17" i="223"/>
  <c r="AY17" i="223"/>
  <c r="AU16" i="223"/>
  <c r="AV16" i="223"/>
  <c r="AW16" i="223"/>
  <c r="AX16" i="223"/>
  <c r="AY16" i="223"/>
  <c r="AU15" i="223"/>
  <c r="AV15" i="223"/>
  <c r="AW15" i="223"/>
  <c r="AX15" i="223"/>
  <c r="AY15" i="223"/>
  <c r="AU14" i="223"/>
  <c r="AV14" i="223"/>
  <c r="AW14" i="223"/>
  <c r="AX14" i="223"/>
  <c r="AY14" i="223"/>
  <c r="AU13" i="223"/>
  <c r="AV13" i="223"/>
  <c r="AW13" i="223"/>
  <c r="AX13" i="223"/>
  <c r="AY13" i="223"/>
  <c r="AU12" i="223"/>
  <c r="AV12" i="223"/>
  <c r="AW12" i="223"/>
  <c r="AX12" i="223"/>
  <c r="AY12" i="223"/>
  <c r="AU11" i="223"/>
  <c r="AV11" i="223"/>
  <c r="AW11" i="223"/>
  <c r="AX11" i="223"/>
  <c r="AY11" i="223"/>
  <c r="AU9" i="223"/>
  <c r="AV9" i="223"/>
  <c r="AW9" i="223"/>
  <c r="AX9" i="223"/>
  <c r="AY9" i="223"/>
  <c r="A2" i="223"/>
  <c r="A2" i="1"/>
  <c r="I92" i="212"/>
  <c r="AX50" i="218"/>
  <c r="B189" i="212"/>
  <c r="B188" i="212"/>
  <c r="B185" i="212"/>
  <c r="B180" i="212"/>
  <c r="B183" i="212"/>
  <c r="B76" i="212"/>
  <c r="C105" i="221"/>
  <c r="C114" i="221" s="1"/>
  <c r="CC50" i="218"/>
  <c r="CC51" i="218"/>
  <c r="CE50" i="218"/>
  <c r="CE51" i="218"/>
  <c r="F76" i="212"/>
  <c r="J76" i="212"/>
  <c r="N76" i="212"/>
  <c r="R76" i="212"/>
  <c r="F68" i="212"/>
  <c r="N68" i="212"/>
  <c r="J68" i="212"/>
  <c r="R68" i="212"/>
  <c r="CM50" i="218"/>
  <c r="CM51" i="218"/>
  <c r="CK50" i="218"/>
  <c r="CK51" i="218"/>
  <c r="CI50" i="218"/>
  <c r="CI51" i="218"/>
  <c r="CG50" i="218"/>
  <c r="CG51" i="218"/>
  <c r="CA50" i="218"/>
  <c r="CA51" i="218"/>
  <c r="BY50" i="218"/>
  <c r="BY51" i="218"/>
  <c r="BW50" i="218"/>
  <c r="BW51" i="218"/>
  <c r="BU50" i="218"/>
  <c r="BU51" i="218"/>
  <c r="BS50" i="218"/>
  <c r="BS51" i="218"/>
  <c r="BQ50" i="218"/>
  <c r="BQ51" i="218"/>
  <c r="BO50" i="218"/>
  <c r="BO51" i="218"/>
  <c r="AM50" i="218"/>
  <c r="AM51" i="218"/>
  <c r="BR50" i="218"/>
  <c r="BM51" i="218"/>
  <c r="BL51" i="218"/>
  <c r="BK51" i="218"/>
  <c r="BJ51" i="218"/>
  <c r="BI51" i="218"/>
  <c r="BH51" i="218"/>
  <c r="BG51" i="218"/>
  <c r="BE51" i="218"/>
  <c r="BD51" i="218"/>
  <c r="BA51" i="218"/>
  <c r="AZ51" i="218"/>
  <c r="AY51" i="218"/>
  <c r="AW51" i="218"/>
  <c r="AU51" i="218"/>
  <c r="AT51" i="218"/>
  <c r="AS51" i="218"/>
  <c r="AR51" i="218"/>
  <c r="AQ51" i="218"/>
  <c r="BM50" i="218"/>
  <c r="BL50" i="218"/>
  <c r="BK50" i="218"/>
  <c r="BJ50" i="218"/>
  <c r="BI50" i="218"/>
  <c r="BG50" i="218"/>
  <c r="BE50" i="218"/>
  <c r="BD50" i="218"/>
  <c r="BA50" i="218"/>
  <c r="AZ50" i="218"/>
  <c r="AY50" i="218"/>
  <c r="AW50" i="218"/>
  <c r="AV50" i="218"/>
  <c r="AU50" i="218"/>
  <c r="AT50" i="218"/>
  <c r="AS50" i="218"/>
  <c r="AR50" i="218"/>
  <c r="AQ50" i="218"/>
  <c r="G30" i="220"/>
  <c r="G94" i="220"/>
  <c r="H30" i="220"/>
  <c r="H94" i="220"/>
  <c r="I30" i="220"/>
  <c r="I94" i="220"/>
  <c r="J30" i="220"/>
  <c r="J94" i="220"/>
  <c r="K30" i="220"/>
  <c r="K94" i="220"/>
  <c r="L30" i="220"/>
  <c r="L94" i="220"/>
  <c r="M30" i="220"/>
  <c r="M94" i="220"/>
  <c r="N30" i="220"/>
  <c r="N94" i="220"/>
  <c r="O30" i="220"/>
  <c r="O94" i="220"/>
  <c r="P30" i="220"/>
  <c r="P94" i="220"/>
  <c r="Q30" i="220"/>
  <c r="Q94" i="220"/>
  <c r="R30" i="220"/>
  <c r="R94" i="220"/>
  <c r="S30" i="220"/>
  <c r="S94" i="220"/>
  <c r="T30" i="220"/>
  <c r="T94" i="220"/>
  <c r="U30" i="220"/>
  <c r="U94" i="220"/>
  <c r="V94" i="220"/>
  <c r="W94" i="220"/>
  <c r="X94" i="220"/>
  <c r="Y94" i="220"/>
  <c r="Z94" i="220"/>
  <c r="G51" i="220"/>
  <c r="G115" i="220"/>
  <c r="H51" i="220"/>
  <c r="H115" i="220"/>
  <c r="I51" i="220"/>
  <c r="I115" i="220"/>
  <c r="J51" i="220"/>
  <c r="J115" i="220"/>
  <c r="K51" i="220"/>
  <c r="K115" i="220"/>
  <c r="L51" i="220"/>
  <c r="L115" i="220"/>
  <c r="M51" i="220"/>
  <c r="M115" i="220"/>
  <c r="N51" i="220"/>
  <c r="N115" i="220"/>
  <c r="O51" i="220"/>
  <c r="O115" i="220"/>
  <c r="P51" i="220"/>
  <c r="P115" i="220"/>
  <c r="Q51" i="220"/>
  <c r="Q115" i="220"/>
  <c r="R51" i="220"/>
  <c r="R115" i="220"/>
  <c r="S51" i="220"/>
  <c r="S115" i="220"/>
  <c r="T51" i="220"/>
  <c r="T115" i="220"/>
  <c r="U51" i="220"/>
  <c r="U115" i="220"/>
  <c r="V115" i="220"/>
  <c r="W115" i="220"/>
  <c r="X115" i="220"/>
  <c r="Y115" i="220"/>
  <c r="Z115" i="220"/>
  <c r="G21" i="220"/>
  <c r="G85" i="220"/>
  <c r="H21" i="220"/>
  <c r="H85" i="220"/>
  <c r="I21" i="220"/>
  <c r="I85" i="220"/>
  <c r="J21" i="220"/>
  <c r="J85" i="220"/>
  <c r="K21" i="220"/>
  <c r="K85" i="220"/>
  <c r="L21" i="220"/>
  <c r="L85" i="220"/>
  <c r="M21" i="220"/>
  <c r="M85" i="220"/>
  <c r="N21" i="220"/>
  <c r="N85" i="220"/>
  <c r="O21" i="220"/>
  <c r="O85" i="220"/>
  <c r="P21" i="220"/>
  <c r="P85" i="220"/>
  <c r="Q21" i="220"/>
  <c r="Q85" i="220"/>
  <c r="R21" i="220"/>
  <c r="R85" i="220"/>
  <c r="S21" i="220"/>
  <c r="S85" i="220"/>
  <c r="T21" i="220"/>
  <c r="T85" i="220"/>
  <c r="U21" i="220"/>
  <c r="U85" i="220"/>
  <c r="V85" i="220"/>
  <c r="W85" i="220"/>
  <c r="X85" i="220"/>
  <c r="Y85" i="220"/>
  <c r="Z85" i="220"/>
  <c r="G23" i="220"/>
  <c r="G87" i="220"/>
  <c r="H23" i="220"/>
  <c r="H87" i="220"/>
  <c r="I23" i="220"/>
  <c r="I87" i="220"/>
  <c r="J23" i="220"/>
  <c r="J87" i="220"/>
  <c r="K23" i="220"/>
  <c r="K87" i="220"/>
  <c r="L23" i="220"/>
  <c r="L87" i="220"/>
  <c r="M23" i="220"/>
  <c r="M87" i="220"/>
  <c r="N23" i="220"/>
  <c r="N87" i="220"/>
  <c r="O23" i="220"/>
  <c r="O87" i="220"/>
  <c r="P23" i="220"/>
  <c r="P87" i="220"/>
  <c r="Q23" i="220"/>
  <c r="Q87" i="220"/>
  <c r="R23" i="220"/>
  <c r="R87" i="220"/>
  <c r="S23" i="220"/>
  <c r="S87" i="220"/>
  <c r="T23" i="220"/>
  <c r="T87" i="220"/>
  <c r="U23" i="220"/>
  <c r="U87" i="220"/>
  <c r="V87" i="220"/>
  <c r="W87" i="220"/>
  <c r="X87" i="220"/>
  <c r="Y87" i="220"/>
  <c r="Z87" i="220"/>
  <c r="G24" i="220"/>
  <c r="G88" i="220"/>
  <c r="H24" i="220"/>
  <c r="H88" i="220"/>
  <c r="I24" i="220"/>
  <c r="I88" i="220"/>
  <c r="J24" i="220"/>
  <c r="J88" i="220"/>
  <c r="K24" i="220"/>
  <c r="K88" i="220"/>
  <c r="L24" i="220"/>
  <c r="L88" i="220"/>
  <c r="M24" i="220"/>
  <c r="M88" i="220"/>
  <c r="N24" i="220"/>
  <c r="N88" i="220"/>
  <c r="O24" i="220"/>
  <c r="O88" i="220"/>
  <c r="P24" i="220"/>
  <c r="P88" i="220"/>
  <c r="Q24" i="220"/>
  <c r="Q88" i="220"/>
  <c r="R24" i="220"/>
  <c r="R88" i="220"/>
  <c r="S24" i="220"/>
  <c r="S88" i="220"/>
  <c r="T24" i="220"/>
  <c r="T88" i="220"/>
  <c r="U24" i="220"/>
  <c r="U88" i="220"/>
  <c r="V88" i="220"/>
  <c r="W88" i="220"/>
  <c r="X88" i="220"/>
  <c r="Y88" i="220"/>
  <c r="Z88" i="220"/>
  <c r="G25" i="220"/>
  <c r="G89" i="220"/>
  <c r="H25" i="220"/>
  <c r="H89" i="220"/>
  <c r="I25" i="220"/>
  <c r="I89" i="220"/>
  <c r="J25" i="220"/>
  <c r="J89" i="220"/>
  <c r="K25" i="220"/>
  <c r="K89" i="220"/>
  <c r="L25" i="220"/>
  <c r="L89" i="220"/>
  <c r="M25" i="220"/>
  <c r="M89" i="220"/>
  <c r="N25" i="220"/>
  <c r="N89" i="220"/>
  <c r="O25" i="220"/>
  <c r="O89" i="220"/>
  <c r="P25" i="220"/>
  <c r="P89" i="220"/>
  <c r="Q25" i="220"/>
  <c r="Q89" i="220"/>
  <c r="R25" i="220"/>
  <c r="R89" i="220"/>
  <c r="S25" i="220"/>
  <c r="S89" i="220"/>
  <c r="T25" i="220"/>
  <c r="T89" i="220"/>
  <c r="U25" i="220"/>
  <c r="U89" i="220"/>
  <c r="V89" i="220"/>
  <c r="W89" i="220"/>
  <c r="X89" i="220"/>
  <c r="Y89" i="220"/>
  <c r="Z89" i="220"/>
  <c r="G26" i="220"/>
  <c r="G90" i="220"/>
  <c r="H26" i="220"/>
  <c r="H90" i="220"/>
  <c r="I26" i="220"/>
  <c r="I90" i="220"/>
  <c r="J26" i="220"/>
  <c r="J90" i="220"/>
  <c r="K26" i="220"/>
  <c r="K90" i="220"/>
  <c r="L26" i="220"/>
  <c r="L90" i="220"/>
  <c r="M26" i="220"/>
  <c r="M90" i="220"/>
  <c r="N26" i="220"/>
  <c r="N90" i="220"/>
  <c r="O26" i="220"/>
  <c r="O90" i="220"/>
  <c r="P26" i="220"/>
  <c r="P90" i="220"/>
  <c r="Q26" i="220"/>
  <c r="Q90" i="220"/>
  <c r="R26" i="220"/>
  <c r="R90" i="220"/>
  <c r="S26" i="220"/>
  <c r="S90" i="220"/>
  <c r="T26" i="220"/>
  <c r="T90" i="220"/>
  <c r="U26" i="220"/>
  <c r="U90" i="220"/>
  <c r="V90" i="220"/>
  <c r="W90" i="220"/>
  <c r="X90" i="220"/>
  <c r="Y90" i="220"/>
  <c r="Z90" i="220"/>
  <c r="G27" i="220"/>
  <c r="G91" i="220"/>
  <c r="H27" i="220"/>
  <c r="H91" i="220"/>
  <c r="I27" i="220"/>
  <c r="I91" i="220"/>
  <c r="J27" i="220"/>
  <c r="J91" i="220"/>
  <c r="K27" i="220"/>
  <c r="K91" i="220"/>
  <c r="L27" i="220"/>
  <c r="L91" i="220"/>
  <c r="M27" i="220"/>
  <c r="M91" i="220"/>
  <c r="N27" i="220"/>
  <c r="N91" i="220"/>
  <c r="O27" i="220"/>
  <c r="O91" i="220"/>
  <c r="P27" i="220"/>
  <c r="P91" i="220"/>
  <c r="Q27" i="220"/>
  <c r="Q91" i="220"/>
  <c r="R27" i="220"/>
  <c r="R91" i="220"/>
  <c r="S27" i="220"/>
  <c r="S91" i="220"/>
  <c r="T27" i="220"/>
  <c r="T91" i="220"/>
  <c r="U27" i="220"/>
  <c r="U91" i="220"/>
  <c r="V91" i="220"/>
  <c r="W91" i="220"/>
  <c r="X91" i="220"/>
  <c r="Y91" i="220"/>
  <c r="Z91" i="220"/>
  <c r="G28" i="220"/>
  <c r="G92" i="220"/>
  <c r="H28" i="220"/>
  <c r="H92" i="220"/>
  <c r="I28" i="220"/>
  <c r="I92" i="220"/>
  <c r="J28" i="220"/>
  <c r="J92" i="220"/>
  <c r="K28" i="220"/>
  <c r="K92" i="220"/>
  <c r="L28" i="220"/>
  <c r="L92" i="220"/>
  <c r="M28" i="220"/>
  <c r="M92" i="220"/>
  <c r="N28" i="220"/>
  <c r="N92" i="220"/>
  <c r="O28" i="220"/>
  <c r="O92" i="220"/>
  <c r="P28" i="220"/>
  <c r="P92" i="220"/>
  <c r="Q28" i="220"/>
  <c r="Q92" i="220"/>
  <c r="R28" i="220"/>
  <c r="R92" i="220"/>
  <c r="S28" i="220"/>
  <c r="S92" i="220"/>
  <c r="T28" i="220"/>
  <c r="T92" i="220"/>
  <c r="U28" i="220"/>
  <c r="U92" i="220"/>
  <c r="V92" i="220"/>
  <c r="W92" i="220"/>
  <c r="X92" i="220"/>
  <c r="Y92" i="220"/>
  <c r="Z92" i="220"/>
  <c r="G29" i="220"/>
  <c r="G93" i="220"/>
  <c r="H29" i="220"/>
  <c r="H93" i="220"/>
  <c r="I29" i="220"/>
  <c r="I93" i="220"/>
  <c r="J29" i="220"/>
  <c r="J93" i="220"/>
  <c r="K29" i="220"/>
  <c r="K93" i="220"/>
  <c r="L29" i="220"/>
  <c r="L93" i="220"/>
  <c r="M29" i="220"/>
  <c r="M93" i="220"/>
  <c r="N29" i="220"/>
  <c r="N93" i="220"/>
  <c r="O29" i="220"/>
  <c r="O93" i="220"/>
  <c r="P29" i="220"/>
  <c r="P93" i="220"/>
  <c r="Q29" i="220"/>
  <c r="Q93" i="220"/>
  <c r="R29" i="220"/>
  <c r="R93" i="220"/>
  <c r="S29" i="220"/>
  <c r="S93" i="220"/>
  <c r="T29" i="220"/>
  <c r="T93" i="220"/>
  <c r="U29" i="220"/>
  <c r="U93" i="220"/>
  <c r="V93" i="220"/>
  <c r="W93" i="220"/>
  <c r="X93" i="220"/>
  <c r="Y93" i="220"/>
  <c r="Z93" i="220"/>
  <c r="G32" i="220"/>
  <c r="G96" i="220"/>
  <c r="H32" i="220"/>
  <c r="H96" i="220"/>
  <c r="I32" i="220"/>
  <c r="I96" i="220"/>
  <c r="J32" i="220"/>
  <c r="J96" i="220"/>
  <c r="K32" i="220"/>
  <c r="K96" i="220"/>
  <c r="L32" i="220"/>
  <c r="L96" i="220"/>
  <c r="M32" i="220"/>
  <c r="M96" i="220"/>
  <c r="N32" i="220"/>
  <c r="N96" i="220"/>
  <c r="O32" i="220"/>
  <c r="O96" i="220"/>
  <c r="P32" i="220"/>
  <c r="P96" i="220"/>
  <c r="Q32" i="220"/>
  <c r="Q96" i="220"/>
  <c r="R32" i="220"/>
  <c r="R96" i="220"/>
  <c r="S32" i="220"/>
  <c r="S96" i="220"/>
  <c r="T32" i="220"/>
  <c r="T96" i="220"/>
  <c r="U32" i="220"/>
  <c r="U96" i="220"/>
  <c r="V96" i="220"/>
  <c r="W96" i="220"/>
  <c r="X96" i="220"/>
  <c r="Y96" i="220"/>
  <c r="Z96" i="220"/>
  <c r="G33" i="220"/>
  <c r="G97" i="220"/>
  <c r="H33" i="220"/>
  <c r="H97" i="220"/>
  <c r="I33" i="220"/>
  <c r="I97" i="220"/>
  <c r="J33" i="220"/>
  <c r="J97" i="220"/>
  <c r="K33" i="220"/>
  <c r="K97" i="220"/>
  <c r="L33" i="220"/>
  <c r="L97" i="220"/>
  <c r="M33" i="220"/>
  <c r="M97" i="220"/>
  <c r="N33" i="220"/>
  <c r="N97" i="220"/>
  <c r="O33" i="220"/>
  <c r="O97" i="220"/>
  <c r="P33" i="220"/>
  <c r="P97" i="220"/>
  <c r="Q33" i="220"/>
  <c r="Q97" i="220"/>
  <c r="R33" i="220"/>
  <c r="R97" i="220"/>
  <c r="S33" i="220"/>
  <c r="S97" i="220"/>
  <c r="T33" i="220"/>
  <c r="T97" i="220"/>
  <c r="U33" i="220"/>
  <c r="U97" i="220"/>
  <c r="V97" i="220"/>
  <c r="W97" i="220"/>
  <c r="X97" i="220"/>
  <c r="Y97" i="220"/>
  <c r="Z97" i="220"/>
  <c r="G34" i="220"/>
  <c r="G98" i="220"/>
  <c r="H34" i="220"/>
  <c r="H98" i="220"/>
  <c r="I34" i="220"/>
  <c r="I98" i="220"/>
  <c r="J34" i="220"/>
  <c r="J98" i="220"/>
  <c r="K34" i="220"/>
  <c r="K98" i="220"/>
  <c r="L34" i="220"/>
  <c r="L98" i="220"/>
  <c r="M34" i="220"/>
  <c r="M98" i="220"/>
  <c r="N34" i="220"/>
  <c r="N98" i="220"/>
  <c r="O34" i="220"/>
  <c r="O98" i="220"/>
  <c r="P34" i="220"/>
  <c r="P98" i="220"/>
  <c r="Q34" i="220"/>
  <c r="Q98" i="220"/>
  <c r="R34" i="220"/>
  <c r="R98" i="220"/>
  <c r="S34" i="220"/>
  <c r="S98" i="220"/>
  <c r="T34" i="220"/>
  <c r="T98" i="220"/>
  <c r="U34" i="220"/>
  <c r="U98" i="220"/>
  <c r="V98" i="220"/>
  <c r="W98" i="220"/>
  <c r="X98" i="220"/>
  <c r="Y98" i="220"/>
  <c r="Z98" i="220"/>
  <c r="G35" i="220"/>
  <c r="G99" i="220"/>
  <c r="H35" i="220"/>
  <c r="H99" i="220"/>
  <c r="I35" i="220"/>
  <c r="I99" i="220"/>
  <c r="J35" i="220"/>
  <c r="J99" i="220"/>
  <c r="K35" i="220"/>
  <c r="K99" i="220"/>
  <c r="L35" i="220"/>
  <c r="L99" i="220"/>
  <c r="M35" i="220"/>
  <c r="M99" i="220"/>
  <c r="N35" i="220"/>
  <c r="N99" i="220"/>
  <c r="O35" i="220"/>
  <c r="O99" i="220"/>
  <c r="P35" i="220"/>
  <c r="P99" i="220"/>
  <c r="Q35" i="220"/>
  <c r="Q99" i="220"/>
  <c r="R35" i="220"/>
  <c r="R99" i="220"/>
  <c r="S35" i="220"/>
  <c r="S99" i="220"/>
  <c r="T35" i="220"/>
  <c r="T99" i="220"/>
  <c r="U35" i="220"/>
  <c r="U99" i="220"/>
  <c r="V99" i="220"/>
  <c r="W99" i="220"/>
  <c r="X99" i="220"/>
  <c r="Y99" i="220"/>
  <c r="Z99" i="220"/>
  <c r="G36" i="220"/>
  <c r="G100" i="220"/>
  <c r="H36" i="220"/>
  <c r="H100" i="220"/>
  <c r="I36" i="220"/>
  <c r="I100" i="220"/>
  <c r="J36" i="220"/>
  <c r="J100" i="220"/>
  <c r="K36" i="220"/>
  <c r="K100" i="220"/>
  <c r="L36" i="220"/>
  <c r="L100" i="220"/>
  <c r="M36" i="220"/>
  <c r="M100" i="220"/>
  <c r="N36" i="220"/>
  <c r="N100" i="220"/>
  <c r="O36" i="220"/>
  <c r="O100" i="220"/>
  <c r="P36" i="220"/>
  <c r="P100" i="220"/>
  <c r="Q36" i="220"/>
  <c r="Q100" i="220"/>
  <c r="R36" i="220"/>
  <c r="R100" i="220"/>
  <c r="S36" i="220"/>
  <c r="S100" i="220"/>
  <c r="T36" i="220"/>
  <c r="T100" i="220"/>
  <c r="U36" i="220"/>
  <c r="U100" i="220"/>
  <c r="V100" i="220"/>
  <c r="W100" i="220"/>
  <c r="X100" i="220"/>
  <c r="Y100" i="220"/>
  <c r="Z100" i="220"/>
  <c r="G37" i="220"/>
  <c r="G101" i="220"/>
  <c r="H37" i="220"/>
  <c r="H101" i="220"/>
  <c r="I37" i="220"/>
  <c r="I101" i="220"/>
  <c r="J37" i="220"/>
  <c r="J101" i="220"/>
  <c r="K37" i="220"/>
  <c r="K101" i="220"/>
  <c r="L37" i="220"/>
  <c r="L101" i="220"/>
  <c r="M37" i="220"/>
  <c r="M101" i="220"/>
  <c r="N37" i="220"/>
  <c r="N101" i="220"/>
  <c r="O37" i="220"/>
  <c r="O101" i="220"/>
  <c r="P37" i="220"/>
  <c r="P101" i="220"/>
  <c r="Q37" i="220"/>
  <c r="Q101" i="220"/>
  <c r="R37" i="220"/>
  <c r="R101" i="220"/>
  <c r="S37" i="220"/>
  <c r="S101" i="220"/>
  <c r="T37" i="220"/>
  <c r="T101" i="220"/>
  <c r="U37" i="220"/>
  <c r="U101" i="220"/>
  <c r="V101" i="220"/>
  <c r="W101" i="220"/>
  <c r="X101" i="220"/>
  <c r="Y101" i="220"/>
  <c r="Z101" i="220"/>
  <c r="G38" i="220"/>
  <c r="G102" i="220"/>
  <c r="H38" i="220"/>
  <c r="H102" i="220"/>
  <c r="I38" i="220"/>
  <c r="I102" i="220"/>
  <c r="J38" i="220"/>
  <c r="J102" i="220"/>
  <c r="K38" i="220"/>
  <c r="K102" i="220"/>
  <c r="L38" i="220"/>
  <c r="L102" i="220"/>
  <c r="M38" i="220"/>
  <c r="M102" i="220"/>
  <c r="N38" i="220"/>
  <c r="N102" i="220"/>
  <c r="O38" i="220"/>
  <c r="O102" i="220"/>
  <c r="P38" i="220"/>
  <c r="P102" i="220"/>
  <c r="Q38" i="220"/>
  <c r="Q102" i="220"/>
  <c r="R38" i="220"/>
  <c r="R102" i="220"/>
  <c r="S38" i="220"/>
  <c r="S102" i="220"/>
  <c r="T38" i="220"/>
  <c r="T102" i="220"/>
  <c r="U38" i="220"/>
  <c r="U102" i="220"/>
  <c r="V102" i="220"/>
  <c r="W102" i="220"/>
  <c r="X102" i="220"/>
  <c r="Y102" i="220"/>
  <c r="Z102" i="220"/>
  <c r="V21" i="220"/>
  <c r="W21" i="220"/>
  <c r="X21" i="220"/>
  <c r="Y21" i="220"/>
  <c r="Z21" i="220"/>
  <c r="V23" i="220"/>
  <c r="W23" i="220"/>
  <c r="X23" i="220"/>
  <c r="Y23" i="220"/>
  <c r="Z23" i="220"/>
  <c r="V24" i="220"/>
  <c r="W24" i="220"/>
  <c r="X24" i="220"/>
  <c r="Y24" i="220"/>
  <c r="Z24" i="220"/>
  <c r="V25" i="220"/>
  <c r="W25" i="220"/>
  <c r="X25" i="220"/>
  <c r="Y25" i="220"/>
  <c r="Z25" i="220"/>
  <c r="V26" i="220"/>
  <c r="W26" i="220"/>
  <c r="X26" i="220"/>
  <c r="Y26" i="220"/>
  <c r="Z26" i="220"/>
  <c r="V27" i="220"/>
  <c r="W27" i="220"/>
  <c r="X27" i="220"/>
  <c r="Y27" i="220"/>
  <c r="Z27" i="220"/>
  <c r="V28" i="220"/>
  <c r="W28" i="220"/>
  <c r="X28" i="220"/>
  <c r="Y28" i="220"/>
  <c r="Z28" i="220"/>
  <c r="V29" i="220"/>
  <c r="W29" i="220"/>
  <c r="X29" i="220"/>
  <c r="Y29" i="220"/>
  <c r="Z29" i="220"/>
  <c r="V30" i="220"/>
  <c r="W30" i="220"/>
  <c r="X30" i="220"/>
  <c r="Y30" i="220"/>
  <c r="Z30" i="220"/>
  <c r="G31" i="220"/>
  <c r="H31" i="220"/>
  <c r="I31" i="220"/>
  <c r="J31" i="220"/>
  <c r="K31" i="220"/>
  <c r="L31" i="220"/>
  <c r="M31" i="220"/>
  <c r="N31" i="220"/>
  <c r="O31" i="220"/>
  <c r="P31" i="220"/>
  <c r="Q31" i="220"/>
  <c r="R31" i="220"/>
  <c r="S31" i="220"/>
  <c r="T31" i="220"/>
  <c r="U31" i="220"/>
  <c r="V31" i="220"/>
  <c r="W31" i="220"/>
  <c r="X31" i="220"/>
  <c r="Y31" i="220"/>
  <c r="Z31" i="220"/>
  <c r="V32" i="220"/>
  <c r="W32" i="220"/>
  <c r="X32" i="220"/>
  <c r="Y32" i="220"/>
  <c r="Z32" i="220"/>
  <c r="V33" i="220"/>
  <c r="W33" i="220"/>
  <c r="X33" i="220"/>
  <c r="Y33" i="220"/>
  <c r="Z33" i="220"/>
  <c r="V34" i="220"/>
  <c r="W34" i="220"/>
  <c r="X34" i="220"/>
  <c r="Y34" i="220"/>
  <c r="Z34" i="220"/>
  <c r="V35" i="220"/>
  <c r="W35" i="220"/>
  <c r="X35" i="220"/>
  <c r="Y35" i="220"/>
  <c r="Z35" i="220"/>
  <c r="V36" i="220"/>
  <c r="W36" i="220"/>
  <c r="X36" i="220"/>
  <c r="Y36" i="220"/>
  <c r="Z36" i="220"/>
  <c r="V37" i="220"/>
  <c r="W37" i="220"/>
  <c r="X37" i="220"/>
  <c r="Y37" i="220"/>
  <c r="Z37" i="220"/>
  <c r="V38" i="220"/>
  <c r="W38" i="220"/>
  <c r="X38" i="220"/>
  <c r="Y38" i="220"/>
  <c r="Z38" i="220"/>
  <c r="V51" i="220"/>
  <c r="W51" i="220"/>
  <c r="X51" i="220"/>
  <c r="Y51" i="220"/>
  <c r="Z51" i="220"/>
  <c r="AA49" i="213" a="1"/>
  <c r="AA49" i="213" s="1"/>
  <c r="AA44" i="213" a="1"/>
  <c r="AA44" i="213" s="1"/>
  <c r="AA45" i="213" a="1"/>
  <c r="AA45" i="213" s="1"/>
  <c r="AA48" i="213" a="1"/>
  <c r="AA48" i="213" s="1"/>
  <c r="AA46" i="213" a="1"/>
  <c r="AA46" i="213" s="1"/>
  <c r="AB44" i="213" a="1"/>
  <c r="AB44" i="213" s="1"/>
  <c r="AB45" i="213" a="1"/>
  <c r="AB45" i="213" s="1"/>
  <c r="AB46" i="213" a="1"/>
  <c r="AB46" i="213" s="1"/>
  <c r="AB47" i="213" a="1"/>
  <c r="AB47" i="213" s="1"/>
  <c r="AB49" i="213" a="1"/>
  <c r="AB49" i="213" s="1"/>
  <c r="F107" i="212"/>
  <c r="F115" i="212"/>
  <c r="F30" i="212"/>
  <c r="F38" i="212"/>
  <c r="AM4" i="213"/>
  <c r="D54" i="220" s="1"/>
  <c r="D118" i="220" s="1"/>
  <c r="AM12" i="213"/>
  <c r="D62" i="220" s="1"/>
  <c r="D126" i="220" s="1"/>
  <c r="AM13" i="213"/>
  <c r="D63" i="220" s="1"/>
  <c r="D127" i="220" s="1"/>
  <c r="AN4" i="213"/>
  <c r="E54" i="220" s="1"/>
  <c r="E118" i="220" s="1"/>
  <c r="AN12" i="213"/>
  <c r="AN13" i="213"/>
  <c r="E63" i="220" s="1"/>
  <c r="E127" i="220" s="1"/>
  <c r="AO4" i="213"/>
  <c r="F54" i="220" s="1"/>
  <c r="F118" i="220" s="1"/>
  <c r="AO12" i="213"/>
  <c r="F62" i="220" s="1"/>
  <c r="F126" i="220" s="1"/>
  <c r="AO13" i="213"/>
  <c r="AP4" i="213"/>
  <c r="AP12" i="213"/>
  <c r="AP13" i="213"/>
  <c r="AQ4" i="213"/>
  <c r="AQ12" i="213"/>
  <c r="AQ13" i="213"/>
  <c r="AR4" i="213"/>
  <c r="AR12" i="213"/>
  <c r="AR13" i="213"/>
  <c r="AS4" i="213"/>
  <c r="AS12" i="213"/>
  <c r="AS13" i="213"/>
  <c r="AT4" i="213"/>
  <c r="AT12" i="213"/>
  <c r="AT13" i="213"/>
  <c r="AU4" i="213"/>
  <c r="AU12" i="213"/>
  <c r="AU13" i="213"/>
  <c r="AV4" i="213"/>
  <c r="AV12" i="213"/>
  <c r="AV13" i="213"/>
  <c r="AW4" i="213"/>
  <c r="AW12" i="213"/>
  <c r="AW13" i="213"/>
  <c r="AX4" i="213"/>
  <c r="AX12" i="213"/>
  <c r="AX13" i="213"/>
  <c r="AY4" i="213"/>
  <c r="AY12" i="213"/>
  <c r="AY13" i="213"/>
  <c r="AZ4" i="213"/>
  <c r="AZ12" i="213"/>
  <c r="AZ13" i="213"/>
  <c r="BA4" i="213"/>
  <c r="BA12" i="213"/>
  <c r="BA13" i="213"/>
  <c r="BB4" i="213"/>
  <c r="BB12" i="213"/>
  <c r="BB13" i="213"/>
  <c r="BC4" i="213"/>
  <c r="BC12" i="213"/>
  <c r="BC13" i="213"/>
  <c r="BD4" i="213"/>
  <c r="BD12" i="213"/>
  <c r="BD13" i="213"/>
  <c r="BE4" i="213"/>
  <c r="BE12" i="213"/>
  <c r="BE13" i="213"/>
  <c r="BF4" i="213"/>
  <c r="BF12" i="213"/>
  <c r="BF13" i="213"/>
  <c r="BG4" i="213"/>
  <c r="BG12" i="213"/>
  <c r="BG13" i="213"/>
  <c r="BH4" i="213"/>
  <c r="BH12" i="213"/>
  <c r="BH13" i="213"/>
  <c r="BI4" i="213"/>
  <c r="BI12" i="213"/>
  <c r="BI13" i="213"/>
  <c r="AM6" i="213"/>
  <c r="D56" i="220" s="1"/>
  <c r="D120" i="220" s="1"/>
  <c r="AM5" i="213"/>
  <c r="D55" i="220" s="1"/>
  <c r="D119" i="220" s="1"/>
  <c r="AN6" i="213"/>
  <c r="E56" i="220" s="1"/>
  <c r="E120" i="220" s="1"/>
  <c r="AN7" i="213"/>
  <c r="AN11" i="213"/>
  <c r="E61" i="220" s="1"/>
  <c r="E125" i="220" s="1"/>
  <c r="AN5" i="213"/>
  <c r="E55" i="220" s="1"/>
  <c r="E119" i="220" s="1"/>
  <c r="AO6" i="213"/>
  <c r="F56" i="220" s="1"/>
  <c r="F120" i="220" s="1"/>
  <c r="AO7" i="213"/>
  <c r="F57" i="220" s="1"/>
  <c r="F121" i="220" s="1"/>
  <c r="AO11" i="213"/>
  <c r="F61" i="220" s="1"/>
  <c r="F125" i="220" s="1"/>
  <c r="AO5" i="213"/>
  <c r="F55" i="220" s="1"/>
  <c r="F119" i="220" s="1"/>
  <c r="AP6" i="213"/>
  <c r="AP7" i="213"/>
  <c r="AP11" i="213"/>
  <c r="AP5" i="213"/>
  <c r="AQ6" i="213"/>
  <c r="AQ7" i="213"/>
  <c r="AQ11" i="213"/>
  <c r="AQ5" i="213"/>
  <c r="AR6" i="213"/>
  <c r="AR7" i="213"/>
  <c r="AR11" i="213"/>
  <c r="AR5" i="213"/>
  <c r="AS6" i="213"/>
  <c r="AS7" i="213"/>
  <c r="AS11" i="213"/>
  <c r="AS5" i="213"/>
  <c r="AT6" i="213"/>
  <c r="AT7" i="213"/>
  <c r="AT11" i="213"/>
  <c r="AT5" i="213"/>
  <c r="AU6" i="213"/>
  <c r="AU7" i="213"/>
  <c r="AU11" i="213"/>
  <c r="AU5" i="213"/>
  <c r="AV6" i="213"/>
  <c r="AV7" i="213"/>
  <c r="AV11" i="213"/>
  <c r="AV5" i="213"/>
  <c r="AW6" i="213"/>
  <c r="AW7" i="213"/>
  <c r="AW11" i="213"/>
  <c r="AW5" i="213"/>
  <c r="AX6" i="213"/>
  <c r="AX7" i="213"/>
  <c r="AX11" i="213"/>
  <c r="AX5" i="213"/>
  <c r="AY6" i="213"/>
  <c r="AY7" i="213"/>
  <c r="AY11" i="213"/>
  <c r="AY5" i="213"/>
  <c r="AZ6" i="213"/>
  <c r="AZ7" i="213"/>
  <c r="AZ11" i="213"/>
  <c r="AZ5" i="213"/>
  <c r="BA6" i="213"/>
  <c r="BA7" i="213"/>
  <c r="BA11" i="213"/>
  <c r="BA5" i="213"/>
  <c r="BB6" i="213"/>
  <c r="BB7" i="213"/>
  <c r="BB11" i="213"/>
  <c r="BB5" i="213"/>
  <c r="BC6" i="213"/>
  <c r="BC7" i="213"/>
  <c r="BC11" i="213"/>
  <c r="BC5" i="213"/>
  <c r="BD6" i="213"/>
  <c r="BD7" i="213"/>
  <c r="BD11" i="213"/>
  <c r="BD5" i="213"/>
  <c r="BE6" i="213"/>
  <c r="BE7" i="213"/>
  <c r="BE11" i="213"/>
  <c r="BE5" i="213"/>
  <c r="BF6" i="213"/>
  <c r="BF7" i="213"/>
  <c r="BF11" i="213"/>
  <c r="BF5" i="213"/>
  <c r="BG6" i="213"/>
  <c r="BG7" i="213"/>
  <c r="BG11" i="213"/>
  <c r="BG5" i="213"/>
  <c r="BH6" i="213"/>
  <c r="BH7" i="213"/>
  <c r="BH11" i="213"/>
  <c r="BH5" i="213"/>
  <c r="BI6" i="213"/>
  <c r="BI7" i="213"/>
  <c r="BI11" i="213"/>
  <c r="BI5" i="213"/>
  <c r="AN10" i="213"/>
  <c r="E60" i="220" s="1"/>
  <c r="E124" i="220" s="1"/>
  <c r="AO9" i="213"/>
  <c r="F59" i="220" s="1"/>
  <c r="F123" i="220" s="1"/>
  <c r="AO10" i="213"/>
  <c r="F60" i="220" s="1"/>
  <c r="F124" i="220" s="1"/>
  <c r="AP9" i="213"/>
  <c r="AP8" i="213"/>
  <c r="AP10" i="213"/>
  <c r="AQ9" i="213"/>
  <c r="AQ8" i="213"/>
  <c r="AQ10" i="213"/>
  <c r="AR9" i="213"/>
  <c r="AR8" i="213"/>
  <c r="AR10" i="213"/>
  <c r="AS9" i="213"/>
  <c r="AS8" i="213"/>
  <c r="AS10" i="213"/>
  <c r="AT9" i="213"/>
  <c r="AT8" i="213"/>
  <c r="AT10" i="213"/>
  <c r="AU9" i="213"/>
  <c r="AU8" i="213"/>
  <c r="AU10" i="213"/>
  <c r="AV9" i="213"/>
  <c r="AV8" i="213"/>
  <c r="AV10" i="213"/>
  <c r="AW9" i="213"/>
  <c r="AW8" i="213"/>
  <c r="AW10" i="213"/>
  <c r="AX9" i="213"/>
  <c r="AX8" i="213"/>
  <c r="AX10" i="213"/>
  <c r="AY9" i="213"/>
  <c r="AY8" i="213"/>
  <c r="AY10" i="213"/>
  <c r="AZ9" i="213"/>
  <c r="AZ8" i="213"/>
  <c r="AZ10" i="213"/>
  <c r="BA9" i="213"/>
  <c r="BA8" i="213"/>
  <c r="BA10" i="213"/>
  <c r="BB9" i="213"/>
  <c r="BB8" i="213"/>
  <c r="BB10" i="213"/>
  <c r="BC9" i="213"/>
  <c r="BC8" i="213"/>
  <c r="BC10" i="213"/>
  <c r="BD9" i="213"/>
  <c r="BD8" i="213"/>
  <c r="BD10" i="213"/>
  <c r="BE9" i="213"/>
  <c r="BE8" i="213"/>
  <c r="BE10" i="213"/>
  <c r="BF9" i="213"/>
  <c r="BF8" i="213"/>
  <c r="BF10" i="213"/>
  <c r="BG9" i="213"/>
  <c r="BG8" i="213"/>
  <c r="BG10" i="213"/>
  <c r="BH9" i="213"/>
  <c r="BH8" i="213"/>
  <c r="BH10" i="213"/>
  <c r="BI9" i="213"/>
  <c r="BI8" i="213"/>
  <c r="BI10" i="213"/>
  <c r="AP14" i="213"/>
  <c r="G64" i="220"/>
  <c r="G128" i="220"/>
  <c r="AQ14" i="213"/>
  <c r="H64" i="220"/>
  <c r="H128" i="220"/>
  <c r="AR14" i="213"/>
  <c r="I64" i="220"/>
  <c r="I128" i="220"/>
  <c r="AS14" i="213"/>
  <c r="J64" i="220"/>
  <c r="J128" i="220"/>
  <c r="AT14" i="213"/>
  <c r="K64" i="220"/>
  <c r="K128" i="220"/>
  <c r="AU14" i="213"/>
  <c r="L64" i="220"/>
  <c r="L128" i="220"/>
  <c r="AV14" i="213"/>
  <c r="M64" i="220"/>
  <c r="M128" i="220"/>
  <c r="AW14" i="213"/>
  <c r="N64" i="220"/>
  <c r="N128" i="220"/>
  <c r="AX14" i="213"/>
  <c r="O64" i="220"/>
  <c r="O128" i="220"/>
  <c r="AY14" i="213"/>
  <c r="P64" i="220"/>
  <c r="P128" i="220"/>
  <c r="AZ14" i="213"/>
  <c r="Q64" i="220"/>
  <c r="Q128" i="220"/>
  <c r="BA14" i="213"/>
  <c r="R64" i="220"/>
  <c r="R128" i="220"/>
  <c r="BB14" i="213"/>
  <c r="S64" i="220"/>
  <c r="S128" i="220"/>
  <c r="BC14" i="213"/>
  <c r="T64" i="220"/>
  <c r="T128" i="220"/>
  <c r="BD14" i="213"/>
  <c r="U64" i="220"/>
  <c r="U128" i="220"/>
  <c r="V128" i="220"/>
  <c r="W128" i="220"/>
  <c r="X128" i="220"/>
  <c r="Y128" i="220"/>
  <c r="Z128" i="220"/>
  <c r="I50" i="218"/>
  <c r="J50" i="218"/>
  <c r="K50" i="218"/>
  <c r="L50" i="218"/>
  <c r="M50" i="218"/>
  <c r="N50" i="218"/>
  <c r="O50" i="218"/>
  <c r="P50" i="218"/>
  <c r="Q50" i="218"/>
  <c r="R50" i="218"/>
  <c r="S50" i="218"/>
  <c r="T50" i="218"/>
  <c r="U50" i="218"/>
  <c r="V50" i="218"/>
  <c r="W50" i="218"/>
  <c r="X50" i="218"/>
  <c r="Y50" i="218"/>
  <c r="Z50" i="218"/>
  <c r="AA50" i="218"/>
  <c r="AB50" i="218"/>
  <c r="AB8" i="213" a="1"/>
  <c r="AB8" i="213" s="1"/>
  <c r="AB9" i="213" a="1"/>
  <c r="AB9" i="213" s="1"/>
  <c r="AB10" i="213" a="1"/>
  <c r="AB10" i="213" s="1"/>
  <c r="AB11" i="213" a="1"/>
  <c r="AB11" i="213" s="1"/>
  <c r="AB12" i="213" a="1"/>
  <c r="AB12" i="213" s="1"/>
  <c r="AB13" i="213" a="1"/>
  <c r="AB13" i="213" s="1"/>
  <c r="AA5" i="213" a="1"/>
  <c r="AA5" i="213" s="1"/>
  <c r="C8" i="216" s="1"/>
  <c r="AA6" i="213" a="1"/>
  <c r="AA6" i="213" s="1"/>
  <c r="C9" i="216" s="1"/>
  <c r="AA7" i="213" a="1"/>
  <c r="AA7" i="213" s="1"/>
  <c r="C10" i="216" s="1"/>
  <c r="AA8" i="213" a="1"/>
  <c r="AA8" i="213" s="1"/>
  <c r="C11" i="216" s="1"/>
  <c r="AA9" i="213" a="1"/>
  <c r="AA9" i="213" s="1"/>
  <c r="C12" i="216" s="1"/>
  <c r="AA10" i="213" a="1"/>
  <c r="AA10" i="213" s="1"/>
  <c r="C13" i="216" s="1"/>
  <c r="AA11" i="213" a="1"/>
  <c r="AA11" i="213" s="1"/>
  <c r="C14" i="216" s="1"/>
  <c r="AA12" i="213" a="1"/>
  <c r="AA12" i="213" s="1"/>
  <c r="C15" i="216" s="1"/>
  <c r="AA13" i="213" a="1"/>
  <c r="AA13" i="213" s="1"/>
  <c r="C16" i="216" s="1"/>
  <c r="AP68" i="213"/>
  <c r="AQ68" i="213"/>
  <c r="AR68" i="213"/>
  <c r="AS68" i="213"/>
  <c r="AT68" i="213"/>
  <c r="AU68" i="213"/>
  <c r="AV68" i="213"/>
  <c r="AW68" i="213"/>
  <c r="AX68" i="213"/>
  <c r="BA68" i="213"/>
  <c r="BB68" i="213"/>
  <c r="BC68" i="213"/>
  <c r="BD68" i="213"/>
  <c r="BE68" i="213"/>
  <c r="BF68" i="213"/>
  <c r="BG68" i="213"/>
  <c r="BH68" i="213"/>
  <c r="BI68" i="213"/>
  <c r="BE14" i="213"/>
  <c r="BF14" i="213"/>
  <c r="BG14" i="213"/>
  <c r="BH14" i="213"/>
  <c r="BI14" i="213"/>
  <c r="H65" i="220"/>
  <c r="H129" i="220"/>
  <c r="G65" i="220"/>
  <c r="G129" i="220"/>
  <c r="I65" i="220"/>
  <c r="I129" i="220"/>
  <c r="J65" i="220"/>
  <c r="J129" i="220"/>
  <c r="K65" i="220"/>
  <c r="K129" i="220"/>
  <c r="L65" i="220"/>
  <c r="L129" i="220"/>
  <c r="M65" i="220"/>
  <c r="M129" i="220"/>
  <c r="N65" i="220"/>
  <c r="N129" i="220"/>
  <c r="O65" i="220"/>
  <c r="O129" i="220"/>
  <c r="P65" i="220"/>
  <c r="P129" i="220"/>
  <c r="Q65" i="220"/>
  <c r="Q129" i="220"/>
  <c r="R65" i="220"/>
  <c r="R129" i="220"/>
  <c r="S65" i="220"/>
  <c r="S129" i="220"/>
  <c r="T65" i="220"/>
  <c r="T129" i="220"/>
  <c r="U65" i="220"/>
  <c r="U129" i="220"/>
  <c r="V129" i="220"/>
  <c r="W129" i="220"/>
  <c r="X129" i="220"/>
  <c r="Y129" i="220"/>
  <c r="Z129" i="220"/>
  <c r="G54" i="220"/>
  <c r="G118" i="220"/>
  <c r="H54" i="220"/>
  <c r="H118" i="220"/>
  <c r="I54" i="220"/>
  <c r="I118" i="220"/>
  <c r="J54" i="220"/>
  <c r="J118" i="220"/>
  <c r="K54" i="220"/>
  <c r="K118" i="220"/>
  <c r="L54" i="220"/>
  <c r="L118" i="220"/>
  <c r="M54" i="220"/>
  <c r="M118" i="220"/>
  <c r="N54" i="220"/>
  <c r="N118" i="220"/>
  <c r="O54" i="220"/>
  <c r="O118" i="220"/>
  <c r="P54" i="220"/>
  <c r="P118" i="220"/>
  <c r="Q54" i="220"/>
  <c r="Q118" i="220"/>
  <c r="R54" i="220"/>
  <c r="R118" i="220"/>
  <c r="S54" i="220"/>
  <c r="S118" i="220"/>
  <c r="T54" i="220"/>
  <c r="T118" i="220"/>
  <c r="U54" i="220"/>
  <c r="U118" i="220"/>
  <c r="V118" i="220"/>
  <c r="W118" i="220"/>
  <c r="X118" i="220"/>
  <c r="Y118" i="220"/>
  <c r="Z118" i="220"/>
  <c r="G55" i="220"/>
  <c r="G119" i="220"/>
  <c r="H55" i="220"/>
  <c r="H119" i="220"/>
  <c r="I55" i="220"/>
  <c r="I119" i="220"/>
  <c r="J55" i="220"/>
  <c r="J119" i="220"/>
  <c r="K55" i="220"/>
  <c r="K119" i="220"/>
  <c r="L55" i="220"/>
  <c r="L119" i="220"/>
  <c r="M55" i="220"/>
  <c r="M119" i="220"/>
  <c r="N55" i="220"/>
  <c r="N119" i="220"/>
  <c r="O55" i="220"/>
  <c r="O119" i="220"/>
  <c r="P55" i="220"/>
  <c r="P119" i="220"/>
  <c r="Q55" i="220"/>
  <c r="Q119" i="220"/>
  <c r="R55" i="220"/>
  <c r="R119" i="220"/>
  <c r="S55" i="220"/>
  <c r="S119" i="220"/>
  <c r="T55" i="220"/>
  <c r="T119" i="220"/>
  <c r="U55" i="220"/>
  <c r="U119" i="220"/>
  <c r="V119" i="220"/>
  <c r="W119" i="220"/>
  <c r="X119" i="220"/>
  <c r="Y119" i="220"/>
  <c r="Z119" i="220"/>
  <c r="C56" i="220"/>
  <c r="C120" i="220" s="1"/>
  <c r="G56" i="220"/>
  <c r="G120" i="220"/>
  <c r="H56" i="220"/>
  <c r="H120" i="220"/>
  <c r="I56" i="220"/>
  <c r="I120" i="220"/>
  <c r="J56" i="220"/>
  <c r="J120" i="220"/>
  <c r="K56" i="220"/>
  <c r="K120" i="220"/>
  <c r="L56" i="220"/>
  <c r="L120" i="220"/>
  <c r="M56" i="220"/>
  <c r="M120" i="220"/>
  <c r="N56" i="220"/>
  <c r="N120" i="220"/>
  <c r="O56" i="220"/>
  <c r="O120" i="220"/>
  <c r="P56" i="220"/>
  <c r="P120" i="220"/>
  <c r="Q56" i="220"/>
  <c r="Q120" i="220"/>
  <c r="R56" i="220"/>
  <c r="R120" i="220"/>
  <c r="S56" i="220"/>
  <c r="S120" i="220"/>
  <c r="T56" i="220"/>
  <c r="T120" i="220"/>
  <c r="U56" i="220"/>
  <c r="U120" i="220"/>
  <c r="V120" i="220"/>
  <c r="W120" i="220"/>
  <c r="X120" i="220"/>
  <c r="Y120" i="220"/>
  <c r="Z120" i="220"/>
  <c r="G57" i="220"/>
  <c r="G121" i="220"/>
  <c r="H57" i="220"/>
  <c r="H121" i="220"/>
  <c r="I57" i="220"/>
  <c r="I121" i="220"/>
  <c r="J57" i="220"/>
  <c r="J121" i="220"/>
  <c r="K57" i="220"/>
  <c r="K121" i="220"/>
  <c r="L57" i="220"/>
  <c r="L121" i="220"/>
  <c r="M57" i="220"/>
  <c r="M121" i="220"/>
  <c r="N57" i="220"/>
  <c r="N121" i="220"/>
  <c r="O57" i="220"/>
  <c r="O121" i="220"/>
  <c r="P57" i="220"/>
  <c r="P121" i="220"/>
  <c r="Q57" i="220"/>
  <c r="Q121" i="220"/>
  <c r="R57" i="220"/>
  <c r="R121" i="220"/>
  <c r="S57" i="220"/>
  <c r="S121" i="220"/>
  <c r="T57" i="220"/>
  <c r="T121" i="220"/>
  <c r="U57" i="220"/>
  <c r="U121" i="220"/>
  <c r="V121" i="220"/>
  <c r="W121" i="220"/>
  <c r="X121" i="220"/>
  <c r="Y121" i="220"/>
  <c r="Z121" i="220"/>
  <c r="G58" i="220"/>
  <c r="G122" i="220"/>
  <c r="H58" i="220"/>
  <c r="H122" i="220"/>
  <c r="I58" i="220"/>
  <c r="I122" i="220"/>
  <c r="J58" i="220"/>
  <c r="J122" i="220"/>
  <c r="K58" i="220"/>
  <c r="K122" i="220"/>
  <c r="L58" i="220"/>
  <c r="L122" i="220"/>
  <c r="M58" i="220"/>
  <c r="M122" i="220"/>
  <c r="N58" i="220"/>
  <c r="N122" i="220"/>
  <c r="O58" i="220"/>
  <c r="O122" i="220"/>
  <c r="P58" i="220"/>
  <c r="P122" i="220"/>
  <c r="Q58" i="220"/>
  <c r="Q122" i="220"/>
  <c r="R58" i="220"/>
  <c r="R122" i="220"/>
  <c r="S58" i="220"/>
  <c r="S122" i="220"/>
  <c r="T58" i="220"/>
  <c r="T122" i="220"/>
  <c r="U58" i="220"/>
  <c r="U122" i="220"/>
  <c r="V122" i="220"/>
  <c r="W122" i="220"/>
  <c r="X122" i="220"/>
  <c r="Y122" i="220"/>
  <c r="Z122" i="220"/>
  <c r="G59" i="220"/>
  <c r="G123" i="220"/>
  <c r="H59" i="220"/>
  <c r="H123" i="220"/>
  <c r="I59" i="220"/>
  <c r="I123" i="220"/>
  <c r="J59" i="220"/>
  <c r="J123" i="220"/>
  <c r="K59" i="220"/>
  <c r="K123" i="220"/>
  <c r="L59" i="220"/>
  <c r="L123" i="220"/>
  <c r="M59" i="220"/>
  <c r="M123" i="220"/>
  <c r="N59" i="220"/>
  <c r="N123" i="220"/>
  <c r="O59" i="220"/>
  <c r="O123" i="220"/>
  <c r="P59" i="220"/>
  <c r="P123" i="220"/>
  <c r="Q59" i="220"/>
  <c r="Q123" i="220"/>
  <c r="R59" i="220"/>
  <c r="R123" i="220"/>
  <c r="S59" i="220"/>
  <c r="S123" i="220"/>
  <c r="T59" i="220"/>
  <c r="T123" i="220"/>
  <c r="U59" i="220"/>
  <c r="U123" i="220"/>
  <c r="V123" i="220"/>
  <c r="W123" i="220"/>
  <c r="X123" i="220"/>
  <c r="Y123" i="220"/>
  <c r="Z123" i="220"/>
  <c r="G60" i="220"/>
  <c r="G124" i="220"/>
  <c r="H60" i="220"/>
  <c r="H124" i="220"/>
  <c r="I60" i="220"/>
  <c r="I124" i="220"/>
  <c r="J60" i="220"/>
  <c r="J124" i="220"/>
  <c r="K60" i="220"/>
  <c r="K124" i="220"/>
  <c r="L60" i="220"/>
  <c r="L124" i="220"/>
  <c r="M60" i="220"/>
  <c r="M124" i="220"/>
  <c r="N60" i="220"/>
  <c r="N124" i="220"/>
  <c r="O60" i="220"/>
  <c r="O124" i="220"/>
  <c r="P60" i="220"/>
  <c r="P124" i="220"/>
  <c r="Q60" i="220"/>
  <c r="Q124" i="220"/>
  <c r="R60" i="220"/>
  <c r="R124" i="220"/>
  <c r="S60" i="220"/>
  <c r="S124" i="220"/>
  <c r="T60" i="220"/>
  <c r="T124" i="220"/>
  <c r="U60" i="220"/>
  <c r="U124" i="220"/>
  <c r="V124" i="220"/>
  <c r="W124" i="220"/>
  <c r="X124" i="220"/>
  <c r="Y124" i="220"/>
  <c r="Z124" i="220"/>
  <c r="G61" i="220"/>
  <c r="G125" i="220"/>
  <c r="H61" i="220"/>
  <c r="H125" i="220"/>
  <c r="I61" i="220"/>
  <c r="I125" i="220"/>
  <c r="J61" i="220"/>
  <c r="J125" i="220"/>
  <c r="K61" i="220"/>
  <c r="K125" i="220"/>
  <c r="L61" i="220"/>
  <c r="L125" i="220"/>
  <c r="M61" i="220"/>
  <c r="M125" i="220"/>
  <c r="N61" i="220"/>
  <c r="N125" i="220"/>
  <c r="O61" i="220"/>
  <c r="O125" i="220"/>
  <c r="P61" i="220"/>
  <c r="P125" i="220"/>
  <c r="Q61" i="220"/>
  <c r="Q125" i="220"/>
  <c r="R61" i="220"/>
  <c r="R125" i="220"/>
  <c r="S61" i="220"/>
  <c r="S125" i="220"/>
  <c r="T61" i="220"/>
  <c r="T125" i="220"/>
  <c r="U61" i="220"/>
  <c r="U125" i="220"/>
  <c r="V125" i="220"/>
  <c r="W125" i="220"/>
  <c r="X125" i="220"/>
  <c r="Y125" i="220"/>
  <c r="Z125" i="220"/>
  <c r="E62" i="220"/>
  <c r="E126" i="220" s="1"/>
  <c r="G62" i="220"/>
  <c r="G126" i="220"/>
  <c r="H62" i="220"/>
  <c r="H126" i="220"/>
  <c r="I62" i="220"/>
  <c r="I126" i="220"/>
  <c r="J62" i="220"/>
  <c r="J126" i="220"/>
  <c r="K62" i="220"/>
  <c r="K126" i="220"/>
  <c r="L62" i="220"/>
  <c r="L126" i="220"/>
  <c r="M62" i="220"/>
  <c r="M126" i="220"/>
  <c r="N62" i="220"/>
  <c r="N126" i="220"/>
  <c r="O62" i="220"/>
  <c r="O126" i="220"/>
  <c r="P62" i="220"/>
  <c r="P126" i="220"/>
  <c r="Q62" i="220"/>
  <c r="Q126" i="220"/>
  <c r="R62" i="220"/>
  <c r="R126" i="220"/>
  <c r="S62" i="220"/>
  <c r="S126" i="220"/>
  <c r="T62" i="220"/>
  <c r="T126" i="220"/>
  <c r="U62" i="220"/>
  <c r="U126" i="220"/>
  <c r="V126" i="220"/>
  <c r="W126" i="220"/>
  <c r="X126" i="220"/>
  <c r="Y126" i="220"/>
  <c r="Z126" i="220"/>
  <c r="F63" i="220"/>
  <c r="F127" i="220" s="1"/>
  <c r="G63" i="220"/>
  <c r="G127" i="220"/>
  <c r="H63" i="220"/>
  <c r="H127" i="220"/>
  <c r="I63" i="220"/>
  <c r="I127" i="220"/>
  <c r="J63" i="220"/>
  <c r="J127" i="220"/>
  <c r="K63" i="220"/>
  <c r="K127" i="220"/>
  <c r="L63" i="220"/>
  <c r="L127" i="220"/>
  <c r="M63" i="220"/>
  <c r="M127" i="220"/>
  <c r="N63" i="220"/>
  <c r="N127" i="220"/>
  <c r="O63" i="220"/>
  <c r="O127" i="220"/>
  <c r="P63" i="220"/>
  <c r="P127" i="220"/>
  <c r="Q63" i="220"/>
  <c r="Q127" i="220"/>
  <c r="R63" i="220"/>
  <c r="R127" i="220"/>
  <c r="S63" i="220"/>
  <c r="S127" i="220"/>
  <c r="T63" i="220"/>
  <c r="T127" i="220"/>
  <c r="U63" i="220"/>
  <c r="U127" i="220"/>
  <c r="V127" i="220"/>
  <c r="W127" i="220"/>
  <c r="X127" i="220"/>
  <c r="Y127" i="220"/>
  <c r="Z127" i="220"/>
  <c r="G6" i="220"/>
  <c r="H6" i="220"/>
  <c r="I6" i="220"/>
  <c r="J6" i="220"/>
  <c r="K6" i="220"/>
  <c r="L6" i="220"/>
  <c r="M6" i="220"/>
  <c r="N6" i="220"/>
  <c r="O6" i="220"/>
  <c r="P6" i="220"/>
  <c r="Q6" i="220"/>
  <c r="R6" i="220"/>
  <c r="S6" i="220"/>
  <c r="T6" i="220"/>
  <c r="U6" i="220"/>
  <c r="G7" i="220"/>
  <c r="G71" i="220"/>
  <c r="H7" i="220"/>
  <c r="H71" i="220"/>
  <c r="I7" i="220"/>
  <c r="I71" i="220"/>
  <c r="J7" i="220"/>
  <c r="J71" i="220"/>
  <c r="K7" i="220"/>
  <c r="K71" i="220"/>
  <c r="L7" i="220"/>
  <c r="L71" i="220"/>
  <c r="M7" i="220"/>
  <c r="M71" i="220"/>
  <c r="N7" i="220"/>
  <c r="N71" i="220"/>
  <c r="O7" i="220"/>
  <c r="O71" i="220"/>
  <c r="P7" i="220"/>
  <c r="P71" i="220"/>
  <c r="Q7" i="220"/>
  <c r="Q71" i="220"/>
  <c r="R7" i="220"/>
  <c r="R71" i="220"/>
  <c r="S7" i="220"/>
  <c r="S71" i="220"/>
  <c r="T7" i="220"/>
  <c r="T71" i="220"/>
  <c r="U7" i="220"/>
  <c r="U71" i="220"/>
  <c r="V71" i="220"/>
  <c r="W71" i="220"/>
  <c r="X71" i="220"/>
  <c r="Y71" i="220"/>
  <c r="Z71" i="220"/>
  <c r="G8" i="220"/>
  <c r="G72" i="220"/>
  <c r="H8" i="220"/>
  <c r="H72" i="220"/>
  <c r="I8" i="220"/>
  <c r="I72" i="220"/>
  <c r="J8" i="220"/>
  <c r="J72" i="220"/>
  <c r="K8" i="220"/>
  <c r="K72" i="220"/>
  <c r="L8" i="220"/>
  <c r="L72" i="220"/>
  <c r="M8" i="220"/>
  <c r="M72" i="220"/>
  <c r="N8" i="220"/>
  <c r="N72" i="220"/>
  <c r="O8" i="220"/>
  <c r="O72" i="220"/>
  <c r="P8" i="220"/>
  <c r="P72" i="220"/>
  <c r="Q8" i="220"/>
  <c r="Q72" i="220"/>
  <c r="R8" i="220"/>
  <c r="R72" i="220"/>
  <c r="S8" i="220"/>
  <c r="S72" i="220"/>
  <c r="T8" i="220"/>
  <c r="T72" i="220"/>
  <c r="U8" i="220"/>
  <c r="U72" i="220"/>
  <c r="V72" i="220"/>
  <c r="W72" i="220"/>
  <c r="X72" i="220"/>
  <c r="Y72" i="220"/>
  <c r="Z72" i="220"/>
  <c r="G9" i="220"/>
  <c r="G73" i="220"/>
  <c r="H9" i="220"/>
  <c r="H73" i="220"/>
  <c r="I9" i="220"/>
  <c r="I73" i="220"/>
  <c r="J9" i="220"/>
  <c r="J73" i="220"/>
  <c r="K9" i="220"/>
  <c r="K73" i="220"/>
  <c r="L9" i="220"/>
  <c r="L73" i="220"/>
  <c r="M9" i="220"/>
  <c r="M73" i="220"/>
  <c r="N9" i="220"/>
  <c r="N73" i="220"/>
  <c r="O9" i="220"/>
  <c r="O73" i="220"/>
  <c r="P9" i="220"/>
  <c r="P73" i="220"/>
  <c r="Q9" i="220"/>
  <c r="Q73" i="220"/>
  <c r="R9" i="220"/>
  <c r="R73" i="220"/>
  <c r="S9" i="220"/>
  <c r="S73" i="220"/>
  <c r="T9" i="220"/>
  <c r="T73" i="220"/>
  <c r="U9" i="220"/>
  <c r="U73" i="220"/>
  <c r="V73" i="220"/>
  <c r="W73" i="220"/>
  <c r="X73" i="220"/>
  <c r="Y73" i="220"/>
  <c r="Z73" i="220"/>
  <c r="G10" i="220"/>
  <c r="G74" i="220"/>
  <c r="H10" i="220"/>
  <c r="H74" i="220"/>
  <c r="I10" i="220"/>
  <c r="I74" i="220"/>
  <c r="J10" i="220"/>
  <c r="J74" i="220"/>
  <c r="K10" i="220"/>
  <c r="K74" i="220"/>
  <c r="L10" i="220"/>
  <c r="L74" i="220"/>
  <c r="M10" i="220"/>
  <c r="M74" i="220"/>
  <c r="N10" i="220"/>
  <c r="N74" i="220"/>
  <c r="O10" i="220"/>
  <c r="O74" i="220"/>
  <c r="P10" i="220"/>
  <c r="P74" i="220"/>
  <c r="Q10" i="220"/>
  <c r="Q74" i="220"/>
  <c r="R10" i="220"/>
  <c r="R74" i="220"/>
  <c r="S10" i="220"/>
  <c r="S74" i="220"/>
  <c r="T10" i="220"/>
  <c r="T74" i="220"/>
  <c r="U10" i="220"/>
  <c r="U74" i="220"/>
  <c r="V74" i="220"/>
  <c r="W74" i="220"/>
  <c r="X74" i="220"/>
  <c r="Y74" i="220"/>
  <c r="Z74" i="220"/>
  <c r="G11" i="220"/>
  <c r="G75" i="220"/>
  <c r="H11" i="220"/>
  <c r="H75" i="220"/>
  <c r="I11" i="220"/>
  <c r="I75" i="220"/>
  <c r="J11" i="220"/>
  <c r="J75" i="220"/>
  <c r="K11" i="220"/>
  <c r="K75" i="220"/>
  <c r="L11" i="220"/>
  <c r="L75" i="220"/>
  <c r="M11" i="220"/>
  <c r="M75" i="220"/>
  <c r="N11" i="220"/>
  <c r="N75" i="220"/>
  <c r="O11" i="220"/>
  <c r="O75" i="220"/>
  <c r="P11" i="220"/>
  <c r="P75" i="220"/>
  <c r="Q11" i="220"/>
  <c r="Q75" i="220"/>
  <c r="R11" i="220"/>
  <c r="R75" i="220"/>
  <c r="S11" i="220"/>
  <c r="S75" i="220"/>
  <c r="T11" i="220"/>
  <c r="T75" i="220"/>
  <c r="U11" i="220"/>
  <c r="U75" i="220"/>
  <c r="V75" i="220"/>
  <c r="W75" i="220"/>
  <c r="X75" i="220"/>
  <c r="Y75" i="220"/>
  <c r="Z75" i="220"/>
  <c r="G12" i="220"/>
  <c r="G76" i="220"/>
  <c r="H12" i="220"/>
  <c r="H76" i="220"/>
  <c r="I12" i="220"/>
  <c r="I76" i="220"/>
  <c r="J12" i="220"/>
  <c r="J76" i="220"/>
  <c r="K12" i="220"/>
  <c r="K76" i="220"/>
  <c r="L12" i="220"/>
  <c r="L76" i="220"/>
  <c r="M12" i="220"/>
  <c r="M76" i="220"/>
  <c r="N12" i="220"/>
  <c r="N76" i="220"/>
  <c r="O12" i="220"/>
  <c r="O76" i="220"/>
  <c r="P12" i="220"/>
  <c r="P76" i="220"/>
  <c r="Q12" i="220"/>
  <c r="Q76" i="220"/>
  <c r="R12" i="220"/>
  <c r="R76" i="220"/>
  <c r="S12" i="220"/>
  <c r="S76" i="220"/>
  <c r="T12" i="220"/>
  <c r="T76" i="220"/>
  <c r="U12" i="220"/>
  <c r="U76" i="220"/>
  <c r="V76" i="220"/>
  <c r="W76" i="220"/>
  <c r="X76" i="220"/>
  <c r="Y76" i="220"/>
  <c r="Z76" i="220"/>
  <c r="G13" i="220"/>
  <c r="G77" i="220"/>
  <c r="H13" i="220"/>
  <c r="H77" i="220"/>
  <c r="I13" i="220"/>
  <c r="I77" i="220"/>
  <c r="J13" i="220"/>
  <c r="J77" i="220"/>
  <c r="K13" i="220"/>
  <c r="K77" i="220"/>
  <c r="L13" i="220"/>
  <c r="L77" i="220"/>
  <c r="M13" i="220"/>
  <c r="M77" i="220"/>
  <c r="N13" i="220"/>
  <c r="N77" i="220"/>
  <c r="O13" i="220"/>
  <c r="O77" i="220"/>
  <c r="P13" i="220"/>
  <c r="P77" i="220"/>
  <c r="Q13" i="220"/>
  <c r="Q77" i="220"/>
  <c r="R13" i="220"/>
  <c r="R77" i="220"/>
  <c r="S13" i="220"/>
  <c r="S77" i="220"/>
  <c r="T13" i="220"/>
  <c r="T77" i="220"/>
  <c r="U13" i="220"/>
  <c r="U77" i="220"/>
  <c r="V77" i="220"/>
  <c r="W77" i="220"/>
  <c r="X77" i="220"/>
  <c r="Y77" i="220"/>
  <c r="Z77" i="220"/>
  <c r="G14" i="220"/>
  <c r="G78" i="220"/>
  <c r="H14" i="220"/>
  <c r="H78" i="220"/>
  <c r="I14" i="220"/>
  <c r="I78" i="220"/>
  <c r="J14" i="220"/>
  <c r="J78" i="220"/>
  <c r="K14" i="220"/>
  <c r="K78" i="220"/>
  <c r="L14" i="220"/>
  <c r="L78" i="220"/>
  <c r="M14" i="220"/>
  <c r="M78" i="220"/>
  <c r="N14" i="220"/>
  <c r="N78" i="220"/>
  <c r="O14" i="220"/>
  <c r="O78" i="220"/>
  <c r="P14" i="220"/>
  <c r="P78" i="220"/>
  <c r="Q14" i="220"/>
  <c r="Q78" i="220"/>
  <c r="R14" i="220"/>
  <c r="R78" i="220"/>
  <c r="S14" i="220"/>
  <c r="S78" i="220"/>
  <c r="T14" i="220"/>
  <c r="T78" i="220"/>
  <c r="U14" i="220"/>
  <c r="U78" i="220"/>
  <c r="V78" i="220"/>
  <c r="W78" i="220"/>
  <c r="X78" i="220"/>
  <c r="Y78" i="220"/>
  <c r="Z78" i="220"/>
  <c r="G15" i="220"/>
  <c r="G79" i="220"/>
  <c r="H15" i="220"/>
  <c r="H79" i="220"/>
  <c r="I15" i="220"/>
  <c r="I79" i="220"/>
  <c r="J15" i="220"/>
  <c r="J79" i="220"/>
  <c r="K15" i="220"/>
  <c r="K79" i="220"/>
  <c r="L15" i="220"/>
  <c r="L79" i="220"/>
  <c r="M15" i="220"/>
  <c r="M79" i="220"/>
  <c r="N15" i="220"/>
  <c r="N79" i="220"/>
  <c r="O15" i="220"/>
  <c r="O79" i="220"/>
  <c r="P15" i="220"/>
  <c r="P79" i="220"/>
  <c r="Q15" i="220"/>
  <c r="Q79" i="220"/>
  <c r="R15" i="220"/>
  <c r="R79" i="220"/>
  <c r="S15" i="220"/>
  <c r="S79" i="220"/>
  <c r="T15" i="220"/>
  <c r="T79" i="220"/>
  <c r="U15" i="220"/>
  <c r="U79" i="220"/>
  <c r="V79" i="220"/>
  <c r="W79" i="220"/>
  <c r="X79" i="220"/>
  <c r="Y79" i="220"/>
  <c r="Z79" i="220"/>
  <c r="G16" i="220"/>
  <c r="G80" i="220"/>
  <c r="H16" i="220"/>
  <c r="H80" i="220"/>
  <c r="I16" i="220"/>
  <c r="I80" i="220"/>
  <c r="J16" i="220"/>
  <c r="J80" i="220"/>
  <c r="K16" i="220"/>
  <c r="K80" i="220"/>
  <c r="L16" i="220"/>
  <c r="L80" i="220"/>
  <c r="M16" i="220"/>
  <c r="M80" i="220"/>
  <c r="N16" i="220"/>
  <c r="N80" i="220"/>
  <c r="O16" i="220"/>
  <c r="O80" i="220"/>
  <c r="P16" i="220"/>
  <c r="P80" i="220"/>
  <c r="Q16" i="220"/>
  <c r="Q80" i="220"/>
  <c r="R16" i="220"/>
  <c r="R80" i="220"/>
  <c r="S16" i="220"/>
  <c r="S80" i="220"/>
  <c r="T16" i="220"/>
  <c r="T80" i="220"/>
  <c r="U16" i="220"/>
  <c r="U80" i="220"/>
  <c r="V80" i="220"/>
  <c r="W80" i="220"/>
  <c r="X80" i="220"/>
  <c r="Y80" i="220"/>
  <c r="Z80" i="220"/>
  <c r="G17" i="220"/>
  <c r="G81" i="220"/>
  <c r="H17" i="220"/>
  <c r="H81" i="220"/>
  <c r="I17" i="220"/>
  <c r="I81" i="220"/>
  <c r="J17" i="220"/>
  <c r="J81" i="220"/>
  <c r="K17" i="220"/>
  <c r="K81" i="220"/>
  <c r="L17" i="220"/>
  <c r="L81" i="220"/>
  <c r="M17" i="220"/>
  <c r="M81" i="220"/>
  <c r="N17" i="220"/>
  <c r="N81" i="220"/>
  <c r="O17" i="220"/>
  <c r="O81" i="220"/>
  <c r="P17" i="220"/>
  <c r="P81" i="220"/>
  <c r="Q17" i="220"/>
  <c r="Q81" i="220"/>
  <c r="R17" i="220"/>
  <c r="R81" i="220"/>
  <c r="S17" i="220"/>
  <c r="S81" i="220"/>
  <c r="T17" i="220"/>
  <c r="T81" i="220"/>
  <c r="U17" i="220"/>
  <c r="U81" i="220"/>
  <c r="V81" i="220"/>
  <c r="W81" i="220"/>
  <c r="X81" i="220"/>
  <c r="Y81" i="220"/>
  <c r="Z81" i="220"/>
  <c r="G18" i="220"/>
  <c r="G82" i="220"/>
  <c r="H18" i="220"/>
  <c r="H82" i="220"/>
  <c r="I18" i="220"/>
  <c r="I82" i="220"/>
  <c r="J18" i="220"/>
  <c r="J82" i="220"/>
  <c r="K18" i="220"/>
  <c r="K82" i="220"/>
  <c r="L18" i="220"/>
  <c r="L82" i="220"/>
  <c r="M18" i="220"/>
  <c r="M82" i="220"/>
  <c r="N18" i="220"/>
  <c r="N82" i="220"/>
  <c r="O18" i="220"/>
  <c r="O82" i="220"/>
  <c r="P18" i="220"/>
  <c r="P82" i="220"/>
  <c r="Q18" i="220"/>
  <c r="Q82" i="220"/>
  <c r="R18" i="220"/>
  <c r="R82" i="220"/>
  <c r="S18" i="220"/>
  <c r="S82" i="220"/>
  <c r="T18" i="220"/>
  <c r="T82" i="220"/>
  <c r="U18" i="220"/>
  <c r="U82" i="220"/>
  <c r="V82" i="220"/>
  <c r="W82" i="220"/>
  <c r="X82" i="220"/>
  <c r="Y82" i="220"/>
  <c r="Z82" i="220"/>
  <c r="G19" i="220"/>
  <c r="G83" i="220"/>
  <c r="H19" i="220"/>
  <c r="H83" i="220"/>
  <c r="I19" i="220"/>
  <c r="I83" i="220"/>
  <c r="J19" i="220"/>
  <c r="J83" i="220"/>
  <c r="K19" i="220"/>
  <c r="K83" i="220"/>
  <c r="L19" i="220"/>
  <c r="L83" i="220"/>
  <c r="M19" i="220"/>
  <c r="M83" i="220"/>
  <c r="N19" i="220"/>
  <c r="N83" i="220"/>
  <c r="O19" i="220"/>
  <c r="O83" i="220"/>
  <c r="P19" i="220"/>
  <c r="P83" i="220"/>
  <c r="Q19" i="220"/>
  <c r="Q83" i="220"/>
  <c r="R19" i="220"/>
  <c r="R83" i="220"/>
  <c r="S19" i="220"/>
  <c r="S83" i="220"/>
  <c r="T19" i="220"/>
  <c r="T83" i="220"/>
  <c r="U19" i="220"/>
  <c r="U83" i="220"/>
  <c r="V83" i="220"/>
  <c r="W83" i="220"/>
  <c r="X83" i="220"/>
  <c r="Y83" i="220"/>
  <c r="Z83" i="220"/>
  <c r="G20" i="220"/>
  <c r="G84" i="220"/>
  <c r="H20" i="220"/>
  <c r="H84" i="220"/>
  <c r="I20" i="220"/>
  <c r="I84" i="220"/>
  <c r="J20" i="220"/>
  <c r="J84" i="220"/>
  <c r="K20" i="220"/>
  <c r="K84" i="220"/>
  <c r="L20" i="220"/>
  <c r="L84" i="220"/>
  <c r="M20" i="220"/>
  <c r="M84" i="220"/>
  <c r="N20" i="220"/>
  <c r="N84" i="220"/>
  <c r="O20" i="220"/>
  <c r="O84" i="220"/>
  <c r="P20" i="220"/>
  <c r="P84" i="220"/>
  <c r="Q20" i="220"/>
  <c r="Q84" i="220"/>
  <c r="R20" i="220"/>
  <c r="R84" i="220"/>
  <c r="S20" i="220"/>
  <c r="S84" i="220"/>
  <c r="T20" i="220"/>
  <c r="T84" i="220"/>
  <c r="U20" i="220"/>
  <c r="U84" i="220"/>
  <c r="V84" i="220"/>
  <c r="W84" i="220"/>
  <c r="X84" i="220"/>
  <c r="Y84" i="220"/>
  <c r="Z84" i="220"/>
  <c r="V54" i="220"/>
  <c r="W54" i="220"/>
  <c r="X54" i="220"/>
  <c r="Y54" i="220"/>
  <c r="Z54" i="220"/>
  <c r="V55" i="220"/>
  <c r="W55" i="220"/>
  <c r="X55" i="220"/>
  <c r="Y55" i="220"/>
  <c r="Z55" i="220"/>
  <c r="V56" i="220"/>
  <c r="W56" i="220"/>
  <c r="X56" i="220"/>
  <c r="Y56" i="220"/>
  <c r="Z56" i="220"/>
  <c r="V57" i="220"/>
  <c r="W57" i="220"/>
  <c r="X57" i="220"/>
  <c r="Y57" i="220"/>
  <c r="Z57" i="220"/>
  <c r="V58" i="220"/>
  <c r="W58" i="220"/>
  <c r="X58" i="220"/>
  <c r="Y58" i="220"/>
  <c r="Z58" i="220"/>
  <c r="V59" i="220"/>
  <c r="W59" i="220"/>
  <c r="X59" i="220"/>
  <c r="Y59" i="220"/>
  <c r="Z59" i="220"/>
  <c r="V60" i="220"/>
  <c r="W60" i="220"/>
  <c r="X60" i="220"/>
  <c r="Y60" i="220"/>
  <c r="Z60" i="220"/>
  <c r="V61" i="220"/>
  <c r="W61" i="220"/>
  <c r="X61" i="220"/>
  <c r="Y61" i="220"/>
  <c r="Z61" i="220"/>
  <c r="V62" i="220"/>
  <c r="W62" i="220"/>
  <c r="X62" i="220"/>
  <c r="Y62" i="220"/>
  <c r="Z62" i="220"/>
  <c r="V63" i="220"/>
  <c r="W63" i="220"/>
  <c r="X63" i="220"/>
  <c r="Y63" i="220"/>
  <c r="Z63" i="220"/>
  <c r="V64" i="220"/>
  <c r="W64" i="220"/>
  <c r="X64" i="220"/>
  <c r="Y64" i="220"/>
  <c r="Z64" i="220"/>
  <c r="V65" i="220"/>
  <c r="W65" i="220"/>
  <c r="X65" i="220"/>
  <c r="Y65" i="220"/>
  <c r="Z65" i="220"/>
  <c r="V7" i="220"/>
  <c r="W7" i="220"/>
  <c r="X7" i="220"/>
  <c r="Y7" i="220"/>
  <c r="Z7" i="220"/>
  <c r="V8" i="220"/>
  <c r="W8" i="220"/>
  <c r="X8" i="220"/>
  <c r="Y8" i="220"/>
  <c r="Z8" i="220"/>
  <c r="V9" i="220"/>
  <c r="W9" i="220"/>
  <c r="X9" i="220"/>
  <c r="Y9" i="220"/>
  <c r="Z9" i="220"/>
  <c r="V10" i="220"/>
  <c r="W10" i="220"/>
  <c r="X10" i="220"/>
  <c r="Y10" i="220"/>
  <c r="Z10" i="220"/>
  <c r="V11" i="220"/>
  <c r="W11" i="220"/>
  <c r="X11" i="220"/>
  <c r="Y11" i="220"/>
  <c r="Z11" i="220"/>
  <c r="V12" i="220"/>
  <c r="W12" i="220"/>
  <c r="X12" i="220"/>
  <c r="Y12" i="220"/>
  <c r="Z12" i="220"/>
  <c r="V13" i="220"/>
  <c r="W13" i="220"/>
  <c r="X13" i="220"/>
  <c r="Y13" i="220"/>
  <c r="Z13" i="220"/>
  <c r="V14" i="220"/>
  <c r="W14" i="220"/>
  <c r="X14" i="220"/>
  <c r="Y14" i="220"/>
  <c r="Z14" i="220"/>
  <c r="V15" i="220"/>
  <c r="W15" i="220"/>
  <c r="X15" i="220"/>
  <c r="Y15" i="220"/>
  <c r="Z15" i="220"/>
  <c r="V16" i="220"/>
  <c r="W16" i="220"/>
  <c r="X16" i="220"/>
  <c r="Y16" i="220"/>
  <c r="Z16" i="220"/>
  <c r="V17" i="220"/>
  <c r="W17" i="220"/>
  <c r="X17" i="220"/>
  <c r="Y17" i="220"/>
  <c r="Z17" i="220"/>
  <c r="V18" i="220"/>
  <c r="W18" i="220"/>
  <c r="X18" i="220"/>
  <c r="Y18" i="220"/>
  <c r="Z18" i="220"/>
  <c r="V19" i="220"/>
  <c r="W19" i="220"/>
  <c r="X19" i="220"/>
  <c r="Y19" i="220"/>
  <c r="Z19" i="220"/>
  <c r="V20" i="220"/>
  <c r="W20" i="220"/>
  <c r="X20" i="220"/>
  <c r="Y20" i="220"/>
  <c r="Z20" i="220"/>
  <c r="V6" i="220"/>
  <c r="W6" i="220"/>
  <c r="X6" i="220"/>
  <c r="Y6" i="220"/>
  <c r="Z6" i="220"/>
  <c r="BB31" i="1"/>
  <c r="BC31" i="1"/>
  <c r="BD31" i="1"/>
  <c r="BE31" i="1"/>
  <c r="BF31" i="1"/>
  <c r="AE14" i="213"/>
  <c r="AA32" i="213" a="1"/>
  <c r="AA32" i="213" s="1"/>
  <c r="AB19" i="213" a="1"/>
  <c r="AB19" i="213" s="1"/>
  <c r="AB31" i="213" a="1"/>
  <c r="AB31" i="213" s="1"/>
  <c r="AB32" i="213" a="1"/>
  <c r="AB32" i="213" s="1"/>
  <c r="AA31" i="213" a="1"/>
  <c r="AA31" i="213" s="1"/>
  <c r="B4" i="216"/>
  <c r="C4" i="214"/>
  <c r="BB19" i="1"/>
  <c r="BC19" i="1"/>
  <c r="BD19" i="1"/>
  <c r="BE19" i="1"/>
  <c r="BF19" i="1"/>
  <c r="AG110" i="1"/>
  <c r="AG19" i="1"/>
  <c r="AG20" i="1"/>
  <c r="AG21" i="1"/>
  <c r="AG22" i="1"/>
  <c r="AG23" i="1"/>
  <c r="AG24" i="1"/>
  <c r="AG25" i="1"/>
  <c r="AG26" i="1"/>
  <c r="AG27" i="1"/>
  <c r="AG28" i="1"/>
  <c r="AG31" i="1"/>
  <c r="AG32" i="1"/>
  <c r="AG33" i="1"/>
  <c r="AG34" i="1"/>
  <c r="AG35" i="1"/>
  <c r="AG36" i="1"/>
  <c r="AG37" i="1"/>
  <c r="AG38" i="1"/>
  <c r="AG39" i="1"/>
  <c r="AG40" i="1"/>
  <c r="AG45" i="1"/>
  <c r="AG46" i="1"/>
  <c r="AG47" i="1"/>
  <c r="AG48" i="1"/>
  <c r="AG49" i="1"/>
  <c r="AG50" i="1"/>
  <c r="AG51" i="1"/>
  <c r="AG52" i="1"/>
  <c r="AG53" i="1"/>
  <c r="AG54" i="1"/>
  <c r="AG56" i="1"/>
  <c r="AG57" i="1"/>
  <c r="AG58" i="1"/>
  <c r="AG59" i="1"/>
  <c r="AG60" i="1"/>
  <c r="AG61" i="1"/>
  <c r="AG62" i="1"/>
  <c r="AG63" i="1"/>
  <c r="AG64" i="1"/>
  <c r="AG65" i="1"/>
  <c r="AG67" i="1"/>
  <c r="AG68" i="1"/>
  <c r="AG69" i="1"/>
  <c r="AG70" i="1"/>
  <c r="AG71" i="1"/>
  <c r="AG72" i="1"/>
  <c r="AG73" i="1"/>
  <c r="AG74" i="1"/>
  <c r="AG75" i="1"/>
  <c r="AG76" i="1"/>
  <c r="AG78" i="1"/>
  <c r="AG79" i="1"/>
  <c r="AG80" i="1"/>
  <c r="AG81" i="1"/>
  <c r="AG82" i="1"/>
  <c r="AG83" i="1"/>
  <c r="AG84" i="1"/>
  <c r="AG85" i="1"/>
  <c r="AG86" i="1"/>
  <c r="AG87" i="1"/>
  <c r="AG89" i="1"/>
  <c r="AG90" i="1"/>
  <c r="AG91" i="1"/>
  <c r="AG92" i="1"/>
  <c r="AG93" i="1"/>
  <c r="AG94" i="1"/>
  <c r="AG95" i="1"/>
  <c r="AG96" i="1"/>
  <c r="AG97" i="1"/>
  <c r="AG98" i="1"/>
  <c r="AG101" i="1"/>
  <c r="AG102" i="1"/>
  <c r="AG103" i="1"/>
  <c r="AG104" i="1"/>
  <c r="AG105" i="1"/>
  <c r="AG106" i="1"/>
  <c r="AG107" i="1"/>
  <c r="AG108" i="1"/>
  <c r="AG109" i="1"/>
  <c r="AG112" i="1"/>
  <c r="AG113" i="1"/>
  <c r="AG114" i="1"/>
  <c r="AG115" i="1"/>
  <c r="AG116" i="1"/>
  <c r="AG117" i="1"/>
  <c r="AG118" i="1"/>
  <c r="AG119" i="1"/>
  <c r="AG120" i="1"/>
  <c r="AG121" i="1"/>
  <c r="AG123" i="1"/>
  <c r="AG124" i="1"/>
  <c r="AG125" i="1"/>
  <c r="AG126" i="1"/>
  <c r="AG127" i="1"/>
  <c r="AG128" i="1"/>
  <c r="AG129" i="1"/>
  <c r="AG130" i="1"/>
  <c r="AG131" i="1"/>
  <c r="AG132" i="1"/>
  <c r="AG134" i="1"/>
  <c r="AG135" i="1"/>
  <c r="AG136" i="1"/>
  <c r="AG137" i="1"/>
  <c r="AG138" i="1"/>
  <c r="AG139" i="1"/>
  <c r="AG140" i="1"/>
  <c r="AG141" i="1"/>
  <c r="AG142" i="1"/>
  <c r="AG143" i="1"/>
  <c r="AG145" i="1"/>
  <c r="AG146" i="1"/>
  <c r="AG147" i="1"/>
  <c r="AG148" i="1"/>
  <c r="AG149" i="1"/>
  <c r="AG150" i="1"/>
  <c r="AG151" i="1"/>
  <c r="AG152" i="1"/>
  <c r="AG153" i="1"/>
  <c r="AG154" i="1"/>
  <c r="AG157" i="1"/>
  <c r="AG158" i="1"/>
  <c r="AG159" i="1"/>
  <c r="AG160" i="1"/>
  <c r="AG161" i="1"/>
  <c r="AG162" i="1"/>
  <c r="AG163" i="1"/>
  <c r="AG164" i="1"/>
  <c r="AG165" i="1"/>
  <c r="AG166" i="1"/>
  <c r="AG168" i="1"/>
  <c r="AG169" i="1"/>
  <c r="AG170" i="1"/>
  <c r="AG171" i="1"/>
  <c r="AG172" i="1"/>
  <c r="AG173" i="1"/>
  <c r="AG174" i="1"/>
  <c r="AG175" i="1"/>
  <c r="AG176" i="1"/>
  <c r="AG177" i="1"/>
  <c r="AG179" i="1"/>
  <c r="AG180" i="1"/>
  <c r="AG181" i="1"/>
  <c r="AG182" i="1"/>
  <c r="AG183" i="1"/>
  <c r="AG184" i="1"/>
  <c r="AG185" i="1"/>
  <c r="AG186" i="1"/>
  <c r="AG187" i="1"/>
  <c r="AG188" i="1"/>
  <c r="AG190" i="1"/>
  <c r="AG191" i="1"/>
  <c r="AG192" i="1"/>
  <c r="AG193" i="1"/>
  <c r="AG194" i="1"/>
  <c r="AG195" i="1"/>
  <c r="AG196" i="1"/>
  <c r="AG197" i="1"/>
  <c r="AG198" i="1"/>
  <c r="AG199" i="1"/>
  <c r="AG203" i="1"/>
  <c r="AG204" i="1"/>
  <c r="AG205" i="1"/>
  <c r="AG206" i="1"/>
  <c r="AG207" i="1"/>
  <c r="AG208" i="1"/>
  <c r="AG209" i="1"/>
  <c r="AG210" i="1"/>
  <c r="AG211" i="1"/>
  <c r="AG212" i="1"/>
  <c r="AG214" i="1"/>
  <c r="AG215" i="1"/>
  <c r="AG216" i="1"/>
  <c r="AG217" i="1"/>
  <c r="AG218" i="1"/>
  <c r="AG219" i="1"/>
  <c r="AG220" i="1"/>
  <c r="AG221" i="1"/>
  <c r="AG222" i="1"/>
  <c r="AG223" i="1"/>
  <c r="AG9" i="1"/>
  <c r="AG10" i="1"/>
  <c r="AG11" i="1"/>
  <c r="AG12" i="1"/>
  <c r="AG13" i="1"/>
  <c r="AG14" i="1"/>
  <c r="AG15" i="1"/>
  <c r="AG16" i="1"/>
  <c r="AG17" i="1"/>
  <c r="B8" i="12"/>
  <c r="B19" i="12"/>
  <c r="BB9" i="1"/>
  <c r="BB10" i="1"/>
  <c r="BB11" i="1"/>
  <c r="BB12" i="1"/>
  <c r="BB13" i="1"/>
  <c r="BB14" i="1"/>
  <c r="BB15" i="1"/>
  <c r="BB16" i="1"/>
  <c r="BB17" i="1"/>
  <c r="BB20" i="1"/>
  <c r="BB21" i="1"/>
  <c r="BB22" i="1"/>
  <c r="BB23" i="1"/>
  <c r="BB24" i="1"/>
  <c r="BB25" i="1"/>
  <c r="BB26" i="1"/>
  <c r="BB27" i="1"/>
  <c r="BB28" i="1"/>
  <c r="V7" i="11"/>
  <c r="BC9" i="1"/>
  <c r="BC10" i="1"/>
  <c r="BC11" i="1"/>
  <c r="BC12" i="1"/>
  <c r="BC13" i="1"/>
  <c r="BC14" i="1"/>
  <c r="BC15" i="1"/>
  <c r="BC16" i="1"/>
  <c r="BC17" i="1"/>
  <c r="BC20" i="1"/>
  <c r="BC21" i="1"/>
  <c r="BC22" i="1"/>
  <c r="BC23" i="1"/>
  <c r="BC24" i="1"/>
  <c r="BC25" i="1"/>
  <c r="BC26" i="1"/>
  <c r="BC27" i="1"/>
  <c r="BC28" i="1"/>
  <c r="W7" i="11"/>
  <c r="BD9" i="1"/>
  <c r="BD10" i="1"/>
  <c r="BD11" i="1"/>
  <c r="BD12" i="1"/>
  <c r="BD13" i="1"/>
  <c r="BD14" i="1"/>
  <c r="BD15" i="1"/>
  <c r="BD16" i="1"/>
  <c r="BD17" i="1"/>
  <c r="BD20" i="1"/>
  <c r="BD21" i="1"/>
  <c r="BD22" i="1"/>
  <c r="BD23" i="1"/>
  <c r="BE23" i="1"/>
  <c r="BF23" i="1"/>
  <c r="BD24" i="1"/>
  <c r="BD25" i="1"/>
  <c r="BD26" i="1"/>
  <c r="BD27" i="1"/>
  <c r="BD28" i="1"/>
  <c r="X7" i="11"/>
  <c r="BE9" i="1"/>
  <c r="BE10" i="1"/>
  <c r="BF10" i="1"/>
  <c r="BE11" i="1"/>
  <c r="BE12" i="1"/>
  <c r="BE13" i="1"/>
  <c r="BE14" i="1"/>
  <c r="BE15" i="1"/>
  <c r="BE16" i="1"/>
  <c r="BE17" i="1"/>
  <c r="BE20" i="1"/>
  <c r="BE21" i="1"/>
  <c r="BE22" i="1"/>
  <c r="BE24" i="1"/>
  <c r="BE25" i="1"/>
  <c r="BE26" i="1"/>
  <c r="BE27" i="1"/>
  <c r="BE28" i="1"/>
  <c r="Y7" i="11"/>
  <c r="BF9" i="1"/>
  <c r="BF11" i="1"/>
  <c r="BF12" i="1"/>
  <c r="BF13" i="1"/>
  <c r="BF14" i="1"/>
  <c r="BF15" i="1"/>
  <c r="BF16" i="1"/>
  <c r="BF17" i="1"/>
  <c r="BF20" i="1"/>
  <c r="BF21" i="1"/>
  <c r="BF22" i="1"/>
  <c r="BF24" i="1"/>
  <c r="BF25" i="1"/>
  <c r="BF26" i="1"/>
  <c r="BF27" i="1"/>
  <c r="BF28" i="1"/>
  <c r="Z7" i="11"/>
  <c r="A271" i="11"/>
  <c r="A272" i="11"/>
  <c r="A273" i="11"/>
  <c r="A274" i="11"/>
  <c r="A275" i="11"/>
  <c r="A276" i="11"/>
  <c r="A277" i="11"/>
  <c r="A278" i="11"/>
  <c r="A279" i="11"/>
  <c r="A270" i="11"/>
  <c r="A268" i="11"/>
  <c r="A260" i="11"/>
  <c r="A261" i="11"/>
  <c r="A262" i="11"/>
  <c r="A263" i="11"/>
  <c r="A264" i="11"/>
  <c r="A265" i="11"/>
  <c r="A266" i="11"/>
  <c r="A267" i="11"/>
  <c r="A259" i="11"/>
  <c r="A247" i="11"/>
  <c r="A248" i="11"/>
  <c r="A249" i="11"/>
  <c r="A250" i="11"/>
  <c r="A251" i="11"/>
  <c r="A252" i="11"/>
  <c r="A253" i="11"/>
  <c r="A254" i="11"/>
  <c r="A255" i="11"/>
  <c r="A246" i="11"/>
  <c r="A236" i="11"/>
  <c r="A237" i="11"/>
  <c r="A238" i="11"/>
  <c r="A239" i="11"/>
  <c r="A240" i="11"/>
  <c r="A241" i="11"/>
  <c r="A242" i="11"/>
  <c r="A243" i="11"/>
  <c r="A244" i="11"/>
  <c r="A235" i="11"/>
  <c r="A225" i="11"/>
  <c r="A226" i="11"/>
  <c r="A227" i="11"/>
  <c r="A228" i="11"/>
  <c r="A229" i="11"/>
  <c r="A230" i="11"/>
  <c r="A231" i="11"/>
  <c r="A232" i="11"/>
  <c r="A233" i="11"/>
  <c r="A224" i="11"/>
  <c r="A214" i="11"/>
  <c r="A215" i="11"/>
  <c r="A216" i="11"/>
  <c r="A217" i="11"/>
  <c r="A218" i="11"/>
  <c r="A219" i="11"/>
  <c r="A220" i="11"/>
  <c r="A221" i="11"/>
  <c r="A222" i="11"/>
  <c r="A213" i="11"/>
  <c r="A202" i="11"/>
  <c r="A203" i="11"/>
  <c r="A204" i="11"/>
  <c r="A205" i="11"/>
  <c r="A206" i="11"/>
  <c r="A207" i="11"/>
  <c r="A208" i="11"/>
  <c r="A209" i="11"/>
  <c r="A210" i="11"/>
  <c r="A191" i="11"/>
  <c r="A192" i="11"/>
  <c r="A193" i="11"/>
  <c r="A194" i="11"/>
  <c r="A195" i="11"/>
  <c r="A196" i="11"/>
  <c r="A197" i="11"/>
  <c r="A198" i="11"/>
  <c r="A199" i="11"/>
  <c r="A201" i="11"/>
  <c r="A190" i="11"/>
  <c r="A180" i="11"/>
  <c r="A181" i="11"/>
  <c r="A182" i="11"/>
  <c r="A183" i="11"/>
  <c r="A184" i="11"/>
  <c r="A185" i="11"/>
  <c r="A186" i="11"/>
  <c r="A187" i="11"/>
  <c r="A188" i="11"/>
  <c r="A179" i="11"/>
  <c r="A169" i="11"/>
  <c r="A170" i="11"/>
  <c r="A171" i="11"/>
  <c r="A172" i="11"/>
  <c r="A173" i="11"/>
  <c r="A174" i="11"/>
  <c r="A175" i="11"/>
  <c r="A176" i="11"/>
  <c r="A177" i="11"/>
  <c r="A168" i="11"/>
  <c r="A166" i="11"/>
  <c r="A158" i="11"/>
  <c r="A159" i="11"/>
  <c r="A160" i="11"/>
  <c r="A161" i="11"/>
  <c r="A162" i="11"/>
  <c r="A163" i="11"/>
  <c r="A164" i="11"/>
  <c r="A165" i="11"/>
  <c r="A157" i="11"/>
  <c r="A146" i="11"/>
  <c r="A147" i="11"/>
  <c r="A148" i="11"/>
  <c r="A149" i="11"/>
  <c r="A150" i="11"/>
  <c r="A151" i="11"/>
  <c r="A152" i="11"/>
  <c r="A153" i="11"/>
  <c r="A154" i="11"/>
  <c r="A145" i="11"/>
  <c r="A135" i="11"/>
  <c r="A136" i="11"/>
  <c r="A137" i="11"/>
  <c r="A138" i="11"/>
  <c r="A139" i="11"/>
  <c r="A140" i="11"/>
  <c r="A141" i="11"/>
  <c r="A142" i="11"/>
  <c r="A143" i="11"/>
  <c r="A134" i="11"/>
  <c r="A124" i="11"/>
  <c r="A125" i="11"/>
  <c r="A126" i="11"/>
  <c r="A127" i="11"/>
  <c r="A128" i="11"/>
  <c r="A129" i="11"/>
  <c r="A130" i="11"/>
  <c r="A131" i="11"/>
  <c r="A132" i="11"/>
  <c r="A123" i="11"/>
  <c r="A113" i="11"/>
  <c r="A114" i="11"/>
  <c r="A115" i="11"/>
  <c r="A116" i="11"/>
  <c r="A117" i="11"/>
  <c r="A118" i="11"/>
  <c r="A119" i="11"/>
  <c r="A120" i="11"/>
  <c r="A121" i="11"/>
  <c r="A112" i="11"/>
  <c r="A102" i="11"/>
  <c r="A103" i="11"/>
  <c r="A104" i="11"/>
  <c r="A105" i="11"/>
  <c r="A106" i="11"/>
  <c r="A107" i="11"/>
  <c r="A108" i="11"/>
  <c r="A109" i="11"/>
  <c r="A110" i="11"/>
  <c r="A101" i="11"/>
  <c r="A88" i="11"/>
  <c r="A89" i="11"/>
  <c r="A90" i="11"/>
  <c r="A91" i="11"/>
  <c r="A92" i="11"/>
  <c r="A93" i="11"/>
  <c r="A94" i="11"/>
  <c r="A95" i="11"/>
  <c r="A96" i="11"/>
  <c r="A87" i="11"/>
  <c r="A76" i="11"/>
  <c r="A77" i="11"/>
  <c r="A78" i="11"/>
  <c r="A79" i="11"/>
  <c r="A80" i="11"/>
  <c r="A81" i="11"/>
  <c r="A82" i="11"/>
  <c r="A83" i="11"/>
  <c r="A84" i="11"/>
  <c r="A75" i="11"/>
  <c r="A65" i="11"/>
  <c r="A66" i="11"/>
  <c r="A67" i="11"/>
  <c r="A68" i="11"/>
  <c r="A69" i="11"/>
  <c r="A70" i="11"/>
  <c r="A71" i="11"/>
  <c r="A72" i="11"/>
  <c r="A73" i="11"/>
  <c r="A64" i="11"/>
  <c r="BB32" i="1"/>
  <c r="BC32" i="1"/>
  <c r="BD32" i="1"/>
  <c r="BE32" i="1"/>
  <c r="BF32" i="1"/>
  <c r="BB33" i="1"/>
  <c r="BC33" i="1"/>
  <c r="BD33" i="1"/>
  <c r="BE33" i="1"/>
  <c r="BF33" i="1"/>
  <c r="BB34" i="1"/>
  <c r="BC34" i="1"/>
  <c r="BD34" i="1"/>
  <c r="BE34" i="1"/>
  <c r="BF34" i="1"/>
  <c r="BB35" i="1"/>
  <c r="BC35" i="1"/>
  <c r="BD35" i="1"/>
  <c r="BE35" i="1"/>
  <c r="BF35" i="1"/>
  <c r="BB36" i="1"/>
  <c r="BC36" i="1"/>
  <c r="BD36" i="1"/>
  <c r="BE36" i="1"/>
  <c r="BF36" i="1"/>
  <c r="BB37" i="1"/>
  <c r="BC37" i="1"/>
  <c r="BD37" i="1"/>
  <c r="BE37" i="1"/>
  <c r="BF37" i="1"/>
  <c r="BB38" i="1"/>
  <c r="BC38" i="1"/>
  <c r="BD38" i="1"/>
  <c r="BE38" i="1"/>
  <c r="BF38" i="1"/>
  <c r="BB39" i="1"/>
  <c r="BC39" i="1"/>
  <c r="BD39" i="1"/>
  <c r="BE39" i="1"/>
  <c r="BF39" i="1"/>
  <c r="BB40" i="1"/>
  <c r="BC40" i="1"/>
  <c r="BD40" i="1"/>
  <c r="BE40" i="1"/>
  <c r="BF40" i="1"/>
  <c r="BB45" i="1"/>
  <c r="BC45" i="1"/>
  <c r="BD45" i="1"/>
  <c r="BE45" i="1"/>
  <c r="BF45" i="1"/>
  <c r="BB46" i="1"/>
  <c r="BC46" i="1"/>
  <c r="BD46" i="1"/>
  <c r="BE46" i="1"/>
  <c r="BF46" i="1"/>
  <c r="BB47" i="1"/>
  <c r="BC47" i="1"/>
  <c r="BD47" i="1"/>
  <c r="BE47" i="1"/>
  <c r="BF47" i="1"/>
  <c r="BB48" i="1"/>
  <c r="BC48" i="1"/>
  <c r="BD48" i="1"/>
  <c r="BE48" i="1"/>
  <c r="BF48" i="1"/>
  <c r="BB49" i="1"/>
  <c r="BC49" i="1"/>
  <c r="BD49" i="1"/>
  <c r="BE49" i="1"/>
  <c r="BF49" i="1"/>
  <c r="BB50" i="1"/>
  <c r="BC50" i="1"/>
  <c r="BD50" i="1"/>
  <c r="BE50" i="1"/>
  <c r="BF50" i="1"/>
  <c r="BB51" i="1"/>
  <c r="BC51" i="1"/>
  <c r="BD51" i="1"/>
  <c r="BE51" i="1"/>
  <c r="BF51" i="1"/>
  <c r="BB52" i="1"/>
  <c r="BC52" i="1"/>
  <c r="BD52" i="1"/>
  <c r="BE52" i="1"/>
  <c r="BF52" i="1"/>
  <c r="BB53" i="1"/>
  <c r="BC53" i="1"/>
  <c r="BD53" i="1"/>
  <c r="BE53" i="1"/>
  <c r="BF53" i="1"/>
  <c r="BB54" i="1"/>
  <c r="BC54" i="1"/>
  <c r="BD54" i="1"/>
  <c r="BE54" i="1"/>
  <c r="BF54" i="1"/>
  <c r="BB56" i="1"/>
  <c r="BC56" i="1"/>
  <c r="BD56" i="1"/>
  <c r="BE56" i="1"/>
  <c r="BF56" i="1"/>
  <c r="BB57" i="1"/>
  <c r="BC57" i="1"/>
  <c r="BD57" i="1"/>
  <c r="BE57" i="1"/>
  <c r="BF57" i="1"/>
  <c r="BB58" i="1"/>
  <c r="BC58" i="1"/>
  <c r="BD58" i="1"/>
  <c r="BE58" i="1"/>
  <c r="BF58" i="1"/>
  <c r="BB59" i="1"/>
  <c r="BC59" i="1"/>
  <c r="BD59" i="1"/>
  <c r="BE59" i="1"/>
  <c r="BF59" i="1"/>
  <c r="BB60" i="1"/>
  <c r="BC60" i="1"/>
  <c r="BD60" i="1"/>
  <c r="BE60" i="1"/>
  <c r="BF60" i="1"/>
  <c r="BB61" i="1"/>
  <c r="BC61" i="1"/>
  <c r="BD61" i="1"/>
  <c r="BE61" i="1"/>
  <c r="BF61" i="1"/>
  <c r="BB62" i="1"/>
  <c r="BC62" i="1"/>
  <c r="BD62" i="1"/>
  <c r="BE62" i="1"/>
  <c r="BF62" i="1"/>
  <c r="BB63" i="1"/>
  <c r="BC63" i="1"/>
  <c r="BD63" i="1"/>
  <c r="BE63" i="1"/>
  <c r="BF63" i="1"/>
  <c r="BB64" i="1"/>
  <c r="BC64" i="1"/>
  <c r="BD64" i="1"/>
  <c r="BE64" i="1"/>
  <c r="BF64" i="1"/>
  <c r="BB65" i="1"/>
  <c r="BC65" i="1"/>
  <c r="BD65" i="1"/>
  <c r="BE65" i="1"/>
  <c r="BF65" i="1"/>
  <c r="BB67" i="1"/>
  <c r="BC67" i="1"/>
  <c r="BD67" i="1"/>
  <c r="BE67" i="1"/>
  <c r="BF67" i="1"/>
  <c r="BB68" i="1"/>
  <c r="BC68" i="1"/>
  <c r="BD68" i="1"/>
  <c r="BE68" i="1"/>
  <c r="BF68" i="1"/>
  <c r="BB69" i="1"/>
  <c r="BC69" i="1"/>
  <c r="BD69" i="1"/>
  <c r="BE69" i="1"/>
  <c r="BF69" i="1"/>
  <c r="BB70" i="1"/>
  <c r="BC70" i="1"/>
  <c r="BD70" i="1"/>
  <c r="BE70" i="1"/>
  <c r="BF70" i="1"/>
  <c r="BB71" i="1"/>
  <c r="BC71" i="1"/>
  <c r="BD71" i="1"/>
  <c r="BE71" i="1"/>
  <c r="BF71" i="1"/>
  <c r="BB72" i="1"/>
  <c r="BC72" i="1"/>
  <c r="BD72" i="1"/>
  <c r="BE72" i="1"/>
  <c r="BF72" i="1"/>
  <c r="BB73" i="1"/>
  <c r="BC73" i="1"/>
  <c r="BD73" i="1"/>
  <c r="BE73" i="1"/>
  <c r="BF73" i="1"/>
  <c r="BB74" i="1"/>
  <c r="BC74" i="1"/>
  <c r="BD74" i="1"/>
  <c r="BE74" i="1"/>
  <c r="BF74" i="1"/>
  <c r="BB75" i="1"/>
  <c r="BC75" i="1"/>
  <c r="BD75" i="1"/>
  <c r="BE75" i="1"/>
  <c r="BF75" i="1"/>
  <c r="BB76" i="1"/>
  <c r="BC76" i="1"/>
  <c r="BD76" i="1"/>
  <c r="BE76" i="1"/>
  <c r="BF76" i="1"/>
  <c r="BB78" i="1"/>
  <c r="BC78" i="1"/>
  <c r="BD78" i="1"/>
  <c r="BE78" i="1"/>
  <c r="BF78" i="1"/>
  <c r="BB79" i="1"/>
  <c r="BC79" i="1"/>
  <c r="BD79" i="1"/>
  <c r="BE79" i="1"/>
  <c r="BF79" i="1"/>
  <c r="BB80" i="1"/>
  <c r="BC80" i="1"/>
  <c r="BD80" i="1"/>
  <c r="BE80" i="1"/>
  <c r="BF80" i="1"/>
  <c r="BB81" i="1"/>
  <c r="BC81" i="1"/>
  <c r="BD81" i="1"/>
  <c r="BE81" i="1"/>
  <c r="BF81" i="1"/>
  <c r="BB82" i="1"/>
  <c r="BC82" i="1"/>
  <c r="BD82" i="1"/>
  <c r="BE82" i="1"/>
  <c r="BF82" i="1"/>
  <c r="BB83" i="1"/>
  <c r="BC83" i="1"/>
  <c r="BD83" i="1"/>
  <c r="BE83" i="1"/>
  <c r="BF83" i="1"/>
  <c r="BB84" i="1"/>
  <c r="BC84" i="1"/>
  <c r="BD84" i="1"/>
  <c r="BE84" i="1"/>
  <c r="BF84" i="1"/>
  <c r="BB85" i="1"/>
  <c r="BC85" i="1"/>
  <c r="BD85" i="1"/>
  <c r="BE85" i="1"/>
  <c r="BF85" i="1"/>
  <c r="BB86" i="1"/>
  <c r="BC86" i="1"/>
  <c r="BD86" i="1"/>
  <c r="BE86" i="1"/>
  <c r="BF86" i="1"/>
  <c r="BB87" i="1"/>
  <c r="BC87" i="1"/>
  <c r="BD87" i="1"/>
  <c r="BE87" i="1"/>
  <c r="BF87" i="1"/>
  <c r="BB89" i="1"/>
  <c r="BC89" i="1"/>
  <c r="BD89" i="1"/>
  <c r="BE89" i="1"/>
  <c r="BF89" i="1"/>
  <c r="BB90" i="1"/>
  <c r="BC90" i="1"/>
  <c r="BD90" i="1"/>
  <c r="BE90" i="1"/>
  <c r="BF90" i="1"/>
  <c r="BB91" i="1"/>
  <c r="BC91" i="1"/>
  <c r="BD91" i="1"/>
  <c r="BE91" i="1"/>
  <c r="BF91" i="1"/>
  <c r="BB92" i="1"/>
  <c r="BC92" i="1"/>
  <c r="BD92" i="1"/>
  <c r="BE92" i="1"/>
  <c r="BF92" i="1"/>
  <c r="BB93" i="1"/>
  <c r="BC93" i="1"/>
  <c r="BD93" i="1"/>
  <c r="BE93" i="1"/>
  <c r="BF93" i="1"/>
  <c r="BB94" i="1"/>
  <c r="BC94" i="1"/>
  <c r="BD94" i="1"/>
  <c r="BE94" i="1"/>
  <c r="BF94" i="1"/>
  <c r="BB95" i="1"/>
  <c r="BC95" i="1"/>
  <c r="BD95" i="1"/>
  <c r="BE95" i="1"/>
  <c r="BF95" i="1"/>
  <c r="BB96" i="1"/>
  <c r="BC96" i="1"/>
  <c r="BD96" i="1"/>
  <c r="BE96" i="1"/>
  <c r="BF96" i="1"/>
  <c r="BB97" i="1"/>
  <c r="BC97" i="1"/>
  <c r="BD97" i="1"/>
  <c r="BE97" i="1"/>
  <c r="BF97" i="1"/>
  <c r="BB98" i="1"/>
  <c r="BC98" i="1"/>
  <c r="BD98" i="1"/>
  <c r="BE98" i="1"/>
  <c r="BF98" i="1"/>
  <c r="BB101" i="1"/>
  <c r="BC101" i="1"/>
  <c r="BD101" i="1"/>
  <c r="BE101" i="1"/>
  <c r="BF101" i="1"/>
  <c r="BB102" i="1"/>
  <c r="BC102" i="1"/>
  <c r="BD102" i="1"/>
  <c r="BE102" i="1"/>
  <c r="BF102" i="1"/>
  <c r="BB103" i="1"/>
  <c r="BC103" i="1"/>
  <c r="BD103" i="1"/>
  <c r="BE103" i="1"/>
  <c r="BF103" i="1"/>
  <c r="BB104" i="1"/>
  <c r="BC104" i="1"/>
  <c r="BD104" i="1"/>
  <c r="BE104" i="1"/>
  <c r="BF104" i="1"/>
  <c r="BB105" i="1"/>
  <c r="BC105" i="1"/>
  <c r="BD105" i="1"/>
  <c r="BE105" i="1"/>
  <c r="BF105" i="1"/>
  <c r="BB106" i="1"/>
  <c r="BC106" i="1"/>
  <c r="BD106" i="1"/>
  <c r="BE106" i="1"/>
  <c r="BF106" i="1"/>
  <c r="BB107" i="1"/>
  <c r="BC107" i="1"/>
  <c r="BD107" i="1"/>
  <c r="BE107" i="1"/>
  <c r="BF107" i="1"/>
  <c r="BB108" i="1"/>
  <c r="BC108" i="1"/>
  <c r="BD108" i="1"/>
  <c r="BE108" i="1"/>
  <c r="BF108" i="1"/>
  <c r="BB109" i="1"/>
  <c r="BC109" i="1"/>
  <c r="BD109" i="1"/>
  <c r="BE109" i="1"/>
  <c r="BF109" i="1"/>
  <c r="BB110" i="1"/>
  <c r="BC110" i="1"/>
  <c r="BD110" i="1"/>
  <c r="BE110" i="1"/>
  <c r="BF110" i="1"/>
  <c r="BB112" i="1"/>
  <c r="BC112" i="1"/>
  <c r="BD112" i="1"/>
  <c r="BE112" i="1"/>
  <c r="BF112" i="1"/>
  <c r="BB113" i="1"/>
  <c r="BC113" i="1"/>
  <c r="BD113" i="1"/>
  <c r="BE113" i="1"/>
  <c r="BF113" i="1"/>
  <c r="BB114" i="1"/>
  <c r="BC114" i="1"/>
  <c r="BD114" i="1"/>
  <c r="BE114" i="1"/>
  <c r="BF114" i="1"/>
  <c r="BB115" i="1"/>
  <c r="BC115" i="1"/>
  <c r="BD115" i="1"/>
  <c r="BE115" i="1"/>
  <c r="BF115" i="1"/>
  <c r="BB116" i="1"/>
  <c r="BC116" i="1"/>
  <c r="BD116" i="1"/>
  <c r="BE116" i="1"/>
  <c r="BF116" i="1"/>
  <c r="BB117" i="1"/>
  <c r="BC117" i="1"/>
  <c r="BD117" i="1"/>
  <c r="BE117" i="1"/>
  <c r="BF117" i="1"/>
  <c r="BB118" i="1"/>
  <c r="BC118" i="1"/>
  <c r="BD118" i="1"/>
  <c r="BE118" i="1"/>
  <c r="BF118" i="1"/>
  <c r="BB119" i="1"/>
  <c r="BC119" i="1"/>
  <c r="BD119" i="1"/>
  <c r="BE119" i="1"/>
  <c r="BF119" i="1"/>
  <c r="BB120" i="1"/>
  <c r="BC120" i="1"/>
  <c r="BD120" i="1"/>
  <c r="BE120" i="1"/>
  <c r="BF120" i="1"/>
  <c r="BB121" i="1"/>
  <c r="BC121" i="1"/>
  <c r="BD121" i="1"/>
  <c r="BE121" i="1"/>
  <c r="BF121" i="1"/>
  <c r="BB123" i="1"/>
  <c r="BC123" i="1"/>
  <c r="BD123" i="1"/>
  <c r="BE123" i="1"/>
  <c r="BF123" i="1"/>
  <c r="BB124" i="1"/>
  <c r="BC124" i="1"/>
  <c r="BD124" i="1"/>
  <c r="BE124" i="1"/>
  <c r="BF124" i="1"/>
  <c r="BB125" i="1"/>
  <c r="BC125" i="1"/>
  <c r="BD125" i="1"/>
  <c r="BE125" i="1"/>
  <c r="BF125" i="1"/>
  <c r="BB126" i="1"/>
  <c r="BC126" i="1"/>
  <c r="BD126" i="1"/>
  <c r="BE126" i="1"/>
  <c r="BF126" i="1"/>
  <c r="BB127" i="1"/>
  <c r="BC127" i="1"/>
  <c r="BD127" i="1"/>
  <c r="BE127" i="1"/>
  <c r="BF127" i="1"/>
  <c r="BB128" i="1"/>
  <c r="BC128" i="1"/>
  <c r="BD128" i="1"/>
  <c r="BE128" i="1"/>
  <c r="BF128" i="1"/>
  <c r="BB129" i="1"/>
  <c r="BC129" i="1"/>
  <c r="BD129" i="1"/>
  <c r="BE129" i="1"/>
  <c r="BF129" i="1"/>
  <c r="BB130" i="1"/>
  <c r="BC130" i="1"/>
  <c r="BD130" i="1"/>
  <c r="BE130" i="1"/>
  <c r="BF130" i="1"/>
  <c r="BB131" i="1"/>
  <c r="BC131" i="1"/>
  <c r="BD131" i="1"/>
  <c r="BE131" i="1"/>
  <c r="BF131" i="1"/>
  <c r="BB132" i="1"/>
  <c r="BC132" i="1"/>
  <c r="BD132" i="1"/>
  <c r="BE132" i="1"/>
  <c r="BF132" i="1"/>
  <c r="BB134" i="1"/>
  <c r="BC134" i="1"/>
  <c r="BD134" i="1"/>
  <c r="BE134" i="1"/>
  <c r="BF134" i="1"/>
  <c r="BB135" i="1"/>
  <c r="BC135" i="1"/>
  <c r="BD135" i="1"/>
  <c r="BE135" i="1"/>
  <c r="BF135" i="1"/>
  <c r="BB136" i="1"/>
  <c r="BC136" i="1"/>
  <c r="BD136" i="1"/>
  <c r="BE136" i="1"/>
  <c r="BF136" i="1"/>
  <c r="BB137" i="1"/>
  <c r="BC137" i="1"/>
  <c r="BD137" i="1"/>
  <c r="BE137" i="1"/>
  <c r="BF137" i="1"/>
  <c r="BB138" i="1"/>
  <c r="BC138" i="1"/>
  <c r="BD138" i="1"/>
  <c r="BE138" i="1"/>
  <c r="BF138" i="1"/>
  <c r="BB139" i="1"/>
  <c r="BC139" i="1"/>
  <c r="BD139" i="1"/>
  <c r="BE139" i="1"/>
  <c r="BF139" i="1"/>
  <c r="BB140" i="1"/>
  <c r="BC140" i="1"/>
  <c r="BD140" i="1"/>
  <c r="BE140" i="1"/>
  <c r="BF140" i="1"/>
  <c r="BB141" i="1"/>
  <c r="BC141" i="1"/>
  <c r="BD141" i="1"/>
  <c r="BE141" i="1"/>
  <c r="BF141" i="1"/>
  <c r="BB142" i="1"/>
  <c r="BC142" i="1"/>
  <c r="BD142" i="1"/>
  <c r="BE142" i="1"/>
  <c r="BF142" i="1"/>
  <c r="BB143" i="1"/>
  <c r="BC143" i="1"/>
  <c r="BD143" i="1"/>
  <c r="BE143" i="1"/>
  <c r="BF143" i="1"/>
  <c r="BB145" i="1"/>
  <c r="BC145" i="1"/>
  <c r="BD145" i="1"/>
  <c r="BE145" i="1"/>
  <c r="BF145" i="1"/>
  <c r="BB146" i="1"/>
  <c r="BC146" i="1"/>
  <c r="BD146" i="1"/>
  <c r="BE146" i="1"/>
  <c r="BF146" i="1"/>
  <c r="BB147" i="1"/>
  <c r="BC147" i="1"/>
  <c r="BD147" i="1"/>
  <c r="BE147" i="1"/>
  <c r="BF147" i="1"/>
  <c r="BB148" i="1"/>
  <c r="BC148" i="1"/>
  <c r="BD148" i="1"/>
  <c r="BE148" i="1"/>
  <c r="BF148" i="1"/>
  <c r="BB149" i="1"/>
  <c r="BC149" i="1"/>
  <c r="BD149" i="1"/>
  <c r="BE149" i="1"/>
  <c r="BF149" i="1"/>
  <c r="BB150" i="1"/>
  <c r="BC150" i="1"/>
  <c r="BD150" i="1"/>
  <c r="BE150" i="1"/>
  <c r="BF150" i="1"/>
  <c r="BB151" i="1"/>
  <c r="BC151" i="1"/>
  <c r="BD151" i="1"/>
  <c r="BE151" i="1"/>
  <c r="BF151" i="1"/>
  <c r="BB152" i="1"/>
  <c r="BC152" i="1"/>
  <c r="BD152" i="1"/>
  <c r="BE152" i="1"/>
  <c r="BF152" i="1"/>
  <c r="BB153" i="1"/>
  <c r="BC153" i="1"/>
  <c r="BD153" i="1"/>
  <c r="BE153" i="1"/>
  <c r="BF153" i="1"/>
  <c r="BB154" i="1"/>
  <c r="BC154" i="1"/>
  <c r="BD154" i="1"/>
  <c r="BE154" i="1"/>
  <c r="BF154" i="1"/>
  <c r="BB157" i="1"/>
  <c r="BC157" i="1"/>
  <c r="BD157" i="1"/>
  <c r="BE157" i="1"/>
  <c r="BF157" i="1"/>
  <c r="BB158" i="1"/>
  <c r="BC158" i="1"/>
  <c r="BD158" i="1"/>
  <c r="BE158" i="1"/>
  <c r="BF158" i="1"/>
  <c r="BB159" i="1"/>
  <c r="BC159" i="1"/>
  <c r="BD159" i="1"/>
  <c r="BE159" i="1"/>
  <c r="BF159" i="1"/>
  <c r="BB160" i="1"/>
  <c r="BC160" i="1"/>
  <c r="BD160" i="1"/>
  <c r="BE160" i="1"/>
  <c r="BF160" i="1"/>
  <c r="BB161" i="1"/>
  <c r="BC161" i="1"/>
  <c r="BD161" i="1"/>
  <c r="BE161" i="1"/>
  <c r="BF161" i="1"/>
  <c r="BB162" i="1"/>
  <c r="BC162" i="1"/>
  <c r="BD162" i="1"/>
  <c r="BE162" i="1"/>
  <c r="BF162" i="1"/>
  <c r="BB163" i="1"/>
  <c r="BC163" i="1"/>
  <c r="BD163" i="1"/>
  <c r="BE163" i="1"/>
  <c r="BF163" i="1"/>
  <c r="BB164" i="1"/>
  <c r="BC164" i="1"/>
  <c r="BD164" i="1"/>
  <c r="BE164" i="1"/>
  <c r="BF164" i="1"/>
  <c r="BB165" i="1"/>
  <c r="BC165" i="1"/>
  <c r="BD165" i="1"/>
  <c r="BE165" i="1"/>
  <c r="BF165" i="1"/>
  <c r="BB166" i="1"/>
  <c r="BC166" i="1"/>
  <c r="BD166" i="1"/>
  <c r="BE166" i="1"/>
  <c r="BF166" i="1"/>
  <c r="BB168" i="1"/>
  <c r="BC168" i="1"/>
  <c r="BD168" i="1"/>
  <c r="BE168" i="1"/>
  <c r="BF168" i="1"/>
  <c r="BB169" i="1"/>
  <c r="BC169" i="1"/>
  <c r="BD169" i="1"/>
  <c r="BE169" i="1"/>
  <c r="BF169" i="1"/>
  <c r="BB170" i="1"/>
  <c r="BC170" i="1"/>
  <c r="BD170" i="1"/>
  <c r="BE170" i="1"/>
  <c r="BF170" i="1"/>
  <c r="BB171" i="1"/>
  <c r="BC171" i="1"/>
  <c r="BD171" i="1"/>
  <c r="BE171" i="1"/>
  <c r="BF171" i="1"/>
  <c r="BB172" i="1"/>
  <c r="BC172" i="1"/>
  <c r="BD172" i="1"/>
  <c r="BE172" i="1"/>
  <c r="BF172" i="1"/>
  <c r="BB173" i="1"/>
  <c r="BC173" i="1"/>
  <c r="BD173" i="1"/>
  <c r="BE173" i="1"/>
  <c r="BF173" i="1"/>
  <c r="BB174" i="1"/>
  <c r="BC174" i="1"/>
  <c r="BD174" i="1"/>
  <c r="BE174" i="1"/>
  <c r="BF174" i="1"/>
  <c r="BB175" i="1"/>
  <c r="BC175" i="1"/>
  <c r="BD175" i="1"/>
  <c r="BE175" i="1"/>
  <c r="BF175" i="1"/>
  <c r="BB176" i="1"/>
  <c r="BC176" i="1"/>
  <c r="BD176" i="1"/>
  <c r="BE176" i="1"/>
  <c r="BF176" i="1"/>
  <c r="BB177" i="1"/>
  <c r="BC177" i="1"/>
  <c r="BD177" i="1"/>
  <c r="BE177" i="1"/>
  <c r="BF177" i="1"/>
  <c r="BB179" i="1"/>
  <c r="BC179" i="1"/>
  <c r="BD179" i="1"/>
  <c r="BE179" i="1"/>
  <c r="BF179" i="1"/>
  <c r="BB180" i="1"/>
  <c r="BC180" i="1"/>
  <c r="BD180" i="1"/>
  <c r="BE180" i="1"/>
  <c r="BF180" i="1"/>
  <c r="BB181" i="1"/>
  <c r="BC181" i="1"/>
  <c r="BD181" i="1"/>
  <c r="BE181" i="1"/>
  <c r="BF181" i="1"/>
  <c r="BB182" i="1"/>
  <c r="BC182" i="1"/>
  <c r="BD182" i="1"/>
  <c r="BE182" i="1"/>
  <c r="BF182" i="1"/>
  <c r="BB183" i="1"/>
  <c r="BC183" i="1"/>
  <c r="BD183" i="1"/>
  <c r="BE183" i="1"/>
  <c r="BF183" i="1"/>
  <c r="BB184" i="1"/>
  <c r="BC184" i="1"/>
  <c r="BD184" i="1"/>
  <c r="BE184" i="1"/>
  <c r="BF184" i="1"/>
  <c r="BB185" i="1"/>
  <c r="BC185" i="1"/>
  <c r="BD185" i="1"/>
  <c r="BE185" i="1"/>
  <c r="BF185" i="1"/>
  <c r="BB186" i="1"/>
  <c r="BC186" i="1"/>
  <c r="BD186" i="1"/>
  <c r="BE186" i="1"/>
  <c r="BF186" i="1"/>
  <c r="BB187" i="1"/>
  <c r="BC187" i="1"/>
  <c r="BD187" i="1"/>
  <c r="BE187" i="1"/>
  <c r="BF187" i="1"/>
  <c r="BB188" i="1"/>
  <c r="BC188" i="1"/>
  <c r="BD188" i="1"/>
  <c r="BE188" i="1"/>
  <c r="BF188" i="1"/>
  <c r="BB190" i="1"/>
  <c r="BC190" i="1"/>
  <c r="BD190" i="1"/>
  <c r="BE190" i="1"/>
  <c r="BF190" i="1"/>
  <c r="BB191" i="1"/>
  <c r="BC191" i="1"/>
  <c r="BD191" i="1"/>
  <c r="BE191" i="1"/>
  <c r="BF191" i="1"/>
  <c r="BB192" i="1"/>
  <c r="BC192" i="1"/>
  <c r="BD192" i="1"/>
  <c r="BE192" i="1"/>
  <c r="BF192" i="1"/>
  <c r="BB193" i="1"/>
  <c r="BC193" i="1"/>
  <c r="BD193" i="1"/>
  <c r="BE193" i="1"/>
  <c r="BF193" i="1"/>
  <c r="BB194" i="1"/>
  <c r="BC194" i="1"/>
  <c r="BD194" i="1"/>
  <c r="BE194" i="1"/>
  <c r="BF194" i="1"/>
  <c r="BB195" i="1"/>
  <c r="BC195" i="1"/>
  <c r="BD195" i="1"/>
  <c r="BE195" i="1"/>
  <c r="BF195" i="1"/>
  <c r="BB196" i="1"/>
  <c r="BC196" i="1"/>
  <c r="BD196" i="1"/>
  <c r="BE196" i="1"/>
  <c r="BF196" i="1"/>
  <c r="BB197" i="1"/>
  <c r="BC197" i="1"/>
  <c r="BD197" i="1"/>
  <c r="BE197" i="1"/>
  <c r="BF197" i="1"/>
  <c r="BB198" i="1"/>
  <c r="BC198" i="1"/>
  <c r="BD198" i="1"/>
  <c r="BE198" i="1"/>
  <c r="BF198" i="1"/>
  <c r="BB199" i="1"/>
  <c r="BC199" i="1"/>
  <c r="BD199" i="1"/>
  <c r="BE199" i="1"/>
  <c r="BF199" i="1"/>
  <c r="BB203" i="1"/>
  <c r="BC203" i="1"/>
  <c r="BD203" i="1"/>
  <c r="BE203" i="1"/>
  <c r="BF203" i="1"/>
  <c r="BB204" i="1"/>
  <c r="BC204" i="1"/>
  <c r="BD204" i="1"/>
  <c r="BE204" i="1"/>
  <c r="BF204" i="1"/>
  <c r="BB205" i="1"/>
  <c r="BC205" i="1"/>
  <c r="BD205" i="1"/>
  <c r="BE205" i="1"/>
  <c r="BF205" i="1"/>
  <c r="BB206" i="1"/>
  <c r="BC206" i="1"/>
  <c r="BD206" i="1"/>
  <c r="BE206" i="1"/>
  <c r="BF206" i="1"/>
  <c r="BB207" i="1"/>
  <c r="BC207" i="1"/>
  <c r="BD207" i="1"/>
  <c r="BE207" i="1"/>
  <c r="BF207" i="1"/>
  <c r="BB208" i="1"/>
  <c r="BC208" i="1"/>
  <c r="BD208" i="1"/>
  <c r="BE208" i="1"/>
  <c r="BF208" i="1"/>
  <c r="BB209" i="1"/>
  <c r="BC209" i="1"/>
  <c r="BD209" i="1"/>
  <c r="BE209" i="1"/>
  <c r="BF209" i="1"/>
  <c r="BB210" i="1"/>
  <c r="BC210" i="1"/>
  <c r="BD210" i="1"/>
  <c r="BE210" i="1"/>
  <c r="BF210" i="1"/>
  <c r="BB211" i="1"/>
  <c r="BC211" i="1"/>
  <c r="BD211" i="1"/>
  <c r="BE211" i="1"/>
  <c r="BF211" i="1"/>
  <c r="BB212" i="1"/>
  <c r="BC212" i="1"/>
  <c r="BD212" i="1"/>
  <c r="BE212" i="1"/>
  <c r="BF212" i="1"/>
  <c r="BB214" i="1"/>
  <c r="BC214" i="1"/>
  <c r="BD214" i="1"/>
  <c r="BE214" i="1"/>
  <c r="BF214" i="1"/>
  <c r="BB215" i="1"/>
  <c r="BC215" i="1"/>
  <c r="BD215" i="1"/>
  <c r="BE215" i="1"/>
  <c r="BF215" i="1"/>
  <c r="BB216" i="1"/>
  <c r="BC216" i="1"/>
  <c r="BD216" i="1"/>
  <c r="BE216" i="1"/>
  <c r="BF216" i="1"/>
  <c r="BB217" i="1"/>
  <c r="BC217" i="1"/>
  <c r="BD217" i="1"/>
  <c r="BE217" i="1"/>
  <c r="BF217" i="1"/>
  <c r="BB218" i="1"/>
  <c r="BC218" i="1"/>
  <c r="BD218" i="1"/>
  <c r="BE218" i="1"/>
  <c r="BF218" i="1"/>
  <c r="BB219" i="1"/>
  <c r="BC219" i="1"/>
  <c r="BD219" i="1"/>
  <c r="BE219" i="1"/>
  <c r="BF219" i="1"/>
  <c r="BB220" i="1"/>
  <c r="BC220" i="1"/>
  <c r="BD220" i="1"/>
  <c r="BE220" i="1"/>
  <c r="BF220" i="1"/>
  <c r="BB221" i="1"/>
  <c r="BC221" i="1"/>
  <c r="BD221" i="1"/>
  <c r="BE221" i="1"/>
  <c r="BF221" i="1"/>
  <c r="BB222" i="1"/>
  <c r="BC222" i="1"/>
  <c r="BD222" i="1"/>
  <c r="BE222" i="1"/>
  <c r="BF222" i="1"/>
  <c r="BB223" i="1"/>
  <c r="BC223" i="1"/>
  <c r="BD223" i="1"/>
  <c r="BE223" i="1"/>
  <c r="BF223" i="1"/>
  <c r="AM224" i="1"/>
  <c r="AN224" i="1"/>
  <c r="AO224" i="1"/>
  <c r="AP224" i="1"/>
  <c r="AQ224" i="1"/>
  <c r="AR224" i="1"/>
  <c r="AS224" i="1"/>
  <c r="AT224" i="1"/>
  <c r="AU224" i="1"/>
  <c r="AV224" i="1"/>
  <c r="AW224" i="1"/>
  <c r="AX224" i="1"/>
  <c r="AY224" i="1"/>
  <c r="AZ224" i="1"/>
  <c r="BA224" i="1"/>
  <c r="BB224" i="1"/>
  <c r="BC224" i="1"/>
  <c r="BD224" i="1"/>
  <c r="BE224" i="1"/>
  <c r="BF224" i="1"/>
  <c r="G41" i="11"/>
  <c r="H41" i="11"/>
  <c r="I41" i="11"/>
  <c r="J41" i="11"/>
  <c r="K41" i="11"/>
  <c r="L41" i="11"/>
  <c r="M41" i="11"/>
  <c r="N41" i="11"/>
  <c r="O41" i="11"/>
  <c r="P41" i="11"/>
  <c r="Q41" i="11"/>
  <c r="R41" i="11"/>
  <c r="S41" i="11"/>
  <c r="T41" i="11"/>
  <c r="U41" i="11"/>
  <c r="V10" i="11"/>
  <c r="V41" i="11"/>
  <c r="W10" i="11"/>
  <c r="W41" i="11"/>
  <c r="X10" i="11"/>
  <c r="X41" i="11"/>
  <c r="Y10" i="11"/>
  <c r="Y41" i="11"/>
  <c r="Z10" i="11"/>
  <c r="Z41" i="11"/>
  <c r="G42" i="11"/>
  <c r="H42" i="11"/>
  <c r="I42" i="11"/>
  <c r="J42" i="11"/>
  <c r="K42" i="11"/>
  <c r="L42" i="11"/>
  <c r="M42" i="11"/>
  <c r="N42" i="11"/>
  <c r="O42" i="11"/>
  <c r="P42" i="11"/>
  <c r="Q42" i="11"/>
  <c r="R42" i="11"/>
  <c r="S42" i="11"/>
  <c r="T42" i="11"/>
  <c r="U42" i="11"/>
  <c r="V12" i="11"/>
  <c r="V42" i="11"/>
  <c r="W12" i="11"/>
  <c r="W42" i="11"/>
  <c r="X12" i="11"/>
  <c r="X42" i="11"/>
  <c r="Y12" i="11"/>
  <c r="Y42" i="11"/>
  <c r="Z12" i="11"/>
  <c r="Z42" i="11"/>
  <c r="G44" i="11"/>
  <c r="H44" i="11"/>
  <c r="I44" i="11"/>
  <c r="J44" i="11"/>
  <c r="K44" i="11"/>
  <c r="L44" i="11"/>
  <c r="M44" i="11"/>
  <c r="N44" i="11"/>
  <c r="O44" i="11"/>
  <c r="P44" i="11"/>
  <c r="Q44" i="11"/>
  <c r="R44" i="11"/>
  <c r="S44" i="11"/>
  <c r="T44" i="11"/>
  <c r="U44" i="11"/>
  <c r="V14" i="11"/>
  <c r="V44" i="11"/>
  <c r="W14" i="11"/>
  <c r="W44" i="11"/>
  <c r="X14" i="11"/>
  <c r="X44" i="11"/>
  <c r="Y14" i="11"/>
  <c r="Y44" i="11"/>
  <c r="Z14" i="11"/>
  <c r="Z44" i="11"/>
  <c r="G45" i="11"/>
  <c r="H45" i="11"/>
  <c r="I45" i="11"/>
  <c r="J45" i="11"/>
  <c r="K45" i="11"/>
  <c r="L45" i="11"/>
  <c r="M45" i="11"/>
  <c r="N45" i="11"/>
  <c r="O45" i="11"/>
  <c r="P45" i="11"/>
  <c r="Q45" i="11"/>
  <c r="R45" i="11"/>
  <c r="S45" i="11"/>
  <c r="T45" i="11"/>
  <c r="U45" i="11"/>
  <c r="V45" i="11"/>
  <c r="W45" i="11"/>
  <c r="X45" i="11"/>
  <c r="Y45" i="11"/>
  <c r="Z45" i="11"/>
  <c r="G46" i="11"/>
  <c r="H46" i="11"/>
  <c r="I46" i="11"/>
  <c r="J46" i="11"/>
  <c r="K46" i="11"/>
  <c r="L46" i="11"/>
  <c r="M46" i="11"/>
  <c r="N46" i="11"/>
  <c r="O46" i="11"/>
  <c r="P46" i="11"/>
  <c r="Q46" i="11"/>
  <c r="R46" i="11"/>
  <c r="S46" i="11"/>
  <c r="T46" i="11"/>
  <c r="U46" i="11"/>
  <c r="V46" i="11"/>
  <c r="W46" i="11"/>
  <c r="X46" i="11"/>
  <c r="Y46" i="11"/>
  <c r="Z46" i="11"/>
  <c r="G47" i="11"/>
  <c r="H47" i="11"/>
  <c r="I47" i="11"/>
  <c r="J47" i="11"/>
  <c r="K47" i="11"/>
  <c r="L47" i="11"/>
  <c r="M47" i="11"/>
  <c r="N47" i="11"/>
  <c r="O47" i="11"/>
  <c r="P47" i="11"/>
  <c r="Q47" i="11"/>
  <c r="R47" i="11"/>
  <c r="S47" i="11"/>
  <c r="T47" i="11"/>
  <c r="U47" i="11"/>
  <c r="V20" i="11"/>
  <c r="V47" i="11"/>
  <c r="W20" i="11"/>
  <c r="W47" i="11"/>
  <c r="X20" i="11"/>
  <c r="X47" i="11"/>
  <c r="Y20" i="11"/>
  <c r="Y47" i="11"/>
  <c r="Z20" i="11"/>
  <c r="Z47" i="11"/>
  <c r="G48" i="11"/>
  <c r="H48" i="11"/>
  <c r="I48" i="11"/>
  <c r="J48" i="11"/>
  <c r="K48" i="11"/>
  <c r="L48" i="11"/>
  <c r="M48" i="11"/>
  <c r="N48" i="11"/>
  <c r="O48" i="11"/>
  <c r="P48" i="11"/>
  <c r="Q48" i="11"/>
  <c r="R48" i="11"/>
  <c r="S48" i="11"/>
  <c r="T48" i="11"/>
  <c r="U48" i="11"/>
  <c r="V48" i="11"/>
  <c r="W48" i="11"/>
  <c r="X48" i="11"/>
  <c r="Y48" i="11"/>
  <c r="Z48" i="11"/>
  <c r="G49" i="11"/>
  <c r="H49" i="11"/>
  <c r="I49" i="11"/>
  <c r="J49" i="11"/>
  <c r="K49" i="11"/>
  <c r="L49" i="11"/>
  <c r="M49" i="11"/>
  <c r="N49" i="11"/>
  <c r="O49" i="11"/>
  <c r="P49" i="11"/>
  <c r="Q49" i="11"/>
  <c r="R49" i="11"/>
  <c r="S49" i="11"/>
  <c r="T49" i="11"/>
  <c r="U49" i="11"/>
  <c r="V49" i="11"/>
  <c r="W49" i="11"/>
  <c r="X49" i="11"/>
  <c r="Y49" i="11"/>
  <c r="Z49" i="11"/>
  <c r="G50" i="11"/>
  <c r="H50" i="11"/>
  <c r="I50" i="11"/>
  <c r="J50" i="11"/>
  <c r="K50" i="11"/>
  <c r="L50" i="11"/>
  <c r="M50" i="11"/>
  <c r="N50" i="11"/>
  <c r="O50" i="11"/>
  <c r="P50" i="11"/>
  <c r="Q50" i="11"/>
  <c r="R50" i="11"/>
  <c r="S50" i="11"/>
  <c r="T50" i="11"/>
  <c r="U50" i="11"/>
  <c r="V26" i="11"/>
  <c r="V50" i="11"/>
  <c r="W26" i="11"/>
  <c r="W50" i="11"/>
  <c r="X26" i="11"/>
  <c r="X50" i="11"/>
  <c r="Y26" i="11"/>
  <c r="Y50" i="11"/>
  <c r="Z26" i="11"/>
  <c r="Z50" i="11"/>
  <c r="G51" i="11"/>
  <c r="H51" i="11"/>
  <c r="I51" i="11"/>
  <c r="J51" i="11"/>
  <c r="K51" i="11"/>
  <c r="L51" i="11"/>
  <c r="M51" i="11"/>
  <c r="N51" i="11"/>
  <c r="O51" i="11"/>
  <c r="P51" i="11"/>
  <c r="Q51" i="11"/>
  <c r="R51" i="11"/>
  <c r="S51" i="11"/>
  <c r="T51" i="11"/>
  <c r="U51" i="11"/>
  <c r="V51" i="11"/>
  <c r="W51" i="11"/>
  <c r="X51" i="11"/>
  <c r="Y51" i="11"/>
  <c r="Z51" i="11"/>
  <c r="G52" i="11"/>
  <c r="H52" i="11"/>
  <c r="I52" i="11"/>
  <c r="J52" i="11"/>
  <c r="K52" i="11"/>
  <c r="L52" i="11"/>
  <c r="M52" i="11"/>
  <c r="N52" i="11"/>
  <c r="O52" i="11"/>
  <c r="P52" i="11"/>
  <c r="Q52" i="11"/>
  <c r="R52" i="11"/>
  <c r="S52" i="11"/>
  <c r="T52" i="11"/>
  <c r="U52" i="11"/>
  <c r="V52" i="11"/>
  <c r="W52" i="11"/>
  <c r="X52" i="11"/>
  <c r="Y52" i="11"/>
  <c r="Z52" i="11"/>
  <c r="G53" i="11"/>
  <c r="H53" i="11"/>
  <c r="I53" i="11"/>
  <c r="J53" i="11"/>
  <c r="K53" i="11"/>
  <c r="L53" i="11"/>
  <c r="M53" i="11"/>
  <c r="N53" i="11"/>
  <c r="O53" i="11"/>
  <c r="P53" i="11"/>
  <c r="Q53" i="11"/>
  <c r="R53" i="11"/>
  <c r="S53" i="11"/>
  <c r="T53" i="11"/>
  <c r="U53" i="11"/>
  <c r="V31" i="11"/>
  <c r="V53" i="11"/>
  <c r="W31" i="11"/>
  <c r="W53" i="11"/>
  <c r="X31" i="11"/>
  <c r="X53" i="11"/>
  <c r="Y31" i="11"/>
  <c r="Y53" i="11"/>
  <c r="Z31" i="11"/>
  <c r="Z53" i="11"/>
  <c r="G55" i="11"/>
  <c r="H55" i="11"/>
  <c r="I55" i="11"/>
  <c r="J55" i="11"/>
  <c r="K55" i="11"/>
  <c r="L55" i="11"/>
  <c r="M55" i="11"/>
  <c r="N55" i="11"/>
  <c r="O55" i="11"/>
  <c r="P55" i="11"/>
  <c r="Q55" i="11"/>
  <c r="R55" i="11"/>
  <c r="S55" i="11"/>
  <c r="T55" i="11"/>
  <c r="U55" i="11"/>
  <c r="V55" i="11"/>
  <c r="W55" i="11"/>
  <c r="X55" i="11"/>
  <c r="Y55" i="11"/>
  <c r="Z55" i="11"/>
  <c r="G56" i="11"/>
  <c r="H56" i="11"/>
  <c r="I56" i="11"/>
  <c r="J56" i="11"/>
  <c r="K56" i="11"/>
  <c r="L56" i="11"/>
  <c r="M56" i="11"/>
  <c r="N56" i="11"/>
  <c r="O56" i="11"/>
  <c r="P56" i="11"/>
  <c r="Q56" i="11"/>
  <c r="R56" i="11"/>
  <c r="S56" i="11"/>
  <c r="T56" i="11"/>
  <c r="U56" i="11"/>
  <c r="V56" i="11"/>
  <c r="W56" i="11"/>
  <c r="X56" i="11"/>
  <c r="Y56" i="11"/>
  <c r="Z56" i="11"/>
  <c r="V32" i="11"/>
  <c r="V35" i="11"/>
  <c r="W32" i="11"/>
  <c r="W35" i="11"/>
  <c r="X32" i="11"/>
  <c r="X35" i="11"/>
  <c r="Y32" i="11"/>
  <c r="Y35" i="11"/>
  <c r="Z32" i="11"/>
  <c r="Z35" i="11"/>
  <c r="G54" i="11"/>
  <c r="H54" i="11"/>
  <c r="I54" i="11"/>
  <c r="J54" i="11"/>
  <c r="K54" i="11"/>
  <c r="L54" i="11"/>
  <c r="M54" i="11"/>
  <c r="N54" i="11"/>
  <c r="O54" i="11"/>
  <c r="P54" i="11"/>
  <c r="Q54" i="11"/>
  <c r="R54" i="11"/>
  <c r="S54" i="11"/>
  <c r="T54" i="11"/>
  <c r="U54" i="11"/>
  <c r="V54" i="11"/>
  <c r="W54" i="11"/>
  <c r="X54" i="11"/>
  <c r="Y54" i="11"/>
  <c r="Z54" i="11"/>
  <c r="I26" i="9"/>
  <c r="J26" i="9"/>
  <c r="K26" i="9"/>
  <c r="L26" i="9"/>
  <c r="M26" i="9"/>
  <c r="N26" i="9"/>
  <c r="O26" i="9"/>
  <c r="P26" i="9"/>
  <c r="Q26" i="9"/>
  <c r="R26" i="9"/>
  <c r="S26" i="9"/>
  <c r="T26" i="9"/>
  <c r="U26" i="9"/>
  <c r="V26" i="9"/>
  <c r="W26" i="9"/>
  <c r="X26" i="9"/>
  <c r="Y26" i="9"/>
  <c r="Z26" i="9"/>
  <c r="AA26" i="9"/>
  <c r="I27" i="9"/>
  <c r="J27" i="9"/>
  <c r="K27" i="9"/>
  <c r="L27" i="9"/>
  <c r="M27" i="9"/>
  <c r="N27" i="9"/>
  <c r="O27" i="9"/>
  <c r="P27" i="9"/>
  <c r="Q27" i="9"/>
  <c r="R27" i="9"/>
  <c r="S27" i="9"/>
  <c r="T27" i="9"/>
  <c r="U27" i="9"/>
  <c r="V27" i="9"/>
  <c r="W27" i="9"/>
  <c r="X27" i="9"/>
  <c r="Y27" i="9"/>
  <c r="Z27" i="9"/>
  <c r="AA27" i="9"/>
  <c r="I28" i="9"/>
  <c r="J28" i="9"/>
  <c r="K28" i="9"/>
  <c r="L28" i="9"/>
  <c r="M28" i="9"/>
  <c r="N28" i="9"/>
  <c r="O28" i="9"/>
  <c r="P28" i="9"/>
  <c r="Q28" i="9"/>
  <c r="R28" i="9"/>
  <c r="S28" i="9"/>
  <c r="T28" i="9"/>
  <c r="U28" i="9"/>
  <c r="V28" i="9"/>
  <c r="W28" i="9"/>
  <c r="X28" i="9"/>
  <c r="Y28" i="9"/>
  <c r="Z28" i="9"/>
  <c r="AA28" i="9"/>
  <c r="A2" i="9"/>
  <c r="A2" i="12"/>
  <c r="A2" i="11"/>
  <c r="I29" i="9"/>
  <c r="J29" i="9"/>
  <c r="K29" i="9"/>
  <c r="L29" i="9"/>
  <c r="M29" i="9"/>
  <c r="N29" i="9"/>
  <c r="O29" i="9"/>
  <c r="P29" i="9"/>
  <c r="Q29" i="9"/>
  <c r="R29" i="9"/>
  <c r="S29" i="9"/>
  <c r="T29" i="9"/>
  <c r="U29" i="9"/>
  <c r="V29" i="9"/>
  <c r="W29" i="9"/>
  <c r="X29" i="9"/>
  <c r="Y29" i="9"/>
  <c r="Z29" i="9"/>
  <c r="AA29" i="9"/>
  <c r="I30" i="9"/>
  <c r="J30" i="9"/>
  <c r="K30" i="9"/>
  <c r="L30" i="9"/>
  <c r="M30" i="9"/>
  <c r="N30" i="9"/>
  <c r="O30" i="9"/>
  <c r="P30" i="9"/>
  <c r="Q30" i="9"/>
  <c r="R30" i="9"/>
  <c r="S30" i="9"/>
  <c r="T30" i="9"/>
  <c r="U30" i="9"/>
  <c r="V30" i="9"/>
  <c r="W30" i="9"/>
  <c r="X30" i="9"/>
  <c r="Y30" i="9"/>
  <c r="Z30" i="9"/>
  <c r="AA30" i="9"/>
  <c r="I31" i="9"/>
  <c r="J31" i="9"/>
  <c r="K31" i="9"/>
  <c r="L31" i="9"/>
  <c r="M31" i="9"/>
  <c r="N31" i="9"/>
  <c r="O31" i="9"/>
  <c r="P31" i="9"/>
  <c r="Q31" i="9"/>
  <c r="R31" i="9"/>
  <c r="S31" i="9"/>
  <c r="T31" i="9"/>
  <c r="U31" i="9"/>
  <c r="V31" i="9"/>
  <c r="W31" i="9"/>
  <c r="X31" i="9"/>
  <c r="Y31" i="9"/>
  <c r="Z31" i="9"/>
  <c r="AA31" i="9"/>
  <c r="I32" i="9"/>
  <c r="J32" i="9"/>
  <c r="K32" i="9"/>
  <c r="L32" i="9"/>
  <c r="M32" i="9"/>
  <c r="N32" i="9"/>
  <c r="O32" i="9"/>
  <c r="P32" i="9"/>
  <c r="Q32" i="9"/>
  <c r="R32" i="9"/>
  <c r="S32" i="9"/>
  <c r="T32" i="9"/>
  <c r="U32" i="9"/>
  <c r="V32" i="9"/>
  <c r="W32" i="9"/>
  <c r="X32" i="9"/>
  <c r="Y32" i="9"/>
  <c r="Z32" i="9"/>
  <c r="AA32" i="9"/>
  <c r="I33" i="9"/>
  <c r="J33" i="9"/>
  <c r="K33" i="9"/>
  <c r="L33" i="9"/>
  <c r="M33" i="9"/>
  <c r="N33" i="9"/>
  <c r="O33" i="9"/>
  <c r="P33" i="9"/>
  <c r="Q33" i="9"/>
  <c r="R33" i="9"/>
  <c r="S33" i="9"/>
  <c r="T33" i="9"/>
  <c r="U33" i="9"/>
  <c r="V33" i="9"/>
  <c r="W33" i="9"/>
  <c r="X33" i="9"/>
  <c r="Y33" i="9"/>
  <c r="Z33" i="9"/>
  <c r="AA33" i="9"/>
  <c r="I34" i="9"/>
  <c r="J34" i="9"/>
  <c r="K34" i="9"/>
  <c r="L34" i="9"/>
  <c r="M34" i="9"/>
  <c r="N34" i="9"/>
  <c r="O34" i="9"/>
  <c r="P34" i="9"/>
  <c r="Q34" i="9"/>
  <c r="R34" i="9"/>
  <c r="S34" i="9"/>
  <c r="T34" i="9"/>
  <c r="U34" i="9"/>
  <c r="V34" i="9"/>
  <c r="W34" i="9"/>
  <c r="X34" i="9"/>
  <c r="Y34" i="9"/>
  <c r="Z34" i="9"/>
  <c r="AA34" i="9"/>
  <c r="I35" i="9"/>
  <c r="J35" i="9"/>
  <c r="K35" i="9"/>
  <c r="L35" i="9"/>
  <c r="M35" i="9"/>
  <c r="N35" i="9"/>
  <c r="O35" i="9"/>
  <c r="P35" i="9"/>
  <c r="Q35" i="9"/>
  <c r="R35" i="9"/>
  <c r="S35" i="9"/>
  <c r="T35" i="9"/>
  <c r="U35" i="9"/>
  <c r="V35" i="9"/>
  <c r="W35" i="9"/>
  <c r="X35" i="9"/>
  <c r="Y35" i="9"/>
  <c r="Z35" i="9"/>
  <c r="AA35" i="9"/>
  <c r="I36" i="9"/>
  <c r="J36" i="9"/>
  <c r="K36" i="9"/>
  <c r="L36" i="9"/>
  <c r="M36" i="9"/>
  <c r="N36" i="9"/>
  <c r="O36" i="9"/>
  <c r="P36" i="9"/>
  <c r="Q36" i="9"/>
  <c r="R36" i="9"/>
  <c r="S36" i="9"/>
  <c r="T36" i="9"/>
  <c r="U36" i="9"/>
  <c r="V36" i="9"/>
  <c r="W36" i="9"/>
  <c r="X36" i="9"/>
  <c r="Y36" i="9"/>
  <c r="Z36" i="9"/>
  <c r="AA36" i="9"/>
  <c r="H26" i="9"/>
  <c r="H27" i="9"/>
  <c r="H28" i="9"/>
  <c r="H29" i="9"/>
  <c r="H30" i="9"/>
  <c r="H31" i="9"/>
  <c r="H32" i="9"/>
  <c r="H33" i="9"/>
  <c r="H34" i="9"/>
  <c r="H35" i="9"/>
  <c r="H36" i="9"/>
  <c r="AM11" i="213"/>
  <c r="D61" i="220" s="1"/>
  <c r="D125" i="220" s="1"/>
  <c r="B55" i="220"/>
  <c r="BB51" i="218"/>
  <c r="AP51" i="218"/>
  <c r="B179" i="212"/>
  <c r="B24" i="9"/>
  <c r="AI12" i="1"/>
  <c r="AB12" i="223" s="1"/>
  <c r="C68" i="11" s="1"/>
  <c r="AJ33" i="1"/>
  <c r="AC33" i="223" s="1"/>
  <c r="AI31" i="1"/>
  <c r="AI102" i="1"/>
  <c r="AB102" i="223" s="1"/>
  <c r="C158" i="11" s="1"/>
  <c r="AH9" i="1"/>
  <c r="AA9" i="223" s="1"/>
  <c r="B65" i="11" s="1"/>
  <c r="AJ217" i="1"/>
  <c r="AC217" i="223" s="1"/>
  <c r="D273" i="11" s="1"/>
  <c r="AJ180" i="1"/>
  <c r="AC180" i="223" s="1"/>
  <c r="AJ143" i="1"/>
  <c r="AC143" i="223" s="1"/>
  <c r="D199" i="11" s="1"/>
  <c r="AJ106" i="1"/>
  <c r="AC106" i="223" s="1"/>
  <c r="D162" i="11" s="1"/>
  <c r="AJ68" i="1"/>
  <c r="AC68" i="223" s="1"/>
  <c r="AJ50" i="1"/>
  <c r="AC50" i="223" s="1"/>
  <c r="D106" i="11" s="1"/>
  <c r="AI217" i="1"/>
  <c r="AB217" i="223" s="1"/>
  <c r="C273" i="11" s="1"/>
  <c r="AI180" i="1"/>
  <c r="AB180" i="223" s="1"/>
  <c r="C236" i="11" s="1"/>
  <c r="AI143" i="1"/>
  <c r="AB143" i="223" s="1"/>
  <c r="AI106" i="1"/>
  <c r="AB106" i="223" s="1"/>
  <c r="C162" i="11" s="1"/>
  <c r="AJ12" i="1"/>
  <c r="AC12" i="223" s="1"/>
  <c r="D68" i="11" s="1"/>
  <c r="AJ173" i="1"/>
  <c r="AC173" i="223" s="1"/>
  <c r="D229" i="11" s="1"/>
  <c r="AJ170" i="1"/>
  <c r="AC170" i="223" s="1"/>
  <c r="D226" i="11" s="1"/>
  <c r="AJ52" i="1"/>
  <c r="AC52" i="223" s="1"/>
  <c r="D108" i="11" s="1"/>
  <c r="AI173" i="1"/>
  <c r="AI134" i="1"/>
  <c r="AB134" i="223" s="1"/>
  <c r="C190" i="11" s="1"/>
  <c r="AI39" i="1"/>
  <c r="AB39" i="223" s="1"/>
  <c r="AJ24" i="1"/>
  <c r="AC24" i="223" s="1"/>
  <c r="D80" i="11" s="1"/>
  <c r="AJ14" i="1"/>
  <c r="AC14" i="223" s="1"/>
  <c r="D70" i="11" s="1"/>
  <c r="AI24" i="1"/>
  <c r="AL47" i="1" l="1"/>
  <c r="AE47" i="223" s="1"/>
  <c r="F103" i="11" s="1"/>
  <c r="AL48" i="1"/>
  <c r="AE48" i="223" s="1"/>
  <c r="F104" i="11" s="1"/>
  <c r="C5" i="214"/>
  <c r="C50" i="218"/>
  <c r="AI4" i="218"/>
  <c r="B5" i="9"/>
  <c r="C35" i="218"/>
  <c r="AI20" i="218"/>
  <c r="C4" i="218"/>
  <c r="AI45" i="1"/>
  <c r="AB45" i="223" s="1"/>
  <c r="C101" i="11" s="1"/>
  <c r="AL186" i="1"/>
  <c r="AE186" i="223" s="1"/>
  <c r="F242" i="11" s="1"/>
  <c r="AL141" i="1"/>
  <c r="AE141" i="223" s="1"/>
  <c r="F197" i="11" s="1"/>
  <c r="AL92" i="1"/>
  <c r="AE92" i="223" s="1"/>
  <c r="F148" i="11" s="1"/>
  <c r="AK83" i="1"/>
  <c r="AD83" i="223" s="1"/>
  <c r="E139" i="11" s="1"/>
  <c r="AJ150" i="1"/>
  <c r="AC150" i="223" s="1"/>
  <c r="D206" i="11" s="1"/>
  <c r="AN9" i="213"/>
  <c r="E59" i="220" s="1"/>
  <c r="E123" i="220" s="1"/>
  <c r="AL160" i="1"/>
  <c r="AE160" i="223" s="1"/>
  <c r="F216" i="11" s="1"/>
  <c r="AK36" i="1"/>
  <c r="AD36" i="223" s="1"/>
  <c r="E92" i="11" s="1"/>
  <c r="AK124" i="1"/>
  <c r="AD124" i="223" s="1"/>
  <c r="E180" i="11" s="1"/>
  <c r="AJ141" i="1"/>
  <c r="AC141" i="223" s="1"/>
  <c r="D197" i="11" s="1"/>
  <c r="AJ102" i="1"/>
  <c r="AC102" i="223" s="1"/>
  <c r="D158" i="11" s="1"/>
  <c r="AL36" i="1"/>
  <c r="AE36" i="223" s="1"/>
  <c r="F92" i="11" s="1"/>
  <c r="AL132" i="1"/>
  <c r="AE132" i="223" s="1"/>
  <c r="F188" i="11" s="1"/>
  <c r="AL104" i="1"/>
  <c r="AE104" i="223" s="1"/>
  <c r="F160" i="11" s="1"/>
  <c r="AL83" i="1"/>
  <c r="AE83" i="223" s="1"/>
  <c r="F139" i="11" s="1"/>
  <c r="AL102" i="1"/>
  <c r="AE102" i="223" s="1"/>
  <c r="F158" i="11" s="1"/>
  <c r="AL57" i="1"/>
  <c r="AE57" i="223" s="1"/>
  <c r="F113" i="11" s="1"/>
  <c r="AK114" i="1"/>
  <c r="AD114" i="223" s="1"/>
  <c r="E170" i="11" s="1"/>
  <c r="AI36" i="1"/>
  <c r="AB36" i="223" s="1"/>
  <c r="AJ36" i="1"/>
  <c r="AC36" i="223" s="1"/>
  <c r="D92" i="11" s="1"/>
  <c r="AL177" i="1"/>
  <c r="AE177" i="223" s="1"/>
  <c r="F233" i="11" s="1"/>
  <c r="AL150" i="1"/>
  <c r="AE150" i="223" s="1"/>
  <c r="F206" i="11" s="1"/>
  <c r="AL124" i="1"/>
  <c r="AE124" i="223" s="1"/>
  <c r="F180" i="11" s="1"/>
  <c r="AL74" i="1"/>
  <c r="AE74" i="223" s="1"/>
  <c r="F130" i="11" s="1"/>
  <c r="AK150" i="1"/>
  <c r="AD150" i="223" s="1"/>
  <c r="E206" i="11" s="1"/>
  <c r="AK102" i="1"/>
  <c r="AD102" i="223" s="1"/>
  <c r="E158" i="11" s="1"/>
  <c r="AI57" i="1"/>
  <c r="AB57" i="223" s="1"/>
  <c r="AL195" i="1"/>
  <c r="AE195" i="223" s="1"/>
  <c r="F251" i="11" s="1"/>
  <c r="AL169" i="1"/>
  <c r="AE169" i="223" s="1"/>
  <c r="F225" i="11" s="1"/>
  <c r="AK141" i="1"/>
  <c r="AD141" i="223" s="1"/>
  <c r="E197" i="11" s="1"/>
  <c r="AL140" i="1"/>
  <c r="AE140" i="223" s="1"/>
  <c r="F196" i="11" s="1"/>
  <c r="AN8" i="213"/>
  <c r="E58" i="220" s="1"/>
  <c r="E122" i="220" s="1"/>
  <c r="AL64" i="1"/>
  <c r="AE64" i="223" s="1"/>
  <c r="F120" i="11" s="1"/>
  <c r="AK103" i="1"/>
  <c r="AD103" i="223" s="1"/>
  <c r="E159" i="11" s="1"/>
  <c r="AL176" i="1"/>
  <c r="AE176" i="223" s="1"/>
  <c r="F232" i="11" s="1"/>
  <c r="AL223" i="1"/>
  <c r="AE223" i="223" s="1"/>
  <c r="F279" i="11" s="1"/>
  <c r="AL194" i="1"/>
  <c r="AE194" i="223" s="1"/>
  <c r="F250" i="11" s="1"/>
  <c r="AL82" i="1"/>
  <c r="AE82" i="223" s="1"/>
  <c r="F138" i="11" s="1"/>
  <c r="AL215" i="1"/>
  <c r="AE215" i="223" s="1"/>
  <c r="F271" i="11" s="1"/>
  <c r="AI141" i="1"/>
  <c r="AB141" i="223" s="1"/>
  <c r="C197" i="11" s="1"/>
  <c r="AL121" i="1"/>
  <c r="AE121" i="223" s="1"/>
  <c r="F177" i="11" s="1"/>
  <c r="AO8" i="213"/>
  <c r="F58" i="220" s="1"/>
  <c r="F122" i="220" s="1"/>
  <c r="AL35" i="1"/>
  <c r="AE35" i="223" s="1"/>
  <c r="F91" i="11" s="1"/>
  <c r="AK73" i="1"/>
  <c r="AD73" i="223" s="1"/>
  <c r="E129" i="11" s="1"/>
  <c r="AJ186" i="1"/>
  <c r="AC186" i="223" s="1"/>
  <c r="D242" i="11" s="1"/>
  <c r="AJ47" i="1"/>
  <c r="AC47" i="223" s="1"/>
  <c r="D103" i="11" s="1"/>
  <c r="AJ45" i="1"/>
  <c r="AC45" i="223" s="1"/>
  <c r="D101" i="11" s="1"/>
  <c r="AI47" i="1"/>
  <c r="AB47" i="223" s="1"/>
  <c r="C103" i="11" s="1"/>
  <c r="AJ19" i="1"/>
  <c r="AC19" i="223" s="1"/>
  <c r="D75" i="11" s="1"/>
  <c r="AJ207" i="1"/>
  <c r="AC207" i="223" s="1"/>
  <c r="D263" i="11" s="1"/>
  <c r="AI207" i="1"/>
  <c r="AB207" i="223" s="1"/>
  <c r="C263" i="11" s="1"/>
  <c r="AJ58" i="1"/>
  <c r="AC58" i="223" s="1"/>
  <c r="D114" i="11" s="1"/>
  <c r="AJ112" i="1"/>
  <c r="AC112" i="223" s="1"/>
  <c r="D168" i="11" s="1"/>
  <c r="AI58" i="1"/>
  <c r="AB58" i="223" s="1"/>
  <c r="C114" i="11" s="1"/>
  <c r="AJ93" i="1"/>
  <c r="AC93" i="223" s="1"/>
  <c r="D149" i="11" s="1"/>
  <c r="AI93" i="1"/>
  <c r="AB93" i="223" s="1"/>
  <c r="C149" i="11" s="1"/>
  <c r="AJ134" i="1"/>
  <c r="AC134" i="223" s="1"/>
  <c r="D190" i="11" s="1"/>
  <c r="AI170" i="1"/>
  <c r="AB170" i="223" s="1"/>
  <c r="C226" i="11" s="1"/>
  <c r="AM9" i="213"/>
  <c r="D59" i="220" s="1"/>
  <c r="D123" i="220" s="1"/>
  <c r="AL9" i="213"/>
  <c r="C59" i="220" s="1"/>
  <c r="C123" i="220" s="1"/>
  <c r="AM7" i="213"/>
  <c r="D57" i="220" s="1"/>
  <c r="D121" i="220" s="1"/>
  <c r="AI46" i="1"/>
  <c r="AB46" i="223" s="1"/>
  <c r="AI61" i="1"/>
  <c r="AB61" i="223" s="1"/>
  <c r="C117" i="11" s="1"/>
  <c r="AM10" i="213"/>
  <c r="D60" i="220" s="1"/>
  <c r="D124" i="220" s="1"/>
  <c r="AJ61" i="1"/>
  <c r="AC61" i="223" s="1"/>
  <c r="D117" i="11" s="1"/>
  <c r="AJ210" i="1"/>
  <c r="AC210" i="223" s="1"/>
  <c r="D266" i="11" s="1"/>
  <c r="DF55" i="218"/>
  <c r="AJ96" i="1"/>
  <c r="AC96" i="223" s="1"/>
  <c r="D152" i="11" s="1"/>
  <c r="AJ40" i="1"/>
  <c r="AC40" i="223" s="1"/>
  <c r="D96" i="11" s="1"/>
  <c r="AJ137" i="1"/>
  <c r="AC137" i="223" s="1"/>
  <c r="D193" i="11" s="1"/>
  <c r="AI210" i="1"/>
  <c r="AB210" i="223" s="1"/>
  <c r="C266" i="11" s="1"/>
  <c r="B20" i="12"/>
  <c r="B23" i="12" s="1"/>
  <c r="A36" i="218"/>
  <c r="M36" i="218" s="1"/>
  <c r="AG21" i="218"/>
  <c r="AG22" i="218" s="1"/>
  <c r="A5" i="218"/>
  <c r="C5" i="218" s="1"/>
  <c r="A51" i="218"/>
  <c r="A52" i="218" s="1"/>
  <c r="W52" i="218" s="1"/>
  <c r="A6" i="9"/>
  <c r="A25" i="9"/>
  <c r="A26" i="9" s="1"/>
  <c r="A27" i="9" s="1"/>
  <c r="A28" i="9" s="1"/>
  <c r="A29" i="9" s="1"/>
  <c r="A30" i="9" s="1"/>
  <c r="A31" i="9" s="1"/>
  <c r="A32" i="9" s="1"/>
  <c r="A33" i="9" s="1"/>
  <c r="A34" i="9" s="1"/>
  <c r="A35" i="9" s="1"/>
  <c r="A36" i="9" s="1"/>
  <c r="A6" i="214"/>
  <c r="A21" i="218"/>
  <c r="A22" i="218" s="1"/>
  <c r="A23" i="218" s="1"/>
  <c r="AG5" i="218"/>
  <c r="C20" i="218"/>
  <c r="H20" i="218" s="1"/>
  <c r="H50" i="218" s="1"/>
  <c r="AA62" i="213"/>
  <c r="AK4" i="213"/>
  <c r="B54" i="220" s="1"/>
  <c r="B118" i="220" s="1"/>
  <c r="AI14" i="213"/>
  <c r="AB62" i="213"/>
  <c r="AB50" i="213"/>
  <c r="AA50" i="213"/>
  <c r="B64" i="11"/>
  <c r="J167" i="212"/>
  <c r="V143" i="212"/>
  <c r="C218" i="212" s="1"/>
  <c r="V139" i="212"/>
  <c r="C214" i="212" s="1"/>
  <c r="V135" i="212"/>
  <c r="C210" i="212" s="1"/>
  <c r="AH16" i="1"/>
  <c r="AA16" i="223" s="1"/>
  <c r="B72" i="11" s="1"/>
  <c r="AH12" i="1"/>
  <c r="AA12" i="223" s="1"/>
  <c r="AL187" i="1"/>
  <c r="AE187" i="223" s="1"/>
  <c r="F243" i="11" s="1"/>
  <c r="AL174" i="1"/>
  <c r="AE174" i="223" s="1"/>
  <c r="F230" i="11" s="1"/>
  <c r="AL165" i="1"/>
  <c r="AE165" i="223" s="1"/>
  <c r="F221" i="11" s="1"/>
  <c r="AL151" i="1"/>
  <c r="AE151" i="223" s="1"/>
  <c r="F207" i="11" s="1"/>
  <c r="AL138" i="1"/>
  <c r="AE138" i="223" s="1"/>
  <c r="F194" i="11" s="1"/>
  <c r="AL129" i="1"/>
  <c r="AE129" i="223" s="1"/>
  <c r="F185" i="11" s="1"/>
  <c r="AL115" i="1"/>
  <c r="AE115" i="223" s="1"/>
  <c r="F171" i="11" s="1"/>
  <c r="AL93" i="1"/>
  <c r="AE93" i="223" s="1"/>
  <c r="F149" i="11" s="1"/>
  <c r="AL84" i="1"/>
  <c r="AE84" i="223" s="1"/>
  <c r="F140" i="11" s="1"/>
  <c r="AL71" i="1"/>
  <c r="AE71" i="223" s="1"/>
  <c r="F127" i="11" s="1"/>
  <c r="AL58" i="1"/>
  <c r="AE58" i="223" s="1"/>
  <c r="F114" i="11" s="1"/>
  <c r="AL49" i="1"/>
  <c r="AE49" i="223" s="1"/>
  <c r="F105" i="11" s="1"/>
  <c r="AK37" i="1"/>
  <c r="AD37" i="223" s="1"/>
  <c r="E93" i="11" s="1"/>
  <c r="AK119" i="1"/>
  <c r="AD119" i="223" s="1"/>
  <c r="E175" i="11" s="1"/>
  <c r="AK109" i="1"/>
  <c r="AD109" i="223" s="1"/>
  <c r="E165" i="11" s="1"/>
  <c r="AK97" i="1"/>
  <c r="AD97" i="223" s="1"/>
  <c r="E153" i="11" s="1"/>
  <c r="AK84" i="1"/>
  <c r="AD84" i="223" s="1"/>
  <c r="E140" i="11" s="1"/>
  <c r="AK62" i="1"/>
  <c r="AD62" i="223" s="1"/>
  <c r="E118" i="11" s="1"/>
  <c r="AL28" i="1"/>
  <c r="AE28" i="223" s="1"/>
  <c r="F84" i="11" s="1"/>
  <c r="CZ54" i="218"/>
  <c r="B126" i="220"/>
  <c r="B125" i="220"/>
  <c r="B121" i="220"/>
  <c r="B119" i="220"/>
  <c r="B124" i="220"/>
  <c r="AL192" i="1"/>
  <c r="AE192" i="223" s="1"/>
  <c r="F248" i="11" s="1"/>
  <c r="AL183" i="1"/>
  <c r="AE183" i="223" s="1"/>
  <c r="F239" i="11" s="1"/>
  <c r="AL170" i="1"/>
  <c r="AE170" i="223" s="1"/>
  <c r="F226" i="11" s="1"/>
  <c r="AL157" i="1"/>
  <c r="AE157" i="223" s="1"/>
  <c r="AL147" i="1"/>
  <c r="AE147" i="223" s="1"/>
  <c r="F203" i="11" s="1"/>
  <c r="AL134" i="1"/>
  <c r="AE134" i="223" s="1"/>
  <c r="AL119" i="1"/>
  <c r="AE119" i="223" s="1"/>
  <c r="F175" i="11" s="1"/>
  <c r="AL112" i="1"/>
  <c r="AE112" i="223" s="1"/>
  <c r="AL89" i="1"/>
  <c r="AE89" i="223" s="1"/>
  <c r="AL75" i="1"/>
  <c r="AE75" i="223" s="1"/>
  <c r="F131" i="11" s="1"/>
  <c r="AL67" i="1"/>
  <c r="AE67" i="223" s="1"/>
  <c r="F123" i="11" s="1"/>
  <c r="AL53" i="1"/>
  <c r="AE53" i="223" s="1"/>
  <c r="F109" i="11" s="1"/>
  <c r="AK33" i="1"/>
  <c r="AD33" i="223" s="1"/>
  <c r="E89" i="11" s="1"/>
  <c r="AK125" i="1"/>
  <c r="AD125" i="223" s="1"/>
  <c r="E181" i="11" s="1"/>
  <c r="AK80" i="1"/>
  <c r="AD80" i="223" s="1"/>
  <c r="E136" i="11" s="1"/>
  <c r="AK58" i="1"/>
  <c r="AD58" i="223" s="1"/>
  <c r="E114" i="11" s="1"/>
  <c r="AK45" i="1"/>
  <c r="AD45" i="223" s="1"/>
  <c r="AJ49" i="1"/>
  <c r="AC49" i="223" s="1"/>
  <c r="D105" i="11" s="1"/>
  <c r="R167" i="212"/>
  <c r="V142" i="212"/>
  <c r="C217" i="212" s="1"/>
  <c r="V138" i="212"/>
  <c r="C213" i="212" s="1"/>
  <c r="B120" i="220"/>
  <c r="AA120" i="220" s="1" a="1"/>
  <c r="AA120" i="220" s="1"/>
  <c r="AB120" i="220" s="1"/>
  <c r="AA56" i="220" a="1"/>
  <c r="AA56" i="220" s="1"/>
  <c r="AB56" i="220" s="1"/>
  <c r="N167" i="212"/>
  <c r="AL196" i="1"/>
  <c r="AE196" i="223" s="1"/>
  <c r="F252" i="11" s="1"/>
  <c r="AL161" i="1"/>
  <c r="AE161" i="223" s="1"/>
  <c r="F217" i="11" s="1"/>
  <c r="AL125" i="1"/>
  <c r="AE125" i="223" s="1"/>
  <c r="F181" i="11" s="1"/>
  <c r="AL109" i="1"/>
  <c r="AE109" i="223" s="1"/>
  <c r="F165" i="11" s="1"/>
  <c r="AL80" i="1"/>
  <c r="AE80" i="223" s="1"/>
  <c r="F136" i="11" s="1"/>
  <c r="AL45" i="1"/>
  <c r="AE45" i="223" s="1"/>
  <c r="AK112" i="1"/>
  <c r="AD112" i="223" s="1"/>
  <c r="E168" i="11" s="1"/>
  <c r="AK89" i="1"/>
  <c r="AD89" i="223" s="1"/>
  <c r="E145" i="11" s="1"/>
  <c r="AK75" i="1"/>
  <c r="AD75" i="223" s="1"/>
  <c r="E131" i="11" s="1"/>
  <c r="AK67" i="1"/>
  <c r="AD67" i="223" s="1"/>
  <c r="E123" i="11" s="1"/>
  <c r="AK53" i="1"/>
  <c r="AD53" i="223" s="1"/>
  <c r="E109" i="11" s="1"/>
  <c r="AJ203" i="1"/>
  <c r="AC203" i="223" s="1"/>
  <c r="D259" i="11" s="1"/>
  <c r="AJ84" i="1"/>
  <c r="AC84" i="223" s="1"/>
  <c r="D140" i="11" s="1"/>
  <c r="DB54" i="218"/>
  <c r="B127" i="220"/>
  <c r="B123" i="220"/>
  <c r="AL31" i="1"/>
  <c r="AE31" i="223" s="1"/>
  <c r="AL190" i="1"/>
  <c r="AE190" i="223" s="1"/>
  <c r="AL172" i="1"/>
  <c r="AE172" i="223" s="1"/>
  <c r="F228" i="11" s="1"/>
  <c r="AL153" i="1"/>
  <c r="AE153" i="223" s="1"/>
  <c r="F209" i="11" s="1"/>
  <c r="AL136" i="1"/>
  <c r="AE136" i="223" s="1"/>
  <c r="F192" i="11" s="1"/>
  <c r="AL117" i="1"/>
  <c r="AE117" i="223" s="1"/>
  <c r="F173" i="11" s="1"/>
  <c r="AL91" i="1"/>
  <c r="AE91" i="223" s="1"/>
  <c r="F147" i="11" s="1"/>
  <c r="AL73" i="1"/>
  <c r="AE73" i="223" s="1"/>
  <c r="F129" i="11" s="1"/>
  <c r="AL56" i="1"/>
  <c r="AE56" i="223" s="1"/>
  <c r="F112" i="11" s="1"/>
  <c r="AK39" i="1"/>
  <c r="AD39" i="223" s="1"/>
  <c r="E95" i="11" s="1"/>
  <c r="AK214" i="1"/>
  <c r="AD214" i="223" s="1"/>
  <c r="E270" i="11" s="1"/>
  <c r="AJ159" i="1"/>
  <c r="AC159" i="223" s="1"/>
  <c r="D215" i="11" s="1"/>
  <c r="AI78" i="1"/>
  <c r="AB78" i="223" s="1"/>
  <c r="AK19" i="1"/>
  <c r="AD19" i="223" s="1"/>
  <c r="E75" i="11" s="1"/>
  <c r="AL39" i="1"/>
  <c r="AE39" i="223" s="1"/>
  <c r="F95" i="11" s="1"/>
  <c r="AL185" i="1"/>
  <c r="AE185" i="223" s="1"/>
  <c r="F241" i="11" s="1"/>
  <c r="AL168" i="1"/>
  <c r="AE168" i="223" s="1"/>
  <c r="AL149" i="1"/>
  <c r="AE149" i="223" s="1"/>
  <c r="F205" i="11" s="1"/>
  <c r="AL131" i="1"/>
  <c r="AE131" i="223" s="1"/>
  <c r="F187" i="11" s="1"/>
  <c r="AL113" i="1"/>
  <c r="AE113" i="223" s="1"/>
  <c r="F169" i="11" s="1"/>
  <c r="AL86" i="1"/>
  <c r="AE86" i="223" s="1"/>
  <c r="F142" i="11" s="1"/>
  <c r="AL69" i="1"/>
  <c r="AE69" i="223" s="1"/>
  <c r="F125" i="11" s="1"/>
  <c r="AL51" i="1"/>
  <c r="AE51" i="223" s="1"/>
  <c r="F107" i="11" s="1"/>
  <c r="AK35" i="1"/>
  <c r="AD35" i="223" s="1"/>
  <c r="E91" i="11" s="1"/>
  <c r="AK159" i="1"/>
  <c r="AD159" i="223" s="1"/>
  <c r="E215" i="11" s="1"/>
  <c r="AK101" i="1"/>
  <c r="AD101" i="223" s="1"/>
  <c r="E157" i="11" s="1"/>
  <c r="AK78" i="1"/>
  <c r="AD78" i="223" s="1"/>
  <c r="E134" i="11" s="1"/>
  <c r="AJ185" i="1"/>
  <c r="AC185" i="223" s="1"/>
  <c r="D241" i="11" s="1"/>
  <c r="AJ131" i="1"/>
  <c r="AC131" i="223" s="1"/>
  <c r="D187" i="11" s="1"/>
  <c r="AL23" i="1"/>
  <c r="AE23" i="223" s="1"/>
  <c r="F79" i="11" s="1"/>
  <c r="B167" i="212"/>
  <c r="J28" i="212"/>
  <c r="B197" i="212" s="1"/>
  <c r="AX52" i="218"/>
  <c r="CT54" i="218"/>
  <c r="CX56" i="218"/>
  <c r="CP56" i="218"/>
  <c r="V141" i="212"/>
  <c r="C216" i="212" s="1"/>
  <c r="V137" i="212"/>
  <c r="C212" i="212" s="1"/>
  <c r="CR54" i="218"/>
  <c r="DD56" i="218"/>
  <c r="CV56" i="218"/>
  <c r="V134" i="212"/>
  <c r="C209" i="212" s="1"/>
  <c r="V140" i="212"/>
  <c r="C215" i="212" s="1"/>
  <c r="V136" i="212"/>
  <c r="C211" i="212" s="1"/>
  <c r="V57" i="212"/>
  <c r="C188" i="212" s="1"/>
  <c r="CH56" i="218"/>
  <c r="BM4" i="218" s="1"/>
  <c r="V73" i="212"/>
  <c r="C204" i="212" s="1"/>
  <c r="F164" i="212"/>
  <c r="DD54" i="218"/>
  <c r="CV54" i="218"/>
  <c r="CZ56" i="218"/>
  <c r="CR56" i="218"/>
  <c r="BL56" i="218"/>
  <c r="V58" i="212"/>
  <c r="C189" i="212" s="1"/>
  <c r="AV52" i="218"/>
  <c r="V50" i="212"/>
  <c r="C181" i="212" s="1"/>
  <c r="BZ56" i="218"/>
  <c r="V67" i="212"/>
  <c r="C198" i="212" s="1"/>
  <c r="BR56" i="218"/>
  <c r="V63" i="212"/>
  <c r="C194" i="212" s="1"/>
  <c r="CJ56" i="218"/>
  <c r="V74" i="212"/>
  <c r="C205" i="212" s="1"/>
  <c r="CB56" i="218"/>
  <c r="V70" i="212"/>
  <c r="C201" i="212" s="1"/>
  <c r="CP55" i="218"/>
  <c r="DF56" i="218"/>
  <c r="BX56" i="218"/>
  <c r="V66" i="212"/>
  <c r="C197" i="212" s="1"/>
  <c r="F170" i="212"/>
  <c r="F167" i="212"/>
  <c r="BH56" i="218"/>
  <c r="V56" i="212"/>
  <c r="C187" i="212" s="1"/>
  <c r="AZ52" i="218"/>
  <c r="V52" i="212"/>
  <c r="C183" i="212" s="1"/>
  <c r="AR52" i="218"/>
  <c r="V48" i="212"/>
  <c r="C179" i="212" s="1"/>
  <c r="BV56" i="218"/>
  <c r="V65" i="212"/>
  <c r="C196" i="212" s="1"/>
  <c r="BN56" i="218"/>
  <c r="V61" i="212"/>
  <c r="C192" i="212" s="1"/>
  <c r="CF56" i="218"/>
  <c r="V72" i="212"/>
  <c r="C203" i="212" s="1"/>
  <c r="J86" i="212"/>
  <c r="D178" i="212" s="1"/>
  <c r="J95" i="212"/>
  <c r="D187" i="212" s="1"/>
  <c r="BD53" i="218"/>
  <c r="V54" i="212"/>
  <c r="C185" i="212" s="1"/>
  <c r="BF55" i="218"/>
  <c r="V55" i="212"/>
  <c r="C186" i="212" s="1"/>
  <c r="BP56" i="218"/>
  <c r="V62" i="212"/>
  <c r="C193" i="212" s="1"/>
  <c r="DF54" i="218"/>
  <c r="CX54" i="218"/>
  <c r="DB56" i="218"/>
  <c r="CT56" i="218"/>
  <c r="V45" i="212"/>
  <c r="C176" i="212" s="1"/>
  <c r="BT56" i="218"/>
  <c r="V64" i="212"/>
  <c r="C195" i="212" s="1"/>
  <c r="CL56" i="218"/>
  <c r="V75" i="212"/>
  <c r="C206" i="212" s="1"/>
  <c r="CD56" i="218"/>
  <c r="V71" i="212"/>
  <c r="C202" i="212" s="1"/>
  <c r="BH58" i="218"/>
  <c r="AV20" i="218" s="1"/>
  <c r="AP58" i="218"/>
  <c r="J112" i="212"/>
  <c r="D204" i="212" s="1"/>
  <c r="BF33" i="213"/>
  <c r="BB33" i="213"/>
  <c r="AX33" i="213"/>
  <c r="AT33" i="213"/>
  <c r="AP33" i="213"/>
  <c r="BI33" i="213"/>
  <c r="BE33" i="213"/>
  <c r="BA33" i="213"/>
  <c r="AW33" i="213"/>
  <c r="AS33" i="213"/>
  <c r="BH33" i="213"/>
  <c r="BD33" i="213"/>
  <c r="AZ33" i="213"/>
  <c r="AV33" i="213"/>
  <c r="AR33" i="213"/>
  <c r="BG33" i="213"/>
  <c r="BC33" i="213"/>
  <c r="AY33" i="213"/>
  <c r="AU33" i="213"/>
  <c r="AQ33" i="213"/>
  <c r="AJ174" i="1"/>
  <c r="AC174" i="223" s="1"/>
  <c r="D230" i="11" s="1"/>
  <c r="AJ142" i="1"/>
  <c r="AC142" i="223" s="1"/>
  <c r="D198" i="11" s="1"/>
  <c r="AJ109" i="1"/>
  <c r="AC109" i="223" s="1"/>
  <c r="D165" i="11" s="1"/>
  <c r="AK183" i="1"/>
  <c r="AD183" i="223" s="1"/>
  <c r="E239" i="11" s="1"/>
  <c r="AK211" i="1"/>
  <c r="AD211" i="223" s="1"/>
  <c r="E267" i="11" s="1"/>
  <c r="AJ157" i="1"/>
  <c r="AC157" i="223" s="1"/>
  <c r="D213" i="11" s="1"/>
  <c r="AJ67" i="1"/>
  <c r="AC67" i="223" s="1"/>
  <c r="D123" i="11" s="1"/>
  <c r="AL203" i="1"/>
  <c r="AE203" i="223" s="1"/>
  <c r="F259" i="11" s="1"/>
  <c r="AK165" i="1"/>
  <c r="AD165" i="223" s="1"/>
  <c r="E221" i="11" s="1"/>
  <c r="AK142" i="1"/>
  <c r="AD142" i="223" s="1"/>
  <c r="E198" i="11" s="1"/>
  <c r="AK216" i="1"/>
  <c r="AD216" i="223" s="1"/>
  <c r="E272" i="11" s="1"/>
  <c r="AJ129" i="1"/>
  <c r="AC129" i="223" s="1"/>
  <c r="D185" i="11" s="1"/>
  <c r="DD58" i="218"/>
  <c r="J156" i="212"/>
  <c r="D217" i="212" s="1"/>
  <c r="CV58" i="218"/>
  <c r="J152" i="212"/>
  <c r="D213" i="212" s="1"/>
  <c r="CL58" i="218"/>
  <c r="J114" i="212"/>
  <c r="D206" i="212" s="1"/>
  <c r="CD58" i="218"/>
  <c r="J110" i="212"/>
  <c r="D202" i="212" s="1"/>
  <c r="BV58" i="218"/>
  <c r="BE4" i="218" s="1"/>
  <c r="J104" i="212"/>
  <c r="D196" i="212" s="1"/>
  <c r="BN58" i="218"/>
  <c r="J100" i="212"/>
  <c r="D192" i="212" s="1"/>
  <c r="BJ58" i="218"/>
  <c r="J96" i="212"/>
  <c r="D188" i="212" s="1"/>
  <c r="AZ58" i="218"/>
  <c r="AR20" i="218" s="1"/>
  <c r="J91" i="212"/>
  <c r="D183" i="212" s="1"/>
  <c r="AR58" i="218"/>
  <c r="AN4" i="218" s="1"/>
  <c r="J87" i="212"/>
  <c r="D179" i="212" s="1"/>
  <c r="BB58" i="218"/>
  <c r="J92" i="212"/>
  <c r="D184" i="212" s="1"/>
  <c r="DB58" i="218"/>
  <c r="J155" i="212"/>
  <c r="D216" i="212" s="1"/>
  <c r="CR58" i="218"/>
  <c r="J150" i="212"/>
  <c r="D211" i="212" s="1"/>
  <c r="CJ58" i="218"/>
  <c r="BN20" i="218" s="1"/>
  <c r="J113" i="212"/>
  <c r="CB58" i="218"/>
  <c r="BJ20" i="218" s="1"/>
  <c r="J109" i="212"/>
  <c r="D201" i="212" s="1"/>
  <c r="BT58" i="218"/>
  <c r="J103" i="212"/>
  <c r="D195" i="212" s="1"/>
  <c r="AX58" i="218"/>
  <c r="AQ20" i="218" s="1"/>
  <c r="J90" i="212"/>
  <c r="D182" i="212" s="1"/>
  <c r="BX50" i="218"/>
  <c r="E30" i="212"/>
  <c r="CN58" i="218"/>
  <c r="J148" i="212"/>
  <c r="D209" i="212" s="1"/>
  <c r="CZ58" i="218"/>
  <c r="J154" i="212"/>
  <c r="D215" i="212" s="1"/>
  <c r="CP58" i="218"/>
  <c r="J149" i="212"/>
  <c r="D210" i="212" s="1"/>
  <c r="AL56" i="218"/>
  <c r="AK4" i="218" s="1"/>
  <c r="BZ58" i="218"/>
  <c r="J106" i="212"/>
  <c r="D198" i="212" s="1"/>
  <c r="BR58" i="218"/>
  <c r="J102" i="212"/>
  <c r="D194" i="212" s="1"/>
  <c r="J84" i="212"/>
  <c r="D176" i="212" s="1"/>
  <c r="BF58" i="218"/>
  <c r="AU20" i="218" s="1"/>
  <c r="J94" i="212"/>
  <c r="D186" i="212" s="1"/>
  <c r="AV58" i="218"/>
  <c r="AP4" i="218" s="1"/>
  <c r="J89" i="212"/>
  <c r="AL57" i="218"/>
  <c r="BN51" i="218"/>
  <c r="I30" i="212"/>
  <c r="CN51" i="218"/>
  <c r="J120" i="212"/>
  <c r="B209" i="212" s="1"/>
  <c r="DF58" i="218"/>
  <c r="J157" i="212"/>
  <c r="D218" i="212" s="1"/>
  <c r="CX58" i="218"/>
  <c r="J153" i="212"/>
  <c r="D214" i="212" s="1"/>
  <c r="AL54" i="218"/>
  <c r="AL55" i="218"/>
  <c r="CF58" i="218"/>
  <c r="J111" i="212"/>
  <c r="BX58" i="218"/>
  <c r="J105" i="212"/>
  <c r="D197" i="212" s="1"/>
  <c r="BP58" i="218"/>
  <c r="J101" i="212"/>
  <c r="D193" i="212" s="1"/>
  <c r="BL58" i="218"/>
  <c r="J97" i="212"/>
  <c r="D189" i="212" s="1"/>
  <c r="BD58" i="218"/>
  <c r="AT4" i="218" s="1"/>
  <c r="J93" i="212"/>
  <c r="AT58" i="218"/>
  <c r="AO4" i="218" s="1"/>
  <c r="J88" i="212"/>
  <c r="D180" i="212" s="1"/>
  <c r="CT58" i="218"/>
  <c r="J151" i="212"/>
  <c r="D212" i="212" s="1"/>
  <c r="AL207" i="1"/>
  <c r="AE207" i="223" s="1"/>
  <c r="F263" i="11" s="1"/>
  <c r="AL216" i="1"/>
  <c r="AE216" i="223" s="1"/>
  <c r="F272" i="11" s="1"/>
  <c r="AK187" i="1"/>
  <c r="AD187" i="223" s="1"/>
  <c r="E243" i="11" s="1"/>
  <c r="AK170" i="1"/>
  <c r="AD170" i="223" s="1"/>
  <c r="E226" i="11" s="1"/>
  <c r="AK157" i="1"/>
  <c r="AD157" i="223" s="1"/>
  <c r="E213" i="11" s="1"/>
  <c r="AK220" i="1"/>
  <c r="AD220" i="223" s="1"/>
  <c r="E276" i="11" s="1"/>
  <c r="AJ211" i="1"/>
  <c r="AC211" i="223" s="1"/>
  <c r="D267" i="11" s="1"/>
  <c r="AJ187" i="1"/>
  <c r="AC187" i="223" s="1"/>
  <c r="D243" i="11" s="1"/>
  <c r="AJ179" i="1"/>
  <c r="AC179" i="223" s="1"/>
  <c r="D235" i="11" s="1"/>
  <c r="AJ147" i="1"/>
  <c r="AC147" i="223" s="1"/>
  <c r="D203" i="11" s="1"/>
  <c r="AJ115" i="1"/>
  <c r="AC115" i="223" s="1"/>
  <c r="D171" i="11" s="1"/>
  <c r="AJ89" i="1"/>
  <c r="AC89" i="223" s="1"/>
  <c r="D145" i="11" s="1"/>
  <c r="AJ71" i="1"/>
  <c r="AC71" i="223" s="1"/>
  <c r="D127" i="11" s="1"/>
  <c r="AI129" i="1"/>
  <c r="AB129" i="223" s="1"/>
  <c r="C185" i="11" s="1"/>
  <c r="AL211" i="1"/>
  <c r="AE211" i="223" s="1"/>
  <c r="F267" i="11" s="1"/>
  <c r="AK196" i="1"/>
  <c r="AD196" i="223" s="1"/>
  <c r="E252" i="11" s="1"/>
  <c r="AK179" i="1"/>
  <c r="AD179" i="223" s="1"/>
  <c r="E235" i="11" s="1"/>
  <c r="AK161" i="1"/>
  <c r="AD161" i="223" s="1"/>
  <c r="E217" i="11" s="1"/>
  <c r="AK138" i="1"/>
  <c r="AD138" i="223" s="1"/>
  <c r="E194" i="11" s="1"/>
  <c r="AK207" i="1"/>
  <c r="AD207" i="223" s="1"/>
  <c r="E263" i="11" s="1"/>
  <c r="AJ196" i="1"/>
  <c r="AC196" i="223" s="1"/>
  <c r="D252" i="11" s="1"/>
  <c r="AJ165" i="1"/>
  <c r="AC165" i="223" s="1"/>
  <c r="D221" i="11" s="1"/>
  <c r="AJ151" i="1"/>
  <c r="AC151" i="223" s="1"/>
  <c r="D207" i="11" s="1"/>
  <c r="AJ125" i="1"/>
  <c r="AC125" i="223" s="1"/>
  <c r="D181" i="11" s="1"/>
  <c r="AJ105" i="1"/>
  <c r="AC105" i="223" s="1"/>
  <c r="D161" i="11" s="1"/>
  <c r="AJ80" i="1"/>
  <c r="AC80" i="223" s="1"/>
  <c r="D136" i="11" s="1"/>
  <c r="AJ62" i="1"/>
  <c r="AI161" i="1"/>
  <c r="AB161" i="223" s="1"/>
  <c r="C217" i="11" s="1"/>
  <c r="AI62" i="1"/>
  <c r="AB62" i="223" s="1"/>
  <c r="AL14" i="1"/>
  <c r="AE14" i="223" s="1"/>
  <c r="F70" i="11" s="1"/>
  <c r="AK10" i="1"/>
  <c r="AD10" i="223" s="1"/>
  <c r="E66" i="11" s="1"/>
  <c r="AL220" i="1"/>
  <c r="AE220" i="223" s="1"/>
  <c r="F276" i="11" s="1"/>
  <c r="AK192" i="1"/>
  <c r="AD192" i="223" s="1"/>
  <c r="E248" i="11" s="1"/>
  <c r="AK174" i="1"/>
  <c r="AD174" i="223" s="1"/>
  <c r="E230" i="11" s="1"/>
  <c r="AK147" i="1"/>
  <c r="AD147" i="223" s="1"/>
  <c r="E203" i="11" s="1"/>
  <c r="AK134" i="1"/>
  <c r="AD134" i="223" s="1"/>
  <c r="E190" i="11" s="1"/>
  <c r="AK203" i="1"/>
  <c r="AD203" i="223" s="1"/>
  <c r="E259" i="11" s="1"/>
  <c r="AJ216" i="1"/>
  <c r="AC216" i="223" s="1"/>
  <c r="D272" i="11" s="1"/>
  <c r="AJ192" i="1"/>
  <c r="AC192" i="223" s="1"/>
  <c r="D248" i="11" s="1"/>
  <c r="AJ183" i="1"/>
  <c r="AC183" i="223" s="1"/>
  <c r="D239" i="11" s="1"/>
  <c r="AJ161" i="1"/>
  <c r="AC161" i="223" s="1"/>
  <c r="D217" i="11" s="1"/>
  <c r="AJ138" i="1"/>
  <c r="AC138" i="223" s="1"/>
  <c r="D194" i="11" s="1"/>
  <c r="AJ119" i="1"/>
  <c r="AC119" i="223" s="1"/>
  <c r="AJ97" i="1"/>
  <c r="AC97" i="223" s="1"/>
  <c r="D153" i="11" s="1"/>
  <c r="AJ75" i="1"/>
  <c r="AC75" i="223" s="1"/>
  <c r="D131" i="11" s="1"/>
  <c r="AJ37" i="1"/>
  <c r="AC37" i="223" s="1"/>
  <c r="D93" i="11" s="1"/>
  <c r="AK27" i="1"/>
  <c r="AD27" i="223" s="1"/>
  <c r="E83" i="11" s="1"/>
  <c r="AJ23" i="1"/>
  <c r="AC23" i="223" s="1"/>
  <c r="D79" i="11" s="1"/>
  <c r="AK195" i="1"/>
  <c r="AD195" i="223" s="1"/>
  <c r="E251" i="11" s="1"/>
  <c r="AK186" i="1"/>
  <c r="AD186" i="223" s="1"/>
  <c r="E242" i="11" s="1"/>
  <c r="AK177" i="1"/>
  <c r="AD177" i="223" s="1"/>
  <c r="E233" i="11" s="1"/>
  <c r="AK169" i="1"/>
  <c r="AD169" i="223" s="1"/>
  <c r="E225" i="11" s="1"/>
  <c r="AK160" i="1"/>
  <c r="AD160" i="223" s="1"/>
  <c r="E216" i="11" s="1"/>
  <c r="AK108" i="1"/>
  <c r="AD108" i="223" s="1"/>
  <c r="E164" i="11" s="1"/>
  <c r="AK206" i="1"/>
  <c r="AD206" i="223" s="1"/>
  <c r="E262" i="11" s="1"/>
  <c r="AK219" i="1"/>
  <c r="AD219" i="223" s="1"/>
  <c r="E275" i="11" s="1"/>
  <c r="AJ219" i="1"/>
  <c r="AC219" i="223" s="1"/>
  <c r="D275" i="11" s="1"/>
  <c r="AJ182" i="1"/>
  <c r="AC182" i="223" s="1"/>
  <c r="D238" i="11" s="1"/>
  <c r="AJ169" i="1"/>
  <c r="AJ160" i="1"/>
  <c r="AC160" i="223" s="1"/>
  <c r="D216" i="11" s="1"/>
  <c r="AJ124" i="1"/>
  <c r="AC124" i="223" s="1"/>
  <c r="D180" i="11" s="1"/>
  <c r="AJ114" i="1"/>
  <c r="AC114" i="223" s="1"/>
  <c r="D170" i="11" s="1"/>
  <c r="AJ104" i="1"/>
  <c r="AJ87" i="1"/>
  <c r="AC87" i="223" s="1"/>
  <c r="D143" i="11" s="1"/>
  <c r="AJ79" i="1"/>
  <c r="AC79" i="223" s="1"/>
  <c r="D135" i="11" s="1"/>
  <c r="AJ70" i="1"/>
  <c r="AC70" i="223" s="1"/>
  <c r="D126" i="11" s="1"/>
  <c r="AJ57" i="1"/>
  <c r="AC57" i="223" s="1"/>
  <c r="D113" i="11" s="1"/>
  <c r="AJ48" i="1"/>
  <c r="AC48" i="223" s="1"/>
  <c r="D104" i="11" s="1"/>
  <c r="AK199" i="1"/>
  <c r="AD199" i="223" s="1"/>
  <c r="E255" i="11" s="1"/>
  <c r="AK191" i="1"/>
  <c r="AD191" i="223" s="1"/>
  <c r="E247" i="11" s="1"/>
  <c r="AK182" i="1"/>
  <c r="AK173" i="1"/>
  <c r="AD173" i="223" s="1"/>
  <c r="E229" i="11" s="1"/>
  <c r="AK164" i="1"/>
  <c r="AD164" i="223" s="1"/>
  <c r="E220" i="11" s="1"/>
  <c r="AK104" i="1"/>
  <c r="AD104" i="223" s="1"/>
  <c r="E160" i="11" s="1"/>
  <c r="AK74" i="1"/>
  <c r="AD74" i="223" s="1"/>
  <c r="E130" i="11" s="1"/>
  <c r="AK210" i="1"/>
  <c r="AD210" i="223" s="1"/>
  <c r="E266" i="11" s="1"/>
  <c r="AK223" i="1"/>
  <c r="AD223" i="223" s="1"/>
  <c r="E279" i="11" s="1"/>
  <c r="AK215" i="1"/>
  <c r="AD215" i="223" s="1"/>
  <c r="E271" i="11" s="1"/>
  <c r="AJ215" i="1"/>
  <c r="AC215" i="223" s="1"/>
  <c r="D271" i="11" s="1"/>
  <c r="AJ177" i="1"/>
  <c r="AC177" i="223" s="1"/>
  <c r="D233" i="11" s="1"/>
  <c r="AJ164" i="1"/>
  <c r="AC164" i="223" s="1"/>
  <c r="D220" i="11" s="1"/>
  <c r="AJ128" i="1"/>
  <c r="AC128" i="223" s="1"/>
  <c r="D184" i="11" s="1"/>
  <c r="AJ118" i="1"/>
  <c r="AC118" i="223" s="1"/>
  <c r="D174" i="11" s="1"/>
  <c r="AJ108" i="1"/>
  <c r="AC108" i="223" s="1"/>
  <c r="D164" i="11" s="1"/>
  <c r="AJ92" i="1"/>
  <c r="AC92" i="223" s="1"/>
  <c r="D148" i="11" s="1"/>
  <c r="AJ83" i="1"/>
  <c r="AC83" i="223" s="1"/>
  <c r="D139" i="11" s="1"/>
  <c r="AJ74" i="1"/>
  <c r="AC74" i="223" s="1"/>
  <c r="D130" i="11" s="1"/>
  <c r="AJ65" i="1"/>
  <c r="AC65" i="223" s="1"/>
  <c r="D121" i="11" s="1"/>
  <c r="AI223" i="1"/>
  <c r="AB223" i="223" s="1"/>
  <c r="C279" i="11" s="1"/>
  <c r="AI48" i="1"/>
  <c r="AB48" i="223" s="1"/>
  <c r="C104" i="11" s="1"/>
  <c r="AL206" i="1"/>
  <c r="AE206" i="223" s="1"/>
  <c r="F262" i="11" s="1"/>
  <c r="AL219" i="1"/>
  <c r="AE219" i="223" s="1"/>
  <c r="F275" i="11" s="1"/>
  <c r="AK154" i="1"/>
  <c r="AD154" i="223" s="1"/>
  <c r="E210" i="11" s="1"/>
  <c r="AK146" i="1"/>
  <c r="AD146" i="223" s="1"/>
  <c r="E202" i="11" s="1"/>
  <c r="AK137" i="1"/>
  <c r="AD137" i="223" s="1"/>
  <c r="E193" i="11" s="1"/>
  <c r="AK128" i="1"/>
  <c r="AD128" i="223" s="1"/>
  <c r="E184" i="11" s="1"/>
  <c r="AK118" i="1"/>
  <c r="AD118" i="223" s="1"/>
  <c r="E174" i="11" s="1"/>
  <c r="AK96" i="1"/>
  <c r="AD96" i="223" s="1"/>
  <c r="E152" i="11" s="1"/>
  <c r="AK87" i="1"/>
  <c r="AD87" i="223" s="1"/>
  <c r="E143" i="11" s="1"/>
  <c r="AK79" i="1"/>
  <c r="AD79" i="223" s="1"/>
  <c r="E135" i="11" s="1"/>
  <c r="AK65" i="1"/>
  <c r="AD65" i="223" s="1"/>
  <c r="E121" i="11" s="1"/>
  <c r="AK57" i="1"/>
  <c r="AD57" i="223" s="1"/>
  <c r="E113" i="11" s="1"/>
  <c r="AK48" i="1"/>
  <c r="AJ191" i="1"/>
  <c r="AC191" i="223" s="1"/>
  <c r="D247" i="11" s="1"/>
  <c r="AJ154" i="1"/>
  <c r="AC154" i="223" s="1"/>
  <c r="D210" i="11" s="1"/>
  <c r="AJ146" i="1"/>
  <c r="AC146" i="223" s="1"/>
  <c r="D202" i="11" s="1"/>
  <c r="AJ132" i="1"/>
  <c r="AC132" i="223" s="1"/>
  <c r="D188" i="11" s="1"/>
  <c r="AJ32" i="1"/>
  <c r="AC32" i="223" s="1"/>
  <c r="D88" i="11" s="1"/>
  <c r="AI182" i="1"/>
  <c r="AB182" i="223" s="1"/>
  <c r="C238" i="11" s="1"/>
  <c r="AK22" i="1"/>
  <c r="AD22" i="223" s="1"/>
  <c r="E78" i="11" s="1"/>
  <c r="AL123" i="1"/>
  <c r="AE123" i="223" s="1"/>
  <c r="F179" i="11" s="1"/>
  <c r="AK69" i="1"/>
  <c r="AD69" i="223" s="1"/>
  <c r="E125" i="11" s="1"/>
  <c r="AJ172" i="1"/>
  <c r="AC172" i="223" s="1"/>
  <c r="D228" i="11" s="1"/>
  <c r="AJ86" i="1"/>
  <c r="AC86" i="223" s="1"/>
  <c r="D142" i="11" s="1"/>
  <c r="AI107" i="1"/>
  <c r="AB107" i="223" s="1"/>
  <c r="C163" i="11" s="1"/>
  <c r="AL15" i="1"/>
  <c r="AE15" i="223" s="1"/>
  <c r="F71" i="11" s="1"/>
  <c r="AJ20" i="1"/>
  <c r="AC20" i="223" s="1"/>
  <c r="D76" i="11" s="1"/>
  <c r="AL98" i="1"/>
  <c r="AE98" i="223" s="1"/>
  <c r="F154" i="11" s="1"/>
  <c r="AL94" i="1"/>
  <c r="AE94" i="223" s="1"/>
  <c r="AL90" i="1"/>
  <c r="AE90" i="223" s="1"/>
  <c r="F146" i="11" s="1"/>
  <c r="AL85" i="1"/>
  <c r="AE85" i="223" s="1"/>
  <c r="F141" i="11" s="1"/>
  <c r="AL81" i="1"/>
  <c r="AE81" i="223" s="1"/>
  <c r="F137" i="11" s="1"/>
  <c r="AL76" i="1"/>
  <c r="AE76" i="223" s="1"/>
  <c r="AL72" i="1"/>
  <c r="AE72" i="223" s="1"/>
  <c r="F128" i="11" s="1"/>
  <c r="AL68" i="1"/>
  <c r="AE68" i="223" s="1"/>
  <c r="F124" i="11" s="1"/>
  <c r="AL63" i="1"/>
  <c r="AE63" i="223" s="1"/>
  <c r="F119" i="11" s="1"/>
  <c r="AL59" i="1"/>
  <c r="AE59" i="223" s="1"/>
  <c r="F115" i="11" s="1"/>
  <c r="AL54" i="1"/>
  <c r="AE54" i="223" s="1"/>
  <c r="F110" i="11" s="1"/>
  <c r="AL50" i="1"/>
  <c r="AE50" i="223" s="1"/>
  <c r="F106" i="11" s="1"/>
  <c r="AL46" i="1"/>
  <c r="AE46" i="223" s="1"/>
  <c r="AK140" i="1"/>
  <c r="AD140" i="223" s="1"/>
  <c r="E196" i="11" s="1"/>
  <c r="AJ204" i="1"/>
  <c r="AC204" i="223" s="1"/>
  <c r="D260" i="11" s="1"/>
  <c r="AJ140" i="1"/>
  <c r="AC140" i="223" s="1"/>
  <c r="D196" i="11" s="1"/>
  <c r="AJ103" i="1"/>
  <c r="AC103" i="223" s="1"/>
  <c r="D159" i="11" s="1"/>
  <c r="AJ72" i="1"/>
  <c r="AI60" i="1"/>
  <c r="AB60" i="223" s="1"/>
  <c r="C116" i="11" s="1"/>
  <c r="AK24" i="1"/>
  <c r="AD24" i="223" s="1"/>
  <c r="E80" i="11" s="1"/>
  <c r="AJ11" i="1"/>
  <c r="AC11" i="223" s="1"/>
  <c r="D67" i="11" s="1"/>
  <c r="AL4" i="213"/>
  <c r="AL38" i="1"/>
  <c r="AE38" i="223" s="1"/>
  <c r="F94" i="11" s="1"/>
  <c r="AL34" i="1"/>
  <c r="AE34" i="223" s="1"/>
  <c r="F90" i="11" s="1"/>
  <c r="AL110" i="1"/>
  <c r="AE110" i="223" s="1"/>
  <c r="F166" i="11" s="1"/>
  <c r="AK116" i="1"/>
  <c r="AD116" i="223" s="1"/>
  <c r="E172" i="11" s="1"/>
  <c r="AK59" i="1"/>
  <c r="AD59" i="223" s="1"/>
  <c r="E115" i="11" s="1"/>
  <c r="AJ34" i="1"/>
  <c r="AC34" i="223" s="1"/>
  <c r="D90" i="11" s="1"/>
  <c r="AL13" i="1"/>
  <c r="AE13" i="223" s="1"/>
  <c r="F69" i="11" s="1"/>
  <c r="AJ17" i="1"/>
  <c r="AC17" i="223" s="1"/>
  <c r="D73" i="11" s="1"/>
  <c r="AL204" i="1"/>
  <c r="AE204" i="223" s="1"/>
  <c r="F260" i="11" s="1"/>
  <c r="AK123" i="1"/>
  <c r="AD123" i="223" s="1"/>
  <c r="E179" i="11" s="1"/>
  <c r="AL17" i="1"/>
  <c r="AE17" i="223" s="1"/>
  <c r="F73" i="11" s="1"/>
  <c r="AK17" i="1"/>
  <c r="AD17" i="223" s="1"/>
  <c r="E73" i="11" s="1"/>
  <c r="AJ22" i="1"/>
  <c r="AC22" i="223" s="1"/>
  <c r="D78" i="11" s="1"/>
  <c r="AJ9" i="1"/>
  <c r="AC9" i="223" s="1"/>
  <c r="D65" i="11" s="1"/>
  <c r="AI179" i="1"/>
  <c r="AB179" i="223" s="1"/>
  <c r="C235" i="11" s="1"/>
  <c r="AL208" i="1"/>
  <c r="AE208" i="223" s="1"/>
  <c r="F264" i="11" s="1"/>
  <c r="AK188" i="1"/>
  <c r="AD188" i="223" s="1"/>
  <c r="E244" i="11" s="1"/>
  <c r="AK120" i="1"/>
  <c r="AD120" i="223" s="1"/>
  <c r="E176" i="11" s="1"/>
  <c r="AK90" i="1"/>
  <c r="AD90" i="223" s="1"/>
  <c r="E146" i="11" s="1"/>
  <c r="AK63" i="1"/>
  <c r="AD63" i="223" s="1"/>
  <c r="E119" i="11" s="1"/>
  <c r="AK46" i="1"/>
  <c r="AD46" i="223" s="1"/>
  <c r="E102" i="11" s="1"/>
  <c r="AJ110" i="1"/>
  <c r="AC110" i="223" s="1"/>
  <c r="D166" i="11" s="1"/>
  <c r="AJ76" i="1"/>
  <c r="AC76" i="223" s="1"/>
  <c r="D132" i="11" s="1"/>
  <c r="AJ63" i="1"/>
  <c r="AC63" i="223" s="1"/>
  <c r="D119" i="11" s="1"/>
  <c r="AI94" i="1"/>
  <c r="AL197" i="1"/>
  <c r="AE197" i="223" s="1"/>
  <c r="F253" i="11" s="1"/>
  <c r="AL193" i="1"/>
  <c r="AE193" i="223" s="1"/>
  <c r="F249" i="11" s="1"/>
  <c r="AL180" i="1"/>
  <c r="AE180" i="223" s="1"/>
  <c r="F236" i="11" s="1"/>
  <c r="AL171" i="1"/>
  <c r="AE171" i="223" s="1"/>
  <c r="F227" i="11" s="1"/>
  <c r="AL135" i="1"/>
  <c r="AE135" i="223" s="1"/>
  <c r="F191" i="11" s="1"/>
  <c r="AL130" i="1"/>
  <c r="AE130" i="223" s="1"/>
  <c r="F186" i="11" s="1"/>
  <c r="AL126" i="1"/>
  <c r="AE126" i="223" s="1"/>
  <c r="F182" i="11" s="1"/>
  <c r="AK180" i="1"/>
  <c r="AD180" i="223" s="1"/>
  <c r="AK94" i="1"/>
  <c r="AD94" i="223" s="1"/>
  <c r="E150" i="11" s="1"/>
  <c r="AK50" i="1"/>
  <c r="AD50" i="223" s="1"/>
  <c r="E106" i="11" s="1"/>
  <c r="AJ220" i="1"/>
  <c r="AC220" i="223" s="1"/>
  <c r="D276" i="11" s="1"/>
  <c r="AJ54" i="1"/>
  <c r="AC54" i="223" s="1"/>
  <c r="D110" i="11" s="1"/>
  <c r="AL20" i="1"/>
  <c r="AE20" i="223" s="1"/>
  <c r="F76" i="11" s="1"/>
  <c r="AJ28" i="1"/>
  <c r="AC28" i="223" s="1"/>
  <c r="D84" i="11" s="1"/>
  <c r="AI20" i="1"/>
  <c r="AB20" i="223" s="1"/>
  <c r="C76" i="11" s="1"/>
  <c r="AL120" i="1"/>
  <c r="AE120" i="223" s="1"/>
  <c r="F176" i="11" s="1"/>
  <c r="AL116" i="1"/>
  <c r="AE116" i="223" s="1"/>
  <c r="F172" i="11" s="1"/>
  <c r="AL106" i="1"/>
  <c r="AE106" i="223" s="1"/>
  <c r="F162" i="11" s="1"/>
  <c r="AK38" i="1"/>
  <c r="AD38" i="223" s="1"/>
  <c r="E94" i="11" s="1"/>
  <c r="AK34" i="1"/>
  <c r="AD34" i="223" s="1"/>
  <c r="E90" i="11" s="1"/>
  <c r="AK98" i="1"/>
  <c r="AD98" i="223" s="1"/>
  <c r="E154" i="11" s="1"/>
  <c r="AK54" i="1"/>
  <c r="AD54" i="223" s="1"/>
  <c r="E110" i="11" s="1"/>
  <c r="AJ98" i="1"/>
  <c r="AC98" i="223" s="1"/>
  <c r="D154" i="11" s="1"/>
  <c r="AJ59" i="1"/>
  <c r="AC59" i="223" s="1"/>
  <c r="D115" i="11" s="1"/>
  <c r="AJ123" i="1"/>
  <c r="AC123" i="223" s="1"/>
  <c r="D179" i="11" s="1"/>
  <c r="AI72" i="1"/>
  <c r="AB72" i="223" s="1"/>
  <c r="C128" i="11" s="1"/>
  <c r="AK153" i="1"/>
  <c r="AD153" i="223" s="1"/>
  <c r="E209" i="11" s="1"/>
  <c r="AK136" i="1"/>
  <c r="AD136" i="223" s="1"/>
  <c r="E192" i="11" s="1"/>
  <c r="AK209" i="1"/>
  <c r="AD209" i="223" s="1"/>
  <c r="E265" i="11" s="1"/>
  <c r="AK205" i="1"/>
  <c r="AD205" i="223" s="1"/>
  <c r="E261" i="11" s="1"/>
  <c r="AJ209" i="1"/>
  <c r="AJ181" i="1"/>
  <c r="AC181" i="223" s="1"/>
  <c r="D237" i="11" s="1"/>
  <c r="AJ153" i="1"/>
  <c r="AC153" i="223" s="1"/>
  <c r="D209" i="11" s="1"/>
  <c r="AJ127" i="1"/>
  <c r="AC127" i="223" s="1"/>
  <c r="D183" i="11" s="1"/>
  <c r="AJ121" i="1"/>
  <c r="AC121" i="223" s="1"/>
  <c r="D177" i="11" s="1"/>
  <c r="AJ95" i="1"/>
  <c r="AC95" i="223" s="1"/>
  <c r="D151" i="11" s="1"/>
  <c r="AJ82" i="1"/>
  <c r="AC82" i="223" s="1"/>
  <c r="D138" i="11" s="1"/>
  <c r="AJ78" i="1"/>
  <c r="AC78" i="223" s="1"/>
  <c r="D134" i="11" s="1"/>
  <c r="AJ73" i="1"/>
  <c r="AC73" i="223" s="1"/>
  <c r="D129" i="11" s="1"/>
  <c r="AJ69" i="1"/>
  <c r="AC69" i="223" s="1"/>
  <c r="D125" i="11" s="1"/>
  <c r="AJ51" i="1"/>
  <c r="AC51" i="223" s="1"/>
  <c r="D107" i="11" s="1"/>
  <c r="AJ39" i="1"/>
  <c r="AC39" i="223" s="1"/>
  <c r="D95" i="11" s="1"/>
  <c r="AJ101" i="1"/>
  <c r="AC101" i="223" s="1"/>
  <c r="D157" i="11" s="1"/>
  <c r="AI82" i="1"/>
  <c r="AB82" i="223" s="1"/>
  <c r="C138" i="11" s="1"/>
  <c r="AI51" i="1"/>
  <c r="AB51" i="223" s="1"/>
  <c r="C107" i="11" s="1"/>
  <c r="AL25" i="1"/>
  <c r="AE25" i="223" s="1"/>
  <c r="F81" i="11" s="1"/>
  <c r="AL8" i="1"/>
  <c r="AE8" i="223" s="1"/>
  <c r="AK12" i="1"/>
  <c r="AD12" i="223" s="1"/>
  <c r="E68" i="11" s="1"/>
  <c r="AK8" i="1"/>
  <c r="AD8" i="223" s="1"/>
  <c r="AL107" i="1"/>
  <c r="AE107" i="223" s="1"/>
  <c r="F163" i="11" s="1"/>
  <c r="AL103" i="1"/>
  <c r="AE103" i="223" s="1"/>
  <c r="F159" i="11" s="1"/>
  <c r="AK181" i="1"/>
  <c r="AD181" i="223" s="1"/>
  <c r="E237" i="11" s="1"/>
  <c r="AK176" i="1"/>
  <c r="AD176" i="223" s="1"/>
  <c r="E232" i="11" s="1"/>
  <c r="AK172" i="1"/>
  <c r="AD172" i="223" s="1"/>
  <c r="E228" i="11" s="1"/>
  <c r="AK168" i="1"/>
  <c r="AD168" i="223" s="1"/>
  <c r="AK163" i="1"/>
  <c r="AD163" i="223" s="1"/>
  <c r="E219" i="11" s="1"/>
  <c r="AK145" i="1"/>
  <c r="AD145" i="223" s="1"/>
  <c r="E201" i="11" s="1"/>
  <c r="AK127" i="1"/>
  <c r="AD127" i="223" s="1"/>
  <c r="E183" i="11" s="1"/>
  <c r="AK121" i="1"/>
  <c r="AD121" i="223" s="1"/>
  <c r="E177" i="11" s="1"/>
  <c r="AK117" i="1"/>
  <c r="AD117" i="223" s="1"/>
  <c r="E173" i="11" s="1"/>
  <c r="AK113" i="1"/>
  <c r="AD113" i="223" s="1"/>
  <c r="E169" i="11" s="1"/>
  <c r="AK107" i="1"/>
  <c r="AD107" i="223" s="1"/>
  <c r="E163" i="11" s="1"/>
  <c r="AK82" i="1"/>
  <c r="AD82" i="223" s="1"/>
  <c r="E138" i="11" s="1"/>
  <c r="AK64" i="1"/>
  <c r="AD64" i="223" s="1"/>
  <c r="E120" i="11" s="1"/>
  <c r="AK60" i="1"/>
  <c r="AD60" i="223" s="1"/>
  <c r="E116" i="11" s="1"/>
  <c r="AK56" i="1"/>
  <c r="AD56" i="223" s="1"/>
  <c r="E112" i="11" s="1"/>
  <c r="AK51" i="1"/>
  <c r="AD51" i="223" s="1"/>
  <c r="E107" i="11" s="1"/>
  <c r="AK47" i="1"/>
  <c r="AD47" i="223" s="1"/>
  <c r="AK218" i="1"/>
  <c r="AD218" i="223" s="1"/>
  <c r="E274" i="11" s="1"/>
  <c r="AJ223" i="1"/>
  <c r="AC223" i="223" s="1"/>
  <c r="D279" i="11" s="1"/>
  <c r="AJ214" i="1"/>
  <c r="AC214" i="223" s="1"/>
  <c r="D270" i="11" s="1"/>
  <c r="AJ206" i="1"/>
  <c r="AC206" i="223" s="1"/>
  <c r="D262" i="11" s="1"/>
  <c r="AJ199" i="1"/>
  <c r="AC199" i="223" s="1"/>
  <c r="D255" i="11" s="1"/>
  <c r="AJ195" i="1"/>
  <c r="AC195" i="223" s="1"/>
  <c r="D251" i="11" s="1"/>
  <c r="AJ190" i="1"/>
  <c r="AC190" i="223" s="1"/>
  <c r="D246" i="11" s="1"/>
  <c r="AJ163" i="1"/>
  <c r="AC163" i="223" s="1"/>
  <c r="D219" i="11" s="1"/>
  <c r="AJ145" i="1"/>
  <c r="AC145" i="223" s="1"/>
  <c r="AJ113" i="1"/>
  <c r="AC113" i="223" s="1"/>
  <c r="D169" i="11" s="1"/>
  <c r="AJ107" i="1"/>
  <c r="AC107" i="223" s="1"/>
  <c r="D163" i="11" s="1"/>
  <c r="AJ91" i="1"/>
  <c r="AC91" i="223" s="1"/>
  <c r="D147" i="11" s="1"/>
  <c r="AJ60" i="1"/>
  <c r="AJ35" i="1"/>
  <c r="AC35" i="223" s="1"/>
  <c r="D91" i="11" s="1"/>
  <c r="AI216" i="1"/>
  <c r="AB216" i="223" s="1"/>
  <c r="C272" i="11" s="1"/>
  <c r="AL22" i="1"/>
  <c r="AE22" i="223" s="1"/>
  <c r="F78" i="11" s="1"/>
  <c r="AL16" i="1"/>
  <c r="AK26" i="1"/>
  <c r="AD26" i="223" s="1"/>
  <c r="E82" i="11" s="1"/>
  <c r="AK21" i="1"/>
  <c r="AD21" i="223" s="1"/>
  <c r="E77" i="11" s="1"/>
  <c r="AK16" i="1"/>
  <c r="AD16" i="223" s="1"/>
  <c r="E72" i="11" s="1"/>
  <c r="AJ26" i="1"/>
  <c r="AC26" i="223" s="1"/>
  <c r="D82" i="11" s="1"/>
  <c r="AJ21" i="1"/>
  <c r="AC21" i="223" s="1"/>
  <c r="D77" i="11" s="1"/>
  <c r="AJ16" i="1"/>
  <c r="AC16" i="223" s="1"/>
  <c r="D72" i="11" s="1"/>
  <c r="AJ8" i="1"/>
  <c r="AC8" i="223" s="1"/>
  <c r="AL209" i="1"/>
  <c r="AE209" i="223" s="1"/>
  <c r="F265" i="11" s="1"/>
  <c r="AL205" i="1"/>
  <c r="AE205" i="223" s="1"/>
  <c r="F261" i="11" s="1"/>
  <c r="AL222" i="1"/>
  <c r="AE222" i="223" s="1"/>
  <c r="F278" i="11" s="1"/>
  <c r="AL218" i="1"/>
  <c r="AE218" i="223" s="1"/>
  <c r="F274" i="11" s="1"/>
  <c r="AL214" i="1"/>
  <c r="AE214" i="223" s="1"/>
  <c r="AK198" i="1"/>
  <c r="AD198" i="223" s="1"/>
  <c r="E254" i="11" s="1"/>
  <c r="AK194" i="1"/>
  <c r="AD194" i="223" s="1"/>
  <c r="E250" i="11" s="1"/>
  <c r="AK190" i="1"/>
  <c r="AD190" i="223" s="1"/>
  <c r="E246" i="11" s="1"/>
  <c r="AK185" i="1"/>
  <c r="AD185" i="223" s="1"/>
  <c r="E241" i="11" s="1"/>
  <c r="AK149" i="1"/>
  <c r="AD149" i="223" s="1"/>
  <c r="E205" i="11" s="1"/>
  <c r="AK131" i="1"/>
  <c r="AD131" i="223" s="1"/>
  <c r="E187" i="11" s="1"/>
  <c r="AK95" i="1"/>
  <c r="AD95" i="223" s="1"/>
  <c r="E151" i="11" s="1"/>
  <c r="AK91" i="1"/>
  <c r="AD91" i="223" s="1"/>
  <c r="E147" i="11" s="1"/>
  <c r="AK86" i="1"/>
  <c r="AD86" i="223" s="1"/>
  <c r="E142" i="11" s="1"/>
  <c r="AK222" i="1"/>
  <c r="AD222" i="223" s="1"/>
  <c r="E278" i="11" s="1"/>
  <c r="AJ222" i="1"/>
  <c r="AC222" i="223" s="1"/>
  <c r="D278" i="11" s="1"/>
  <c r="AJ218" i="1"/>
  <c r="AC218" i="223" s="1"/>
  <c r="D274" i="11" s="1"/>
  <c r="AJ205" i="1"/>
  <c r="AC205" i="223" s="1"/>
  <c r="D261" i="11" s="1"/>
  <c r="AJ198" i="1"/>
  <c r="AC198" i="223" s="1"/>
  <c r="D254" i="11" s="1"/>
  <c r="AJ194" i="1"/>
  <c r="AC194" i="223" s="1"/>
  <c r="D250" i="11" s="1"/>
  <c r="AJ176" i="1"/>
  <c r="AC176" i="223" s="1"/>
  <c r="D232" i="11" s="1"/>
  <c r="AJ168" i="1"/>
  <c r="AC168" i="223" s="1"/>
  <c r="D224" i="11" s="1"/>
  <c r="AJ149" i="1"/>
  <c r="AC149" i="223" s="1"/>
  <c r="D205" i="11" s="1"/>
  <c r="AJ136" i="1"/>
  <c r="AC136" i="223" s="1"/>
  <c r="D192" i="11" s="1"/>
  <c r="AJ117" i="1"/>
  <c r="AC117" i="223" s="1"/>
  <c r="D173" i="11" s="1"/>
  <c r="AJ64" i="1"/>
  <c r="AC64" i="223" s="1"/>
  <c r="D120" i="11" s="1"/>
  <c r="AI91" i="1"/>
  <c r="AB91" i="223" s="1"/>
  <c r="C147" i="11" s="1"/>
  <c r="AI69" i="1"/>
  <c r="AI56" i="1"/>
  <c r="AB56" i="223" s="1"/>
  <c r="C112" i="11" s="1"/>
  <c r="AL26" i="1"/>
  <c r="AE26" i="223" s="1"/>
  <c r="F82" i="11" s="1"/>
  <c r="AL21" i="1"/>
  <c r="AE21" i="223" s="1"/>
  <c r="F77" i="11" s="1"/>
  <c r="AL9" i="1"/>
  <c r="AE9" i="223" s="1"/>
  <c r="F65" i="11" s="1"/>
  <c r="AK25" i="1"/>
  <c r="AD25" i="223" s="1"/>
  <c r="E81" i="11" s="1"/>
  <c r="AK13" i="1"/>
  <c r="AD13" i="223" s="1"/>
  <c r="E69" i="11" s="1"/>
  <c r="AK9" i="1"/>
  <c r="AD9" i="223" s="1"/>
  <c r="E65" i="11" s="1"/>
  <c r="AJ25" i="1"/>
  <c r="AC25" i="223" s="1"/>
  <c r="D81" i="11" s="1"/>
  <c r="AJ13" i="1"/>
  <c r="AC13" i="223" s="1"/>
  <c r="D69" i="11" s="1"/>
  <c r="AI209" i="1"/>
  <c r="AB209" i="223" s="1"/>
  <c r="C265" i="11" s="1"/>
  <c r="AL33" i="1"/>
  <c r="AE33" i="223" s="1"/>
  <c r="F89" i="11" s="1"/>
  <c r="F224" i="11"/>
  <c r="F201" i="11"/>
  <c r="E57" i="220"/>
  <c r="E121" i="220" s="1"/>
  <c r="F87" i="11"/>
  <c r="F235" i="11"/>
  <c r="F168" i="11"/>
  <c r="F145" i="11"/>
  <c r="E88" i="11"/>
  <c r="AH221" i="1"/>
  <c r="AA221" i="223" s="1"/>
  <c r="B277" i="11" s="1"/>
  <c r="AJ221" i="1"/>
  <c r="AC221" i="223" s="1"/>
  <c r="D277" i="11" s="1"/>
  <c r="AK221" i="1"/>
  <c r="AD221" i="223" s="1"/>
  <c r="E277" i="11" s="1"/>
  <c r="AH217" i="1"/>
  <c r="AA217" i="223" s="1"/>
  <c r="B273" i="11" s="1"/>
  <c r="AK217" i="1"/>
  <c r="AD217" i="223" s="1"/>
  <c r="E273" i="11" s="1"/>
  <c r="AH212" i="1"/>
  <c r="AA212" i="223" s="1"/>
  <c r="B268" i="11" s="1"/>
  <c r="AK212" i="1"/>
  <c r="AD212" i="223" s="1"/>
  <c r="E268" i="11" s="1"/>
  <c r="AJ212" i="1"/>
  <c r="AC212" i="223" s="1"/>
  <c r="D268" i="11" s="1"/>
  <c r="AH208" i="1"/>
  <c r="AA208" i="223" s="1"/>
  <c r="B264" i="11" s="1"/>
  <c r="AK208" i="1"/>
  <c r="AD208" i="223" s="1"/>
  <c r="E264" i="11" s="1"/>
  <c r="AH204" i="1"/>
  <c r="AA204" i="223" s="1"/>
  <c r="B260" i="11" s="1"/>
  <c r="AK204" i="1"/>
  <c r="AD204" i="223" s="1"/>
  <c r="E260" i="11" s="1"/>
  <c r="AH197" i="1"/>
  <c r="AA197" i="223" s="1"/>
  <c r="B253" i="11" s="1"/>
  <c r="AK197" i="1"/>
  <c r="AD197" i="223" s="1"/>
  <c r="E253" i="11" s="1"/>
  <c r="AH193" i="1"/>
  <c r="AJ193" i="1"/>
  <c r="AC193" i="223" s="1"/>
  <c r="D249" i="11" s="1"/>
  <c r="AH188" i="1"/>
  <c r="AI188" i="1"/>
  <c r="AB188" i="223" s="1"/>
  <c r="C244" i="11" s="1"/>
  <c r="AJ188" i="1"/>
  <c r="AH184" i="1"/>
  <c r="AA184" i="223" s="1"/>
  <c r="B240" i="11" s="1"/>
  <c r="AJ184" i="1"/>
  <c r="AC184" i="223" s="1"/>
  <c r="D240" i="11" s="1"/>
  <c r="AK184" i="1"/>
  <c r="AD184" i="223" s="1"/>
  <c r="E240" i="11" s="1"/>
  <c r="AH175" i="1"/>
  <c r="AA175" i="223" s="1"/>
  <c r="B231" i="11" s="1"/>
  <c r="AJ175" i="1"/>
  <c r="AC175" i="223" s="1"/>
  <c r="D231" i="11" s="1"/>
  <c r="AK175" i="1"/>
  <c r="AD175" i="223" s="1"/>
  <c r="E231" i="11" s="1"/>
  <c r="AH171" i="1"/>
  <c r="AA171" i="223" s="1"/>
  <c r="AJ171" i="1"/>
  <c r="AC171" i="223" s="1"/>
  <c r="D227" i="11" s="1"/>
  <c r="AH166" i="1"/>
  <c r="AA166" i="223" s="1"/>
  <c r="B222" i="11" s="1"/>
  <c r="AJ166" i="1"/>
  <c r="AC166" i="223" s="1"/>
  <c r="D222" i="11" s="1"/>
  <c r="AK166" i="1"/>
  <c r="AD166" i="223" s="1"/>
  <c r="E222" i="11" s="1"/>
  <c r="AI162" i="1"/>
  <c r="AB162" i="223" s="1"/>
  <c r="C218" i="11" s="1"/>
  <c r="AJ162" i="1"/>
  <c r="AC162" i="223" s="1"/>
  <c r="D218" i="11" s="1"/>
  <c r="AK162" i="1"/>
  <c r="AD162" i="223" s="1"/>
  <c r="E218" i="11" s="1"/>
  <c r="AH158" i="1"/>
  <c r="AA158" i="223" s="1"/>
  <c r="B214" i="11" s="1"/>
  <c r="AI158" i="1"/>
  <c r="AB158" i="223" s="1"/>
  <c r="AJ158" i="1"/>
  <c r="AC158" i="223" s="1"/>
  <c r="D214" i="11" s="1"/>
  <c r="AK158" i="1"/>
  <c r="AD158" i="223" s="1"/>
  <c r="E214" i="11" s="1"/>
  <c r="AI152" i="1"/>
  <c r="AB152" i="223" s="1"/>
  <c r="C208" i="11" s="1"/>
  <c r="AK152" i="1"/>
  <c r="AD152" i="223" s="1"/>
  <c r="E208" i="11" s="1"/>
  <c r="AJ152" i="1"/>
  <c r="AC152" i="223" s="1"/>
  <c r="D208" i="11" s="1"/>
  <c r="AH148" i="1"/>
  <c r="AA148" i="223" s="1"/>
  <c r="B204" i="11" s="1"/>
  <c r="AK148" i="1"/>
  <c r="AD148" i="223" s="1"/>
  <c r="E204" i="11" s="1"/>
  <c r="AI148" i="1"/>
  <c r="AB148" i="223" s="1"/>
  <c r="AJ148" i="1"/>
  <c r="AC148" i="223" s="1"/>
  <c r="D204" i="11" s="1"/>
  <c r="AH143" i="1"/>
  <c r="AA143" i="223" s="1"/>
  <c r="B199" i="11" s="1"/>
  <c r="AK143" i="1"/>
  <c r="AD143" i="223" s="1"/>
  <c r="E199" i="11" s="1"/>
  <c r="AH139" i="1"/>
  <c r="AI139" i="1"/>
  <c r="AB139" i="223" s="1"/>
  <c r="C195" i="11" s="1"/>
  <c r="AK139" i="1"/>
  <c r="AD139" i="223" s="1"/>
  <c r="E195" i="11" s="1"/>
  <c r="AJ139" i="1"/>
  <c r="AC139" i="223" s="1"/>
  <c r="D195" i="11" s="1"/>
  <c r="AO14" i="213"/>
  <c r="F64" i="220" s="1"/>
  <c r="F128" i="220" s="1"/>
  <c r="AJ120" i="1"/>
  <c r="AC120" i="223" s="1"/>
  <c r="D176" i="11" s="1"/>
  <c r="AJ116" i="1"/>
  <c r="AC116" i="223" s="1"/>
  <c r="D172" i="11" s="1"/>
  <c r="AJ94" i="1"/>
  <c r="AC94" i="223" s="1"/>
  <c r="D150" i="11" s="1"/>
  <c r="AJ85" i="1"/>
  <c r="AC85" i="223" s="1"/>
  <c r="D141" i="11" s="1"/>
  <c r="AJ81" i="1"/>
  <c r="AC81" i="223" s="1"/>
  <c r="D137" i="11" s="1"/>
  <c r="AI130" i="1"/>
  <c r="AB130" i="223" s="1"/>
  <c r="C186" i="11" s="1"/>
  <c r="AI98" i="1"/>
  <c r="AB98" i="223" s="1"/>
  <c r="C154" i="11" s="1"/>
  <c r="AI85" i="1"/>
  <c r="AI76" i="1"/>
  <c r="AB76" i="223" s="1"/>
  <c r="C132" i="11" s="1"/>
  <c r="AK135" i="1"/>
  <c r="AD135" i="223" s="1"/>
  <c r="AK130" i="1"/>
  <c r="AD130" i="223" s="1"/>
  <c r="E186" i="11" s="1"/>
  <c r="AK126" i="1"/>
  <c r="AD126" i="223" s="1"/>
  <c r="E182" i="11" s="1"/>
  <c r="AK110" i="1"/>
  <c r="AD110" i="223" s="1"/>
  <c r="E166" i="11" s="1"/>
  <c r="AK106" i="1"/>
  <c r="AD106" i="223" s="1"/>
  <c r="E162" i="11" s="1"/>
  <c r="AK85" i="1"/>
  <c r="AD85" i="223" s="1"/>
  <c r="E141" i="11" s="1"/>
  <c r="AK81" i="1"/>
  <c r="AD81" i="223" s="1"/>
  <c r="AJ38" i="1"/>
  <c r="AC38" i="223" s="1"/>
  <c r="D94" i="11" s="1"/>
  <c r="AI218" i="1"/>
  <c r="AB218" i="223" s="1"/>
  <c r="C274" i="11" s="1"/>
  <c r="AI190" i="1"/>
  <c r="AB190" i="223" s="1"/>
  <c r="C246" i="11" s="1"/>
  <c r="AI126" i="1"/>
  <c r="AB126" i="223" s="1"/>
  <c r="C182" i="11" s="1"/>
  <c r="AI81" i="1"/>
  <c r="AB81" i="223" s="1"/>
  <c r="AL11" i="1"/>
  <c r="AE11" i="223" s="1"/>
  <c r="F67" i="11" s="1"/>
  <c r="AK15" i="1"/>
  <c r="AD15" i="223" s="1"/>
  <c r="E71" i="11" s="1"/>
  <c r="AJ27" i="1"/>
  <c r="AC27" i="223" s="1"/>
  <c r="D83" i="11" s="1"/>
  <c r="AJ10" i="1"/>
  <c r="AC10" i="223" s="1"/>
  <c r="D66" i="11" s="1"/>
  <c r="AK76" i="1"/>
  <c r="AD76" i="223" s="1"/>
  <c r="E132" i="11" s="1"/>
  <c r="AK72" i="1"/>
  <c r="AD72" i="223" s="1"/>
  <c r="E128" i="11" s="1"/>
  <c r="AK68" i="1"/>
  <c r="AD68" i="223" s="1"/>
  <c r="E124" i="11" s="1"/>
  <c r="AJ135" i="1"/>
  <c r="AC135" i="223" s="1"/>
  <c r="D191" i="11" s="1"/>
  <c r="AJ130" i="1"/>
  <c r="AC130" i="223" s="1"/>
  <c r="D186" i="11" s="1"/>
  <c r="AJ126" i="1"/>
  <c r="AC126" i="223" s="1"/>
  <c r="D182" i="11" s="1"/>
  <c r="AJ90" i="1"/>
  <c r="AC90" i="223" s="1"/>
  <c r="D146" i="11" s="1"/>
  <c r="AJ46" i="1"/>
  <c r="AC46" i="223" s="1"/>
  <c r="AI135" i="1"/>
  <c r="AB135" i="223" s="1"/>
  <c r="AI90" i="1"/>
  <c r="AB90" i="223" s="1"/>
  <c r="AL27" i="1"/>
  <c r="AE27" i="223" s="1"/>
  <c r="F83" i="11" s="1"/>
  <c r="AL24" i="1"/>
  <c r="AE24" i="223" s="1"/>
  <c r="F80" i="11" s="1"/>
  <c r="AL19" i="1"/>
  <c r="AE19" i="223" s="1"/>
  <c r="F75" i="11" s="1"/>
  <c r="AL10" i="1"/>
  <c r="AK28" i="1"/>
  <c r="AD28" i="223" s="1"/>
  <c r="E84" i="11" s="1"/>
  <c r="AK23" i="1"/>
  <c r="AD23" i="223" s="1"/>
  <c r="E79" i="11" s="1"/>
  <c r="AK20" i="1"/>
  <c r="AD20" i="223" s="1"/>
  <c r="E76" i="11" s="1"/>
  <c r="AK14" i="1"/>
  <c r="F27" i="11"/>
  <c r="F213" i="11"/>
  <c r="E224" i="11"/>
  <c r="F246" i="11"/>
  <c r="F190" i="11"/>
  <c r="AF190" i="11" s="1" a="1"/>
  <c r="AF190" i="11" s="1"/>
  <c r="F157" i="11"/>
  <c r="F270" i="11"/>
  <c r="AJ15" i="1"/>
  <c r="D236" i="11"/>
  <c r="D124" i="11"/>
  <c r="D89" i="11"/>
  <c r="AK8" i="213"/>
  <c r="B58" i="220" s="1"/>
  <c r="AL8" i="213"/>
  <c r="C58" i="220" s="1"/>
  <c r="C122" i="220" s="1"/>
  <c r="J33" i="212"/>
  <c r="B202" i="212" s="1"/>
  <c r="CD50" i="218"/>
  <c r="J27" i="212"/>
  <c r="B196" i="212" s="1"/>
  <c r="AH67" i="1"/>
  <c r="AA67" i="223" s="1"/>
  <c r="B123" i="11" s="1"/>
  <c r="AH101" i="1"/>
  <c r="AA101" i="223" s="1"/>
  <c r="B157" i="11" s="1"/>
  <c r="AL10" i="213"/>
  <c r="C60" i="220" s="1"/>
  <c r="C124" i="220" s="1"/>
  <c r="AI169" i="1"/>
  <c r="AB169" i="223" s="1"/>
  <c r="C225" i="11" s="1"/>
  <c r="AI89" i="1"/>
  <c r="AB89" i="223" s="1"/>
  <c r="C145" i="11" s="1"/>
  <c r="AI214" i="1"/>
  <c r="AB214" i="223" s="1"/>
  <c r="AI194" i="1"/>
  <c r="AB194" i="223" s="1"/>
  <c r="C250" i="11" s="1"/>
  <c r="AI168" i="1"/>
  <c r="AB168" i="223" s="1"/>
  <c r="C224" i="11" s="1"/>
  <c r="AI150" i="1"/>
  <c r="AB150" i="223" s="1"/>
  <c r="C206" i="11" s="1"/>
  <c r="AI114" i="1"/>
  <c r="AB114" i="223" s="1"/>
  <c r="C170" i="11" s="1"/>
  <c r="AI49" i="1"/>
  <c r="AB49" i="223" s="1"/>
  <c r="C105" i="11" s="1"/>
  <c r="AH162" i="1"/>
  <c r="AA162" i="223" s="1"/>
  <c r="AI222" i="1"/>
  <c r="AB222" i="223" s="1"/>
  <c r="C278" i="11" s="1"/>
  <c r="AI212" i="1"/>
  <c r="AB212" i="223" s="1"/>
  <c r="C268" i="11" s="1"/>
  <c r="AI193" i="1"/>
  <c r="AB193" i="223" s="1"/>
  <c r="C249" i="11" s="1"/>
  <c r="AI181" i="1"/>
  <c r="AB181" i="223" s="1"/>
  <c r="C237" i="11" s="1"/>
  <c r="AI164" i="1"/>
  <c r="AB164" i="223" s="1"/>
  <c r="AI108" i="1"/>
  <c r="AB108" i="223" s="1"/>
  <c r="C164" i="11" s="1"/>
  <c r="AH203" i="1"/>
  <c r="AA203" i="223" s="1"/>
  <c r="AI219" i="1"/>
  <c r="AB219" i="223" s="1"/>
  <c r="C275" i="11" s="1"/>
  <c r="AI192" i="1"/>
  <c r="AB192" i="223" s="1"/>
  <c r="C248" i="11" s="1"/>
  <c r="AI149" i="1"/>
  <c r="AB149" i="223" s="1"/>
  <c r="C205" i="11" s="1"/>
  <c r="AI125" i="1"/>
  <c r="AB125" i="223" s="1"/>
  <c r="AI92" i="1"/>
  <c r="AB92" i="223" s="1"/>
  <c r="AI211" i="1"/>
  <c r="AB211" i="223" s="1"/>
  <c r="C267" i="11" s="1"/>
  <c r="AI197" i="1"/>
  <c r="AB197" i="223" s="1"/>
  <c r="C253" i="11" s="1"/>
  <c r="AI118" i="1"/>
  <c r="AI104" i="1"/>
  <c r="AB104" i="223" s="1"/>
  <c r="C160" i="11" s="1"/>
  <c r="AI74" i="1"/>
  <c r="AB74" i="223" s="1"/>
  <c r="C130" i="11" s="1"/>
  <c r="AI175" i="1"/>
  <c r="AB175" i="223" s="1"/>
  <c r="C231" i="11" s="1"/>
  <c r="AI109" i="1"/>
  <c r="AB109" i="223" s="1"/>
  <c r="C165" i="11" s="1"/>
  <c r="AI75" i="1"/>
  <c r="AB75" i="223" s="1"/>
  <c r="C131" i="11" s="1"/>
  <c r="AI123" i="1"/>
  <c r="AH115" i="1"/>
  <c r="AA115" i="223" s="1"/>
  <c r="B171" i="11" s="1"/>
  <c r="AH40" i="1"/>
  <c r="AA40" i="223" s="1"/>
  <c r="B96" i="11" s="1"/>
  <c r="AI191" i="1"/>
  <c r="AB191" i="223" s="1"/>
  <c r="AI136" i="1"/>
  <c r="AB136" i="223" s="1"/>
  <c r="C192" i="11" s="1"/>
  <c r="AI128" i="1"/>
  <c r="AB128" i="223" s="1"/>
  <c r="C184" i="11" s="1"/>
  <c r="AI63" i="1"/>
  <c r="AI8" i="1"/>
  <c r="AB8" i="223" s="1"/>
  <c r="AI166" i="1"/>
  <c r="AB166" i="223" s="1"/>
  <c r="C222" i="11" s="1"/>
  <c r="AI153" i="1"/>
  <c r="AB153" i="223" s="1"/>
  <c r="C209" i="11" s="1"/>
  <c r="AI145" i="1"/>
  <c r="AB145" i="223" s="1"/>
  <c r="C201" i="11" s="1"/>
  <c r="AI84" i="1"/>
  <c r="AB84" i="223" s="1"/>
  <c r="C140" i="11" s="1"/>
  <c r="AI71" i="1"/>
  <c r="AB71" i="223" s="1"/>
  <c r="C127" i="11" s="1"/>
  <c r="AI54" i="1"/>
  <c r="AB54" i="223" s="1"/>
  <c r="AH13" i="1"/>
  <c r="AA13" i="223" s="1"/>
  <c r="B69" i="11" s="1"/>
  <c r="AH23" i="1"/>
  <c r="AA23" i="223" s="1"/>
  <c r="BH55" i="218"/>
  <c r="J24" i="212"/>
  <c r="B193" i="212" s="1"/>
  <c r="J125" i="212"/>
  <c r="B214" i="212" s="1"/>
  <c r="J34" i="212"/>
  <c r="B203" i="212" s="1"/>
  <c r="I85" i="212"/>
  <c r="BP50" i="218"/>
  <c r="BB56" i="218"/>
  <c r="O66" i="213"/>
  <c r="J36" i="212"/>
  <c r="B205" i="212" s="1"/>
  <c r="BJ56" i="218"/>
  <c r="CB53" i="218"/>
  <c r="B170" i="212"/>
  <c r="AN56" i="218"/>
  <c r="J35" i="212"/>
  <c r="B204" i="212" s="1"/>
  <c r="BB55" i="218"/>
  <c r="AN50" i="218"/>
  <c r="B181" i="212"/>
  <c r="E85" i="212"/>
  <c r="AN57" i="218" s="1"/>
  <c r="J26" i="212"/>
  <c r="B195" i="212" s="1"/>
  <c r="BD50" i="213"/>
  <c r="V32" i="240"/>
  <c r="W32" i="240" s="1"/>
  <c r="V32" i="239"/>
  <c r="W32" i="239" s="1"/>
  <c r="V33" i="236"/>
  <c r="W33" i="236" s="1"/>
  <c r="U32" i="235"/>
  <c r="X31" i="235"/>
  <c r="U33" i="234"/>
  <c r="O32" i="234"/>
  <c r="X31" i="234"/>
  <c r="X31" i="233"/>
  <c r="U32" i="233"/>
  <c r="U65" i="231"/>
  <c r="V32" i="231"/>
  <c r="W32" i="231" s="1"/>
  <c r="AB31" i="223"/>
  <c r="V31" i="230"/>
  <c r="W31" i="230" s="1"/>
  <c r="S65" i="230"/>
  <c r="T65" i="230" s="1"/>
  <c r="B168" i="11"/>
  <c r="AW50" i="213"/>
  <c r="BB53" i="218"/>
  <c r="J37" i="212"/>
  <c r="B206" i="212" s="1"/>
  <c r="AI33" i="1"/>
  <c r="AB33" i="223" s="1"/>
  <c r="C89" i="11" s="1"/>
  <c r="AI50" i="1"/>
  <c r="AB50" i="223" s="1"/>
  <c r="C106" i="11" s="1"/>
  <c r="AI159" i="1"/>
  <c r="AB159" i="223" s="1"/>
  <c r="C215" i="11" s="1"/>
  <c r="BB50" i="218"/>
  <c r="AI124" i="1"/>
  <c r="AB124" i="223" s="1"/>
  <c r="C180" i="11" s="1"/>
  <c r="BT51" i="218"/>
  <c r="AI119" i="1"/>
  <c r="AB119" i="223" s="1"/>
  <c r="C175" i="11" s="1"/>
  <c r="AI83" i="1"/>
  <c r="AB83" i="223" s="1"/>
  <c r="C139" i="11" s="1"/>
  <c r="B187" i="212"/>
  <c r="AI187" i="1"/>
  <c r="AB187" i="223" s="1"/>
  <c r="C243" i="11" s="1"/>
  <c r="AI137" i="1"/>
  <c r="AB137" i="223" s="1"/>
  <c r="C193" i="11" s="1"/>
  <c r="AI140" i="1"/>
  <c r="AB140" i="223" s="1"/>
  <c r="C196" i="11" s="1"/>
  <c r="AI184" i="1"/>
  <c r="AB184" i="223" s="1"/>
  <c r="C240" i="11" s="1"/>
  <c r="AI80" i="1"/>
  <c r="AB80" i="223" s="1"/>
  <c r="C136" i="11" s="1"/>
  <c r="BA42" i="213"/>
  <c r="BH42" i="213"/>
  <c r="AR42" i="213"/>
  <c r="BE50" i="213"/>
  <c r="AI97" i="1"/>
  <c r="AB97" i="223" s="1"/>
  <c r="AY50" i="213"/>
  <c r="BF50" i="213"/>
  <c r="BB54" i="218"/>
  <c r="AI151" i="1"/>
  <c r="AY42" i="213"/>
  <c r="AH37" i="1"/>
  <c r="AH96" i="1"/>
  <c r="AA96" i="223" s="1"/>
  <c r="B152" i="11" s="1"/>
  <c r="AI105" i="1"/>
  <c r="AB105" i="223" s="1"/>
  <c r="C161" i="11" s="1"/>
  <c r="AI160" i="1"/>
  <c r="AB160" i="223" s="1"/>
  <c r="C216" i="11" s="1"/>
  <c r="AH152" i="1"/>
  <c r="AA152" i="223" s="1"/>
  <c r="B208" i="11" s="1"/>
  <c r="BF42" i="213"/>
  <c r="AP42" i="213"/>
  <c r="AW42" i="213"/>
  <c r="BD42" i="213"/>
  <c r="BK6" i="213" a="1"/>
  <c r="BK6" i="213" s="1"/>
  <c r="AI127" i="1"/>
  <c r="AI22" i="1"/>
  <c r="AB22" i="223" s="1"/>
  <c r="C78" i="11" s="1"/>
  <c r="AI14" i="1"/>
  <c r="AB14" i="223" s="1"/>
  <c r="C70" i="11" s="1"/>
  <c r="AI215" i="1"/>
  <c r="AI185" i="1"/>
  <c r="AB185" i="223" s="1"/>
  <c r="AI121" i="1"/>
  <c r="AB121" i="223" s="1"/>
  <c r="C177" i="11" s="1"/>
  <c r="AI86" i="1"/>
  <c r="AB86" i="223" s="1"/>
  <c r="AH79" i="1"/>
  <c r="AA79" i="223" s="1"/>
  <c r="B135" i="11" s="1"/>
  <c r="Z66" i="213"/>
  <c r="BN4" i="218"/>
  <c r="J29" i="212"/>
  <c r="B198" i="212" s="1"/>
  <c r="AI110" i="1"/>
  <c r="AB110" i="223" s="1"/>
  <c r="C166" i="11" s="1"/>
  <c r="AI198" i="1"/>
  <c r="AB198" i="223" s="1"/>
  <c r="C254" i="11" s="1"/>
  <c r="AI138" i="1"/>
  <c r="AB138" i="223" s="1"/>
  <c r="C194" i="11" s="1"/>
  <c r="X66" i="213"/>
  <c r="AA68" i="223"/>
  <c r="B124" i="11" s="1"/>
  <c r="C92" i="11"/>
  <c r="C95" i="11"/>
  <c r="AB13" i="223"/>
  <c r="C69" i="11" s="1"/>
  <c r="AI52" i="1"/>
  <c r="AB52" i="223" s="1"/>
  <c r="C108" i="11" s="1"/>
  <c r="AF108" i="11" s="1" a="1"/>
  <c r="AF108" i="11" s="1"/>
  <c r="AI68" i="1"/>
  <c r="AB68" i="223" s="1"/>
  <c r="AI53" i="1"/>
  <c r="AI15" i="1"/>
  <c r="AB15" i="223" s="1"/>
  <c r="BO6" i="213" a="1"/>
  <c r="BO6" i="213" s="1"/>
  <c r="BQ6" i="213" s="1"/>
  <c r="CH54" i="218"/>
  <c r="BJ6" i="213" a="1"/>
  <c r="BJ6" i="213" s="1"/>
  <c r="J23" i="212"/>
  <c r="B192" i="212" s="1"/>
  <c r="AI10" i="1"/>
  <c r="AB10" i="223" s="1"/>
  <c r="C66" i="11" s="1"/>
  <c r="BG50" i="213"/>
  <c r="AH199" i="1"/>
  <c r="AA199" i="223" s="1"/>
  <c r="B255" i="11" s="1"/>
  <c r="CF54" i="218"/>
  <c r="G66" i="213"/>
  <c r="B178" i="212"/>
  <c r="AN55" i="218"/>
  <c r="J66" i="213"/>
  <c r="AI206" i="1"/>
  <c r="AB206" i="223" s="1"/>
  <c r="C262" i="11" s="1"/>
  <c r="AI34" i="1"/>
  <c r="AB34" i="223" s="1"/>
  <c r="C90" i="11" s="1"/>
  <c r="AT50" i="213"/>
  <c r="Y66" i="213"/>
  <c r="V66" i="213"/>
  <c r="AI205" i="1"/>
  <c r="AB205" i="223" s="1"/>
  <c r="C261" i="11" s="1"/>
  <c r="D181" i="212"/>
  <c r="AI177" i="1"/>
  <c r="AB177" i="223" s="1"/>
  <c r="C233" i="11" s="1"/>
  <c r="AI146" i="1"/>
  <c r="AB146" i="223" s="1"/>
  <c r="C202" i="11" s="1"/>
  <c r="AL7" i="213"/>
  <c r="C57" i="220" s="1"/>
  <c r="C121" i="220" s="1"/>
  <c r="J32" i="212"/>
  <c r="B201" i="212" s="1"/>
  <c r="AI65" i="1"/>
  <c r="AB65" i="223" s="1"/>
  <c r="C121" i="11" s="1"/>
  <c r="I66" i="213"/>
  <c r="AI174" i="1"/>
  <c r="AB174" i="223" s="1"/>
  <c r="C230" i="11" s="1"/>
  <c r="AI116" i="1"/>
  <c r="AB116" i="223" s="1"/>
  <c r="C172" i="11" s="1"/>
  <c r="BF54" i="218"/>
  <c r="B182" i="212"/>
  <c r="AI27" i="1"/>
  <c r="AU42" i="213"/>
  <c r="BB42" i="213"/>
  <c r="BI42" i="213"/>
  <c r="AS42" i="213"/>
  <c r="AA50" i="223"/>
  <c r="AA173" i="223"/>
  <c r="B229" i="11" s="1"/>
  <c r="B120" i="11"/>
  <c r="AA198" i="223"/>
  <c r="B254" i="11" s="1"/>
  <c r="AA211" i="223"/>
  <c r="B267" i="11" s="1"/>
  <c r="AA103" i="223"/>
  <c r="B159" i="11" s="1"/>
  <c r="B114" i="11"/>
  <c r="L66" i="213"/>
  <c r="AI221" i="1"/>
  <c r="AB221" i="223" s="1"/>
  <c r="C277" i="11" s="1"/>
  <c r="AI195" i="1"/>
  <c r="AB195" i="223" s="1"/>
  <c r="C251" i="11" s="1"/>
  <c r="AI171" i="1"/>
  <c r="AB171" i="223" s="1"/>
  <c r="D203" i="212"/>
  <c r="B186" i="212"/>
  <c r="T280" i="11"/>
  <c r="AS50" i="213"/>
  <c r="R66" i="213"/>
  <c r="AI117" i="1"/>
  <c r="AB117" i="223" s="1"/>
  <c r="C173" i="11" s="1"/>
  <c r="AI35" i="1"/>
  <c r="AB35" i="223" s="1"/>
  <c r="C91" i="11" s="1"/>
  <c r="C199" i="11"/>
  <c r="K66" i="213"/>
  <c r="M59" i="212"/>
  <c r="AI64" i="1"/>
  <c r="AB64" i="223" s="1"/>
  <c r="C120" i="11" s="1"/>
  <c r="N66" i="213"/>
  <c r="Q66" i="213"/>
  <c r="U76" i="212"/>
  <c r="BB50" i="213"/>
  <c r="AZ42" i="213"/>
  <c r="BG42" i="213"/>
  <c r="AQ42" i="213"/>
  <c r="AX42" i="213"/>
  <c r="BE42" i="213"/>
  <c r="AT42" i="213"/>
  <c r="AU50" i="213"/>
  <c r="M66" i="213"/>
  <c r="AI25" i="1"/>
  <c r="AB25" i="223" s="1"/>
  <c r="AL5" i="213"/>
  <c r="P66" i="213"/>
  <c r="AI103" i="1"/>
  <c r="AB103" i="223" s="1"/>
  <c r="BC50" i="213"/>
  <c r="AB24" i="223"/>
  <c r="AB173" i="223"/>
  <c r="AA220" i="223"/>
  <c r="B276" i="11" s="1"/>
  <c r="AA116" i="223"/>
  <c r="B172" i="11" s="1"/>
  <c r="AA49" i="223"/>
  <c r="B105" i="11" s="1"/>
  <c r="G280" i="11"/>
  <c r="W280" i="11"/>
  <c r="AA84" i="223"/>
  <c r="B140" i="11" s="1"/>
  <c r="AA218" i="223"/>
  <c r="AM20" i="218"/>
  <c r="C93" i="11"/>
  <c r="AA205" i="223"/>
  <c r="B261" i="11" s="1"/>
  <c r="AA61" i="223"/>
  <c r="AA47" i="223"/>
  <c r="C5" i="9" s="1"/>
  <c r="C24" i="9" s="1"/>
  <c r="M280" i="11"/>
  <c r="AA154" i="223"/>
  <c r="AA126" i="223"/>
  <c r="B23" i="11" s="1"/>
  <c r="AA140" i="223"/>
  <c r="B196" i="11" s="1"/>
  <c r="Q280" i="11"/>
  <c r="Y280" i="11"/>
  <c r="P280" i="11"/>
  <c r="O280" i="11"/>
  <c r="AA177" i="223"/>
  <c r="B233" i="11" s="1"/>
  <c r="AA95" i="223"/>
  <c r="AA176" i="223"/>
  <c r="B232" i="11" s="1"/>
  <c r="AA94" i="223"/>
  <c r="B150" i="11" s="1"/>
  <c r="Z280" i="11"/>
  <c r="AA137" i="223"/>
  <c r="AA93" i="223"/>
  <c r="K280" i="11"/>
  <c r="S280" i="11"/>
  <c r="AA106" i="223"/>
  <c r="AA102" i="223"/>
  <c r="AA105" i="223"/>
  <c r="AA120" i="223"/>
  <c r="AA38" i="223"/>
  <c r="AA21" i="223"/>
  <c r="B77" i="11" s="1"/>
  <c r="AA222" i="223"/>
  <c r="B278" i="11" s="1"/>
  <c r="AA160" i="223"/>
  <c r="B216" i="11" s="1"/>
  <c r="AA76" i="223"/>
  <c r="AI163" i="1"/>
  <c r="AI120" i="1"/>
  <c r="AB120" i="223" s="1"/>
  <c r="C176" i="11" s="1"/>
  <c r="J128" i="212"/>
  <c r="B217" i="212" s="1"/>
  <c r="I107" i="212"/>
  <c r="E38" i="212"/>
  <c r="AR50" i="213"/>
  <c r="AI208" i="1"/>
  <c r="AZ50" i="213"/>
  <c r="AI95" i="1"/>
  <c r="AB95" i="223" s="1"/>
  <c r="C151" i="11" s="1"/>
  <c r="BZ53" i="218"/>
  <c r="Q68" i="212"/>
  <c r="I76" i="212"/>
  <c r="BH50" i="213"/>
  <c r="T66" i="213"/>
  <c r="AI132" i="1"/>
  <c r="AH59" i="1"/>
  <c r="AI21" i="1"/>
  <c r="AB21" i="223" s="1"/>
  <c r="C77" i="11" s="1"/>
  <c r="I68" i="212"/>
  <c r="E115" i="212"/>
  <c r="J25" i="212"/>
  <c r="B194" i="212" s="1"/>
  <c r="D205" i="212"/>
  <c r="BF50" i="218"/>
  <c r="AI154" i="1"/>
  <c r="AB154" i="223" s="1"/>
  <c r="C210" i="11" s="1"/>
  <c r="AI73" i="1"/>
  <c r="BA50" i="213"/>
  <c r="S66" i="213"/>
  <c r="AI220" i="1"/>
  <c r="AB220" i="223" s="1"/>
  <c r="AI176" i="1"/>
  <c r="AB176" i="223" s="1"/>
  <c r="BV55" i="218"/>
  <c r="I38" i="212"/>
  <c r="I115" i="212"/>
  <c r="U68" i="212"/>
  <c r="U66" i="213"/>
  <c r="M76" i="212"/>
  <c r="E107" i="212"/>
  <c r="AX50" i="213"/>
  <c r="AV42" i="213"/>
  <c r="AI38" i="1"/>
  <c r="AB38" i="223" s="1"/>
  <c r="C94" i="11" s="1"/>
  <c r="M68" i="212"/>
  <c r="W66" i="213"/>
  <c r="E68" i="212"/>
  <c r="AQ50" i="213"/>
  <c r="D185" i="212"/>
  <c r="AH142" i="1"/>
  <c r="AA142" i="223" s="1"/>
  <c r="B198" i="11" s="1"/>
  <c r="J122" i="212"/>
  <c r="B211" i="212" s="1"/>
  <c r="E76" i="212"/>
  <c r="Q76" i="212"/>
  <c r="AL13" i="213"/>
  <c r="AL12" i="213"/>
  <c r="C62" i="220" s="1"/>
  <c r="C126" i="220" s="1"/>
  <c r="AL11" i="213"/>
  <c r="B104" i="11"/>
  <c r="C134" i="11"/>
  <c r="U280" i="11"/>
  <c r="BH62" i="213"/>
  <c r="V280" i="11"/>
  <c r="R280" i="11"/>
  <c r="J280" i="11"/>
  <c r="AT62" i="213"/>
  <c r="AZ62" i="213"/>
  <c r="AS62" i="213"/>
  <c r="BA62" i="213"/>
  <c r="AV50" i="213"/>
  <c r="C113" i="11"/>
  <c r="C171" i="11"/>
  <c r="B262" i="11"/>
  <c r="B197" i="11"/>
  <c r="B139" i="11"/>
  <c r="B271" i="11"/>
  <c r="X280" i="11"/>
  <c r="H280" i="11"/>
  <c r="I280" i="11"/>
  <c r="N280" i="11"/>
  <c r="L280" i="11"/>
  <c r="B121" i="11"/>
  <c r="B246" i="11"/>
  <c r="BO9" i="213" a="1"/>
  <c r="BO9" i="213" s="1"/>
  <c r="B180" i="11"/>
  <c r="C118" i="11"/>
  <c r="BG62" i="213"/>
  <c r="BC62" i="213"/>
  <c r="AW62" i="213"/>
  <c r="BE62" i="213"/>
  <c r="BC42" i="213"/>
  <c r="AX62" i="213"/>
  <c r="AP50" i="213"/>
  <c r="AY62" i="213"/>
  <c r="AU62" i="213"/>
  <c r="BD62" i="213"/>
  <c r="BI50" i="213"/>
  <c r="BB62" i="213"/>
  <c r="AV62" i="213"/>
  <c r="AQ62" i="213"/>
  <c r="BF62" i="213"/>
  <c r="BS4" i="218"/>
  <c r="BV4" i="218"/>
  <c r="BR4" i="218"/>
  <c r="BX4" i="218"/>
  <c r="BZ4" i="218"/>
  <c r="AM4" i="218"/>
  <c r="BT4" i="218"/>
  <c r="CA4" i="218"/>
  <c r="BU4" i="218"/>
  <c r="BW4" i="218"/>
  <c r="BT20" i="218"/>
  <c r="BZ20" i="218"/>
  <c r="BX20" i="218"/>
  <c r="BV20" i="218"/>
  <c r="CA20" i="218"/>
  <c r="BW20" i="218"/>
  <c r="BU20" i="218"/>
  <c r="BS20" i="218"/>
  <c r="BR20" i="218"/>
  <c r="AN51" i="218"/>
  <c r="AI186" i="1"/>
  <c r="AI165" i="1"/>
  <c r="AI157" i="1"/>
  <c r="AI147" i="1"/>
  <c r="AI11" i="1"/>
  <c r="AH28" i="1"/>
  <c r="AP52" i="218"/>
  <c r="E144" i="212"/>
  <c r="AP62" i="213"/>
  <c r="BI62" i="213"/>
  <c r="AH172" i="1"/>
  <c r="AI32" i="1"/>
  <c r="AH183" i="1"/>
  <c r="J124" i="212"/>
  <c r="B213" i="212" s="1"/>
  <c r="CN55" i="218"/>
  <c r="M144" i="212"/>
  <c r="AI131" i="1"/>
  <c r="AI113" i="1"/>
  <c r="AI87" i="1"/>
  <c r="AI70" i="1"/>
  <c r="AI19" i="1"/>
  <c r="AH17" i="1"/>
  <c r="AH26" i="1"/>
  <c r="J123" i="212"/>
  <c r="B212" i="212" s="1"/>
  <c r="U144" i="212"/>
  <c r="J129" i="212"/>
  <c r="B218" i="212" s="1"/>
  <c r="I130" i="212"/>
  <c r="AR62" i="213"/>
  <c r="E130" i="212"/>
  <c r="J127" i="212"/>
  <c r="B216" i="212" s="1"/>
  <c r="I144" i="212"/>
  <c r="CP53" i="218"/>
  <c r="E158" i="212"/>
  <c r="I158" i="212"/>
  <c r="AH196" i="1"/>
  <c r="AL53" i="218"/>
  <c r="J121" i="212"/>
  <c r="B210" i="212" s="1"/>
  <c r="J126" i="212"/>
  <c r="B215" i="212" s="1"/>
  <c r="Q144" i="212"/>
  <c r="CN56" i="218"/>
  <c r="BY20" i="218"/>
  <c r="AA36" i="218" l="1"/>
  <c r="W36" i="218"/>
  <c r="AN20" i="218"/>
  <c r="L52" i="218"/>
  <c r="W20" i="218"/>
  <c r="Z51" i="218"/>
  <c r="X52" i="218"/>
  <c r="M51" i="218"/>
  <c r="BD20" i="218"/>
  <c r="P36" i="218"/>
  <c r="R52" i="218"/>
  <c r="AP20" i="218"/>
  <c r="C52" i="218"/>
  <c r="K51" i="218"/>
  <c r="Z52" i="218"/>
  <c r="T52" i="218"/>
  <c r="A37" i="218"/>
  <c r="Z36" i="218"/>
  <c r="AB36" i="218"/>
  <c r="AX20" i="218"/>
  <c r="N51" i="218"/>
  <c r="N36" i="218"/>
  <c r="L51" i="218"/>
  <c r="C21" i="218"/>
  <c r="N21" i="218" s="1"/>
  <c r="T51" i="218"/>
  <c r="O51" i="218"/>
  <c r="T36" i="218"/>
  <c r="J36" i="218"/>
  <c r="X36" i="218"/>
  <c r="K36" i="218"/>
  <c r="BC4" i="218"/>
  <c r="L36" i="218"/>
  <c r="Q36" i="218"/>
  <c r="C36" i="218"/>
  <c r="R36" i="218"/>
  <c r="A53" i="218"/>
  <c r="N52" i="218"/>
  <c r="S36" i="218"/>
  <c r="U36" i="218"/>
  <c r="AI5" i="218"/>
  <c r="BC5" i="218" s="1"/>
  <c r="AX4" i="218"/>
  <c r="BK9" i="213" a="1"/>
  <c r="BK9" i="213" s="1"/>
  <c r="BE20" i="218"/>
  <c r="BJ9" i="213" a="1"/>
  <c r="BJ9" i="213" s="1"/>
  <c r="BE141" i="223" a="1"/>
  <c r="BE141" i="223" s="1"/>
  <c r="AC206" i="11"/>
  <c r="AA123" i="220" a="1"/>
  <c r="AA123" i="220" s="1"/>
  <c r="AB123" i="220" s="1"/>
  <c r="AA126" i="220" a="1"/>
  <c r="AA126" i="220" s="1"/>
  <c r="AB126" i="220" s="1"/>
  <c r="BC20" i="218"/>
  <c r="BG141" i="1" a="1"/>
  <c r="BG141" i="1" s="1"/>
  <c r="BL141" i="1" a="1"/>
  <c r="BL141" i="1" s="1"/>
  <c r="BO141" i="1" s="1"/>
  <c r="F24" i="11"/>
  <c r="F48" i="11" s="1"/>
  <c r="BG36" i="1" a="1"/>
  <c r="BG36" i="1" s="1"/>
  <c r="BM20" i="218"/>
  <c r="BG102" i="1" a="1"/>
  <c r="BG102" i="1" s="1"/>
  <c r="BL36" i="1" a="1"/>
  <c r="BL36" i="1" s="1"/>
  <c r="BO36" i="1" s="1"/>
  <c r="BL102" i="1" a="1"/>
  <c r="BL102" i="1" s="1"/>
  <c r="BN102" i="1" s="1"/>
  <c r="BE36" i="223" a="1"/>
  <c r="BE36" i="223" s="1"/>
  <c r="BG36" i="223" s="1"/>
  <c r="AN14" i="213"/>
  <c r="E64" i="220" s="1"/>
  <c r="E128" i="220" s="1"/>
  <c r="AZ141" i="223" a="1"/>
  <c r="AZ141" i="223" s="1"/>
  <c r="AZ36" i="223" a="1"/>
  <c r="AZ36" i="223" s="1"/>
  <c r="BO20" i="218"/>
  <c r="BA4" i="218"/>
  <c r="BG4" i="218"/>
  <c r="BJ4" i="218"/>
  <c r="BB20" i="218"/>
  <c r="BF4" i="218"/>
  <c r="BG20" i="218"/>
  <c r="AO20" i="218"/>
  <c r="BK4" i="218"/>
  <c r="BL20" i="218"/>
  <c r="BL5" i="218"/>
  <c r="BR5" i="218"/>
  <c r="AT5" i="218"/>
  <c r="AQ5" i="218"/>
  <c r="BT5" i="218"/>
  <c r="BV5" i="218"/>
  <c r="BY5" i="218"/>
  <c r="AU4" i="218"/>
  <c r="BK20" i="218"/>
  <c r="AW20" i="218"/>
  <c r="O36" i="218"/>
  <c r="F30" i="11"/>
  <c r="F52" i="11" s="1"/>
  <c r="AR4" i="218"/>
  <c r="AV4" i="218"/>
  <c r="AQ4" i="218"/>
  <c r="BL4" i="218"/>
  <c r="BA20" i="218"/>
  <c r="AK20" i="218"/>
  <c r="AS20" i="218"/>
  <c r="E101" i="11"/>
  <c r="AZ112" i="223" a="1"/>
  <c r="AZ112" i="223" s="1"/>
  <c r="E64" i="11"/>
  <c r="F101" i="11"/>
  <c r="G5" i="9"/>
  <c r="G24" i="9" s="1"/>
  <c r="F25" i="11"/>
  <c r="F49" i="11" s="1"/>
  <c r="BG170" i="1" a="1"/>
  <c r="BG170" i="1" s="1"/>
  <c r="F64" i="11"/>
  <c r="BL12" i="1" a="1"/>
  <c r="BL12" i="1" s="1"/>
  <c r="BO12" i="1" s="1"/>
  <c r="AF164" i="11" a="1"/>
  <c r="AF164" i="11" s="1"/>
  <c r="AF170" i="11" a="1"/>
  <c r="AF170" i="11" s="1"/>
  <c r="BL112" i="1" a="1"/>
  <c r="BL112" i="1" s="1"/>
  <c r="BO112" i="1" s="1"/>
  <c r="AC145" i="11"/>
  <c r="BG112" i="1" a="1"/>
  <c r="BG112" i="1" s="1"/>
  <c r="BJ112" i="1" s="1"/>
  <c r="BG61" i="1" a="1"/>
  <c r="BG61" i="1" s="1"/>
  <c r="BE185" i="223" a="1"/>
  <c r="BE185" i="223" s="1"/>
  <c r="BH185" i="223" s="1"/>
  <c r="BL61" i="1" a="1"/>
  <c r="BL61" i="1" s="1"/>
  <c r="BN61" i="1" s="1"/>
  <c r="BG210" i="1" a="1"/>
  <c r="BG210" i="1" s="1"/>
  <c r="BL173" i="1" a="1"/>
  <c r="BL173" i="1" s="1"/>
  <c r="BN173" i="1" s="1"/>
  <c r="BL210" i="1" a="1"/>
  <c r="BL210" i="1" s="1"/>
  <c r="BN210" i="1" s="1"/>
  <c r="BE210" i="223" a="1"/>
  <c r="BE210" i="223" s="1"/>
  <c r="BG210" i="223" s="1"/>
  <c r="BL93" i="1" a="1"/>
  <c r="BL93" i="1" s="1"/>
  <c r="BO93" i="1" s="1"/>
  <c r="AZ210" i="223" a="1"/>
  <c r="AZ210" i="223" s="1"/>
  <c r="BG93" i="1" a="1"/>
  <c r="BG93" i="1" s="1"/>
  <c r="BG173" i="1" a="1"/>
  <c r="BG173" i="1" s="1"/>
  <c r="AF266" i="11" a="1"/>
  <c r="AF266" i="11" s="1"/>
  <c r="AH266" i="11" s="1"/>
  <c r="BI66" i="213"/>
  <c r="BA66" i="213"/>
  <c r="AR66" i="213"/>
  <c r="AP66" i="213"/>
  <c r="AX66" i="213"/>
  <c r="BH66" i="213"/>
  <c r="AS66" i="213"/>
  <c r="AT66" i="213"/>
  <c r="BD66" i="213"/>
  <c r="AQ66" i="213"/>
  <c r="BG66" i="213"/>
  <c r="BF66" i="213"/>
  <c r="AU66" i="213"/>
  <c r="BB66" i="213"/>
  <c r="AY66" i="213"/>
  <c r="AW66" i="213"/>
  <c r="AV66" i="213"/>
  <c r="AZ66" i="213"/>
  <c r="BC66" i="213"/>
  <c r="BE66" i="213"/>
  <c r="C241" i="11"/>
  <c r="AF241" i="11" s="1" a="1"/>
  <c r="AF241" i="11" s="1"/>
  <c r="AC226" i="11"/>
  <c r="AZ97" i="223" a="1"/>
  <c r="AZ97" i="223" s="1"/>
  <c r="AM14" i="213"/>
  <c r="D64" i="220" s="1"/>
  <c r="D128" i="220" s="1"/>
  <c r="AA59" i="220" a="1"/>
  <c r="AA59" i="220" s="1"/>
  <c r="AB59" i="220" s="1"/>
  <c r="AA124" i="220" a="1"/>
  <c r="AA124" i="220" s="1"/>
  <c r="AB124" i="220" s="1"/>
  <c r="A6" i="218"/>
  <c r="A7" i="218" s="1"/>
  <c r="A8" i="218" s="1"/>
  <c r="C102" i="11"/>
  <c r="D5" i="9"/>
  <c r="D24" i="9" s="1"/>
  <c r="D102" i="11"/>
  <c r="E5" i="9"/>
  <c r="BE170" i="223" a="1"/>
  <c r="BE170" i="223" s="1"/>
  <c r="AC96" i="11"/>
  <c r="BL58" i="1" a="1"/>
  <c r="BL58" i="1" s="1"/>
  <c r="BN58" i="1" s="1"/>
  <c r="BG58" i="1" a="1"/>
  <c r="BG58" i="1" s="1"/>
  <c r="BE58" i="223" a="1"/>
  <c r="BE58" i="223" s="1"/>
  <c r="BH58" i="223" s="1"/>
  <c r="AZ58" i="223" a="1"/>
  <c r="AZ58" i="223" s="1"/>
  <c r="BE164" i="223" a="1"/>
  <c r="BE164" i="223" s="1"/>
  <c r="AC114" i="11"/>
  <c r="BO4" i="213" a="1"/>
  <c r="BO4" i="213" s="1"/>
  <c r="BQ4" i="213" s="1"/>
  <c r="C64" i="11"/>
  <c r="D64" i="11"/>
  <c r="BB4" i="218"/>
  <c r="AW4" i="218"/>
  <c r="BO4" i="218"/>
  <c r="BD4" i="218"/>
  <c r="AT20" i="218"/>
  <c r="BF20" i="218"/>
  <c r="AS4" i="218"/>
  <c r="J52" i="218"/>
  <c r="AB52" i="218"/>
  <c r="K52" i="218"/>
  <c r="M52" i="218"/>
  <c r="J51" i="218"/>
  <c r="AA52" i="218"/>
  <c r="AB51" i="218"/>
  <c r="X51" i="218"/>
  <c r="V52" i="218"/>
  <c r="U51" i="218"/>
  <c r="Y51" i="218"/>
  <c r="P52" i="218"/>
  <c r="Q51" i="218"/>
  <c r="U52" i="218"/>
  <c r="S52" i="218"/>
  <c r="S51" i="218"/>
  <c r="V51" i="218"/>
  <c r="Q52" i="218"/>
  <c r="R51" i="218"/>
  <c r="AA51" i="218"/>
  <c r="W51" i="218"/>
  <c r="P51" i="218"/>
  <c r="C51" i="218"/>
  <c r="O52" i="218"/>
  <c r="I52" i="218"/>
  <c r="I51" i="218"/>
  <c r="Y52" i="218"/>
  <c r="AR5" i="218"/>
  <c r="E176" i="212"/>
  <c r="BG98" i="1" a="1"/>
  <c r="BG98" i="1" s="1"/>
  <c r="AC112" i="11"/>
  <c r="BH36" i="223"/>
  <c r="BA36" i="223" s="1"/>
  <c r="AI21" i="218"/>
  <c r="BU21" i="218" s="1"/>
  <c r="G20" i="218"/>
  <c r="G50" i="218" s="1"/>
  <c r="AA20" i="218"/>
  <c r="L20" i="218"/>
  <c r="K20" i="218"/>
  <c r="R20" i="218"/>
  <c r="P20" i="218"/>
  <c r="T20" i="218"/>
  <c r="D20" i="218"/>
  <c r="D50" i="218" s="1"/>
  <c r="F20" i="218"/>
  <c r="F50" i="218" s="1"/>
  <c r="O20" i="218"/>
  <c r="V20" i="218"/>
  <c r="M20" i="218"/>
  <c r="Q20" i="218"/>
  <c r="S20" i="218"/>
  <c r="N20" i="218"/>
  <c r="AB20" i="218"/>
  <c r="J20" i="218"/>
  <c r="Z20" i="218"/>
  <c r="X20" i="218"/>
  <c r="Y20" i="218"/>
  <c r="I20" i="218"/>
  <c r="A7" i="214"/>
  <c r="C6" i="214"/>
  <c r="U20" i="218"/>
  <c r="AG6" i="218"/>
  <c r="B25" i="9"/>
  <c r="A7" i="9"/>
  <c r="B6" i="9"/>
  <c r="Y36" i="218"/>
  <c r="V36" i="218"/>
  <c r="I36" i="218"/>
  <c r="M167" i="212"/>
  <c r="J21" i="218"/>
  <c r="BG60" i="1" a="1"/>
  <c r="BG60" i="1" s="1"/>
  <c r="Z21" i="218"/>
  <c r="P21" i="218"/>
  <c r="E21" i="218"/>
  <c r="E51" i="218" s="1"/>
  <c r="BL179" i="1" a="1"/>
  <c r="BL179" i="1" s="1"/>
  <c r="BN179" i="1" s="1"/>
  <c r="X21" i="218"/>
  <c r="AZ223" i="223" a="1"/>
  <c r="AZ223" i="223" s="1"/>
  <c r="AF226" i="11" a="1"/>
  <c r="AF226" i="11" s="1"/>
  <c r="AI226" i="11" s="1"/>
  <c r="AC185" i="11"/>
  <c r="BL97" i="1" a="1"/>
  <c r="BL97" i="1" s="1"/>
  <c r="BN97" i="1" s="1"/>
  <c r="AZ170" i="223" a="1"/>
  <c r="AZ170" i="223" s="1"/>
  <c r="BE112" i="223" a="1"/>
  <c r="BE112" i="223" s="1"/>
  <c r="BL170" i="1" a="1"/>
  <c r="BL170" i="1" s="1"/>
  <c r="BN170" i="1" s="1"/>
  <c r="BG53" i="1" a="1"/>
  <c r="BG53" i="1" s="1"/>
  <c r="BG31" i="1" a="1"/>
  <c r="BG31" i="1" s="1"/>
  <c r="BG45" i="1" a="1"/>
  <c r="BG45" i="1" s="1"/>
  <c r="V21" i="218"/>
  <c r="BL82" i="1" a="1"/>
  <c r="BL82" i="1" s="1"/>
  <c r="BO82" i="1" s="1"/>
  <c r="BL223" i="1" a="1"/>
  <c r="BL223" i="1" s="1"/>
  <c r="BN223" i="1" s="1"/>
  <c r="I21" i="218"/>
  <c r="AB21" i="218"/>
  <c r="U21" i="218"/>
  <c r="BL85" i="1" a="1"/>
  <c r="BL85" i="1" s="1"/>
  <c r="BN85" i="1" s="1"/>
  <c r="AC279" i="11"/>
  <c r="AC263" i="11"/>
  <c r="AZ45" i="223" a="1"/>
  <c r="AZ45" i="223" s="1"/>
  <c r="BE31" i="223" a="1"/>
  <c r="BE31" i="223" s="1"/>
  <c r="BH31" i="223" s="1"/>
  <c r="BE212" i="223" a="1"/>
  <c r="BE212" i="223" s="1"/>
  <c r="BH212" i="223" s="1"/>
  <c r="AZ207" i="223" a="1"/>
  <c r="AZ207" i="223" s="1"/>
  <c r="AZ82" i="223" a="1"/>
  <c r="AZ82" i="223" s="1"/>
  <c r="AZ78" i="223" a="1"/>
  <c r="AZ78" i="223" s="1"/>
  <c r="AF112" i="11" a="1"/>
  <c r="AF112" i="11" s="1"/>
  <c r="AH112" i="11" s="1"/>
  <c r="BE134" i="223" a="1"/>
  <c r="BE134" i="223" s="1"/>
  <c r="BH134" i="223" s="1"/>
  <c r="BL164" i="1" a="1"/>
  <c r="BL164" i="1" s="1"/>
  <c r="BN164" i="1" s="1"/>
  <c r="BG223" i="1" a="1"/>
  <c r="BG223" i="1" s="1"/>
  <c r="BL75" i="1" a="1"/>
  <c r="BL75" i="1" s="1"/>
  <c r="BO75" i="1" s="1"/>
  <c r="BL40" i="1" a="1"/>
  <c r="BL40" i="1" s="1"/>
  <c r="BO40" i="1" s="1"/>
  <c r="AZ161" i="223" a="1"/>
  <c r="AZ161" i="223" s="1"/>
  <c r="AZ219" i="223" a="1"/>
  <c r="AZ219" i="223" s="1"/>
  <c r="BE159" i="223" a="1"/>
  <c r="BE159" i="223" s="1"/>
  <c r="BH159" i="223" s="1"/>
  <c r="BE207" i="223" a="1"/>
  <c r="BE207" i="223" s="1"/>
  <c r="BH207" i="223" s="1"/>
  <c r="BG207" i="1" a="1"/>
  <c r="BG207" i="1" s="1"/>
  <c r="AF263" i="11" a="1"/>
  <c r="AF263" i="11" s="1"/>
  <c r="AI263" i="11" s="1"/>
  <c r="AZ75" i="223" a="1"/>
  <c r="AZ75" i="223" s="1"/>
  <c r="AF135" i="11" a="1"/>
  <c r="AF135" i="11" s="1"/>
  <c r="AH135" i="11" s="1"/>
  <c r="BL45" i="1" a="1"/>
  <c r="BL45" i="1" s="1"/>
  <c r="BO45" i="1" s="1"/>
  <c r="AC131" i="11"/>
  <c r="AF235" i="11" a="1"/>
  <c r="AF235" i="11" s="1"/>
  <c r="AH235" i="11" s="1"/>
  <c r="BN112" i="1"/>
  <c r="BE82" i="223" a="1"/>
  <c r="BE82" i="223" s="1"/>
  <c r="BG82" i="223" s="1"/>
  <c r="BG179" i="1" a="1"/>
  <c r="BG179" i="1" s="1"/>
  <c r="BG82" i="1" a="1"/>
  <c r="BG82" i="1" s="1"/>
  <c r="AZ179" i="223" a="1"/>
  <c r="AZ179" i="223" s="1"/>
  <c r="BG212" i="1" a="1"/>
  <c r="BG212" i="1" s="1"/>
  <c r="AF206" i="11" a="1"/>
  <c r="AF206" i="11" s="1"/>
  <c r="AI206" i="11" s="1"/>
  <c r="AF215" i="11" a="1"/>
  <c r="AF215" i="11" s="1"/>
  <c r="AI215" i="11" s="1"/>
  <c r="AZ134" i="223" a="1"/>
  <c r="AZ134" i="223" s="1"/>
  <c r="BB134" i="223" s="1"/>
  <c r="BL134" i="1" a="1"/>
  <c r="BL134" i="1" s="1"/>
  <c r="AZ56" i="223" a="1"/>
  <c r="AZ56" i="223" s="1"/>
  <c r="AC127" i="11"/>
  <c r="AZ92" i="223" a="1"/>
  <c r="AZ92" i="223" s="1"/>
  <c r="AF279" i="11" a="1"/>
  <c r="AF279" i="11" s="1"/>
  <c r="AI279" i="11" s="1"/>
  <c r="BE45" i="223" a="1"/>
  <c r="BE45" i="223" s="1"/>
  <c r="BG45" i="223" s="1"/>
  <c r="BL219" i="1" a="1"/>
  <c r="BL219" i="1" s="1"/>
  <c r="BO219" i="1" s="1"/>
  <c r="BE179" i="223" a="1"/>
  <c r="BE179" i="223" s="1"/>
  <c r="BG179" i="223" s="1"/>
  <c r="AZ159" i="223" a="1"/>
  <c r="AZ159" i="223" s="1"/>
  <c r="BG126" i="1" a="1"/>
  <c r="BG126" i="1" s="1"/>
  <c r="BL207" i="1" a="1"/>
  <c r="BL207" i="1" s="1"/>
  <c r="BN207" i="1" s="1"/>
  <c r="BG134" i="1" a="1"/>
  <c r="BG134" i="1" s="1"/>
  <c r="BL31" i="1" a="1"/>
  <c r="BL31" i="1" s="1"/>
  <c r="BN31" i="1" s="1"/>
  <c r="AZ23" i="223" a="1"/>
  <c r="AZ23" i="223" s="1"/>
  <c r="AZ125" i="223" a="1"/>
  <c r="AZ125" i="223" s="1"/>
  <c r="BE203" i="223" a="1"/>
  <c r="BE203" i="223" s="1"/>
  <c r="BG203" i="223" s="1"/>
  <c r="B259" i="11"/>
  <c r="AF259" i="11" s="1" a="1"/>
  <c r="AF259" i="11" s="1"/>
  <c r="AF185" i="11" a="1"/>
  <c r="AF185" i="11" s="1"/>
  <c r="AH185" i="11" s="1"/>
  <c r="BG159" i="1" a="1"/>
  <c r="BG159" i="1" s="1"/>
  <c r="AC190" i="11"/>
  <c r="AA57" i="220" a="1"/>
  <c r="AA57" i="220" s="1"/>
  <c r="AB57" i="220" s="1"/>
  <c r="B122" i="220"/>
  <c r="AA122" i="220" s="1" a="1"/>
  <c r="AA122" i="220" s="1"/>
  <c r="AB122" i="220" s="1"/>
  <c r="AA58" i="220" a="1"/>
  <c r="AA58" i="220" s="1"/>
  <c r="AB58" i="220" s="1"/>
  <c r="C22" i="218"/>
  <c r="AA60" i="220" a="1"/>
  <c r="AA60" i="220" s="1"/>
  <c r="AB60" i="220" s="1"/>
  <c r="AA62" i="220" a="1"/>
  <c r="AA62" i="220" s="1"/>
  <c r="AB62" i="220" s="1"/>
  <c r="BG62" i="1" a="1"/>
  <c r="BG62" i="1" s="1"/>
  <c r="AC107" i="11"/>
  <c r="AF107" i="11" a="1"/>
  <c r="AF107" i="11" s="1"/>
  <c r="AH107" i="11" s="1"/>
  <c r="AZ91" i="223" a="1"/>
  <c r="AZ91" i="223" s="1"/>
  <c r="AZ51" i="223" a="1"/>
  <c r="AZ51" i="223" s="1"/>
  <c r="BG118" i="1" a="1"/>
  <c r="BG118" i="1" s="1"/>
  <c r="BL51" i="1" a="1"/>
  <c r="BL51" i="1" s="1"/>
  <c r="BO51" i="1" s="1"/>
  <c r="BL79" i="1" a="1"/>
  <c r="BL79" i="1" s="1"/>
  <c r="BN79" i="1" s="1"/>
  <c r="BG51" i="1" a="1"/>
  <c r="BG51" i="1" s="1"/>
  <c r="AZ195" i="223" a="1"/>
  <c r="AZ195" i="223" s="1"/>
  <c r="BG91" i="1" a="1"/>
  <c r="BG91" i="1" s="1"/>
  <c r="BE51" i="223" a="1"/>
  <c r="BE51" i="223" s="1"/>
  <c r="BH51" i="223" s="1"/>
  <c r="BL114" i="1" a="1"/>
  <c r="BL114" i="1" s="1"/>
  <c r="BN114" i="1" s="1"/>
  <c r="AZ39" i="223" a="1"/>
  <c r="AZ39" i="223" s="1"/>
  <c r="BG160" i="1" a="1"/>
  <c r="BG160" i="1" s="1"/>
  <c r="AC215" i="11"/>
  <c r="BN36" i="1"/>
  <c r="BO58" i="1"/>
  <c r="BL64" i="1" a="1"/>
  <c r="BL64" i="1" s="1"/>
  <c r="BN64" i="1" s="1"/>
  <c r="AZ33" i="223" a="1"/>
  <c r="AZ33" i="223" s="1"/>
  <c r="BO61" i="1"/>
  <c r="BG187" i="1" a="1"/>
  <c r="BG187" i="1" s="1"/>
  <c r="BL94" i="1" a="1"/>
  <c r="BL94" i="1" s="1"/>
  <c r="BN94" i="1" s="1"/>
  <c r="AC163" i="11"/>
  <c r="BL158" i="1" a="1"/>
  <c r="BL158" i="1" s="1"/>
  <c r="BN158" i="1" s="1"/>
  <c r="BG206" i="1" a="1"/>
  <c r="BG206" i="1" s="1"/>
  <c r="BE136" i="223" a="1"/>
  <c r="BE136" i="223" s="1"/>
  <c r="BG136" i="223" s="1"/>
  <c r="AF96" i="11" a="1"/>
  <c r="AF96" i="11" s="1"/>
  <c r="AI96" i="11" s="1"/>
  <c r="BL151" i="1" a="1"/>
  <c r="BL151" i="1" s="1"/>
  <c r="BN151" i="1" s="1"/>
  <c r="BE81" i="223" a="1"/>
  <c r="BE81" i="223" s="1"/>
  <c r="BG81" i="223" s="1"/>
  <c r="AZ192" i="223" a="1"/>
  <c r="AZ192" i="223" s="1"/>
  <c r="BL49" i="1" a="1"/>
  <c r="BL49" i="1" s="1"/>
  <c r="BO49" i="1" s="1"/>
  <c r="BG130" i="1" a="1"/>
  <c r="BG130" i="1" s="1"/>
  <c r="BE40" i="223" a="1"/>
  <c r="BE40" i="223" s="1"/>
  <c r="BH40" i="223" s="1"/>
  <c r="BG123" i="1" a="1"/>
  <c r="BG123" i="1" s="1"/>
  <c r="BL101" i="1" a="1"/>
  <c r="BL101" i="1" s="1"/>
  <c r="BN101" i="1" s="1"/>
  <c r="BG40" i="1" a="1"/>
  <c r="BG40" i="1" s="1"/>
  <c r="AZ79" i="223" a="1"/>
  <c r="AZ79" i="223" s="1"/>
  <c r="AF199" i="11" a="1"/>
  <c r="AF199" i="11" s="1"/>
  <c r="AI199" i="11" s="1"/>
  <c r="BL216" i="1" a="1"/>
  <c r="BL216" i="1" s="1"/>
  <c r="BO216" i="1" s="1"/>
  <c r="BL188" i="1" a="1"/>
  <c r="BL188" i="1" s="1"/>
  <c r="BN188" i="1" s="1"/>
  <c r="AC268" i="11"/>
  <c r="AC205" i="11"/>
  <c r="AC120" i="11"/>
  <c r="AF154" i="11" a="1"/>
  <c r="AF154" i="11" s="1"/>
  <c r="AH154" i="11" s="1"/>
  <c r="AC154" i="11"/>
  <c r="AC170" i="11"/>
  <c r="AC164" i="11"/>
  <c r="AF217" i="11" a="1"/>
  <c r="AF217" i="11" s="1"/>
  <c r="AH217" i="11" s="1"/>
  <c r="AC272" i="11"/>
  <c r="AC165" i="11"/>
  <c r="AK14" i="213"/>
  <c r="B64" i="220" s="1"/>
  <c r="AZ22" i="223" a="1"/>
  <c r="AZ22" i="223" s="1"/>
  <c r="BG146" i="1" a="1"/>
  <c r="BG146" i="1" s="1"/>
  <c r="BG193" i="1" a="1"/>
  <c r="BG193" i="1" s="1"/>
  <c r="BL37" i="1" a="1"/>
  <c r="BL37" i="1" s="1"/>
  <c r="BN37" i="1" s="1"/>
  <c r="AZ212" i="223" a="1"/>
  <c r="AZ212" i="223" s="1"/>
  <c r="BE161" i="223" a="1"/>
  <c r="BE161" i="223" s="1"/>
  <c r="BG161" i="223" s="1"/>
  <c r="BE149" i="223" a="1"/>
  <c r="BE149" i="223" s="1"/>
  <c r="BH149" i="223" s="1"/>
  <c r="BL23" i="1" a="1"/>
  <c r="BL23" i="1" s="1"/>
  <c r="BO23" i="1" s="1"/>
  <c r="BE96" i="223" a="1"/>
  <c r="BE96" i="223" s="1"/>
  <c r="BG96" i="223" s="1"/>
  <c r="BE109" i="223" a="1"/>
  <c r="BE109" i="223" s="1"/>
  <c r="BH109" i="223" s="1"/>
  <c r="BE78" i="223" a="1"/>
  <c r="BE78" i="223" s="1"/>
  <c r="BH78" i="223" s="1"/>
  <c r="AC217" i="11"/>
  <c r="AC235" i="11"/>
  <c r="BL108" i="1" a="1"/>
  <c r="BL108" i="1" s="1"/>
  <c r="BN108" i="1" s="1"/>
  <c r="AZ152" i="223" a="1"/>
  <c r="AZ152" i="223" s="1"/>
  <c r="AZ114" i="223" a="1"/>
  <c r="AZ114" i="223" s="1"/>
  <c r="BG108" i="1" a="1"/>
  <c r="BG108" i="1" s="1"/>
  <c r="AZ110" i="223" a="1"/>
  <c r="AZ110" i="223" s="1"/>
  <c r="AZ47" i="223" a="1"/>
  <c r="AZ47" i="223" s="1"/>
  <c r="AF166" i="11" a="1"/>
  <c r="AF166" i="11" s="1"/>
  <c r="AH166" i="11" s="1"/>
  <c r="BG127" i="1" a="1"/>
  <c r="BG127" i="1" s="1"/>
  <c r="AF184" i="11" a="1"/>
  <c r="AF184" i="11" s="1"/>
  <c r="AH184" i="11" s="1"/>
  <c r="AF165" i="11" a="1"/>
  <c r="AF165" i="11" s="1"/>
  <c r="AI165" i="11" s="1"/>
  <c r="AF205" i="11" a="1"/>
  <c r="AF205" i="11" s="1"/>
  <c r="AH205" i="11" s="1"/>
  <c r="F16" i="11"/>
  <c r="AF76" i="11" a="1"/>
  <c r="AF76" i="11" s="1"/>
  <c r="AH76" i="11" s="1"/>
  <c r="AZ135" i="223" a="1"/>
  <c r="AZ135" i="223" s="1"/>
  <c r="AF186" i="11" a="1"/>
  <c r="AF186" i="11" s="1"/>
  <c r="AH186" i="11" s="1"/>
  <c r="AC192" i="11"/>
  <c r="BG16" i="1" a="1"/>
  <c r="BG16" i="1" s="1"/>
  <c r="BG209" i="1" a="1"/>
  <c r="BG209" i="1" s="1"/>
  <c r="AZ180" i="223" a="1"/>
  <c r="AZ180" i="223" s="1"/>
  <c r="BG72" i="1" a="1"/>
  <c r="BG72" i="1" s="1"/>
  <c r="AF163" i="11" a="1"/>
  <c r="AF163" i="11" s="1"/>
  <c r="AI163" i="11" s="1"/>
  <c r="BG48" i="1" a="1"/>
  <c r="BG48" i="1" s="1"/>
  <c r="AC130" i="11"/>
  <c r="BG104" i="1" a="1"/>
  <c r="BG104" i="1" s="1"/>
  <c r="BG169" i="1" a="1"/>
  <c r="BG169" i="1" s="1"/>
  <c r="AZ119" i="223" a="1"/>
  <c r="AZ119" i="223" s="1"/>
  <c r="AF272" i="11" a="1"/>
  <c r="AF272" i="11" s="1"/>
  <c r="AI272" i="11" s="1"/>
  <c r="C137" i="11"/>
  <c r="BK10" i="213" a="1"/>
  <c r="BK10" i="213" s="1"/>
  <c r="BL161" i="1" a="1"/>
  <c r="BL161" i="1" s="1"/>
  <c r="BO161" i="1" s="1"/>
  <c r="BE65" i="223" a="1"/>
  <c r="BE65" i="223" s="1"/>
  <c r="BH65" i="223" s="1"/>
  <c r="BE146" i="223" a="1"/>
  <c r="BE146" i="223" s="1"/>
  <c r="BH146" i="223" s="1"/>
  <c r="AZ158" i="223" a="1"/>
  <c r="AZ158" i="223" s="1"/>
  <c r="BE98" i="223" a="1"/>
  <c r="BE98" i="223" s="1"/>
  <c r="BG98" i="223" s="1"/>
  <c r="AZ206" i="223" a="1"/>
  <c r="AZ206" i="223" s="1"/>
  <c r="BL149" i="1" a="1"/>
  <c r="BL149" i="1" s="1"/>
  <c r="BO149" i="1" s="1"/>
  <c r="BG81" i="1" a="1"/>
  <c r="BG81" i="1" s="1"/>
  <c r="BL47" i="1" a="1"/>
  <c r="BL47" i="1" s="1"/>
  <c r="BN47" i="1" s="1"/>
  <c r="BG217" i="1" a="1"/>
  <c r="BG217" i="1" s="1"/>
  <c r="BL84" i="1" a="1"/>
  <c r="BL84" i="1" s="1"/>
  <c r="BN84" i="1" s="1"/>
  <c r="BE129" i="223" a="1"/>
  <c r="BE129" i="223" s="1"/>
  <c r="BG129" i="223" s="1"/>
  <c r="BG149" i="1" a="1"/>
  <c r="BG149" i="1" s="1"/>
  <c r="BL91" i="1" a="1"/>
  <c r="BL91" i="1" s="1"/>
  <c r="BG39" i="1" a="1"/>
  <c r="BG39" i="1" s="1"/>
  <c r="BE33" i="223" a="1"/>
  <c r="BE33" i="223" s="1"/>
  <c r="BG33" i="223" s="1"/>
  <c r="AF230" i="11" a="1"/>
  <c r="AF230" i="11" s="1"/>
  <c r="AH230" i="11" s="1"/>
  <c r="AZ146" i="223" a="1"/>
  <c r="AZ146" i="223" s="1"/>
  <c r="AF152" i="11" a="1"/>
  <c r="AF152" i="11" s="1"/>
  <c r="AI152" i="11" s="1"/>
  <c r="AC136" i="11"/>
  <c r="BL78" i="1" a="1"/>
  <c r="BL78" i="1" s="1"/>
  <c r="BL214" i="1" a="1"/>
  <c r="BL214" i="1" s="1"/>
  <c r="BO214" i="1" s="1"/>
  <c r="BE191" i="223" a="1"/>
  <c r="BE191" i="223" s="1"/>
  <c r="BH191" i="223" s="1"/>
  <c r="BO10" i="213" a="1"/>
  <c r="BO10" i="213" s="1"/>
  <c r="BR10" i="213" s="1"/>
  <c r="BL146" i="1" a="1"/>
  <c r="BL146" i="1" s="1"/>
  <c r="BN146" i="1" s="1"/>
  <c r="BG161" i="1" a="1"/>
  <c r="BG161" i="1" s="1"/>
  <c r="BG182" i="1" a="1"/>
  <c r="BG182" i="1" s="1"/>
  <c r="AZ216" i="223" a="1"/>
  <c r="AZ216" i="223" s="1"/>
  <c r="AZ149" i="223" a="1"/>
  <c r="AZ149" i="223" s="1"/>
  <c r="AZ98" i="223" a="1"/>
  <c r="AZ98" i="223" s="1"/>
  <c r="BG23" i="1" a="1"/>
  <c r="BG23" i="1" s="1"/>
  <c r="BL109" i="1" a="1"/>
  <c r="BL109" i="1" s="1"/>
  <c r="BO109" i="1" s="1"/>
  <c r="BL129" i="1" a="1"/>
  <c r="BL129" i="1" s="1"/>
  <c r="BO129" i="1" s="1"/>
  <c r="BL98" i="1" a="1"/>
  <c r="BL98" i="1" s="1"/>
  <c r="BO98" i="1" s="1"/>
  <c r="BH98" i="1" s="1"/>
  <c r="BG129" i="1" a="1"/>
  <c r="BG129" i="1" s="1"/>
  <c r="BG47" i="1" a="1"/>
  <c r="BG47" i="1" s="1"/>
  <c r="BG24" i="1" a="1"/>
  <c r="BG24" i="1" s="1"/>
  <c r="AZ129" i="223" a="1"/>
  <c r="AZ129" i="223" s="1"/>
  <c r="AC266" i="11"/>
  <c r="BL81" i="1" a="1"/>
  <c r="BL81" i="1" s="1"/>
  <c r="BO81" i="1" s="1"/>
  <c r="BE114" i="223" a="1"/>
  <c r="BE114" i="223" s="1"/>
  <c r="BG114" i="223" s="1"/>
  <c r="BL33" i="1" a="1"/>
  <c r="BL33" i="1" s="1"/>
  <c r="BO33" i="1" s="1"/>
  <c r="AZ86" i="223" a="1"/>
  <c r="AZ86" i="223" s="1"/>
  <c r="AF78" i="11" a="1"/>
  <c r="AF78" i="11" s="1"/>
  <c r="AH78" i="11" s="1"/>
  <c r="AF208" i="11" a="1"/>
  <c r="AF208" i="11" s="1"/>
  <c r="AI208" i="11" s="1"/>
  <c r="AF224" i="11" a="1"/>
  <c r="AF224" i="11" s="1"/>
  <c r="AH224" i="11" s="1"/>
  <c r="F18" i="11"/>
  <c r="F45" i="11" s="1"/>
  <c r="AZ46" i="223" a="1"/>
  <c r="AZ46" i="223" s="1"/>
  <c r="BJ4" i="213" a="1"/>
  <c r="BJ4" i="213" s="1"/>
  <c r="AZ185" i="223" a="1"/>
  <c r="AZ185" i="223" s="1"/>
  <c r="BG101" i="1" a="1"/>
  <c r="BG101" i="1" s="1"/>
  <c r="BG107" i="1" a="1"/>
  <c r="BG107" i="1" s="1"/>
  <c r="BG139" i="1" a="1"/>
  <c r="BG139" i="1" s="1"/>
  <c r="BG158" i="1" a="1"/>
  <c r="BG158" i="1" s="1"/>
  <c r="BG164" i="1" a="1"/>
  <c r="BG164" i="1" s="1"/>
  <c r="BG219" i="1" a="1"/>
  <c r="BG219" i="1" s="1"/>
  <c r="C220" i="11"/>
  <c r="AF220" i="11" s="1" a="1"/>
  <c r="AF220" i="11" s="1"/>
  <c r="BE13" i="223" a="1"/>
  <c r="BE13" i="223" s="1"/>
  <c r="BH13" i="223" s="1"/>
  <c r="AZ191" i="223" a="1"/>
  <c r="AZ191" i="223" s="1"/>
  <c r="AZ136" i="223" a="1"/>
  <c r="AZ136" i="223" s="1"/>
  <c r="BG25" i="1" a="1"/>
  <c r="BG25" i="1" s="1"/>
  <c r="BG10" i="1" a="1"/>
  <c r="BG10" i="1" s="1"/>
  <c r="AC76" i="11"/>
  <c r="BE206" i="223" a="1"/>
  <c r="BE206" i="223" s="1"/>
  <c r="BH206" i="223" s="1"/>
  <c r="C191" i="11"/>
  <c r="BE192" i="223" a="1"/>
  <c r="BE192" i="223" s="1"/>
  <c r="BG192" i="223" s="1"/>
  <c r="BG119" i="1" a="1"/>
  <c r="BG119" i="1" s="1"/>
  <c r="AZ148" i="223" a="1"/>
  <c r="AZ148" i="223" s="1"/>
  <c r="BL208" i="1" a="1"/>
  <c r="BL208" i="1" s="1"/>
  <c r="BN208" i="1" s="1"/>
  <c r="AZ20" i="223" a="1"/>
  <c r="AZ20" i="223" s="1"/>
  <c r="BL191" i="1" a="1"/>
  <c r="BL191" i="1" s="1"/>
  <c r="BN191" i="1" s="1"/>
  <c r="AA188" i="223"/>
  <c r="B244" i="11" s="1"/>
  <c r="BE150" i="223" a="1"/>
  <c r="BE150" i="223" s="1"/>
  <c r="BG150" i="223" s="1"/>
  <c r="BG198" i="1" a="1"/>
  <c r="BG198" i="1" s="1"/>
  <c r="BL190" i="1" a="1"/>
  <c r="BL190" i="1" s="1"/>
  <c r="BN190" i="1" s="1"/>
  <c r="BL206" i="1" a="1"/>
  <c r="BL206" i="1" s="1"/>
  <c r="BO206" i="1" s="1"/>
  <c r="C247" i="11"/>
  <c r="AC247" i="11" s="1"/>
  <c r="BE216" i="223" a="1"/>
  <c r="BE216" i="223" s="1"/>
  <c r="BG216" i="223" s="1"/>
  <c r="BL20" i="1" a="1"/>
  <c r="BL20" i="1" s="1"/>
  <c r="BN20" i="1" s="1"/>
  <c r="AZ57" i="223" a="1"/>
  <c r="AZ57" i="223" s="1"/>
  <c r="BE219" i="223" a="1"/>
  <c r="BE219" i="223" s="1"/>
  <c r="BH219" i="223" s="1"/>
  <c r="BL130" i="1" a="1"/>
  <c r="BL130" i="1" s="1"/>
  <c r="BN130" i="1" s="1"/>
  <c r="BG191" i="1" a="1"/>
  <c r="BG191" i="1" s="1"/>
  <c r="BL148" i="1" a="1"/>
  <c r="BL148" i="1" s="1"/>
  <c r="BN148" i="1" s="1"/>
  <c r="BG216" i="1" a="1"/>
  <c r="BG216" i="1" s="1"/>
  <c r="BL221" i="1" a="1"/>
  <c r="BL221" i="1" s="1"/>
  <c r="BN221" i="1" s="1"/>
  <c r="AZ76" i="223" a="1"/>
  <c r="AZ76" i="223" s="1"/>
  <c r="BE217" i="223" a="1"/>
  <c r="BE217" i="223" s="1"/>
  <c r="BH217" i="223" s="1"/>
  <c r="AZ107" i="223" a="1"/>
  <c r="AZ107" i="223" s="1"/>
  <c r="BE103" i="223" a="1"/>
  <c r="BE103" i="223" s="1"/>
  <c r="BH103" i="223" s="1"/>
  <c r="BG204" i="1" a="1"/>
  <c r="BG204" i="1" s="1"/>
  <c r="BL57" i="1" a="1"/>
  <c r="BL57" i="1" s="1"/>
  <c r="AZ164" i="223" a="1"/>
  <c r="AZ164" i="223" s="1"/>
  <c r="AZ9" i="223" a="1"/>
  <c r="AZ9" i="223" s="1"/>
  <c r="BG211" i="1" a="1"/>
  <c r="BG211" i="1" s="1"/>
  <c r="AZ130" i="223" a="1"/>
  <c r="AZ130" i="223" s="1"/>
  <c r="BL194" i="1" a="1"/>
  <c r="BL194" i="1" s="1"/>
  <c r="BL222" i="1" a="1"/>
  <c r="BL222" i="1" s="1"/>
  <c r="BN222" i="1" s="1"/>
  <c r="AZ162" i="223" a="1"/>
  <c r="AZ162" i="223" s="1"/>
  <c r="BL136" i="1" a="1"/>
  <c r="BL136" i="1" s="1"/>
  <c r="BO136" i="1" s="1"/>
  <c r="BO173" i="1"/>
  <c r="BJ173" i="1" s="1"/>
  <c r="BE190" i="223" a="1"/>
  <c r="BE190" i="223" s="1"/>
  <c r="BH190" i="223" s="1"/>
  <c r="BG92" i="1" a="1"/>
  <c r="BG92" i="1" s="1"/>
  <c r="BL107" i="1" a="1"/>
  <c r="BL107" i="1" s="1"/>
  <c r="BN107" i="1" s="1"/>
  <c r="BG136" i="1" a="1"/>
  <c r="BG136" i="1" s="1"/>
  <c r="BG150" i="1" a="1"/>
  <c r="BG150" i="1" s="1"/>
  <c r="BG190" i="1" a="1"/>
  <c r="BG190" i="1" s="1"/>
  <c r="BG20" i="1" a="1"/>
  <c r="BG20" i="1" s="1"/>
  <c r="BG132" i="1" a="1"/>
  <c r="BG132" i="1" s="1"/>
  <c r="BE20" i="223" a="1"/>
  <c r="BE20" i="223" s="1"/>
  <c r="BH20" i="223" s="1"/>
  <c r="BE107" i="223" a="1"/>
  <c r="BE107" i="223" s="1"/>
  <c r="BH107" i="223" s="1"/>
  <c r="AZ217" i="223" a="1"/>
  <c r="AZ217" i="223" s="1"/>
  <c r="BA217" i="223" s="1"/>
  <c r="AF267" i="11" a="1"/>
  <c r="AF267" i="11" s="1"/>
  <c r="AH267" i="11" s="1"/>
  <c r="AF255" i="11" a="1"/>
  <c r="AF255" i="11" s="1"/>
  <c r="AH255" i="11" s="1"/>
  <c r="BO8" i="213" a="1"/>
  <c r="BO8" i="213" s="1"/>
  <c r="AF222" i="11" a="1"/>
  <c r="AF222" i="11" s="1"/>
  <c r="AH222" i="11" s="1"/>
  <c r="E215" i="212"/>
  <c r="AI58" i="213" s="1"/>
  <c r="AK58" i="213" s="1"/>
  <c r="V68" i="212"/>
  <c r="C199" i="212"/>
  <c r="J107" i="212"/>
  <c r="D199" i="212" s="1"/>
  <c r="V76" i="212"/>
  <c r="C190" i="212"/>
  <c r="C207" i="212"/>
  <c r="J115" i="212"/>
  <c r="D207" i="212" s="1"/>
  <c r="J30" i="212"/>
  <c r="B199" i="212" s="1"/>
  <c r="AG23" i="218"/>
  <c r="CA5" i="218"/>
  <c r="BU5" i="218"/>
  <c r="BX5" i="218"/>
  <c r="H21" i="218"/>
  <c r="H51" i="218" s="1"/>
  <c r="F21" i="218"/>
  <c r="F51" i="218" s="1"/>
  <c r="D21" i="218"/>
  <c r="O21" i="218"/>
  <c r="Y21" i="218"/>
  <c r="Q21" i="218"/>
  <c r="T21" i="218"/>
  <c r="BN5" i="218"/>
  <c r="BB5" i="218"/>
  <c r="AU5" i="218"/>
  <c r="BJ5" i="218"/>
  <c r="AM5" i="218"/>
  <c r="BM5" i="218"/>
  <c r="BS5" i="218"/>
  <c r="BZ5" i="218"/>
  <c r="AV5" i="218"/>
  <c r="M21" i="218"/>
  <c r="R21" i="218"/>
  <c r="AK5" i="218"/>
  <c r="AO5" i="218"/>
  <c r="BK5" i="218"/>
  <c r="BA5" i="218"/>
  <c r="BF5" i="218"/>
  <c r="J37" i="218"/>
  <c r="T37" i="218"/>
  <c r="Q37" i="218"/>
  <c r="A38" i="218"/>
  <c r="U37" i="218"/>
  <c r="S37" i="218"/>
  <c r="O37" i="218"/>
  <c r="AA37" i="218"/>
  <c r="AB37" i="218"/>
  <c r="N37" i="218"/>
  <c r="V37" i="218"/>
  <c r="R37" i="218"/>
  <c r="I37" i="218"/>
  <c r="M37" i="218"/>
  <c r="Y37" i="218"/>
  <c r="Z37" i="218"/>
  <c r="L37" i="218"/>
  <c r="P37" i="218"/>
  <c r="C37" i="218"/>
  <c r="W37" i="218"/>
  <c r="X37" i="218"/>
  <c r="K37" i="218"/>
  <c r="AF273" i="11" a="1"/>
  <c r="AF273" i="11" s="1"/>
  <c r="AH273" i="11" s="1"/>
  <c r="V144" i="212"/>
  <c r="AC260" i="11"/>
  <c r="BE57" i="223" a="1"/>
  <c r="BE57" i="223" s="1"/>
  <c r="BH57" i="223" s="1"/>
  <c r="J158" i="212"/>
  <c r="D219" i="212" s="1"/>
  <c r="BB52" i="218"/>
  <c r="AS5" i="218" s="1"/>
  <c r="C219" i="212"/>
  <c r="E59" i="212"/>
  <c r="E167" i="212" s="1"/>
  <c r="I59" i="212"/>
  <c r="I167" i="212" s="1"/>
  <c r="J38" i="212"/>
  <c r="E98" i="212"/>
  <c r="E170" i="212" s="1"/>
  <c r="AN58" i="218"/>
  <c r="AL4" i="218" s="1"/>
  <c r="J85" i="212"/>
  <c r="D177" i="212" s="1"/>
  <c r="F177" i="212" s="1"/>
  <c r="Q59" i="212"/>
  <c r="Q167" i="212" s="1"/>
  <c r="I98" i="212"/>
  <c r="I170" i="212" s="1"/>
  <c r="U59" i="212"/>
  <c r="U167" i="212" s="1"/>
  <c r="BL199" i="1" a="1"/>
  <c r="BL199" i="1" s="1"/>
  <c r="BO199" i="1" s="1"/>
  <c r="AZ199" i="223" a="1"/>
  <c r="AZ199" i="223" s="1"/>
  <c r="AF278" i="11" a="1"/>
  <c r="AF278" i="11" s="1"/>
  <c r="AH278" i="11" s="1"/>
  <c r="BN141" i="1"/>
  <c r="BE194" i="223" a="1"/>
  <c r="BE194" i="223" s="1"/>
  <c r="BH194" i="223" s="1"/>
  <c r="BL218" i="1" a="1"/>
  <c r="BL218" i="1" s="1"/>
  <c r="BL74" i="1" a="1"/>
  <c r="BL74" i="1" s="1"/>
  <c r="AA37" i="223"/>
  <c r="B11" i="11" s="1"/>
  <c r="B10" i="11" s="1"/>
  <c r="B41" i="11" s="1"/>
  <c r="BG37" i="1" a="1"/>
  <c r="BG37" i="1" s="1"/>
  <c r="AB151" i="223"/>
  <c r="BG151" i="1" a="1"/>
  <c r="BG151" i="1" s="1"/>
  <c r="AF243" i="11" a="1"/>
  <c r="AF243" i="11" s="1"/>
  <c r="AI243" i="11" s="1"/>
  <c r="BE8" i="223" a="1"/>
  <c r="BE8" i="223" s="1"/>
  <c r="AB63" i="223"/>
  <c r="BE63" i="223" s="1" a="1"/>
  <c r="BE63" i="223" s="1"/>
  <c r="BL63" i="1" a="1"/>
  <c r="BL63" i="1" s="1"/>
  <c r="BN63" i="1" s="1"/>
  <c r="AB123" i="223"/>
  <c r="BL123" i="1" a="1"/>
  <c r="BL123" i="1" s="1"/>
  <c r="AB118" i="223"/>
  <c r="BL118" i="1" a="1"/>
  <c r="BL118" i="1" s="1"/>
  <c r="BO118" i="1" s="1"/>
  <c r="C148" i="11"/>
  <c r="BE92" i="223" a="1"/>
  <c r="BE92" i="223" s="1"/>
  <c r="D34" i="11"/>
  <c r="D56" i="11" s="1"/>
  <c r="AB215" i="223"/>
  <c r="C271" i="11" s="1"/>
  <c r="AF271" i="11" s="1" a="1"/>
  <c r="AF271" i="11" s="1"/>
  <c r="AI271" i="11" s="1"/>
  <c r="BG215" i="1" a="1"/>
  <c r="BG215" i="1" s="1"/>
  <c r="AC65" i="11"/>
  <c r="AF65" i="11" a="1"/>
  <c r="AF65" i="11" s="1"/>
  <c r="AI65" i="11" s="1"/>
  <c r="AB69" i="223"/>
  <c r="AZ69" i="223" s="1" a="1"/>
  <c r="AZ69" i="223" s="1"/>
  <c r="BG69" i="1" a="1"/>
  <c r="BG69" i="1" s="1"/>
  <c r="AE16" i="223"/>
  <c r="BL16" i="1" a="1"/>
  <c r="BL16" i="1" s="1"/>
  <c r="BN16" i="1" s="1"/>
  <c r="AC60" i="223"/>
  <c r="BE60" i="223" s="1" a="1"/>
  <c r="BE60" i="223" s="1"/>
  <c r="BL60" i="1" a="1"/>
  <c r="BL60" i="1" s="1"/>
  <c r="BO60" i="1" s="1"/>
  <c r="D201" i="11"/>
  <c r="AC201" i="11" s="1"/>
  <c r="D25" i="11"/>
  <c r="D49" i="11" s="1"/>
  <c r="AC209" i="223"/>
  <c r="D33" i="11" s="1"/>
  <c r="D55" i="11" s="1"/>
  <c r="BL209" i="1" a="1"/>
  <c r="BL209" i="1" s="1"/>
  <c r="BN209" i="1" s="1"/>
  <c r="E236" i="11"/>
  <c r="AC236" i="11" s="1"/>
  <c r="BE180" i="223" a="1"/>
  <c r="BE180" i="223" s="1"/>
  <c r="AB94" i="223"/>
  <c r="C150" i="11" s="1"/>
  <c r="BG94" i="1" a="1"/>
  <c r="BG94" i="1" s="1"/>
  <c r="C54" i="220"/>
  <c r="BK4" i="213" a="1"/>
  <c r="BK4" i="213" s="1"/>
  <c r="AC72" i="223"/>
  <c r="D17" i="11" s="1"/>
  <c r="BL72" i="1" a="1"/>
  <c r="BL72" i="1" s="1"/>
  <c r="BO72" i="1" s="1"/>
  <c r="F132" i="11"/>
  <c r="F17" i="11"/>
  <c r="F150" i="11"/>
  <c r="AC150" i="11" s="1"/>
  <c r="F19" i="11"/>
  <c r="F46" i="11" s="1"/>
  <c r="AD48" i="223"/>
  <c r="F5" i="9" s="1"/>
  <c r="F24" i="9" s="1"/>
  <c r="BL48" i="1" a="1"/>
  <c r="BL48" i="1" s="1"/>
  <c r="BN48" i="1" s="1"/>
  <c r="AD182" i="223"/>
  <c r="E29" i="11" s="1"/>
  <c r="E51" i="11" s="1"/>
  <c r="BL182" i="1" a="1"/>
  <c r="BL182" i="1" s="1"/>
  <c r="BN182" i="1" s="1"/>
  <c r="AC104" i="223"/>
  <c r="D21" i="11" s="1"/>
  <c r="BL104" i="1" a="1"/>
  <c r="BL104" i="1" s="1"/>
  <c r="BO104" i="1" s="1"/>
  <c r="AC169" i="223"/>
  <c r="D28" i="11" s="1"/>
  <c r="BL169" i="1" a="1"/>
  <c r="BL169" i="1" s="1"/>
  <c r="BO169" i="1" s="1"/>
  <c r="D175" i="11"/>
  <c r="AF175" i="11" s="1" a="1"/>
  <c r="AF175" i="11" s="1"/>
  <c r="BE119" i="223" a="1"/>
  <c r="BE119" i="223" s="1"/>
  <c r="BG119" i="223" s="1"/>
  <c r="AC62" i="223"/>
  <c r="BL62" i="1" a="1"/>
  <c r="BL62" i="1" s="1"/>
  <c r="BN62" i="1" s="1"/>
  <c r="BG34" i="1" a="1"/>
  <c r="BG34" i="1" s="1"/>
  <c r="BL215" i="1" a="1"/>
  <c r="BL215" i="1" s="1"/>
  <c r="BO215" i="1" s="1"/>
  <c r="BE34" i="223" a="1"/>
  <c r="BE34" i="223" s="1"/>
  <c r="BG34" i="223" s="1"/>
  <c r="BL14" i="1" a="1"/>
  <c r="BL14" i="1" s="1"/>
  <c r="BO14" i="1" s="1"/>
  <c r="AZ194" i="223" a="1"/>
  <c r="AZ194" i="223" s="1"/>
  <c r="BL46" i="1" a="1"/>
  <c r="BL46" i="1" s="1"/>
  <c r="AB53" i="223"/>
  <c r="AZ53" i="223" s="1" a="1"/>
  <c r="AZ53" i="223" s="1"/>
  <c r="BL53" i="1" a="1"/>
  <c r="BL53" i="1" s="1"/>
  <c r="BN53" i="1" s="1"/>
  <c r="AZ101" i="223" a="1"/>
  <c r="AZ101" i="223" s="1"/>
  <c r="BG9" i="1" a="1"/>
  <c r="BG9" i="1" s="1"/>
  <c r="BG57" i="1" a="1"/>
  <c r="BG57" i="1" s="1"/>
  <c r="AZ204" i="223" a="1"/>
  <c r="AZ204" i="223" s="1"/>
  <c r="BE101" i="223" a="1"/>
  <c r="BE101" i="223" s="1"/>
  <c r="BH101" i="223" s="1"/>
  <c r="E137" i="11"/>
  <c r="AZ81" i="223" a="1"/>
  <c r="AZ81" i="223" s="1"/>
  <c r="AB85" i="223"/>
  <c r="BG85" i="1" a="1"/>
  <c r="BG85" i="1" s="1"/>
  <c r="AA139" i="223"/>
  <c r="B24" i="11" s="1"/>
  <c r="B48" i="11" s="1"/>
  <c r="BL139" i="1" a="1"/>
  <c r="BL139" i="1" s="1"/>
  <c r="BN139" i="1" s="1"/>
  <c r="C204" i="11"/>
  <c r="AC204" i="11" s="1"/>
  <c r="BE148" i="223" a="1"/>
  <c r="BE148" i="223" s="1"/>
  <c r="BG148" i="223" s="1"/>
  <c r="AC208" i="11"/>
  <c r="C214" i="11"/>
  <c r="BE158" i="223" a="1"/>
  <c r="BE158" i="223" s="1"/>
  <c r="BH158" i="223" s="1"/>
  <c r="AC188" i="223"/>
  <c r="D244" i="11" s="1"/>
  <c r="BG188" i="1" a="1"/>
  <c r="BG188" i="1" s="1"/>
  <c r="AA193" i="223"/>
  <c r="BL193" i="1" a="1"/>
  <c r="BL193" i="1" s="1"/>
  <c r="BN193" i="1" s="1"/>
  <c r="AF194" i="11" a="1"/>
  <c r="AF194" i="11" s="1"/>
  <c r="AI194" i="11" s="1"/>
  <c r="BL56" i="1" a="1"/>
  <c r="BL56" i="1" s="1"/>
  <c r="BO56" i="1" s="1"/>
  <c r="BG56" i="1" a="1"/>
  <c r="BG56" i="1" s="1"/>
  <c r="BE23" i="223" a="1"/>
  <c r="BE23" i="223" s="1"/>
  <c r="BG23" i="223" s="1"/>
  <c r="AF192" i="11" a="1"/>
  <c r="AF192" i="11" s="1"/>
  <c r="AH192" i="11" s="1"/>
  <c r="AF130" i="11" a="1"/>
  <c r="AF130" i="11" s="1"/>
  <c r="AI130" i="11" s="1"/>
  <c r="AF250" i="11" a="1"/>
  <c r="AF250" i="11" s="1"/>
  <c r="AI250" i="11" s="1"/>
  <c r="E19" i="11"/>
  <c r="E46" i="11" s="1"/>
  <c r="BL92" i="1" a="1"/>
  <c r="BL92" i="1" s="1"/>
  <c r="BN92" i="1" s="1"/>
  <c r="BL150" i="1" a="1"/>
  <c r="BL150" i="1" s="1"/>
  <c r="BO150" i="1" s="1"/>
  <c r="BL212" i="1" a="1"/>
  <c r="BL212" i="1" s="1"/>
  <c r="BN212" i="1" s="1"/>
  <c r="BE91" i="223" a="1"/>
  <c r="BE91" i="223" s="1"/>
  <c r="BH91" i="223" s="1"/>
  <c r="BE135" i="223" a="1"/>
  <c r="BE135" i="223" s="1"/>
  <c r="BG135" i="223" s="1"/>
  <c r="BE46" i="223" a="1"/>
  <c r="BE46" i="223" s="1"/>
  <c r="BH46" i="223" s="1"/>
  <c r="BE223" i="223" a="1"/>
  <c r="BE223" i="223" s="1"/>
  <c r="BG223" i="223" s="1"/>
  <c r="BL73" i="1" a="1"/>
  <c r="BL73" i="1" s="1"/>
  <c r="BN73" i="1" s="1"/>
  <c r="BG222" i="1" a="1"/>
  <c r="BG222" i="1" s="1"/>
  <c r="BG12" i="1" a="1"/>
  <c r="BG12" i="1" s="1"/>
  <c r="BH12" i="1" s="1"/>
  <c r="AZ150" i="223" a="1"/>
  <c r="AZ150" i="223" s="1"/>
  <c r="BL217" i="1" a="1"/>
  <c r="BL217" i="1" s="1"/>
  <c r="BO217" i="1" s="1"/>
  <c r="AA21" i="218"/>
  <c r="W21" i="218"/>
  <c r="BG135" i="1" a="1"/>
  <c r="BG135" i="1" s="1"/>
  <c r="BG46" i="1" a="1"/>
  <c r="BG46" i="1" s="1"/>
  <c r="K21" i="218"/>
  <c r="G21" i="218"/>
  <c r="G51" i="218" s="1"/>
  <c r="S21" i="218"/>
  <c r="AC91" i="11"/>
  <c r="AF173" i="11" a="1"/>
  <c r="AF173" i="11" s="1"/>
  <c r="AI173" i="11" s="1"/>
  <c r="AA121" i="220" a="1"/>
  <c r="AA121" i="220" s="1"/>
  <c r="AB121" i="220" s="1"/>
  <c r="AC273" i="11"/>
  <c r="AF240" i="11" a="1"/>
  <c r="AF240" i="11" s="1"/>
  <c r="AH240" i="11" s="1"/>
  <c r="BE56" i="223" a="1"/>
  <c r="BE56" i="223" s="1"/>
  <c r="BG214" i="1" a="1"/>
  <c r="BG214" i="1" s="1"/>
  <c r="AF231" i="11" a="1"/>
  <c r="AF231" i="11" s="1"/>
  <c r="AI231" i="11" s="1"/>
  <c r="AZ214" i="223" a="1"/>
  <c r="AZ214" i="223" s="1"/>
  <c r="F21" i="11"/>
  <c r="BG105" i="1" a="1"/>
  <c r="BG105" i="1" s="1"/>
  <c r="BL145" i="1" a="1"/>
  <c r="BL145" i="1" s="1"/>
  <c r="BO145" i="1" s="1"/>
  <c r="BE184" i="223" a="1"/>
  <c r="BE184" i="223" s="1"/>
  <c r="BG184" i="223" s="1"/>
  <c r="BG8" i="1" a="1"/>
  <c r="BG8" i="1" s="1"/>
  <c r="BL8" i="1" a="1"/>
  <c r="BL8" i="1" s="1"/>
  <c r="E30" i="11"/>
  <c r="E52" i="11" s="1"/>
  <c r="AF91" i="11" a="1"/>
  <c r="AF91" i="11" s="1"/>
  <c r="AI91" i="11" s="1"/>
  <c r="BE97" i="223" a="1"/>
  <c r="BE97" i="223" s="1"/>
  <c r="BG97" i="223" s="1"/>
  <c r="BL86" i="1" a="1"/>
  <c r="BL86" i="1" s="1"/>
  <c r="BN86" i="1" s="1"/>
  <c r="C142" i="11"/>
  <c r="AF142" i="11" s="1" a="1"/>
  <c r="AF142" i="11" s="1"/>
  <c r="AI142" i="11" s="1"/>
  <c r="BL116" i="1" a="1"/>
  <c r="BL116" i="1" s="1"/>
  <c r="BG145" i="1" a="1"/>
  <c r="BG145" i="1" s="1"/>
  <c r="BG152" i="1" a="1"/>
  <c r="BG152" i="1" s="1"/>
  <c r="BE130" i="223" a="1"/>
  <c r="BE130" i="223" s="1"/>
  <c r="BG130" i="223" s="1"/>
  <c r="E20" i="218"/>
  <c r="E50" i="218" s="1"/>
  <c r="D18" i="11"/>
  <c r="D45" i="11" s="1"/>
  <c r="AF120" i="11" a="1"/>
  <c r="AF120" i="11" s="1"/>
  <c r="AI120" i="11" s="1"/>
  <c r="AC250" i="11"/>
  <c r="AC255" i="11"/>
  <c r="AF260" i="11" a="1"/>
  <c r="AF260" i="11" s="1"/>
  <c r="AI260" i="11" s="1"/>
  <c r="AC240" i="11"/>
  <c r="AF268" i="11" a="1"/>
  <c r="AF268" i="11" s="1"/>
  <c r="AI268" i="11" s="1"/>
  <c r="F102" i="11"/>
  <c r="F15" i="11"/>
  <c r="B227" i="11"/>
  <c r="AZ171" i="223" a="1"/>
  <c r="AZ171" i="223" s="1"/>
  <c r="BG116" i="1" a="1"/>
  <c r="BG116" i="1" s="1"/>
  <c r="BL50" i="1" a="1"/>
  <c r="BL50" i="1" s="1"/>
  <c r="BO50" i="1" s="1"/>
  <c r="BG203" i="1" a="1"/>
  <c r="BG203" i="1" s="1"/>
  <c r="AZ203" i="223" a="1"/>
  <c r="AZ203" i="223" s="1"/>
  <c r="D30" i="11"/>
  <c r="D52" i="11" s="1"/>
  <c r="E16" i="11"/>
  <c r="F22" i="11"/>
  <c r="F11" i="11"/>
  <c r="F10" i="11" s="1"/>
  <c r="F41" i="11" s="1"/>
  <c r="BE199" i="223" a="1"/>
  <c r="BE199" i="223" s="1"/>
  <c r="BH199" i="223" s="1"/>
  <c r="AC199" i="11"/>
  <c r="BE22" i="223" a="1"/>
  <c r="BE22" i="223" s="1"/>
  <c r="BG22" i="223" s="1"/>
  <c r="AZ40" i="223" a="1"/>
  <c r="AZ40" i="223" s="1"/>
  <c r="BG74" i="1" a="1"/>
  <c r="BG74" i="1" s="1"/>
  <c r="BL76" i="1" a="1"/>
  <c r="BL76" i="1" s="1"/>
  <c r="BO76" i="1" s="1"/>
  <c r="BL119" i="1" a="1"/>
  <c r="BL119" i="1" s="1"/>
  <c r="BO119" i="1" s="1"/>
  <c r="BE152" i="223" a="1"/>
  <c r="BE152" i="223" s="1"/>
  <c r="BH152" i="223" s="1"/>
  <c r="BL106" i="1" a="1"/>
  <c r="BL106" i="1" s="1"/>
  <c r="BO106" i="1" s="1"/>
  <c r="B79" i="11"/>
  <c r="AF79" i="11" s="1" a="1"/>
  <c r="AF79" i="11" s="1"/>
  <c r="AI79" i="11" s="1"/>
  <c r="BG143" i="1" a="1"/>
  <c r="BG143" i="1" s="1"/>
  <c r="BG180" i="1" a="1"/>
  <c r="BG180" i="1" s="1"/>
  <c r="BG84" i="1" a="1"/>
  <c r="BG84" i="1" s="1"/>
  <c r="BG49" i="1" a="1"/>
  <c r="BG49" i="1" s="1"/>
  <c r="BJ10" i="213" a="1"/>
  <c r="BJ10" i="213" s="1"/>
  <c r="BG185" i="1" a="1"/>
  <c r="BG185" i="1" s="1"/>
  <c r="BG148" i="1" a="1"/>
  <c r="BG148" i="1" s="1"/>
  <c r="BG114" i="1" a="1"/>
  <c r="BG114" i="1" s="1"/>
  <c r="BG86" i="1" a="1"/>
  <c r="BG86" i="1" s="1"/>
  <c r="BL69" i="1" a="1"/>
  <c r="BL69" i="1" s="1"/>
  <c r="BN69" i="1" s="1"/>
  <c r="BG33" i="1" a="1"/>
  <c r="BG33" i="1" s="1"/>
  <c r="AZ143" i="223" a="1"/>
  <c r="AZ143" i="223" s="1"/>
  <c r="BE171" i="223" a="1"/>
  <c r="BE171" i="223" s="1"/>
  <c r="BG171" i="223" s="1"/>
  <c r="BL9" i="1" a="1"/>
  <c r="BL9" i="1" s="1"/>
  <c r="E181" i="212"/>
  <c r="AI24" i="213" s="1"/>
  <c r="AF90" i="11" a="1"/>
  <c r="AF90" i="11" s="1"/>
  <c r="AH90" i="11" s="1"/>
  <c r="AZ108" i="223" a="1"/>
  <c r="AZ108" i="223" s="1"/>
  <c r="BL135" i="1" a="1"/>
  <c r="BL135" i="1" s="1"/>
  <c r="BL13" i="1" a="1"/>
  <c r="BL13" i="1" s="1"/>
  <c r="BO13" i="1" s="1"/>
  <c r="AF95" i="11" a="1"/>
  <c r="AF95" i="11" s="1"/>
  <c r="AH95" i="11" s="1"/>
  <c r="AZ121" i="223" a="1"/>
  <c r="AZ121" i="223" s="1"/>
  <c r="AZ74" i="223" a="1"/>
  <c r="AZ74" i="223" s="1"/>
  <c r="BG76" i="1" a="1"/>
  <c r="BG76" i="1" s="1"/>
  <c r="BJ8" i="213" a="1"/>
  <c r="BJ8" i="213" s="1"/>
  <c r="AF157" i="11" a="1"/>
  <c r="AF157" i="11" s="1"/>
  <c r="AI157" i="11" s="1"/>
  <c r="BG78" i="1" a="1"/>
  <c r="BG78" i="1" s="1"/>
  <c r="BE214" i="223" a="1"/>
  <c r="BE214" i="223" s="1"/>
  <c r="BE145" i="223" a="1"/>
  <c r="BE145" i="223" s="1"/>
  <c r="BG145" i="223" s="1"/>
  <c r="AZ190" i="223" a="1"/>
  <c r="AZ190" i="223" s="1"/>
  <c r="BE54" i="223" a="1"/>
  <c r="BE54" i="223" s="1"/>
  <c r="BG54" i="223" s="1"/>
  <c r="AF209" i="11" a="1"/>
  <c r="AF209" i="11" s="1"/>
  <c r="AH209" i="11" s="1"/>
  <c r="D27" i="11"/>
  <c r="D15" i="11"/>
  <c r="E25" i="11"/>
  <c r="E49" i="11" s="1"/>
  <c r="E27" i="11"/>
  <c r="F34" i="11"/>
  <c r="F56" i="11" s="1"/>
  <c r="D9" i="11"/>
  <c r="F23" i="11"/>
  <c r="F33" i="11"/>
  <c r="F55" i="11" s="1"/>
  <c r="AZ103" i="223" a="1"/>
  <c r="AZ103" i="223" s="1"/>
  <c r="F179" i="212"/>
  <c r="BG199" i="1" a="1"/>
  <c r="BG199" i="1" s="1"/>
  <c r="BG194" i="1" a="1"/>
  <c r="BG194" i="1" s="1"/>
  <c r="BG106" i="1" a="1"/>
  <c r="BG106" i="1" s="1"/>
  <c r="BG137" i="1" a="1"/>
  <c r="BG137" i="1" s="1"/>
  <c r="BG177" i="1" a="1"/>
  <c r="BG177" i="1" s="1"/>
  <c r="AZ184" i="223" a="1"/>
  <c r="AZ184" i="223" s="1"/>
  <c r="BG218" i="1" a="1"/>
  <c r="BG218" i="1" s="1"/>
  <c r="BL143" i="1" a="1"/>
  <c r="BL143" i="1" s="1"/>
  <c r="BO143" i="1" s="1"/>
  <c r="BL180" i="1" a="1"/>
  <c r="BL180" i="1" s="1"/>
  <c r="BO180" i="1" s="1"/>
  <c r="AF140" i="11" a="1"/>
  <c r="AF140" i="11" s="1"/>
  <c r="AF105" i="11" a="1"/>
  <c r="AF105" i="11" s="1"/>
  <c r="AI105" i="11" s="1"/>
  <c r="BL24" i="1" a="1"/>
  <c r="BL24" i="1" s="1"/>
  <c r="BL184" i="1" a="1"/>
  <c r="BL184" i="1" s="1"/>
  <c r="BO184" i="1" s="1"/>
  <c r="BG109" i="1" a="1"/>
  <c r="BG109" i="1" s="1"/>
  <c r="BG13" i="1" a="1"/>
  <c r="BG13" i="1" s="1"/>
  <c r="AZ109" i="223" a="1"/>
  <c r="AZ109" i="223" s="1"/>
  <c r="BB109" i="223" s="1"/>
  <c r="BE9" i="223" a="1"/>
  <c r="BE9" i="223" s="1"/>
  <c r="BH9" i="223" s="1"/>
  <c r="BL192" i="1" a="1"/>
  <c r="BL192" i="1" s="1"/>
  <c r="BN192" i="1" s="1"/>
  <c r="BL211" i="1" a="1"/>
  <c r="BL211" i="1" s="1"/>
  <c r="BN211" i="1" s="1"/>
  <c r="BL198" i="1" a="1"/>
  <c r="BL198" i="1" s="1"/>
  <c r="BN198" i="1" s="1"/>
  <c r="BE204" i="223" a="1"/>
  <c r="BE204" i="223" s="1"/>
  <c r="BG204" i="223" s="1"/>
  <c r="BK8" i="213" a="1"/>
  <c r="BK8" i="213" s="1"/>
  <c r="BE74" i="223" a="1"/>
  <c r="BE74" i="223" s="1"/>
  <c r="BH74" i="223" s="1"/>
  <c r="BL39" i="1" a="1"/>
  <c r="BL39" i="1" s="1"/>
  <c r="BN39" i="1" s="1"/>
  <c r="BG192" i="1" a="1"/>
  <c r="BG192" i="1" s="1"/>
  <c r="AF69" i="11" a="1"/>
  <c r="AF69" i="11" s="1"/>
  <c r="AI69" i="11" s="1"/>
  <c r="BE39" i="223" a="1"/>
  <c r="BE39" i="223" s="1"/>
  <c r="BG39" i="223" s="1"/>
  <c r="BL204" i="1" a="1"/>
  <c r="BL204" i="1" s="1"/>
  <c r="BO204" i="1" s="1"/>
  <c r="BE108" i="223" a="1"/>
  <c r="BE108" i="223" s="1"/>
  <c r="BE143" i="223" a="1"/>
  <c r="BE143" i="223" s="1"/>
  <c r="C270" i="11"/>
  <c r="AF270" i="11" s="1" a="1"/>
  <c r="AF270" i="11" s="1"/>
  <c r="AI270" i="11" s="1"/>
  <c r="AZ8" i="223" a="1"/>
  <c r="AZ8" i="223" s="1"/>
  <c r="BL203" i="1" a="1"/>
  <c r="BL203" i="1" s="1"/>
  <c r="BO203" i="1" s="1"/>
  <c r="AZ145" i="223" a="1"/>
  <c r="AZ145" i="223" s="1"/>
  <c r="AC222" i="11"/>
  <c r="AF237" i="11" a="1"/>
  <c r="AF237" i="11" s="1"/>
  <c r="AI237" i="11" s="1"/>
  <c r="BE162" i="223" a="1"/>
  <c r="BE162" i="223" s="1"/>
  <c r="BG162" i="223" s="1"/>
  <c r="AC123" i="11"/>
  <c r="D23" i="11"/>
  <c r="D24" i="11"/>
  <c r="D48" i="11" s="1"/>
  <c r="D22" i="11"/>
  <c r="E22" i="11"/>
  <c r="E11" i="11"/>
  <c r="E10" i="11" s="1"/>
  <c r="E41" i="11" s="1"/>
  <c r="F29" i="11"/>
  <c r="F51" i="11" s="1"/>
  <c r="F28" i="11"/>
  <c r="F26" i="11" s="1"/>
  <c r="F50" i="11" s="1"/>
  <c r="BL10" i="1" a="1"/>
  <c r="BL10" i="1" s="1"/>
  <c r="BN10" i="1" s="1"/>
  <c r="BE90" i="223" a="1"/>
  <c r="BE90" i="223" s="1"/>
  <c r="BG90" i="223" s="1"/>
  <c r="AC89" i="11"/>
  <c r="AH190" i="11"/>
  <c r="AI190" i="11"/>
  <c r="C146" i="11"/>
  <c r="AC146" i="11" s="1"/>
  <c r="AF127" i="11" a="1"/>
  <c r="AF127" i="11" s="1"/>
  <c r="AH127" i="11" s="1"/>
  <c r="BG128" i="1" a="1"/>
  <c r="BG128" i="1" s="1"/>
  <c r="BL22" i="1" a="1"/>
  <c r="BL22" i="1" s="1"/>
  <c r="BO22" i="1" s="1"/>
  <c r="BL71" i="1" a="1"/>
  <c r="BL71" i="1" s="1"/>
  <c r="BN71" i="1" s="1"/>
  <c r="AZ105" i="223" a="1"/>
  <c r="AZ105" i="223" s="1"/>
  <c r="AC184" i="11"/>
  <c r="AF131" i="11" a="1"/>
  <c r="AF131" i="11" s="1"/>
  <c r="AH131" i="11" s="1"/>
  <c r="E211" i="212"/>
  <c r="AI54" i="213" s="1"/>
  <c r="AO54" i="213" s="1"/>
  <c r="F42" i="220" s="1"/>
  <c r="F106" i="220" s="1"/>
  <c r="AF89" i="11" a="1"/>
  <c r="AF89" i="11" s="1"/>
  <c r="AH89" i="11" s="1"/>
  <c r="BL128" i="1" a="1"/>
  <c r="BL128" i="1" s="1"/>
  <c r="BO128" i="1" s="1"/>
  <c r="AZ205" i="223" a="1"/>
  <c r="AZ205" i="223" s="1"/>
  <c r="AF114" i="11" a="1"/>
  <c r="AF114" i="11" s="1"/>
  <c r="AH114" i="11" s="1"/>
  <c r="AZ84" i="223" a="1"/>
  <c r="AZ84" i="223" s="1"/>
  <c r="BR6" i="213"/>
  <c r="BL6" i="213" s="1"/>
  <c r="AZ211" i="223" a="1"/>
  <c r="AZ211" i="223" s="1"/>
  <c r="BE128" i="223" a="1"/>
  <c r="BE128" i="223" s="1"/>
  <c r="BH128" i="223" s="1"/>
  <c r="AZ90" i="223" a="1"/>
  <c r="AZ90" i="223" s="1"/>
  <c r="AZ71" i="223" a="1"/>
  <c r="AZ71" i="223" s="1"/>
  <c r="BE71" i="223" a="1"/>
  <c r="BE71" i="223" s="1"/>
  <c r="BH71" i="223" s="1"/>
  <c r="BE75" i="223" a="1"/>
  <c r="BE75" i="223" s="1"/>
  <c r="BG75" i="223" s="1"/>
  <c r="BG205" i="1" a="1"/>
  <c r="BG205" i="1" s="1"/>
  <c r="BG90" i="1" a="1"/>
  <c r="BG90" i="1" s="1"/>
  <c r="BL166" i="1" a="1"/>
  <c r="BL166" i="1" s="1"/>
  <c r="BO166" i="1" s="1"/>
  <c r="E183" i="212"/>
  <c r="AI26" i="213" s="1"/>
  <c r="BG166" i="1" a="1"/>
  <c r="BG166" i="1" s="1"/>
  <c r="BE166" i="223" a="1"/>
  <c r="BE166" i="223" s="1"/>
  <c r="BH166" i="223" s="1"/>
  <c r="BL121" i="1" a="1"/>
  <c r="BL121" i="1" s="1"/>
  <c r="BN121" i="1" s="1"/>
  <c r="AZ124" i="223" a="1"/>
  <c r="AZ124" i="223" s="1"/>
  <c r="BE121" i="223" a="1"/>
  <c r="BE121" i="223" s="1"/>
  <c r="BH121" i="223" s="1"/>
  <c r="BK7" i="213" a="1"/>
  <c r="BK7" i="213" s="1"/>
  <c r="BL125" i="1" a="1"/>
  <c r="BL125" i="1" s="1"/>
  <c r="BO125" i="1" s="1"/>
  <c r="BG75" i="1" a="1"/>
  <c r="BG75" i="1" s="1"/>
  <c r="AZ128" i="223" a="1"/>
  <c r="AZ128" i="223" s="1"/>
  <c r="AZ83" i="223" a="1"/>
  <c r="AZ83" i="223" s="1"/>
  <c r="BG121" i="1" a="1"/>
  <c r="BG121" i="1" s="1"/>
  <c r="BL90" i="1" a="1"/>
  <c r="BL90" i="1" s="1"/>
  <c r="BL124" i="1" a="1"/>
  <c r="BL124" i="1" s="1"/>
  <c r="BO124" i="1" s="1"/>
  <c r="BL105" i="1" a="1"/>
  <c r="BL105" i="1" s="1"/>
  <c r="BO105" i="1" s="1"/>
  <c r="BL126" i="1" a="1"/>
  <c r="BL126" i="1" s="1"/>
  <c r="BO126" i="1" s="1"/>
  <c r="BG71" i="1" a="1"/>
  <c r="BG71" i="1" s="1"/>
  <c r="AZ166" i="223" a="1"/>
  <c r="AZ166" i="223" s="1"/>
  <c r="E17" i="11"/>
  <c r="E103" i="11"/>
  <c r="D19" i="11"/>
  <c r="D46" i="11" s="1"/>
  <c r="E34" i="11"/>
  <c r="E56" i="11" s="1"/>
  <c r="E28" i="11"/>
  <c r="E26" i="11" s="1"/>
  <c r="E50" i="11" s="1"/>
  <c r="AZ35" i="223" a="1"/>
  <c r="AZ35" i="223" s="1"/>
  <c r="D11" i="11"/>
  <c r="D10" i="11" s="1"/>
  <c r="D41" i="11" s="1"/>
  <c r="E21" i="11"/>
  <c r="E24" i="11"/>
  <c r="E48" i="11" s="1"/>
  <c r="E191" i="11"/>
  <c r="E33" i="11"/>
  <c r="E55" i="11" s="1"/>
  <c r="E9" i="11"/>
  <c r="AD14" i="223"/>
  <c r="AK224" i="1"/>
  <c r="AE10" i="223"/>
  <c r="AE224" i="223" s="1"/>
  <c r="AL224" i="1"/>
  <c r="F9" i="11"/>
  <c r="E18" i="11"/>
  <c r="E45" i="11" s="1"/>
  <c r="E23" i="11"/>
  <c r="BL185" i="1" a="1"/>
  <c r="BL185" i="1" s="1"/>
  <c r="BO185" i="1" s="1"/>
  <c r="AF253" i="11" a="1"/>
  <c r="AF253" i="11" s="1"/>
  <c r="AH253" i="11" s="1"/>
  <c r="L21" i="218"/>
  <c r="AC15" i="223"/>
  <c r="BE15" i="223" s="1" a="1"/>
  <c r="BE15" i="223" s="1"/>
  <c r="AJ224" i="1"/>
  <c r="BE198" i="223" a="1"/>
  <c r="BE198" i="223" s="1"/>
  <c r="BG198" i="223" s="1"/>
  <c r="BE211" i="223" a="1"/>
  <c r="BE211" i="223" s="1"/>
  <c r="BH211" i="223" s="1"/>
  <c r="BL34" i="1" a="1"/>
  <c r="BL34" i="1" s="1"/>
  <c r="BO34" i="1" s="1"/>
  <c r="B18" i="11"/>
  <c r="B45" i="11" s="1"/>
  <c r="B33" i="11"/>
  <c r="B55" i="11" s="1"/>
  <c r="AZ96" i="223" a="1"/>
  <c r="AZ96" i="223" s="1"/>
  <c r="BL89" i="1" a="1"/>
  <c r="BL89" i="1" s="1"/>
  <c r="AZ177" i="223" a="1"/>
  <c r="AZ177" i="223" s="1"/>
  <c r="C153" i="11"/>
  <c r="AF153" i="11" s="1" a="1"/>
  <c r="AF153" i="11" s="1"/>
  <c r="BL80" i="1" a="1"/>
  <c r="BL80" i="1" s="1"/>
  <c r="BN80" i="1" s="1"/>
  <c r="BE117" i="223" a="1"/>
  <c r="BE117" i="223" s="1"/>
  <c r="BH117" i="223" s="1"/>
  <c r="AC135" i="11"/>
  <c r="AC237" i="11"/>
  <c r="BG124" i="1" a="1"/>
  <c r="BG124" i="1" s="1"/>
  <c r="BL83" i="1" a="1"/>
  <c r="BL83" i="1" s="1"/>
  <c r="E197" i="212"/>
  <c r="AI40" i="213" s="1"/>
  <c r="AK40" i="213" s="1"/>
  <c r="E204" i="212"/>
  <c r="AI47" i="213" s="1"/>
  <c r="AL47" i="213" s="1"/>
  <c r="C35" i="220" s="1"/>
  <c r="C99" i="220" s="1"/>
  <c r="AZ54" i="223" a="1"/>
  <c r="AZ54" i="223" s="1"/>
  <c r="BL168" i="1" a="1"/>
  <c r="BL168" i="1" s="1"/>
  <c r="BN168" i="1" s="1"/>
  <c r="AF145" i="11" a="1"/>
  <c r="AF145" i="11" s="1"/>
  <c r="AI145" i="11" s="1"/>
  <c r="BO210" i="1"/>
  <c r="AZ21" i="223" a="1"/>
  <c r="AZ21" i="223" s="1"/>
  <c r="BL54" i="1" a="1"/>
  <c r="BL54" i="1" s="1"/>
  <c r="BO54" i="1" s="1"/>
  <c r="AF77" i="11" a="1"/>
  <c r="AF77" i="11" s="1"/>
  <c r="AI77" i="11" s="1"/>
  <c r="AZ198" i="223" a="1"/>
  <c r="AZ198" i="223" s="1"/>
  <c r="BG115" i="1" a="1"/>
  <c r="BG115" i="1" s="1"/>
  <c r="BG175" i="1" a="1"/>
  <c r="BG175" i="1" s="1"/>
  <c r="BE125" i="223" a="1"/>
  <c r="BE125" i="223" s="1"/>
  <c r="BG125" i="223" s="1"/>
  <c r="AZ175" i="223" a="1"/>
  <c r="AZ175" i="223" s="1"/>
  <c r="BE84" i="223" a="1"/>
  <c r="BE84" i="223" s="1"/>
  <c r="BH84" i="223" s="1"/>
  <c r="BE83" i="223" a="1"/>
  <c r="BE83" i="223" s="1"/>
  <c r="BG83" i="223" s="1"/>
  <c r="AC152" i="11"/>
  <c r="BE79" i="223" a="1"/>
  <c r="BE79" i="223" s="1"/>
  <c r="BG79" i="223" s="1"/>
  <c r="BG97" i="1" a="1"/>
  <c r="BG97" i="1" s="1"/>
  <c r="BE80" i="223" a="1"/>
  <c r="BE80" i="223" s="1"/>
  <c r="AF136" i="11" a="1"/>
  <c r="AF136" i="11" s="1"/>
  <c r="AC253" i="11"/>
  <c r="BE138" i="223" a="1"/>
  <c r="BE138" i="223" s="1"/>
  <c r="BH138" i="223" s="1"/>
  <c r="BG79" i="1" a="1"/>
  <c r="BG79" i="1" s="1"/>
  <c r="F183" i="212"/>
  <c r="E201" i="212"/>
  <c r="AI44" i="213" s="1"/>
  <c r="AL44" i="213" s="1"/>
  <c r="BL65" i="1" a="1"/>
  <c r="BL65" i="1" s="1"/>
  <c r="BO65" i="1" s="1"/>
  <c r="BE124" i="223" a="1"/>
  <c r="BE124" i="223" s="1"/>
  <c r="BH124" i="223" s="1"/>
  <c r="AZ65" i="223" a="1"/>
  <c r="AZ65" i="223" s="1"/>
  <c r="C30" i="11"/>
  <c r="C52" i="11" s="1"/>
  <c r="BE153" i="223" a="1"/>
  <c r="BE153" i="223" s="1"/>
  <c r="BG153" i="223" s="1"/>
  <c r="BE76" i="223" a="1"/>
  <c r="BE76" i="223" s="1"/>
  <c r="BG76" i="223" s="1"/>
  <c r="AC90" i="11"/>
  <c r="AZ34" i="223" a="1"/>
  <c r="AZ34" i="223" s="1"/>
  <c r="BG63" i="1" a="1"/>
  <c r="BG63" i="1" s="1"/>
  <c r="BG83" i="1" a="1"/>
  <c r="BG83" i="1" s="1"/>
  <c r="BL117" i="1" a="1"/>
  <c r="BL117" i="1" s="1"/>
  <c r="B22" i="11"/>
  <c r="AZ80" i="223" a="1"/>
  <c r="AZ80" i="223" s="1"/>
  <c r="AZ138" i="223" a="1"/>
  <c r="AZ138" i="223" s="1"/>
  <c r="BL162" i="1" a="1"/>
  <c r="BL162" i="1" s="1"/>
  <c r="BO162" i="1" s="1"/>
  <c r="BG67" i="1" a="1"/>
  <c r="BG67" i="1" s="1"/>
  <c r="E216" i="212"/>
  <c r="AI59" i="213" s="1"/>
  <c r="AL59" i="213" s="1"/>
  <c r="C47" i="220" s="1"/>
  <c r="C111" i="220" s="1"/>
  <c r="F189" i="212"/>
  <c r="BG110" i="1" a="1"/>
  <c r="BG110" i="1" s="1"/>
  <c r="BL153" i="1" a="1"/>
  <c r="BL153" i="1" s="1"/>
  <c r="BN153" i="1" s="1"/>
  <c r="C181" i="11"/>
  <c r="AF181" i="11" s="1" a="1"/>
  <c r="AF181" i="11" s="1"/>
  <c r="AZ168" i="223" a="1"/>
  <c r="AZ168" i="223" s="1"/>
  <c r="AZ67" i="223" a="1"/>
  <c r="AZ67" i="223" s="1"/>
  <c r="AZ140" i="223" a="1"/>
  <c r="AZ140" i="223" s="1"/>
  <c r="BG15" i="1" a="1"/>
  <c r="BG15" i="1" s="1"/>
  <c r="BE115" i="223" a="1"/>
  <c r="BE115" i="223" s="1"/>
  <c r="BH115" i="223" s="1"/>
  <c r="AF123" i="11" a="1"/>
  <c r="AF123" i="11" s="1"/>
  <c r="AH123" i="11" s="1"/>
  <c r="AC231" i="11"/>
  <c r="BE177" i="223" a="1"/>
  <c r="BE177" i="223" s="1"/>
  <c r="BH177" i="223" s="1"/>
  <c r="BG195" i="1" a="1"/>
  <c r="BG195" i="1" s="1"/>
  <c r="BL181" i="1" a="1"/>
  <c r="BL181" i="1" s="1"/>
  <c r="BE174" i="223" a="1"/>
  <c r="BE174" i="223" s="1"/>
  <c r="BH174" i="223" s="1"/>
  <c r="BE110" i="223" a="1"/>
  <c r="BE110" i="223" s="1"/>
  <c r="BG140" i="1" a="1"/>
  <c r="BG140" i="1" s="1"/>
  <c r="AZ181" i="223" a="1"/>
  <c r="AZ181" i="223" s="1"/>
  <c r="E202" i="212"/>
  <c r="AI45" i="213" s="1"/>
  <c r="C110" i="11"/>
  <c r="BL67" i="1" a="1"/>
  <c r="BL67" i="1" s="1"/>
  <c r="AC224" i="11"/>
  <c r="AZ89" i="223" a="1"/>
  <c r="AZ89" i="223" s="1"/>
  <c r="BL110" i="1" a="1"/>
  <c r="BL110" i="1" s="1"/>
  <c r="BO110" i="1" s="1"/>
  <c r="BG153" i="1" a="1"/>
  <c r="BG153" i="1" s="1"/>
  <c r="AZ160" i="223" a="1"/>
  <c r="AZ160" i="223" s="1"/>
  <c r="BE175" i="223" a="1"/>
  <c r="BE175" i="223" s="1"/>
  <c r="BG175" i="223" s="1"/>
  <c r="AZ153" i="223" a="1"/>
  <c r="AZ153" i="223" s="1"/>
  <c r="BE67" i="223" a="1"/>
  <c r="BE67" i="223" s="1"/>
  <c r="BH67" i="223" s="1"/>
  <c r="BE140" i="223" a="1"/>
  <c r="BE140" i="223" s="1"/>
  <c r="BL15" i="1" a="1"/>
  <c r="BL15" i="1" s="1"/>
  <c r="BN15" i="1" s="1"/>
  <c r="AZ115" i="223" a="1"/>
  <c r="AZ115" i="223" s="1"/>
  <c r="BE116" i="223" a="1"/>
  <c r="BE116" i="223" s="1"/>
  <c r="BH116" i="223" s="1"/>
  <c r="B176" i="11"/>
  <c r="AC176" i="11" s="1"/>
  <c r="BE195" i="223" a="1"/>
  <c r="BE195" i="223" s="1"/>
  <c r="BH195" i="223" s="1"/>
  <c r="BE181" i="223" a="1"/>
  <c r="BE181" i="223" s="1"/>
  <c r="BH181" i="223" s="1"/>
  <c r="AC69" i="11"/>
  <c r="BL177" i="1" a="1"/>
  <c r="BL177" i="1" s="1"/>
  <c r="AC209" i="11"/>
  <c r="BG181" i="1" a="1"/>
  <c r="BG181" i="1" s="1"/>
  <c r="AZ197" i="223" a="1"/>
  <c r="AZ197" i="223" s="1"/>
  <c r="BE89" i="223" a="1"/>
  <c r="BE89" i="223" s="1"/>
  <c r="BG174" i="1" a="1"/>
  <c r="BG174" i="1" s="1"/>
  <c r="B103" i="11"/>
  <c r="BL115" i="1" a="1"/>
  <c r="BL115" i="1" s="1"/>
  <c r="BO115" i="1" s="1"/>
  <c r="BG125" i="1" a="1"/>
  <c r="BG125" i="1" s="1"/>
  <c r="BL175" i="1" a="1"/>
  <c r="BL175" i="1" s="1"/>
  <c r="BN175" i="1" s="1"/>
  <c r="AZ13" i="223" a="1"/>
  <c r="AZ13" i="223" s="1"/>
  <c r="BE168" i="223" a="1"/>
  <c r="BE168" i="223" s="1"/>
  <c r="BH168" i="223" s="1"/>
  <c r="C24" i="11"/>
  <c r="C48" i="11" s="1"/>
  <c r="AZ116" i="223" a="1"/>
  <c r="AZ116" i="223" s="1"/>
  <c r="BG54" i="1" a="1"/>
  <c r="BG54" i="1" s="1"/>
  <c r="BG197" i="1" a="1"/>
  <c r="BG197" i="1" s="1"/>
  <c r="BL197" i="1" a="1"/>
  <c r="BL197" i="1" s="1"/>
  <c r="BN197" i="1" s="1"/>
  <c r="BG162" i="1" a="1"/>
  <c r="BG162" i="1" s="1"/>
  <c r="BL140" i="1" a="1"/>
  <c r="BL140" i="1" s="1"/>
  <c r="BO140" i="1" s="1"/>
  <c r="AI22" i="218"/>
  <c r="BV22" i="218" s="1"/>
  <c r="B218" i="11"/>
  <c r="AC218" i="11" s="1"/>
  <c r="BE197" i="223" a="1"/>
  <c r="BE197" i="223" s="1"/>
  <c r="BG168" i="1" a="1"/>
  <c r="BG168" i="1" s="1"/>
  <c r="BG89" i="1" a="1"/>
  <c r="BG89" i="1" s="1"/>
  <c r="AZ142" i="223" a="1"/>
  <c r="AZ142" i="223" s="1"/>
  <c r="BE105" i="223" a="1"/>
  <c r="BE105" i="223" s="1"/>
  <c r="BH105" i="223" s="1"/>
  <c r="BE47" i="223" a="1"/>
  <c r="BE47" i="223" s="1"/>
  <c r="BH47" i="223" s="1"/>
  <c r="AZ52" i="223" a="1"/>
  <c r="AZ52" i="223" s="1"/>
  <c r="BE86" i="223" a="1"/>
  <c r="BE86" i="223" s="1"/>
  <c r="AC243" i="11"/>
  <c r="AZ187" i="223" a="1"/>
  <c r="AZ187" i="223" s="1"/>
  <c r="BE52" i="223" a="1"/>
  <c r="BE52" i="223" s="1"/>
  <c r="BH52" i="223" s="1"/>
  <c r="BG22" i="1" a="1"/>
  <c r="BG22" i="1" s="1"/>
  <c r="BL187" i="1" a="1"/>
  <c r="BL187" i="1" s="1"/>
  <c r="BL159" i="1" a="1"/>
  <c r="BL159" i="1" s="1"/>
  <c r="BO159" i="1" s="1"/>
  <c r="E195" i="212"/>
  <c r="AI38" i="213" s="1"/>
  <c r="F188" i="212"/>
  <c r="BG184" i="1" a="1"/>
  <c r="BG184" i="1" s="1"/>
  <c r="F193" i="212"/>
  <c r="F181" i="212"/>
  <c r="BK12" i="213" a="1"/>
  <c r="BK12" i="213" s="1"/>
  <c r="BG65" i="1" a="1"/>
  <c r="BG65" i="1" s="1"/>
  <c r="F187" i="212"/>
  <c r="F202" i="212"/>
  <c r="E187" i="212"/>
  <c r="AI30" i="213" s="1"/>
  <c r="F217" i="212"/>
  <c r="E188" i="212"/>
  <c r="AI31" i="213" s="1"/>
  <c r="F205" i="212"/>
  <c r="E178" i="212"/>
  <c r="AI21" i="213" s="1"/>
  <c r="F197" i="212"/>
  <c r="F186" i="212"/>
  <c r="E193" i="212"/>
  <c r="AI36" i="213" s="1"/>
  <c r="E218" i="212"/>
  <c r="AI61" i="213" s="1"/>
  <c r="F195" i="212"/>
  <c r="E217" i="212"/>
  <c r="AI60" i="213" s="1"/>
  <c r="AK60" i="213" s="1"/>
  <c r="E214" i="212"/>
  <c r="AI57" i="213" s="1"/>
  <c r="E186" i="212"/>
  <c r="AI29" i="213" s="1"/>
  <c r="E213" i="212"/>
  <c r="AI56" i="213" s="1"/>
  <c r="AL56" i="213" s="1"/>
  <c r="C44" i="220" s="1"/>
  <c r="C108" i="220" s="1"/>
  <c r="F192" i="212"/>
  <c r="F204" i="212"/>
  <c r="F216" i="212"/>
  <c r="E164" i="212"/>
  <c r="E194" i="212"/>
  <c r="AI37" i="213" s="1"/>
  <c r="AN53" i="218"/>
  <c r="F182" i="212"/>
  <c r="F194" i="212"/>
  <c r="F201" i="212"/>
  <c r="BO12" i="213" a="1"/>
  <c r="BO12" i="213" s="1"/>
  <c r="BQ12" i="213" s="1"/>
  <c r="BE21" i="223" a="1"/>
  <c r="BE21" i="223" s="1"/>
  <c r="BH21" i="223" s="1"/>
  <c r="BJ12" i="213" a="1"/>
  <c r="BJ12" i="213" s="1"/>
  <c r="AZ120" i="223" a="1"/>
  <c r="AZ120" i="223" s="1"/>
  <c r="BN12" i="1"/>
  <c r="BE120" i="223" a="1"/>
  <c r="BE120" i="223" s="1"/>
  <c r="BG120" i="223" s="1"/>
  <c r="BG142" i="1" a="1"/>
  <c r="BG142" i="1" s="1"/>
  <c r="BE49" i="223" a="1"/>
  <c r="BE49" i="223" s="1"/>
  <c r="BH49" i="223" s="1"/>
  <c r="C227" i="11"/>
  <c r="BL35" i="1" a="1"/>
  <c r="BL35" i="1" s="1"/>
  <c r="BO35" i="1" s="1"/>
  <c r="BE35" i="223" a="1"/>
  <c r="BE35" i="223" s="1"/>
  <c r="BG35" i="223" s="1"/>
  <c r="B15" i="11"/>
  <c r="BL142" i="1" a="1"/>
  <c r="BL142" i="1" s="1"/>
  <c r="BO142" i="1" s="1"/>
  <c r="AZ49" i="223" a="1"/>
  <c r="AZ49" i="223" s="1"/>
  <c r="BG64" i="1" a="1"/>
  <c r="BG64" i="1" s="1"/>
  <c r="BE142" i="223" a="1"/>
  <c r="BE142" i="223" s="1"/>
  <c r="BG142" i="223" s="1"/>
  <c r="AZ176" i="223" a="1"/>
  <c r="AZ176" i="223" s="1"/>
  <c r="BG35" i="1" a="1"/>
  <c r="BG35" i="1" s="1"/>
  <c r="AZ222" i="223" a="1"/>
  <c r="AZ222" i="223" s="1"/>
  <c r="BE176" i="223" a="1"/>
  <c r="BE176" i="223" s="1"/>
  <c r="BG176" i="223" s="1"/>
  <c r="AZ220" i="223" a="1"/>
  <c r="AZ220" i="223" s="1"/>
  <c r="B27" i="11"/>
  <c r="BE222" i="223" a="1"/>
  <c r="BE222" i="223" s="1"/>
  <c r="BG222" i="223" s="1"/>
  <c r="BL25" i="1" a="1"/>
  <c r="BL25" i="1" s="1"/>
  <c r="BN25" i="1" s="1"/>
  <c r="BE205" i="223" a="1"/>
  <c r="BE205" i="223" s="1"/>
  <c r="BH205" i="223" s="1"/>
  <c r="AC186" i="11"/>
  <c r="BG52" i="1" a="1"/>
  <c r="BG52" i="1" s="1"/>
  <c r="X32" i="240"/>
  <c r="U33" i="240"/>
  <c r="BO79" i="1"/>
  <c r="X32" i="239"/>
  <c r="U33" i="239"/>
  <c r="BG14" i="1" a="1"/>
  <c r="BG14" i="1" s="1"/>
  <c r="AC140" i="11"/>
  <c r="X33" i="236"/>
  <c r="U34" i="236"/>
  <c r="B21" i="11"/>
  <c r="BE187" i="223" a="1"/>
  <c r="BE187" i="223" s="1"/>
  <c r="AC278" i="11"/>
  <c r="V32" i="235"/>
  <c r="W32" i="235" s="1"/>
  <c r="AC277" i="11"/>
  <c r="V33" i="234"/>
  <c r="W33" i="234" s="1"/>
  <c r="P32" i="234"/>
  <c r="Q32" i="234" s="1"/>
  <c r="V32" i="233"/>
  <c r="W32" i="233" s="1"/>
  <c r="C232" i="11"/>
  <c r="AF232" i="11" s="1" a="1"/>
  <c r="AF232" i="11" s="1"/>
  <c r="AC194" i="11"/>
  <c r="B34" i="11"/>
  <c r="B56" i="11" s="1"/>
  <c r="AC230" i="11"/>
  <c r="AF277" i="11" a="1"/>
  <c r="AF277" i="11" s="1"/>
  <c r="BL195" i="1" a="1"/>
  <c r="BL195" i="1" s="1"/>
  <c r="AC173" i="11"/>
  <c r="BG50" i="1" a="1"/>
  <c r="BG50" i="1" s="1"/>
  <c r="BL205" i="1" a="1"/>
  <c r="BL205" i="1" s="1"/>
  <c r="BG80" i="1" a="1"/>
  <c r="BG80" i="1" s="1"/>
  <c r="AZ117" i="223" a="1"/>
  <c r="AZ117" i="223" s="1"/>
  <c r="BL138" i="1" a="1"/>
  <c r="BL138" i="1" s="1"/>
  <c r="BO101" i="1"/>
  <c r="BE160" i="223" a="1"/>
  <c r="BE160" i="223" s="1"/>
  <c r="BH160" i="223" s="1"/>
  <c r="B161" i="11"/>
  <c r="AF161" i="11" s="1" a="1"/>
  <c r="AF161" i="11" s="1"/>
  <c r="AZ174" i="223" a="1"/>
  <c r="AZ174" i="223" s="1"/>
  <c r="BE221" i="223" a="1"/>
  <c r="BE221" i="223" s="1"/>
  <c r="BG221" i="223" s="1"/>
  <c r="BG221" i="1" a="1"/>
  <c r="BG221" i="1" s="1"/>
  <c r="BL96" i="1" a="1"/>
  <c r="BL96" i="1" s="1"/>
  <c r="AZ221" i="223" a="1"/>
  <c r="AZ221" i="223" s="1"/>
  <c r="BG96" i="1" a="1"/>
  <c r="BG96" i="1" s="1"/>
  <c r="X32" i="231"/>
  <c r="U33" i="231"/>
  <c r="S67" i="231"/>
  <c r="T67" i="231" s="1"/>
  <c r="AC157" i="11"/>
  <c r="AC166" i="11"/>
  <c r="M66" i="231"/>
  <c r="N66" i="231" s="1"/>
  <c r="U32" i="230"/>
  <c r="X31" i="230"/>
  <c r="AZ31" i="223" a="1"/>
  <c r="AZ31" i="223" s="1"/>
  <c r="C87" i="11"/>
  <c r="R66" i="230"/>
  <c r="U65" i="230"/>
  <c r="BH112" i="223"/>
  <c r="BG112" i="223"/>
  <c r="AF168" i="11" a="1"/>
  <c r="AF168" i="11" s="1"/>
  <c r="AC168" i="11"/>
  <c r="BL137" i="1" a="1"/>
  <c r="BL137" i="1" s="1"/>
  <c r="C276" i="11"/>
  <c r="AC276" i="11" s="1"/>
  <c r="BG138" i="1" a="1"/>
  <c r="BG138" i="1" s="1"/>
  <c r="BG171" i="1" a="1"/>
  <c r="BG171" i="1" s="1"/>
  <c r="E203" i="212"/>
  <c r="AI46" i="213" s="1"/>
  <c r="BL160" i="1" a="1"/>
  <c r="BL160" i="1" s="1"/>
  <c r="AB127" i="223"/>
  <c r="BL127" i="1" a="1"/>
  <c r="BL127" i="1" s="1"/>
  <c r="E192" i="212"/>
  <c r="AI35" i="213" s="1"/>
  <c r="BL152" i="1" a="1"/>
  <c r="BL152" i="1" s="1"/>
  <c r="AH108" i="11"/>
  <c r="AI108" i="11"/>
  <c r="BJ7" i="213" a="1"/>
  <c r="BJ7" i="213" s="1"/>
  <c r="AZ38" i="223" a="1"/>
  <c r="AZ38" i="223" s="1"/>
  <c r="BE220" i="223" a="1"/>
  <c r="BE220" i="223" s="1"/>
  <c r="BE68" i="223" a="1"/>
  <c r="BE68" i="223" s="1"/>
  <c r="C124" i="11"/>
  <c r="BE38" i="223" a="1"/>
  <c r="BE38" i="223" s="1"/>
  <c r="BH38" i="223" s="1"/>
  <c r="BL52" i="1" a="1"/>
  <c r="BL52" i="1" s="1"/>
  <c r="F211" i="212"/>
  <c r="AF92" i="11" a="1"/>
  <c r="AF92" i="11" s="1"/>
  <c r="AC92" i="11"/>
  <c r="C71" i="11"/>
  <c r="AZ68" i="223" a="1"/>
  <c r="AZ68" i="223" s="1"/>
  <c r="F203" i="212"/>
  <c r="BL68" i="1" a="1"/>
  <c r="BL68" i="1" s="1"/>
  <c r="BG68" i="1" a="1"/>
  <c r="BG68" i="1" s="1"/>
  <c r="BH170" i="223"/>
  <c r="BG170" i="223"/>
  <c r="A24" i="218"/>
  <c r="C23" i="218"/>
  <c r="O23" i="218" s="1"/>
  <c r="E189" i="212"/>
  <c r="AI32" i="213" s="1"/>
  <c r="AN52" i="218"/>
  <c r="BL174" i="1" a="1"/>
  <c r="BL174" i="1" s="1"/>
  <c r="AC108" i="11"/>
  <c r="BO7" i="213" a="1"/>
  <c r="BO7" i="213" s="1"/>
  <c r="AC95" i="11"/>
  <c r="E206" i="212"/>
  <c r="AI49" i="213" s="1"/>
  <c r="AB27" i="223"/>
  <c r="BL27" i="1" a="1"/>
  <c r="BL27" i="1" s="1"/>
  <c r="BG27" i="1" a="1"/>
  <c r="BG27" i="1" s="1"/>
  <c r="BL171" i="1" a="1"/>
  <c r="BL171" i="1" s="1"/>
  <c r="AN54" i="218"/>
  <c r="BJ5" i="213" a="1"/>
  <c r="BJ5" i="213" s="1"/>
  <c r="BK5" i="213" a="1"/>
  <c r="BK5" i="213" s="1"/>
  <c r="C55" i="220"/>
  <c r="BO5" i="213" a="1"/>
  <c r="BO5" i="213" s="1"/>
  <c r="F209" i="212"/>
  <c r="C81" i="11"/>
  <c r="BE25" i="223" a="1"/>
  <c r="BE25" i="223" s="1"/>
  <c r="AZ25" i="223" a="1"/>
  <c r="AZ25" i="223" s="1"/>
  <c r="AZ64" i="223" a="1"/>
  <c r="AZ64" i="223" s="1"/>
  <c r="F198" i="212"/>
  <c r="BE64" i="223" a="1"/>
  <c r="BE64" i="223" s="1"/>
  <c r="C159" i="11"/>
  <c r="C21" i="11"/>
  <c r="BL103" i="1" a="1"/>
  <c r="BL103" i="1" s="1"/>
  <c r="BG103" i="1" a="1"/>
  <c r="BG103" i="1" s="1"/>
  <c r="AC78" i="11"/>
  <c r="AL14" i="213"/>
  <c r="C64" i="220" s="1"/>
  <c r="C128" i="220" s="1"/>
  <c r="B106" i="11"/>
  <c r="BE50" i="223" a="1"/>
  <c r="BE50" i="223" s="1"/>
  <c r="AZ50" i="223" a="1"/>
  <c r="AZ50" i="223" s="1"/>
  <c r="BG117" i="1" a="1"/>
  <c r="BG117" i="1" s="1"/>
  <c r="BG120" i="1" a="1"/>
  <c r="BG120" i="1" s="1"/>
  <c r="E205" i="212"/>
  <c r="AI48" i="213" s="1"/>
  <c r="BE102" i="223" a="1"/>
  <c r="BE102" i="223" s="1"/>
  <c r="AZ102" i="223" a="1"/>
  <c r="AZ102" i="223" s="1"/>
  <c r="B158" i="11"/>
  <c r="BG176" i="1" a="1"/>
  <c r="BG176" i="1" s="1"/>
  <c r="E182" i="212"/>
  <c r="AI25" i="213" s="1"/>
  <c r="C229" i="11"/>
  <c r="AZ173" i="223" a="1"/>
  <c r="AZ173" i="223" s="1"/>
  <c r="BE173" i="223" a="1"/>
  <c r="BE173" i="223" s="1"/>
  <c r="C28" i="11"/>
  <c r="AA59" i="223"/>
  <c r="BL59" i="1" a="1"/>
  <c r="BL59" i="1" s="1"/>
  <c r="BG59" i="1" a="1"/>
  <c r="BG59" i="1" s="1"/>
  <c r="BL176" i="1" a="1"/>
  <c r="BL176" i="1" s="1"/>
  <c r="F178" i="212"/>
  <c r="F206" i="212"/>
  <c r="AB73" i="223"/>
  <c r="BG73" i="1" a="1"/>
  <c r="BG73" i="1" s="1"/>
  <c r="AB132" i="223"/>
  <c r="BL132" i="1" a="1"/>
  <c r="BL132" i="1" s="1"/>
  <c r="AB163" i="223"/>
  <c r="BG163" i="1" a="1"/>
  <c r="BG163" i="1" s="1"/>
  <c r="BL163" i="1" a="1"/>
  <c r="BL163" i="1" s="1"/>
  <c r="E185" i="212"/>
  <c r="AI28" i="213" s="1"/>
  <c r="B162" i="11"/>
  <c r="AZ106" i="223" a="1"/>
  <c r="AZ106" i="223" s="1"/>
  <c r="BE106" i="223" a="1"/>
  <c r="BE106" i="223" s="1"/>
  <c r="C80" i="11"/>
  <c r="AZ24" i="223" a="1"/>
  <c r="AZ24" i="223" s="1"/>
  <c r="BE24" i="223" a="1"/>
  <c r="BE24" i="223" s="1"/>
  <c r="F180" i="212"/>
  <c r="E180" i="212"/>
  <c r="AI23" i="213" s="1"/>
  <c r="AI164" i="11"/>
  <c r="AH164" i="11"/>
  <c r="F214" i="212"/>
  <c r="BL95" i="1" a="1"/>
  <c r="BL95" i="1" s="1"/>
  <c r="F212" i="212"/>
  <c r="F213" i="212"/>
  <c r="BL21" i="1" a="1"/>
  <c r="BL21" i="1" s="1"/>
  <c r="BG95" i="1" a="1"/>
  <c r="BG95" i="1" s="1"/>
  <c r="J130" i="212"/>
  <c r="B219" i="212" s="1"/>
  <c r="E196" i="212"/>
  <c r="AI39" i="213" s="1"/>
  <c r="F196" i="212"/>
  <c r="B68" i="11"/>
  <c r="BE12" i="223" a="1"/>
  <c r="BE12" i="223" s="1"/>
  <c r="AZ12" i="223" a="1"/>
  <c r="AZ12" i="223" s="1"/>
  <c r="B151" i="11"/>
  <c r="AF151" i="11" s="1" a="1"/>
  <c r="AF151" i="11" s="1"/>
  <c r="AZ95" i="223" a="1"/>
  <c r="AZ95" i="223" s="1"/>
  <c r="BE95" i="223" a="1"/>
  <c r="BE95" i="223" s="1"/>
  <c r="F210" i="212"/>
  <c r="AF198" i="11" a="1"/>
  <c r="AF198" i="11" s="1"/>
  <c r="AC198" i="11"/>
  <c r="BG21" i="1" a="1"/>
  <c r="BG21" i="1" s="1"/>
  <c r="B182" i="11"/>
  <c r="AZ126" i="223" a="1"/>
  <c r="AZ126" i="223" s="1"/>
  <c r="BE126" i="223" a="1"/>
  <c r="BE126" i="223" s="1"/>
  <c r="I164" i="212"/>
  <c r="B207" i="212"/>
  <c r="AB208" i="223"/>
  <c r="BG208" i="1" a="1"/>
  <c r="BG208" i="1" s="1"/>
  <c r="B132" i="11"/>
  <c r="B17" i="11"/>
  <c r="BL38" i="1" a="1"/>
  <c r="BL38" i="1" s="1"/>
  <c r="BL154" i="1" a="1"/>
  <c r="BL154" i="1" s="1"/>
  <c r="B274" i="11"/>
  <c r="BE218" i="223" a="1"/>
  <c r="BE218" i="223" s="1"/>
  <c r="AZ218" i="223" a="1"/>
  <c r="AZ218" i="223" s="1"/>
  <c r="BG38" i="1" a="1"/>
  <c r="BG38" i="1" s="1"/>
  <c r="BE93" i="223" a="1"/>
  <c r="BE93" i="223" s="1"/>
  <c r="B149" i="11"/>
  <c r="B19" i="11"/>
  <c r="B46" i="11" s="1"/>
  <c r="AZ93" i="223" a="1"/>
  <c r="AZ93" i="223" s="1"/>
  <c r="BG154" i="1" a="1"/>
  <c r="BG154" i="1" s="1"/>
  <c r="E179" i="212"/>
  <c r="AI22" i="213" s="1"/>
  <c r="F185" i="212"/>
  <c r="E198" i="212"/>
  <c r="AI41" i="213" s="1"/>
  <c r="B94" i="11"/>
  <c r="BJ141" i="1"/>
  <c r="BH141" i="1"/>
  <c r="B210" i="11"/>
  <c r="AF210" i="11" s="1" a="1"/>
  <c r="AF210" i="11" s="1"/>
  <c r="BE154" i="223" a="1"/>
  <c r="BE154" i="223" s="1"/>
  <c r="B25" i="11"/>
  <c r="B49" i="11" s="1"/>
  <c r="AZ154" i="223" a="1"/>
  <c r="AZ154" i="223" s="1"/>
  <c r="BG220" i="1" a="1"/>
  <c r="BG220" i="1" s="1"/>
  <c r="AI170" i="11"/>
  <c r="AH170" i="11"/>
  <c r="BL120" i="1" a="1"/>
  <c r="BL120" i="1" s="1"/>
  <c r="AZ137" i="223" a="1"/>
  <c r="AZ137" i="223" s="1"/>
  <c r="BE137" i="223" a="1"/>
  <c r="BE137" i="223" s="1"/>
  <c r="B193" i="11"/>
  <c r="B117" i="11"/>
  <c r="AZ61" i="223" a="1"/>
  <c r="AZ61" i="223" s="1"/>
  <c r="BE61" i="223" a="1"/>
  <c r="BE61" i="223" s="1"/>
  <c r="BL220" i="1" a="1"/>
  <c r="BL220" i="1" s="1"/>
  <c r="C63" i="220"/>
  <c r="BJ13" i="213" a="1"/>
  <c r="BJ13" i="213" s="1"/>
  <c r="BK13" i="213" a="1"/>
  <c r="BK13" i="213" s="1"/>
  <c r="BO13" i="213" a="1"/>
  <c r="BO13" i="213" s="1"/>
  <c r="BK11" i="213" a="1"/>
  <c r="BK11" i="213" s="1"/>
  <c r="C61" i="220"/>
  <c r="BO11" i="213" a="1"/>
  <c r="BO11" i="213" s="1"/>
  <c r="BJ11" i="213" a="1"/>
  <c r="BJ11" i="213" s="1"/>
  <c r="AC233" i="11"/>
  <c r="AF233" i="11" a="1"/>
  <c r="AF233" i="11" s="1"/>
  <c r="AC248" i="11"/>
  <c r="AF248" i="11" a="1"/>
  <c r="AF248" i="11" s="1"/>
  <c r="AF251" i="11" a="1"/>
  <c r="AF251" i="11" s="1"/>
  <c r="AC251" i="11"/>
  <c r="AF134" i="11" a="1"/>
  <c r="AF134" i="11" s="1"/>
  <c r="AC134" i="11"/>
  <c r="AF202" i="11" a="1"/>
  <c r="AF202" i="11" s="1"/>
  <c r="AC202" i="11"/>
  <c r="AF254" i="11" a="1"/>
  <c r="AF254" i="11" s="1"/>
  <c r="AC254" i="11"/>
  <c r="AF121" i="11" a="1"/>
  <c r="AF121" i="11" s="1"/>
  <c r="AC121" i="11"/>
  <c r="AF113" i="11" a="1"/>
  <c r="AF113" i="11" s="1"/>
  <c r="AC113" i="11"/>
  <c r="AC105" i="11"/>
  <c r="BG65" i="223"/>
  <c r="BG164" i="223"/>
  <c r="BH164" i="223"/>
  <c r="AC172" i="11"/>
  <c r="AF172" i="11" a="1"/>
  <c r="AF172" i="11" s="1"/>
  <c r="AC139" i="11"/>
  <c r="AF139" i="11" a="1"/>
  <c r="AF139" i="11" s="1"/>
  <c r="AC267" i="11"/>
  <c r="AF246" i="11" a="1"/>
  <c r="AF246" i="11" s="1"/>
  <c r="AC246" i="11"/>
  <c r="AC138" i="11"/>
  <c r="AF138" i="11" a="1"/>
  <c r="AF138" i="11" s="1"/>
  <c r="AF197" i="11" a="1"/>
  <c r="AF197" i="11" s="1"/>
  <c r="AC197" i="11"/>
  <c r="BQ9" i="213"/>
  <c r="BR9" i="213"/>
  <c r="BH82" i="223"/>
  <c r="AC77" i="11"/>
  <c r="AF180" i="11" a="1"/>
  <c r="AF180" i="11" s="1"/>
  <c r="AC180" i="11"/>
  <c r="AF216" i="11" a="1"/>
  <c r="AF216" i="11" s="1"/>
  <c r="AC216" i="11"/>
  <c r="BH141" i="223"/>
  <c r="BG141" i="223"/>
  <c r="AF275" i="11" a="1"/>
  <c r="AF275" i="11" s="1"/>
  <c r="AC275" i="11"/>
  <c r="AC177" i="11"/>
  <c r="AF177" i="11" a="1"/>
  <c r="AF177" i="11" s="1"/>
  <c r="BG212" i="223"/>
  <c r="AC196" i="11"/>
  <c r="AF196" i="11" a="1"/>
  <c r="AF196" i="11" s="1"/>
  <c r="AF147" i="11" a="1"/>
  <c r="AF147" i="11" s="1"/>
  <c r="AC147" i="11"/>
  <c r="AF262" i="11" a="1"/>
  <c r="AF262" i="11" s="1"/>
  <c r="AC262" i="11"/>
  <c r="BG185" i="223"/>
  <c r="AC261" i="11"/>
  <c r="AF261" i="11" a="1"/>
  <c r="AF261" i="11" s="1"/>
  <c r="AF171" i="11" a="1"/>
  <c r="AF171" i="11" s="1"/>
  <c r="AC171" i="11"/>
  <c r="BH36" i="1"/>
  <c r="BJ36" i="1"/>
  <c r="S53" i="218"/>
  <c r="W53" i="218"/>
  <c r="AA53" i="218"/>
  <c r="L53" i="218"/>
  <c r="P53" i="218"/>
  <c r="T53" i="218"/>
  <c r="A54" i="218"/>
  <c r="X53" i="218"/>
  <c r="J53" i="218"/>
  <c r="AB53" i="218"/>
  <c r="N53" i="218"/>
  <c r="Q53" i="218"/>
  <c r="R53" i="218"/>
  <c r="C53" i="218"/>
  <c r="V53" i="218"/>
  <c r="U53" i="218"/>
  <c r="Z53" i="218"/>
  <c r="I53" i="218"/>
  <c r="Y53" i="218"/>
  <c r="K53" i="218"/>
  <c r="M53" i="218"/>
  <c r="O53" i="218"/>
  <c r="BY4" i="218"/>
  <c r="AA26" i="223"/>
  <c r="BL26" i="1" a="1"/>
  <c r="BL26" i="1" s="1"/>
  <c r="BG26" i="1" a="1"/>
  <c r="BG26" i="1" s="1"/>
  <c r="AA17" i="223"/>
  <c r="BL17" i="1" a="1"/>
  <c r="BL17" i="1" s="1"/>
  <c r="BG17" i="1" a="1"/>
  <c r="BG17" i="1" s="1"/>
  <c r="AH224" i="1"/>
  <c r="AB19" i="223"/>
  <c r="BL19" i="1" a="1"/>
  <c r="BL19" i="1" s="1"/>
  <c r="BG19" i="1" a="1"/>
  <c r="BG19" i="1" s="1"/>
  <c r="E209" i="212"/>
  <c r="AI52" i="213" s="1"/>
  <c r="AB70" i="223"/>
  <c r="BG70" i="1" a="1"/>
  <c r="BG70" i="1" s="1"/>
  <c r="BL70" i="1" a="1"/>
  <c r="BL70" i="1" s="1"/>
  <c r="AA28" i="223"/>
  <c r="BG28" i="1" a="1"/>
  <c r="BG28" i="1" s="1"/>
  <c r="BL28" i="1" a="1"/>
  <c r="BL28" i="1" s="1"/>
  <c r="BH112" i="1"/>
  <c r="AI19" i="213"/>
  <c r="F176" i="212"/>
  <c r="AB87" i="223"/>
  <c r="BG87" i="1" a="1"/>
  <c r="BG87" i="1" s="1"/>
  <c r="BL87" i="1" a="1"/>
  <c r="BL87" i="1" s="1"/>
  <c r="AA183" i="223"/>
  <c r="BG183" i="1" a="1"/>
  <c r="BG183" i="1" s="1"/>
  <c r="BL183" i="1" a="1"/>
  <c r="BL183" i="1" s="1"/>
  <c r="AB11" i="223"/>
  <c r="BG11" i="1" a="1"/>
  <c r="BG11" i="1" s="1"/>
  <c r="BL11" i="1" a="1"/>
  <c r="BL11" i="1" s="1"/>
  <c r="AI224" i="1"/>
  <c r="AA172" i="223"/>
  <c r="BG172" i="1" a="1"/>
  <c r="BG172" i="1" s="1"/>
  <c r="BL172" i="1" a="1"/>
  <c r="BL172" i="1" s="1"/>
  <c r="E212" i="212"/>
  <c r="AI55" i="213" s="1"/>
  <c r="F218" i="212"/>
  <c r="AB32" i="223"/>
  <c r="BG32" i="1" a="1"/>
  <c r="BG32" i="1" s="1"/>
  <c r="BL32" i="1" a="1"/>
  <c r="BL32" i="1" s="1"/>
  <c r="AB147" i="223"/>
  <c r="BL147" i="1" a="1"/>
  <c r="BL147" i="1" s="1"/>
  <c r="BG147" i="1" a="1"/>
  <c r="BG147" i="1" s="1"/>
  <c r="BJ98" i="1"/>
  <c r="AB113" i="223"/>
  <c r="BG113" i="1" a="1"/>
  <c r="BG113" i="1" s="1"/>
  <c r="BL113" i="1" a="1"/>
  <c r="BL113" i="1" s="1"/>
  <c r="AB131" i="223"/>
  <c r="BG131" i="1" a="1"/>
  <c r="BG131" i="1" s="1"/>
  <c r="BL131" i="1" a="1"/>
  <c r="BL131" i="1" s="1"/>
  <c r="AB157" i="223"/>
  <c r="BL157" i="1" a="1"/>
  <c r="BL157" i="1" s="1"/>
  <c r="BG157" i="1" a="1"/>
  <c r="BG157" i="1" s="1"/>
  <c r="E210" i="212"/>
  <c r="AI53" i="213" s="1"/>
  <c r="AB165" i="223"/>
  <c r="BG165" i="1" a="1"/>
  <c r="BG165" i="1" s="1"/>
  <c r="BL165" i="1" a="1"/>
  <c r="BL165" i="1" s="1"/>
  <c r="F215" i="212"/>
  <c r="AA196" i="223"/>
  <c r="BL196" i="1" a="1"/>
  <c r="BL196" i="1" s="1"/>
  <c r="BG196" i="1" a="1"/>
  <c r="BG196" i="1" s="1"/>
  <c r="AB186" i="223"/>
  <c r="BL186" i="1" a="1"/>
  <c r="BL186" i="1" s="1"/>
  <c r="BG186" i="1" a="1"/>
  <c r="BG186" i="1" s="1"/>
  <c r="C7" i="218" l="1"/>
  <c r="BW5" i="218"/>
  <c r="F6" i="9"/>
  <c r="F25" i="9" s="1"/>
  <c r="G6" i="9"/>
  <c r="G25" i="9" s="1"/>
  <c r="C6" i="218"/>
  <c r="BG5" i="218"/>
  <c r="BD5" i="218"/>
  <c r="AP5" i="218"/>
  <c r="BO5" i="218"/>
  <c r="BE5" i="218"/>
  <c r="AN5" i="218"/>
  <c r="AX5" i="218"/>
  <c r="AW5" i="218"/>
  <c r="AC64" i="11"/>
  <c r="AF64" i="11" a="1"/>
  <c r="AF64" i="11" s="1"/>
  <c r="AI64" i="11" s="1"/>
  <c r="AF101" i="11" a="1"/>
  <c r="AF101" i="11" s="1"/>
  <c r="AI101" i="11" s="1"/>
  <c r="Z23" i="218"/>
  <c r="BO21" i="218"/>
  <c r="BM21" i="218"/>
  <c r="Y23" i="218"/>
  <c r="J23" i="218"/>
  <c r="BH90" i="223"/>
  <c r="BB90" i="223" s="1"/>
  <c r="BO102" i="1"/>
  <c r="BJ102" i="1" s="1"/>
  <c r="BB36" i="223"/>
  <c r="R23" i="218"/>
  <c r="E23" i="218"/>
  <c r="E53" i="218" s="1"/>
  <c r="L23" i="218"/>
  <c r="X23" i="218"/>
  <c r="V23" i="218"/>
  <c r="F23" i="218"/>
  <c r="F53" i="218" s="1"/>
  <c r="I23" i="218"/>
  <c r="K23" i="218"/>
  <c r="AA23" i="218"/>
  <c r="U23" i="218"/>
  <c r="Q23" i="218"/>
  <c r="N23" i="218"/>
  <c r="P23" i="218"/>
  <c r="S23" i="218"/>
  <c r="W23" i="218"/>
  <c r="T23" i="218"/>
  <c r="D23" i="218"/>
  <c r="D53" i="218" s="1"/>
  <c r="M23" i="218"/>
  <c r="BJ61" i="1"/>
  <c r="AH96" i="11"/>
  <c r="AC241" i="11"/>
  <c r="AO58" i="213"/>
  <c r="F46" i="220" s="1"/>
  <c r="F110" i="220" s="1"/>
  <c r="AN58" i="213"/>
  <c r="E46" i="220" s="1"/>
  <c r="E110" i="220" s="1"/>
  <c r="AM58" i="213"/>
  <c r="D46" i="220" s="1"/>
  <c r="D110" i="220" s="1"/>
  <c r="AL58" i="213"/>
  <c r="C46" i="220" s="1"/>
  <c r="C110" i="220" s="1"/>
  <c r="AC101" i="11"/>
  <c r="AD224" i="223"/>
  <c r="BJ101" i="1"/>
  <c r="BG146" i="223"/>
  <c r="BO108" i="1"/>
  <c r="BJ108" i="1" s="1"/>
  <c r="AI184" i="11"/>
  <c r="AH157" i="11"/>
  <c r="E15" i="11"/>
  <c r="E14" i="11" s="1"/>
  <c r="E44" i="11" s="1"/>
  <c r="BJ93" i="1"/>
  <c r="BN93" i="1"/>
  <c r="BJ58" i="1"/>
  <c r="BN219" i="1"/>
  <c r="BH93" i="1"/>
  <c r="BO164" i="1"/>
  <c r="BH164" i="1" s="1"/>
  <c r="BJ210" i="1"/>
  <c r="BO97" i="1"/>
  <c r="BN82" i="1"/>
  <c r="AI266" i="11"/>
  <c r="BH210" i="223"/>
  <c r="BA210" i="223" s="1"/>
  <c r="BH104" i="1"/>
  <c r="BH161" i="223"/>
  <c r="BA161" i="223" s="1"/>
  <c r="BO84" i="1"/>
  <c r="BH84" i="1" s="1"/>
  <c r="AH206" i="11"/>
  <c r="BH119" i="223"/>
  <c r="BB119" i="223" s="1"/>
  <c r="BH109" i="1"/>
  <c r="BA58" i="223"/>
  <c r="BB58" i="223"/>
  <c r="BG58" i="223"/>
  <c r="AH152" i="11"/>
  <c r="AI76" i="11"/>
  <c r="BH45" i="223"/>
  <c r="BB45" i="223" s="1"/>
  <c r="BM10" i="213"/>
  <c r="AB23" i="218"/>
  <c r="G23" i="218"/>
  <c r="G53" i="218" s="1"/>
  <c r="H23" i="218"/>
  <c r="H53" i="218" s="1"/>
  <c r="D6" i="9"/>
  <c r="D25" i="9" s="1"/>
  <c r="E6" i="9"/>
  <c r="E25" i="9" s="1"/>
  <c r="BR4" i="213"/>
  <c r="BL4" i="213" s="1"/>
  <c r="BN45" i="1"/>
  <c r="BJ45" i="1"/>
  <c r="E24" i="9"/>
  <c r="AB24" i="9" s="1"/>
  <c r="AB5" i="9"/>
  <c r="AC5" i="9" s="1"/>
  <c r="AB224" i="223"/>
  <c r="BO64" i="1"/>
  <c r="BH64" i="1" s="1"/>
  <c r="BH14" i="1"/>
  <c r="BN169" i="1"/>
  <c r="BO139" i="1"/>
  <c r="BH139" i="1" s="1"/>
  <c r="AH226" i="11"/>
  <c r="AC224" i="223"/>
  <c r="AC142" i="11"/>
  <c r="AL20" i="218"/>
  <c r="AL5" i="218"/>
  <c r="AS21" i="218"/>
  <c r="BD21" i="218"/>
  <c r="AU21" i="218"/>
  <c r="BF21" i="218"/>
  <c r="AM21" i="218"/>
  <c r="AL21" i="218"/>
  <c r="BY21" i="218"/>
  <c r="BK21" i="218"/>
  <c r="AV21" i="218"/>
  <c r="AX21" i="218"/>
  <c r="AW21" i="218"/>
  <c r="BJ21" i="218"/>
  <c r="AP21" i="218"/>
  <c r="AK21" i="218"/>
  <c r="BL21" i="218"/>
  <c r="CA21" i="218"/>
  <c r="BB21" i="218"/>
  <c r="BE21" i="218"/>
  <c r="AN21" i="218"/>
  <c r="BR21" i="218"/>
  <c r="BZ21" i="218"/>
  <c r="BV21" i="218"/>
  <c r="AQ21" i="218"/>
  <c r="BA21" i="218"/>
  <c r="BS21" i="218"/>
  <c r="AT21" i="218"/>
  <c r="BG21" i="218"/>
  <c r="BW21" i="218"/>
  <c r="AO21" i="218"/>
  <c r="AR21" i="218"/>
  <c r="BC21" i="218"/>
  <c r="BN21" i="218"/>
  <c r="BT21" i="218"/>
  <c r="BH120" i="223"/>
  <c r="BB120" i="223" s="1"/>
  <c r="J170" i="212"/>
  <c r="AF137" i="11" a="1"/>
  <c r="AF137" i="11" s="1"/>
  <c r="AI137" i="11" s="1"/>
  <c r="BA109" i="223"/>
  <c r="BO146" i="1"/>
  <c r="BH146" i="1" s="1"/>
  <c r="BJ216" i="1"/>
  <c r="BJ49" i="1"/>
  <c r="BN49" i="1"/>
  <c r="BN51" i="1"/>
  <c r="BO94" i="1"/>
  <c r="BH94" i="1" s="1"/>
  <c r="BO170" i="1"/>
  <c r="BH170" i="1" s="1"/>
  <c r="BJ72" i="1"/>
  <c r="BB207" i="223"/>
  <c r="BG51" i="223"/>
  <c r="BX21" i="218"/>
  <c r="AC137" i="11"/>
  <c r="BO179" i="1"/>
  <c r="BJ179" i="1" s="1"/>
  <c r="BO20" i="1"/>
  <c r="BJ20" i="1" s="1"/>
  <c r="BN75" i="1"/>
  <c r="AI78" i="11"/>
  <c r="BO114" i="1"/>
  <c r="BH114" i="1" s="1"/>
  <c r="BG20" i="223"/>
  <c r="BN149" i="1"/>
  <c r="AC259" i="11"/>
  <c r="BG109" i="223"/>
  <c r="BG31" i="223"/>
  <c r="BH45" i="1"/>
  <c r="BJ129" i="1"/>
  <c r="BO85" i="1"/>
  <c r="BH85" i="1" s="1"/>
  <c r="BN129" i="1"/>
  <c r="BN161" i="1"/>
  <c r="AZ215" i="223" a="1"/>
  <c r="AZ215" i="223" s="1"/>
  <c r="AI186" i="11"/>
  <c r="BO193" i="1"/>
  <c r="BJ193" i="1" s="1"/>
  <c r="AC271" i="11"/>
  <c r="BJ126" i="1"/>
  <c r="BB46" i="223"/>
  <c r="BO223" i="1"/>
  <c r="BJ223" i="1" s="1"/>
  <c r="AH263" i="11"/>
  <c r="BJ60" i="1"/>
  <c r="BA219" i="223"/>
  <c r="C6" i="9"/>
  <c r="C25" i="9" s="1"/>
  <c r="C7" i="214"/>
  <c r="AD8" i="218"/>
  <c r="AC8" i="218" a="1"/>
  <c r="AC8" i="218" s="1"/>
  <c r="A8" i="9"/>
  <c r="B7" i="9"/>
  <c r="B26" i="9"/>
  <c r="AG7" i="218"/>
  <c r="AI6" i="218"/>
  <c r="AR6" i="218" s="1"/>
  <c r="AI185" i="11"/>
  <c r="AH231" i="11"/>
  <c r="AC50" i="218" a="1"/>
  <c r="AC50" i="218" s="1"/>
  <c r="AA224" i="223"/>
  <c r="E199" i="212"/>
  <c r="AI42" i="213" s="1"/>
  <c r="BO182" i="1"/>
  <c r="BH182" i="1" s="1"/>
  <c r="BH216" i="1"/>
  <c r="BG91" i="223"/>
  <c r="BH179" i="223"/>
  <c r="BA179" i="223" s="1"/>
  <c r="BO10" i="1"/>
  <c r="BH10" i="1" s="1"/>
  <c r="BR12" i="213"/>
  <c r="BL12" i="213" s="1"/>
  <c r="BG52" i="223"/>
  <c r="BN98" i="1"/>
  <c r="AI224" i="11"/>
  <c r="BH72" i="1"/>
  <c r="BN33" i="1"/>
  <c r="AG24" i="218"/>
  <c r="AL24" i="218" s="1"/>
  <c r="BO209" i="1"/>
  <c r="BJ209" i="1" s="1"/>
  <c r="BN214" i="1"/>
  <c r="BO208" i="1"/>
  <c r="BJ208" i="1" s="1"/>
  <c r="BO73" i="1"/>
  <c r="BJ73" i="1" s="1"/>
  <c r="BH96" i="223"/>
  <c r="BA96" i="223" s="1"/>
  <c r="BN136" i="1"/>
  <c r="AZ15" i="223" a="1"/>
  <c r="AZ15" i="223" s="1"/>
  <c r="BJ214" i="1"/>
  <c r="BN185" i="1"/>
  <c r="BM22" i="218"/>
  <c r="BO53" i="1"/>
  <c r="BH53" i="1" s="1"/>
  <c r="AI23" i="218"/>
  <c r="BY23" i="218" s="1"/>
  <c r="BN14" i="1"/>
  <c r="BN216" i="1"/>
  <c r="BH149" i="1"/>
  <c r="BO121" i="1"/>
  <c r="BJ121" i="1" s="1"/>
  <c r="BG177" i="223"/>
  <c r="BN166" i="1"/>
  <c r="BJ161" i="1"/>
  <c r="BA134" i="223"/>
  <c r="BO197" i="1"/>
  <c r="BJ197" i="1" s="1"/>
  <c r="BO86" i="1"/>
  <c r="BJ86" i="1" s="1"/>
  <c r="AF103" i="11" a="1"/>
  <c r="AF103" i="11" s="1"/>
  <c r="AH103" i="11" s="1"/>
  <c r="BH119" i="1"/>
  <c r="BJ217" i="1"/>
  <c r="BO31" i="1"/>
  <c r="BH31" i="1" s="1"/>
  <c r="BG13" i="223"/>
  <c r="BO37" i="1"/>
  <c r="BH37" i="1" s="1"/>
  <c r="BG134" i="223"/>
  <c r="AI205" i="11"/>
  <c r="BA207" i="223"/>
  <c r="BN23" i="1"/>
  <c r="BO188" i="1"/>
  <c r="BJ188" i="1" s="1"/>
  <c r="AI135" i="11"/>
  <c r="BG40" i="223"/>
  <c r="BH203" i="223"/>
  <c r="BB203" i="223" s="1"/>
  <c r="BJ40" i="1"/>
  <c r="BM6" i="213"/>
  <c r="BH173" i="1"/>
  <c r="BH216" i="223"/>
  <c r="BA216" i="223" s="1"/>
  <c r="BH192" i="223"/>
  <c r="BA192" i="223" s="1"/>
  <c r="BQ10" i="213"/>
  <c r="BN40" i="1"/>
  <c r="BG207" i="223"/>
  <c r="BB195" i="223"/>
  <c r="BJ124" i="1"/>
  <c r="J164" i="212"/>
  <c r="B220" i="212" s="1"/>
  <c r="BJ203" i="1"/>
  <c r="AH279" i="11"/>
  <c r="AH194" i="11"/>
  <c r="AI112" i="11"/>
  <c r="AH215" i="11"/>
  <c r="BH148" i="223"/>
  <c r="BA148" i="223" s="1"/>
  <c r="BG101" i="223"/>
  <c r="AI222" i="11"/>
  <c r="AF191" i="11" a="1"/>
  <c r="AF191" i="11" s="1"/>
  <c r="AI191" i="11" s="1"/>
  <c r="BB51" i="223"/>
  <c r="BH61" i="1"/>
  <c r="BH40" i="1"/>
  <c r="BO158" i="1"/>
  <c r="BH158" i="1" s="1"/>
  <c r="BH203" i="1"/>
  <c r="AI131" i="11"/>
  <c r="AC79" i="11"/>
  <c r="BO92" i="1"/>
  <c r="BJ92" i="1" s="1"/>
  <c r="BO151" i="1"/>
  <c r="BJ151" i="1" s="1"/>
  <c r="BH162" i="223"/>
  <c r="BA162" i="223" s="1"/>
  <c r="BJ81" i="1"/>
  <c r="BG78" i="223"/>
  <c r="AI235" i="11"/>
  <c r="BH75" i="223"/>
  <c r="BB75" i="223" s="1"/>
  <c r="BH150" i="223"/>
  <c r="BA150" i="223" s="1"/>
  <c r="BG159" i="223"/>
  <c r="AH79" i="11"/>
  <c r="AH173" i="11"/>
  <c r="BO107" i="1"/>
  <c r="BH107" i="1" s="1"/>
  <c r="BJ22" i="1"/>
  <c r="BO63" i="1"/>
  <c r="BJ63" i="1" s="1"/>
  <c r="AF201" i="11" a="1"/>
  <c r="AF201" i="11" s="1"/>
  <c r="AH201" i="11" s="1"/>
  <c r="BO25" i="1"/>
  <c r="BH25" i="1" s="1"/>
  <c r="AF247" i="11" a="1"/>
  <c r="AF247" i="11" s="1"/>
  <c r="AH247" i="11" s="1"/>
  <c r="BO207" i="1"/>
  <c r="BH207" i="1" s="1"/>
  <c r="BN118" i="1"/>
  <c r="BN22" i="1"/>
  <c r="BO134" i="1"/>
  <c r="BN134" i="1"/>
  <c r="C127" i="220"/>
  <c r="AA127" i="220" s="1" a="1"/>
  <c r="AA127" i="220" s="1"/>
  <c r="AB127" i="220" s="1"/>
  <c r="AA63" i="220" a="1"/>
  <c r="AA63" i="220" s="1"/>
  <c r="AB63" i="220" s="1"/>
  <c r="AC20" i="218" a="1"/>
  <c r="AC20" i="218" s="1"/>
  <c r="AD20" i="218" s="1"/>
  <c r="C119" i="220"/>
  <c r="AA119" i="220" s="1" a="1"/>
  <c r="AA119" i="220" s="1"/>
  <c r="AB119" i="220" s="1"/>
  <c r="AA55" i="220" a="1"/>
  <c r="AA55" i="220" s="1"/>
  <c r="AB55" i="220" s="1"/>
  <c r="AD24" i="218"/>
  <c r="AC24" i="218" a="1"/>
  <c r="AC24" i="218" s="1"/>
  <c r="D51" i="218"/>
  <c r="AC51" i="218" s="1" a="1"/>
  <c r="AC51" i="218" s="1"/>
  <c r="AD51" i="218" s="1"/>
  <c r="AC21" i="218" a="1"/>
  <c r="AC21" i="218" s="1"/>
  <c r="AD21" i="218" s="1"/>
  <c r="BJ149" i="1"/>
  <c r="R22" i="218"/>
  <c r="U22" i="218"/>
  <c r="N22" i="218"/>
  <c r="I22" i="218"/>
  <c r="S22" i="218"/>
  <c r="W22" i="218"/>
  <c r="Q22" i="218"/>
  <c r="Z22" i="218"/>
  <c r="L22" i="218"/>
  <c r="J22" i="218"/>
  <c r="D22" i="218"/>
  <c r="AA22" i="218"/>
  <c r="T22" i="218"/>
  <c r="V22" i="218"/>
  <c r="AB22" i="218"/>
  <c r="O22" i="218"/>
  <c r="K22" i="218"/>
  <c r="X22" i="218"/>
  <c r="G22" i="218"/>
  <c r="G52" i="218" s="1"/>
  <c r="E22" i="218"/>
  <c r="E52" i="218" s="1"/>
  <c r="Y22" i="218"/>
  <c r="H22" i="218"/>
  <c r="H52" i="218" s="1"/>
  <c r="F22" i="218"/>
  <c r="F52" i="218" s="1"/>
  <c r="M22" i="218"/>
  <c r="P22" i="218"/>
  <c r="B128" i="220"/>
  <c r="AA128" i="220" s="1" a="1"/>
  <c r="AA128" i="220" s="1"/>
  <c r="AA64" i="220" a="1"/>
  <c r="AA64" i="220" s="1"/>
  <c r="AB64" i="220" s="1"/>
  <c r="C125" i="220"/>
  <c r="AA125" i="220" s="1" a="1"/>
  <c r="AA125" i="220" s="1"/>
  <c r="AB125" i="220" s="1"/>
  <c r="AA61" i="220" a="1"/>
  <c r="AA61" i="220" s="1"/>
  <c r="AB61" i="220" s="1"/>
  <c r="C118" i="220"/>
  <c r="AA118" i="220" s="1" a="1"/>
  <c r="AA118" i="220" s="1"/>
  <c r="AB118" i="220" s="1"/>
  <c r="AA54" i="220" a="1"/>
  <c r="AA54" i="220" s="1"/>
  <c r="AB54" i="220" s="1"/>
  <c r="BJ142" i="1"/>
  <c r="BH161" i="1"/>
  <c r="BH118" i="1"/>
  <c r="BA47" i="223"/>
  <c r="BA51" i="223"/>
  <c r="AI107" i="11"/>
  <c r="AI114" i="11"/>
  <c r="AI127" i="11"/>
  <c r="AH199" i="11"/>
  <c r="AH208" i="11"/>
  <c r="AH272" i="11"/>
  <c r="AI255" i="11"/>
  <c r="AH142" i="11"/>
  <c r="AF146" i="11" a="1"/>
  <c r="AF146" i="11" s="1"/>
  <c r="AI146" i="11" s="1"/>
  <c r="AC220" i="11"/>
  <c r="BG149" i="223"/>
  <c r="BH135" i="223"/>
  <c r="BA135" i="223" s="1"/>
  <c r="BH171" i="223"/>
  <c r="BA171" i="223" s="1"/>
  <c r="AI278" i="11"/>
  <c r="BH129" i="223"/>
  <c r="BB129" i="223" s="1"/>
  <c r="AI192" i="11"/>
  <c r="AF236" i="11" a="1"/>
  <c r="AF236" i="11" s="1"/>
  <c r="AI236" i="11" s="1"/>
  <c r="BG74" i="223"/>
  <c r="AH165" i="11"/>
  <c r="BH184" i="223"/>
  <c r="BA184" i="223" s="1"/>
  <c r="BH39" i="223"/>
  <c r="BA39" i="223" s="1"/>
  <c r="BG219" i="223"/>
  <c r="BB219" i="223"/>
  <c r="AZ188" i="223" a="1"/>
  <c r="AZ188" i="223" s="1"/>
  <c r="BB47" i="223"/>
  <c r="BH58" i="1"/>
  <c r="BG168" i="223"/>
  <c r="BJ118" i="1"/>
  <c r="BJ104" i="1"/>
  <c r="BH102" i="1"/>
  <c r="BH98" i="223"/>
  <c r="BA98" i="223" s="1"/>
  <c r="BG121" i="223"/>
  <c r="BA195" i="223"/>
  <c r="BH81" i="223"/>
  <c r="BB81" i="223" s="1"/>
  <c r="AI267" i="11"/>
  <c r="BG57" i="223"/>
  <c r="BG174" i="223"/>
  <c r="BE37" i="223" a="1"/>
  <c r="BE37" i="223" s="1"/>
  <c r="BH37" i="223" s="1"/>
  <c r="AH243" i="11"/>
  <c r="AI166" i="11"/>
  <c r="BA40" i="223"/>
  <c r="BN115" i="1"/>
  <c r="AC191" i="11"/>
  <c r="BG124" i="223"/>
  <c r="BH76" i="223"/>
  <c r="BA76" i="223" s="1"/>
  <c r="AI230" i="11"/>
  <c r="BO47" i="1"/>
  <c r="BH47" i="1" s="1"/>
  <c r="BB9" i="223"/>
  <c r="BJ12" i="1"/>
  <c r="BO130" i="1"/>
  <c r="BH130" i="1" s="1"/>
  <c r="BN81" i="1"/>
  <c r="BN119" i="1"/>
  <c r="BH22" i="223"/>
  <c r="BB22" i="223" s="1"/>
  <c r="BN109" i="1"/>
  <c r="AI253" i="11"/>
  <c r="AF218" i="11" a="1"/>
  <c r="AF218" i="11" s="1"/>
  <c r="AI218" i="11" s="1"/>
  <c r="BO153" i="1"/>
  <c r="BJ153" i="1" s="1"/>
  <c r="BH35" i="1"/>
  <c r="BG205" i="223"/>
  <c r="BG115" i="223"/>
  <c r="BH198" i="223"/>
  <c r="BA198" i="223" s="1"/>
  <c r="BN140" i="1"/>
  <c r="BO62" i="1"/>
  <c r="BJ62" i="1" s="1"/>
  <c r="AC232" i="11"/>
  <c r="BN217" i="1"/>
  <c r="BN54" i="1"/>
  <c r="BO168" i="1"/>
  <c r="BJ168" i="1" s="1"/>
  <c r="BH142" i="223"/>
  <c r="BB142" i="223" s="1"/>
  <c r="BN203" i="1"/>
  <c r="AI154" i="11"/>
  <c r="BH185" i="1"/>
  <c r="BA107" i="223"/>
  <c r="BG67" i="223"/>
  <c r="BO80" i="1"/>
  <c r="BO198" i="1"/>
  <c r="BJ198" i="1" s="1"/>
  <c r="BH54" i="223"/>
  <c r="BA54" i="223" s="1"/>
  <c r="BO69" i="1"/>
  <c r="BJ69" i="1" s="1"/>
  <c r="BH222" i="223"/>
  <c r="BB222" i="223" s="1"/>
  <c r="BN34" i="1"/>
  <c r="BG116" i="223"/>
  <c r="BN143" i="1"/>
  <c r="BH79" i="1"/>
  <c r="D29" i="11"/>
  <c r="D51" i="11" s="1"/>
  <c r="BH180" i="1"/>
  <c r="BJ145" i="1"/>
  <c r="BB217" i="223"/>
  <c r="BE188" i="223" a="1"/>
  <c r="BE188" i="223" s="1"/>
  <c r="BH188" i="223" s="1"/>
  <c r="BH81" i="1"/>
  <c r="BL10" i="213"/>
  <c r="BA138" i="223"/>
  <c r="BG195" i="223"/>
  <c r="AH163" i="11"/>
  <c r="BH13" i="1"/>
  <c r="AI273" i="11"/>
  <c r="BN60" i="1"/>
  <c r="BG217" i="223"/>
  <c r="BB107" i="223"/>
  <c r="BG206" i="223"/>
  <c r="BH60" i="1"/>
  <c r="BG191" i="223"/>
  <c r="BN206" i="1"/>
  <c r="AH120" i="11"/>
  <c r="AI240" i="11"/>
  <c r="BO148" i="1"/>
  <c r="BJ148" i="1" s="1"/>
  <c r="BH136" i="223"/>
  <c r="BB136" i="223" s="1"/>
  <c r="BN72" i="1"/>
  <c r="AH69" i="11"/>
  <c r="C119" i="11"/>
  <c r="AF119" i="11" s="1" a="1"/>
  <c r="AF119" i="11" s="1"/>
  <c r="BG107" i="223"/>
  <c r="BH23" i="223"/>
  <c r="BB23" i="223" s="1"/>
  <c r="BH210" i="1"/>
  <c r="BG158" i="223"/>
  <c r="BG211" i="223"/>
  <c r="BH33" i="223"/>
  <c r="BB33" i="223" s="1"/>
  <c r="AH64" i="11"/>
  <c r="BO192" i="1"/>
  <c r="BJ192" i="1" s="1"/>
  <c r="AH260" i="11"/>
  <c r="BA46" i="223"/>
  <c r="BH129" i="1"/>
  <c r="BJ35" i="1"/>
  <c r="BJ184" i="1"/>
  <c r="AI217" i="11"/>
  <c r="BH217" i="1"/>
  <c r="BB138" i="223"/>
  <c r="BH143" i="1"/>
  <c r="BN150" i="1"/>
  <c r="BG105" i="223"/>
  <c r="BJ180" i="1"/>
  <c r="BB40" i="223"/>
  <c r="BN215" i="1"/>
  <c r="BO222" i="1"/>
  <c r="BJ222" i="1" s="1"/>
  <c r="BJ143" i="1"/>
  <c r="AI90" i="11"/>
  <c r="BH145" i="223"/>
  <c r="BA145" i="223" s="1"/>
  <c r="BO221" i="1"/>
  <c r="BH221" i="1" s="1"/>
  <c r="BH214" i="1"/>
  <c r="BG21" i="223"/>
  <c r="BN142" i="1"/>
  <c r="BH204" i="223"/>
  <c r="BA204" i="223" s="1"/>
  <c r="BN35" i="1"/>
  <c r="BN56" i="1"/>
  <c r="BN184" i="1"/>
  <c r="BG103" i="223"/>
  <c r="BH114" i="223"/>
  <c r="BB114" i="223" s="1"/>
  <c r="BA103" i="223"/>
  <c r="BH56" i="1"/>
  <c r="D26" i="11"/>
  <c r="D50" i="11" s="1"/>
  <c r="AF150" i="11" a="1"/>
  <c r="AF150" i="11" s="1"/>
  <c r="AI150" i="11" s="1"/>
  <c r="BJ119" i="1"/>
  <c r="BN78" i="1"/>
  <c r="BO78" i="1"/>
  <c r="BJ78" i="1" s="1"/>
  <c r="BN91" i="1"/>
  <c r="BO91" i="1"/>
  <c r="BJ94" i="1"/>
  <c r="AF176" i="11" a="1"/>
  <c r="AF176" i="11" s="1"/>
  <c r="AI176" i="11" s="1"/>
  <c r="BG199" i="223"/>
  <c r="BH176" i="223"/>
  <c r="BA176" i="223" s="1"/>
  <c r="AH65" i="11"/>
  <c r="BO16" i="1"/>
  <c r="BH16" i="1" s="1"/>
  <c r="BG181" i="223"/>
  <c r="BN162" i="1"/>
  <c r="BN104" i="1"/>
  <c r="BG46" i="223"/>
  <c r="AF227" i="11" a="1"/>
  <c r="AF227" i="11" s="1"/>
  <c r="AH227" i="11" s="1"/>
  <c r="AH130" i="11"/>
  <c r="BH105" i="1"/>
  <c r="AI95" i="11"/>
  <c r="BJ105" i="1"/>
  <c r="BG190" i="223"/>
  <c r="BO190" i="1"/>
  <c r="AH77" i="11"/>
  <c r="BH175" i="223"/>
  <c r="BA175" i="223" s="1"/>
  <c r="BN199" i="1"/>
  <c r="BO15" i="1"/>
  <c r="BH15" i="1" s="1"/>
  <c r="AC181" i="11"/>
  <c r="BH223" i="223"/>
  <c r="BH34" i="223"/>
  <c r="BB34" i="223" s="1"/>
  <c r="BN105" i="1"/>
  <c r="BH130" i="223"/>
  <c r="D16" i="11"/>
  <c r="D14" i="11" s="1"/>
  <c r="D44" i="11" s="1"/>
  <c r="BQ8" i="213"/>
  <c r="BR8" i="213"/>
  <c r="BM8" i="213" s="1"/>
  <c r="BO57" i="1"/>
  <c r="BN57" i="1"/>
  <c r="BN125" i="1"/>
  <c r="AH105" i="11"/>
  <c r="AC227" i="11"/>
  <c r="AC153" i="11"/>
  <c r="BH22" i="1"/>
  <c r="BG194" i="223"/>
  <c r="BJ56" i="1"/>
  <c r="B20" i="11"/>
  <c r="B47" i="11" s="1"/>
  <c r="BO211" i="1"/>
  <c r="BH211" i="1" s="1"/>
  <c r="AZ169" i="223" a="1"/>
  <c r="AZ169" i="223" s="1"/>
  <c r="BO212" i="1"/>
  <c r="BJ212" i="1" s="1"/>
  <c r="C19" i="11"/>
  <c r="C46" i="11" s="1"/>
  <c r="AA46" i="11" s="1"/>
  <c r="C34" i="11"/>
  <c r="C56" i="11" s="1"/>
  <c r="AA56" i="11" s="1"/>
  <c r="C22" i="12" s="1"/>
  <c r="D22" i="12" s="1"/>
  <c r="G22" i="12" s="1"/>
  <c r="BE94" i="223" a="1"/>
  <c r="BE94" i="223" s="1"/>
  <c r="AA48" i="11"/>
  <c r="C14" i="12" s="1"/>
  <c r="D14" i="12" s="1"/>
  <c r="G14" i="12" s="1"/>
  <c r="AZ94" i="223" a="1"/>
  <c r="AZ94" i="223" s="1"/>
  <c r="C15" i="11"/>
  <c r="BO191" i="1"/>
  <c r="BE215" i="223" a="1"/>
  <c r="BE215" i="223" s="1"/>
  <c r="BH204" i="1"/>
  <c r="BO194" i="1"/>
  <c r="BH194" i="1" s="1"/>
  <c r="BN194" i="1"/>
  <c r="AK59" i="213"/>
  <c r="B47" i="220" s="1"/>
  <c r="V59" i="212"/>
  <c r="D190" i="212"/>
  <c r="F190" i="212" s="1"/>
  <c r="V167" i="212"/>
  <c r="C220" i="212" s="1"/>
  <c r="AK25" i="213"/>
  <c r="AK21" i="213"/>
  <c r="B9" i="220" s="1"/>
  <c r="AK24" i="213"/>
  <c r="B12" i="220" s="1"/>
  <c r="AS22" i="218"/>
  <c r="BU23" i="218"/>
  <c r="BW23" i="218"/>
  <c r="AK22" i="213"/>
  <c r="D4" i="218" a="1"/>
  <c r="D4" i="218" s="1"/>
  <c r="D35" i="218" s="1"/>
  <c r="AK23" i="213"/>
  <c r="AL22" i="218"/>
  <c r="C8" i="218"/>
  <c r="P8" i="218" a="1"/>
  <c r="P8" i="218" s="1"/>
  <c r="S8" i="218" a="1"/>
  <c r="S8" i="218" s="1"/>
  <c r="F8" i="218" a="1"/>
  <c r="F8" i="218" s="1"/>
  <c r="H8" i="218" a="1"/>
  <c r="H8" i="218" s="1"/>
  <c r="J8" i="218" a="1"/>
  <c r="J8" i="218" s="1"/>
  <c r="L8" i="218" a="1"/>
  <c r="L8" i="218" s="1"/>
  <c r="U8" i="218" a="1"/>
  <c r="U8" i="218" s="1"/>
  <c r="Y8" i="218" a="1"/>
  <c r="Y8" i="218" s="1"/>
  <c r="M8" i="218" a="1"/>
  <c r="M8" i="218" s="1"/>
  <c r="D8" i="218" a="1"/>
  <c r="D8" i="218" s="1"/>
  <c r="T8" i="218" a="1"/>
  <c r="T8" i="218" s="1"/>
  <c r="V8" i="218" a="1"/>
  <c r="V8" i="218" s="1"/>
  <c r="X8" i="218" a="1"/>
  <c r="X8" i="218" s="1"/>
  <c r="Z8" i="218" a="1"/>
  <c r="Z8" i="218" s="1"/>
  <c r="AB8" i="218" a="1"/>
  <c r="AB8" i="218" s="1"/>
  <c r="R8" i="218" a="1"/>
  <c r="R8" i="218" s="1"/>
  <c r="W8" i="218" a="1"/>
  <c r="W8" i="218" s="1"/>
  <c r="AA8" i="218" a="1"/>
  <c r="AA8" i="218" s="1"/>
  <c r="N8" i="218" a="1"/>
  <c r="N8" i="218" s="1"/>
  <c r="Q8" i="218" a="1"/>
  <c r="Q8" i="218" s="1"/>
  <c r="E8" i="218" a="1"/>
  <c r="E8" i="218" s="1"/>
  <c r="G8" i="218" a="1"/>
  <c r="G8" i="218" s="1"/>
  <c r="I8" i="218" a="1"/>
  <c r="I8" i="218" s="1"/>
  <c r="K8" i="218" a="1"/>
  <c r="K8" i="218" s="1"/>
  <c r="A9" i="218"/>
  <c r="O8" i="218" a="1"/>
  <c r="O8" i="218" s="1"/>
  <c r="L38" i="218"/>
  <c r="AB38" i="218"/>
  <c r="Q38" i="218"/>
  <c r="V38" i="218"/>
  <c r="A39" i="218"/>
  <c r="K38" i="218"/>
  <c r="T38" i="218"/>
  <c r="I38" i="218"/>
  <c r="Y38" i="218"/>
  <c r="O38" i="218"/>
  <c r="R38" i="218"/>
  <c r="AA38" i="218"/>
  <c r="X38" i="218"/>
  <c r="M38" i="218"/>
  <c r="N38" i="218"/>
  <c r="W38" i="218"/>
  <c r="Z38" i="218"/>
  <c r="C38" i="218"/>
  <c r="P38" i="218"/>
  <c r="J38" i="218"/>
  <c r="S38" i="218"/>
  <c r="U38" i="218"/>
  <c r="E207" i="212"/>
  <c r="AI50" i="213" s="1"/>
  <c r="BH106" i="1"/>
  <c r="F20" i="11"/>
  <c r="F47" i="11" s="1"/>
  <c r="D20" i="11"/>
  <c r="D47" i="11" s="1"/>
  <c r="F14" i="11"/>
  <c r="F44" i="11" s="1"/>
  <c r="E177" i="212"/>
  <c r="AI20" i="213" s="1"/>
  <c r="E184" i="212"/>
  <c r="AI27" i="213" s="1"/>
  <c r="F184" i="212"/>
  <c r="J98" i="212"/>
  <c r="AI175" i="11"/>
  <c r="AH175" i="11"/>
  <c r="BG63" i="223"/>
  <c r="BH63" i="223"/>
  <c r="BN110" i="1"/>
  <c r="BH125" i="223"/>
  <c r="BB125" i="223" s="1"/>
  <c r="BJ204" i="1"/>
  <c r="BJ106" i="1"/>
  <c r="BH153" i="223"/>
  <c r="BA153" i="223" s="1"/>
  <c r="AI123" i="11"/>
  <c r="BL22" i="218"/>
  <c r="AI89" i="11"/>
  <c r="BH126" i="1"/>
  <c r="C16" i="11"/>
  <c r="BH83" i="223"/>
  <c r="BB83" i="223" s="1"/>
  <c r="BN106" i="1"/>
  <c r="AC103" i="11"/>
  <c r="AH250" i="11"/>
  <c r="AZ63" i="223" a="1"/>
  <c r="AZ63" i="223" s="1"/>
  <c r="AF204" i="11" a="1"/>
  <c r="AF204" i="11" s="1"/>
  <c r="BN46" i="1"/>
  <c r="BO46" i="1"/>
  <c r="D128" i="11"/>
  <c r="BE72" i="223" a="1"/>
  <c r="BE72" i="223" s="1"/>
  <c r="AZ72" i="223" a="1"/>
  <c r="AZ72" i="223" s="1"/>
  <c r="D265" i="11"/>
  <c r="AZ209" i="223" a="1"/>
  <c r="AZ209" i="223" s="1"/>
  <c r="BE209" i="223" a="1"/>
  <c r="BE209" i="223" s="1"/>
  <c r="D116" i="11"/>
  <c r="AZ60" i="223" a="1"/>
  <c r="AZ60" i="223" s="1"/>
  <c r="BE69" i="223" a="1"/>
  <c r="BE69" i="223" s="1"/>
  <c r="C125" i="11"/>
  <c r="BO74" i="1"/>
  <c r="BH74" i="1" s="1"/>
  <c r="BN74" i="1"/>
  <c r="BJ76" i="1"/>
  <c r="C141" i="11"/>
  <c r="AZ85" i="223" a="1"/>
  <c r="AZ85" i="223" s="1"/>
  <c r="BE85" i="223" a="1"/>
  <c r="BE85" i="223" s="1"/>
  <c r="D160" i="11"/>
  <c r="BE104" i="223" a="1"/>
  <c r="BE104" i="223" s="1"/>
  <c r="AZ104" i="223" a="1"/>
  <c r="AZ104" i="223" s="1"/>
  <c r="BH180" i="223"/>
  <c r="BG180" i="223"/>
  <c r="C174" i="11"/>
  <c r="BE118" i="223" a="1"/>
  <c r="BE118" i="223" s="1"/>
  <c r="AZ118" i="223" a="1"/>
  <c r="AZ118" i="223" s="1"/>
  <c r="BE151" i="223" a="1"/>
  <c r="BE151" i="223" s="1"/>
  <c r="AZ151" i="223" a="1"/>
  <c r="AZ151" i="223" s="1"/>
  <c r="C207" i="11"/>
  <c r="BN218" i="1"/>
  <c r="BO218" i="1"/>
  <c r="BG117" i="223"/>
  <c r="BD22" i="218"/>
  <c r="BH97" i="223"/>
  <c r="BA97" i="223" s="1"/>
  <c r="BO48" i="1"/>
  <c r="BH48" i="1" s="1"/>
  <c r="BH142" i="1"/>
  <c r="AC175" i="11"/>
  <c r="BH184" i="1"/>
  <c r="BJ185" i="1"/>
  <c r="BH145" i="1"/>
  <c r="BG56" i="223"/>
  <c r="BH56" i="223"/>
  <c r="B249" i="11"/>
  <c r="AZ193" i="223" a="1"/>
  <c r="AZ193" i="223" s="1"/>
  <c r="BE193" i="223" a="1"/>
  <c r="BE193" i="223" s="1"/>
  <c r="AC214" i="11"/>
  <c r="AF214" i="11" a="1"/>
  <c r="AF214" i="11" s="1"/>
  <c r="E104" i="11"/>
  <c r="AZ48" i="223" a="1"/>
  <c r="AZ48" i="223" s="1"/>
  <c r="BE48" i="223" a="1"/>
  <c r="BE48" i="223" s="1"/>
  <c r="F72" i="11"/>
  <c r="AZ16" i="223" a="1"/>
  <c r="AZ16" i="223" s="1"/>
  <c r="BE16" i="223" a="1"/>
  <c r="BE16" i="223" s="1"/>
  <c r="BG92" i="223"/>
  <c r="BH92" i="223"/>
  <c r="BN123" i="1"/>
  <c r="BO123" i="1"/>
  <c r="BH8" i="223"/>
  <c r="BA8" i="223" s="1"/>
  <c r="BG8" i="223"/>
  <c r="BJ109" i="1"/>
  <c r="BA22" i="218"/>
  <c r="AX22" i="218"/>
  <c r="AT22" i="218"/>
  <c r="BN126" i="1"/>
  <c r="BG9" i="223"/>
  <c r="BJ162" i="1"/>
  <c r="BH124" i="1"/>
  <c r="BA166" i="223"/>
  <c r="BB71" i="223"/>
  <c r="B195" i="11"/>
  <c r="AZ139" i="223" a="1"/>
  <c r="AZ139" i="223" s="1"/>
  <c r="BE139" i="223" a="1"/>
  <c r="BE139" i="223" s="1"/>
  <c r="C109" i="11"/>
  <c r="BE53" i="223" a="1"/>
  <c r="BE53" i="223" s="1"/>
  <c r="D118" i="11"/>
  <c r="AZ62" i="223" a="1"/>
  <c r="AZ62" i="223" s="1"/>
  <c r="BE62" i="223" a="1"/>
  <c r="BE62" i="223" s="1"/>
  <c r="D225" i="11"/>
  <c r="BE169" i="223" a="1"/>
  <c r="BE169" i="223" s="1"/>
  <c r="E238" i="11"/>
  <c r="AZ182" i="223" a="1"/>
  <c r="AZ182" i="223" s="1"/>
  <c r="BE182" i="223" a="1"/>
  <c r="BE182" i="223" s="1"/>
  <c r="AC148" i="11"/>
  <c r="AF148" i="11" a="1"/>
  <c r="AF148" i="11" s="1"/>
  <c r="C179" i="11"/>
  <c r="AZ123" i="223" a="1"/>
  <c r="AZ123" i="223" s="1"/>
  <c r="BE123" i="223" a="1"/>
  <c r="BE123" i="223" s="1"/>
  <c r="B93" i="11"/>
  <c r="AZ37" i="223" a="1"/>
  <c r="AZ37" i="223" s="1"/>
  <c r="BN128" i="1"/>
  <c r="BG84" i="223"/>
  <c r="BN65" i="1"/>
  <c r="BB166" i="223"/>
  <c r="BN76" i="1"/>
  <c r="BA9" i="223"/>
  <c r="BN116" i="1"/>
  <c r="BO116" i="1"/>
  <c r="BO8" i="1"/>
  <c r="BN8" i="1"/>
  <c r="BH179" i="1"/>
  <c r="BJ14" i="1"/>
  <c r="BH76" i="1"/>
  <c r="BH49" i="1"/>
  <c r="BB103" i="223"/>
  <c r="BG128" i="223"/>
  <c r="BG152" i="223"/>
  <c r="BA71" i="223"/>
  <c r="AC270" i="11"/>
  <c r="BO71" i="1"/>
  <c r="BG71" i="223"/>
  <c r="BN145" i="1"/>
  <c r="AH237" i="11"/>
  <c r="AI209" i="11"/>
  <c r="AH271" i="11"/>
  <c r="BG49" i="223"/>
  <c r="BH79" i="223"/>
  <c r="BO39" i="1"/>
  <c r="BN50" i="1"/>
  <c r="BN204" i="1"/>
  <c r="BO175" i="1"/>
  <c r="BH175" i="1" s="1"/>
  <c r="BG166" i="223"/>
  <c r="AH91" i="11"/>
  <c r="AH270" i="11"/>
  <c r="BH50" i="1"/>
  <c r="BJ79" i="1"/>
  <c r="BN180" i="1"/>
  <c r="BN124" i="1"/>
  <c r="BN13" i="1"/>
  <c r="AH268" i="11"/>
  <c r="AK54" i="213"/>
  <c r="AL54" i="213"/>
  <c r="C42" i="220" s="1"/>
  <c r="C106" i="220" s="1"/>
  <c r="AM54" i="213"/>
  <c r="D42" i="220" s="1"/>
  <c r="D106" i="220" s="1"/>
  <c r="AC102" i="11"/>
  <c r="AF102" i="11" a="1"/>
  <c r="AF102" i="11" s="1"/>
  <c r="BG108" i="223"/>
  <c r="BH108" i="223"/>
  <c r="BH60" i="223"/>
  <c r="BG60" i="223"/>
  <c r="AH140" i="11"/>
  <c r="AI140" i="11"/>
  <c r="BH214" i="223"/>
  <c r="BG214" i="223"/>
  <c r="BJ13" i="1"/>
  <c r="BN135" i="1"/>
  <c r="BO135" i="1"/>
  <c r="BN9" i="1"/>
  <c r="BO9" i="1"/>
  <c r="BH143" i="223"/>
  <c r="BG143" i="223"/>
  <c r="BN24" i="1"/>
  <c r="BO24" i="1"/>
  <c r="BB31" i="223"/>
  <c r="BH162" i="1"/>
  <c r="E20" i="11"/>
  <c r="E47" i="11" s="1"/>
  <c r="AN54" i="213"/>
  <c r="E42" i="220" s="1"/>
  <c r="E106" i="220" s="1"/>
  <c r="AK26" i="213"/>
  <c r="BO90" i="1"/>
  <c r="BN90" i="1"/>
  <c r="AI259" i="11"/>
  <c r="AH259" i="11"/>
  <c r="AK47" i="213"/>
  <c r="AM48" i="213"/>
  <c r="D36" i="220" s="1"/>
  <c r="D100" i="220" s="1"/>
  <c r="AO48" i="213"/>
  <c r="F36" i="220" s="1"/>
  <c r="F100" i="220" s="1"/>
  <c r="AN48" i="213"/>
  <c r="E36" i="220" s="1"/>
  <c r="E100" i="220" s="1"/>
  <c r="AN46" i="213"/>
  <c r="E34" i="220" s="1"/>
  <c r="E98" i="220" s="1"/>
  <c r="AO46" i="213"/>
  <c r="F34" i="220" s="1"/>
  <c r="F98" i="220" s="1"/>
  <c r="AO57" i="213"/>
  <c r="F45" i="220" s="1"/>
  <c r="F109" i="220" s="1"/>
  <c r="AN57" i="213"/>
  <c r="E45" i="220" s="1"/>
  <c r="E109" i="220" s="1"/>
  <c r="AN31" i="213"/>
  <c r="AO31" i="213"/>
  <c r="BX22" i="218"/>
  <c r="E70" i="11"/>
  <c r="AZ14" i="223" a="1"/>
  <c r="AZ14" i="223" s="1"/>
  <c r="BE14" i="223" a="1"/>
  <c r="BE14" i="223" s="1"/>
  <c r="E8" i="11"/>
  <c r="E7" i="11" s="1"/>
  <c r="E12" i="11" s="1"/>
  <c r="E42" i="11" s="1"/>
  <c r="AO56" i="213"/>
  <c r="F44" i="220" s="1"/>
  <c r="F108" i="220" s="1"/>
  <c r="AN56" i="213"/>
  <c r="E44" i="220" s="1"/>
  <c r="E108" i="220" s="1"/>
  <c r="AO60" i="213"/>
  <c r="F48" i="220" s="1"/>
  <c r="F112" i="220" s="1"/>
  <c r="AN60" i="213"/>
  <c r="E48" i="220" s="1"/>
  <c r="E112" i="220" s="1"/>
  <c r="AO61" i="213"/>
  <c r="F49" i="220" s="1"/>
  <c r="F113" i="220" s="1"/>
  <c r="AN61" i="213"/>
  <c r="E49" i="220" s="1"/>
  <c r="E113" i="220" s="1"/>
  <c r="AM59" i="213"/>
  <c r="D47" i="220" s="1"/>
  <c r="D111" i="220" s="1"/>
  <c r="AO59" i="213"/>
  <c r="F47" i="220" s="1"/>
  <c r="F111" i="220" s="1"/>
  <c r="AN59" i="213"/>
  <c r="E47" i="220" s="1"/>
  <c r="E111" i="220" s="1"/>
  <c r="AM47" i="213"/>
  <c r="D35" i="220" s="1"/>
  <c r="D99" i="220" s="1"/>
  <c r="AO47" i="213"/>
  <c r="F35" i="220" s="1"/>
  <c r="F99" i="220" s="1"/>
  <c r="AN47" i="213"/>
  <c r="E35" i="220" s="1"/>
  <c r="E99" i="220" s="1"/>
  <c r="AM55" i="213"/>
  <c r="D43" i="220" s="1"/>
  <c r="D107" i="220" s="1"/>
  <c r="AN55" i="213"/>
  <c r="E43" i="220" s="1"/>
  <c r="E107" i="220" s="1"/>
  <c r="AO55" i="213"/>
  <c r="F43" i="220" s="1"/>
  <c r="F107" i="220" s="1"/>
  <c r="AM19" i="213"/>
  <c r="D7" i="220" s="1"/>
  <c r="D71" i="220" s="1"/>
  <c r="AN19" i="213"/>
  <c r="AO19" i="213"/>
  <c r="F7" i="220" s="1"/>
  <c r="AM52" i="213"/>
  <c r="AN52" i="213"/>
  <c r="AO52" i="213"/>
  <c r="AM32" i="213"/>
  <c r="D20" i="220" s="1"/>
  <c r="D84" i="220" s="1"/>
  <c r="AO32" i="213"/>
  <c r="F20" i="220" s="1"/>
  <c r="F84" i="220" s="1"/>
  <c r="AN32" i="213"/>
  <c r="E20" i="220" s="1"/>
  <c r="E84" i="220" s="1"/>
  <c r="AN45" i="213"/>
  <c r="E33" i="220" s="1"/>
  <c r="E97" i="220" s="1"/>
  <c r="AO45" i="213"/>
  <c r="F33" i="220" s="1"/>
  <c r="F97" i="220" s="1"/>
  <c r="F66" i="11"/>
  <c r="BE10" i="223" a="1"/>
  <c r="BE10" i="223" s="1"/>
  <c r="F8" i="11"/>
  <c r="F7" i="11" s="1"/>
  <c r="AZ10" i="223" a="1"/>
  <c r="AZ10" i="223" s="1"/>
  <c r="AM53" i="213"/>
  <c r="D41" i="220" s="1"/>
  <c r="D105" i="220" s="1"/>
  <c r="AO53" i="213"/>
  <c r="F41" i="220" s="1"/>
  <c r="F105" i="220" s="1"/>
  <c r="AN53" i="213"/>
  <c r="E41" i="220" s="1"/>
  <c r="E105" i="220" s="1"/>
  <c r="AM49" i="213"/>
  <c r="D37" i="220" s="1"/>
  <c r="D101" i="220" s="1"/>
  <c r="AN49" i="213"/>
  <c r="E37" i="220" s="1"/>
  <c r="E101" i="220" s="1"/>
  <c r="AO49" i="213"/>
  <c r="F37" i="220" s="1"/>
  <c r="F101" i="220" s="1"/>
  <c r="AN44" i="213"/>
  <c r="AO44" i="213"/>
  <c r="BA116" i="223"/>
  <c r="D71" i="11"/>
  <c r="D8" i="11"/>
  <c r="D7" i="11" s="1"/>
  <c r="AK45" i="213"/>
  <c r="AM45" i="213"/>
  <c r="D33" i="220" s="1"/>
  <c r="D97" i="220" s="1"/>
  <c r="AI136" i="11"/>
  <c r="AH136" i="11"/>
  <c r="AK46" i="213"/>
  <c r="B34" i="220" s="1"/>
  <c r="AM46" i="213"/>
  <c r="D34" i="220" s="1"/>
  <c r="D98" i="220" s="1"/>
  <c r="AL57" i="213"/>
  <c r="C45" i="220" s="1"/>
  <c r="C109" i="220" s="1"/>
  <c r="AM57" i="213"/>
  <c r="D45" i="220" s="1"/>
  <c r="D109" i="220" s="1"/>
  <c r="AL31" i="213"/>
  <c r="AM31" i="213"/>
  <c r="BN117" i="1"/>
  <c r="BO117" i="1"/>
  <c r="BH117" i="1" s="1"/>
  <c r="BG80" i="223"/>
  <c r="BH80" i="223"/>
  <c r="BN83" i="1"/>
  <c r="BO83" i="1"/>
  <c r="AK56" i="213"/>
  <c r="AM56" i="213"/>
  <c r="D44" i="220" s="1"/>
  <c r="D108" i="220" s="1"/>
  <c r="AL60" i="213"/>
  <c r="C48" i="220" s="1"/>
  <c r="C112" i="220" s="1"/>
  <c r="AM60" i="213"/>
  <c r="D48" i="220" s="1"/>
  <c r="D112" i="220" s="1"/>
  <c r="AK61" i="213"/>
  <c r="AM61" i="213"/>
  <c r="D49" i="220" s="1"/>
  <c r="D113" i="220" s="1"/>
  <c r="AK36" i="213"/>
  <c r="B24" i="220" s="1"/>
  <c r="BO89" i="1"/>
  <c r="BH89" i="1" s="1"/>
  <c r="BN89" i="1"/>
  <c r="BG138" i="223"/>
  <c r="AH145" i="11"/>
  <c r="AK44" i="213"/>
  <c r="AM44" i="213"/>
  <c r="AL46" i="213"/>
  <c r="C34" i="220" s="1"/>
  <c r="C98" i="220" s="1"/>
  <c r="AK31" i="213"/>
  <c r="F207" i="212"/>
  <c r="AK57" i="213"/>
  <c r="B45" i="220" s="1"/>
  <c r="BH159" i="1"/>
  <c r="BJ159" i="1"/>
  <c r="AL61" i="213"/>
  <c r="C49" i="220" s="1"/>
  <c r="C113" i="220" s="1"/>
  <c r="BF22" i="218"/>
  <c r="AK22" i="218"/>
  <c r="BK22" i="218"/>
  <c r="AW22" i="218"/>
  <c r="AQ22" i="218"/>
  <c r="BN159" i="1"/>
  <c r="BN22" i="218"/>
  <c r="BH197" i="223"/>
  <c r="BG197" i="223"/>
  <c r="BW22" i="218"/>
  <c r="BG89" i="223"/>
  <c r="BH89" i="223"/>
  <c r="BN177" i="1"/>
  <c r="BO177" i="1"/>
  <c r="BT22" i="218"/>
  <c r="AM22" i="218"/>
  <c r="BO181" i="1"/>
  <c r="BN181" i="1"/>
  <c r="BS22" i="218"/>
  <c r="C32" i="220"/>
  <c r="C96" i="220" s="1"/>
  <c r="AR22" i="218"/>
  <c r="BB22" i="218"/>
  <c r="BG22" i="218"/>
  <c r="AP22" i="218"/>
  <c r="BE22" i="218"/>
  <c r="AL45" i="213"/>
  <c r="C33" i="220" s="1"/>
  <c r="C97" i="220" s="1"/>
  <c r="BC22" i="218"/>
  <c r="BU22" i="218"/>
  <c r="AF110" i="11" a="1"/>
  <c r="AF110" i="11" s="1"/>
  <c r="AC110" i="11"/>
  <c r="BO22" i="218"/>
  <c r="BJ22" i="218"/>
  <c r="BY22" i="218"/>
  <c r="BR22" i="218"/>
  <c r="BZ22" i="218"/>
  <c r="BG140" i="223"/>
  <c r="BH140" i="223"/>
  <c r="BH110" i="223"/>
  <c r="BG110" i="223"/>
  <c r="AO22" i="218"/>
  <c r="AN22" i="218"/>
  <c r="AV22" i="218"/>
  <c r="AU22" i="218"/>
  <c r="BG47" i="223"/>
  <c r="BH168" i="1"/>
  <c r="CA22" i="218"/>
  <c r="BO67" i="1"/>
  <c r="BN67" i="1"/>
  <c r="BH86" i="223"/>
  <c r="BG86" i="223"/>
  <c r="BO187" i="1"/>
  <c r="BN187" i="1"/>
  <c r="AK38" i="213"/>
  <c r="AK29" i="213"/>
  <c r="F199" i="212"/>
  <c r="AK30" i="213"/>
  <c r="B28" i="220"/>
  <c r="AK37" i="213"/>
  <c r="B25" i="220" s="1"/>
  <c r="T4" i="218" a="1"/>
  <c r="T4" i="218" s="1"/>
  <c r="BH221" i="223"/>
  <c r="BB221" i="223" s="1"/>
  <c r="BH35" i="223"/>
  <c r="BA35" i="223" s="1"/>
  <c r="BA31" i="223"/>
  <c r="V33" i="240"/>
  <c r="W33" i="240" s="1"/>
  <c r="V33" i="239"/>
  <c r="W33" i="239" s="1"/>
  <c r="BH101" i="1"/>
  <c r="BJ50" i="1"/>
  <c r="V34" i="236"/>
  <c r="W34" i="236" s="1"/>
  <c r="U33" i="235"/>
  <c r="X32" i="235"/>
  <c r="BH187" i="223"/>
  <c r="BG187" i="223"/>
  <c r="O33" i="234"/>
  <c r="X32" i="234"/>
  <c r="U34" i="234"/>
  <c r="BA203" i="223"/>
  <c r="U33" i="233"/>
  <c r="X32" i="233"/>
  <c r="BO138" i="1"/>
  <c r="BH138" i="1" s="1"/>
  <c r="BN138" i="1"/>
  <c r="BO205" i="1"/>
  <c r="BN205" i="1"/>
  <c r="BO195" i="1"/>
  <c r="BN195" i="1"/>
  <c r="BB116" i="223"/>
  <c r="AI277" i="11"/>
  <c r="AH277" i="11"/>
  <c r="BO96" i="1"/>
  <c r="BN96" i="1"/>
  <c r="BG160" i="223"/>
  <c r="AC161" i="11"/>
  <c r="BK14" i="213" a="1"/>
  <c r="BK14" i="213" s="1"/>
  <c r="AF276" i="11" a="1"/>
  <c r="AF276" i="11" s="1"/>
  <c r="AI276" i="11" s="1"/>
  <c r="BJ14" i="213" a="1"/>
  <c r="BJ14" i="213" s="1"/>
  <c r="V33" i="231"/>
  <c r="W33" i="231" s="1"/>
  <c r="U66" i="231"/>
  <c r="BB179" i="223"/>
  <c r="S66" i="230"/>
  <c r="T66" i="230" s="1"/>
  <c r="AF87" i="11" a="1"/>
  <c r="AF87" i="11" s="1"/>
  <c r="AC87" i="11"/>
  <c r="V32" i="230"/>
  <c r="W32" i="230" s="1"/>
  <c r="AI168" i="11"/>
  <c r="AH168" i="11"/>
  <c r="BA101" i="223"/>
  <c r="BB101" i="223"/>
  <c r="BA112" i="223"/>
  <c r="BB112" i="223"/>
  <c r="BO137" i="1"/>
  <c r="BN137" i="1"/>
  <c r="BG38" i="223"/>
  <c r="BO152" i="1"/>
  <c r="BN152" i="1"/>
  <c r="AK35" i="213"/>
  <c r="BO127" i="1"/>
  <c r="BN127" i="1"/>
  <c r="C183" i="11"/>
  <c r="AZ127" i="223" a="1"/>
  <c r="AZ127" i="223" s="1"/>
  <c r="BE127" i="223" a="1"/>
  <c r="BE127" i="223" s="1"/>
  <c r="BN160" i="1"/>
  <c r="BO160" i="1"/>
  <c r="BB170" i="223"/>
  <c r="BA170" i="223"/>
  <c r="AI92" i="11"/>
  <c r="AH92" i="11"/>
  <c r="BO27" i="1"/>
  <c r="BN27" i="1"/>
  <c r="BE27" i="223" a="1"/>
  <c r="BE27" i="223" s="1"/>
  <c r="AZ27" i="223" a="1"/>
  <c r="AZ27" i="223" s="1"/>
  <c r="C83" i="11"/>
  <c r="V4" i="218" a="1"/>
  <c r="V4" i="218" s="1"/>
  <c r="AK49" i="213"/>
  <c r="AL49" i="213"/>
  <c r="C37" i="220" s="1"/>
  <c r="C101" i="220" s="1"/>
  <c r="AK32" i="213"/>
  <c r="AL32" i="213"/>
  <c r="C20" i="220" s="1"/>
  <c r="C84" i="220" s="1"/>
  <c r="I24" i="218"/>
  <c r="A25" i="218"/>
  <c r="C24" i="218"/>
  <c r="Q24" i="218"/>
  <c r="H24" i="218"/>
  <c r="M24" i="218"/>
  <c r="N24" i="218"/>
  <c r="S24" i="218"/>
  <c r="R24" i="218"/>
  <c r="K24" i="218"/>
  <c r="D24" i="218"/>
  <c r="P24" i="218"/>
  <c r="Z24" i="218"/>
  <c r="O24" i="218"/>
  <c r="W24" i="218"/>
  <c r="X24" i="218"/>
  <c r="E24" i="218"/>
  <c r="T24" i="218"/>
  <c r="F24" i="218"/>
  <c r="G24" i="218"/>
  <c r="U24" i="218"/>
  <c r="L24" i="218"/>
  <c r="AA24" i="218"/>
  <c r="J24" i="218"/>
  <c r="Y24" i="218"/>
  <c r="V24" i="218"/>
  <c r="AB24" i="218"/>
  <c r="BG15" i="223"/>
  <c r="BH15" i="223"/>
  <c r="D220" i="212"/>
  <c r="BR7" i="213"/>
  <c r="BQ7" i="213"/>
  <c r="BO52" i="1"/>
  <c r="BN52" i="1"/>
  <c r="AF124" i="11" a="1"/>
  <c r="AF124" i="11" s="1"/>
  <c r="AC124" i="11"/>
  <c r="BO68" i="1"/>
  <c r="BN68" i="1"/>
  <c r="BH68" i="223"/>
  <c r="BG68" i="223"/>
  <c r="BN174" i="1"/>
  <c r="BO174" i="1"/>
  <c r="BA74" i="223"/>
  <c r="BB74" i="223"/>
  <c r="BH220" i="223"/>
  <c r="BG220" i="223"/>
  <c r="BJ166" i="1"/>
  <c r="BH166" i="1"/>
  <c r="S4" i="218" a="1"/>
  <c r="S4" i="218" s="1"/>
  <c r="R4" i="218" a="1"/>
  <c r="R4" i="218" s="1"/>
  <c r="Q4" i="218" a="1"/>
  <c r="Q4" i="218" s="1"/>
  <c r="BJ33" i="1"/>
  <c r="BH33" i="1"/>
  <c r="P4" i="218" a="1"/>
  <c r="P4" i="218" s="1"/>
  <c r="N4" i="218" a="1"/>
  <c r="N4" i="218" s="1"/>
  <c r="BH25" i="223"/>
  <c r="BG25" i="223"/>
  <c r="M4" i="218" a="1"/>
  <c r="M4" i="218" s="1"/>
  <c r="AF81" i="11" a="1"/>
  <c r="AF81" i="11" s="1"/>
  <c r="AC81" i="11"/>
  <c r="K4" i="218" a="1"/>
  <c r="K4" i="218" s="1"/>
  <c r="BO103" i="1"/>
  <c r="BN103" i="1"/>
  <c r="BR5" i="213"/>
  <c r="BQ5" i="213"/>
  <c r="I4" i="218" a="1"/>
  <c r="I4" i="218" s="1"/>
  <c r="AB4" i="218" a="1"/>
  <c r="AB4" i="218" s="1"/>
  <c r="Y4" i="218" a="1"/>
  <c r="Y4" i="218" s="1"/>
  <c r="BG50" i="223"/>
  <c r="BH50" i="223"/>
  <c r="X4" i="218" a="1"/>
  <c r="X4" i="218" s="1"/>
  <c r="AC106" i="11"/>
  <c r="AF106" i="11" a="1"/>
  <c r="AF106" i="11" s="1"/>
  <c r="AF159" i="11" a="1"/>
  <c r="AF159" i="11" s="1"/>
  <c r="AC159" i="11"/>
  <c r="W4" i="218" a="1"/>
  <c r="W4" i="218" s="1"/>
  <c r="BH64" i="223"/>
  <c r="BG64" i="223"/>
  <c r="BO171" i="1"/>
  <c r="BN171" i="1"/>
  <c r="BH140" i="1"/>
  <c r="BJ140" i="1"/>
  <c r="AI210" i="11"/>
  <c r="AH210" i="11"/>
  <c r="BO38" i="1"/>
  <c r="BN38" i="1"/>
  <c r="BH24" i="223"/>
  <c r="BG24" i="223"/>
  <c r="C219" i="11"/>
  <c r="BE163" i="223" a="1"/>
  <c r="BE163" i="223" s="1"/>
  <c r="AZ163" i="223" a="1"/>
  <c r="AZ163" i="223" s="1"/>
  <c r="AI198" i="11"/>
  <c r="AH198" i="11"/>
  <c r="AF193" i="11" a="1"/>
  <c r="AF193" i="11" s="1"/>
  <c r="AC193" i="11"/>
  <c r="AF149" i="11" a="1"/>
  <c r="AF149" i="11" s="1"/>
  <c r="AC149" i="11"/>
  <c r="AF132" i="11" a="1"/>
  <c r="AF132" i="11" s="1"/>
  <c r="AC132" i="11"/>
  <c r="BN21" i="1"/>
  <c r="BO21" i="1"/>
  <c r="BH108" i="1"/>
  <c r="AC80" i="11"/>
  <c r="AF80" i="11" a="1"/>
  <c r="AF80" i="11" s="1"/>
  <c r="BA181" i="223"/>
  <c r="BB181" i="223"/>
  <c r="AK48" i="213"/>
  <c r="AL48" i="213"/>
  <c r="C36" i="220" s="1"/>
  <c r="C100" i="220" s="1"/>
  <c r="BH137" i="223"/>
  <c r="BG137" i="223"/>
  <c r="BG93" i="223"/>
  <c r="BH93" i="223"/>
  <c r="BH95" i="223"/>
  <c r="BG95" i="223"/>
  <c r="BJ215" i="1"/>
  <c r="BH215" i="1"/>
  <c r="BB52" i="223"/>
  <c r="BA52" i="223"/>
  <c r="BO132" i="1"/>
  <c r="BN132" i="1"/>
  <c r="C264" i="11"/>
  <c r="BE208" i="223" a="1"/>
  <c r="BE208" i="223" s="1"/>
  <c r="AZ208" i="223" a="1"/>
  <c r="AZ208" i="223" s="1"/>
  <c r="C33" i="11"/>
  <c r="C55" i="11" s="1"/>
  <c r="AA55" i="11" s="1"/>
  <c r="BB159" i="223"/>
  <c r="BA159" i="223"/>
  <c r="AZ132" i="223" a="1"/>
  <c r="AZ132" i="223" s="1"/>
  <c r="C188" i="11"/>
  <c r="BE132" i="223" a="1"/>
  <c r="BE132" i="223" s="1"/>
  <c r="BN59" i="1"/>
  <c r="BO59" i="1"/>
  <c r="U4" i="218" a="1"/>
  <c r="U4" i="218" s="1"/>
  <c r="BA152" i="223"/>
  <c r="BB152" i="223"/>
  <c r="AI151" i="11"/>
  <c r="AH151" i="11"/>
  <c r="BH106" i="223"/>
  <c r="BG106" i="223"/>
  <c r="B115" i="11"/>
  <c r="AZ59" i="223" a="1"/>
  <c r="AZ59" i="223" s="1"/>
  <c r="BE59" i="223" a="1"/>
  <c r="BE59" i="223" s="1"/>
  <c r="B16" i="11"/>
  <c r="B14" i="11" s="1"/>
  <c r="B44" i="11" s="1"/>
  <c r="C129" i="11"/>
  <c r="AZ73" i="223" a="1"/>
  <c r="AZ73" i="223" s="1"/>
  <c r="BE73" i="223" a="1"/>
  <c r="BE73" i="223" s="1"/>
  <c r="BA174" i="223"/>
  <c r="BB174" i="223"/>
  <c r="BO120" i="1"/>
  <c r="BN120" i="1"/>
  <c r="AC162" i="11"/>
  <c r="AF162" i="11" a="1"/>
  <c r="AF162" i="11" s="1"/>
  <c r="BH173" i="223"/>
  <c r="BG173" i="223"/>
  <c r="BO220" i="1"/>
  <c r="BN220" i="1"/>
  <c r="AC94" i="11"/>
  <c r="AF94" i="11" a="1"/>
  <c r="AF94" i="11" s="1"/>
  <c r="BH12" i="223"/>
  <c r="BG12" i="223"/>
  <c r="BA117" i="223"/>
  <c r="BB117" i="223"/>
  <c r="BH61" i="223"/>
  <c r="BG61" i="223"/>
  <c r="AK41" i="213"/>
  <c r="AF68" i="11" a="1"/>
  <c r="AF68" i="11" s="1"/>
  <c r="AC68" i="11"/>
  <c r="BO95" i="1"/>
  <c r="BN95" i="1"/>
  <c r="AK28" i="213"/>
  <c r="AF229" i="11" a="1"/>
  <c r="AF229" i="11" s="1"/>
  <c r="AC229" i="11"/>
  <c r="O4" i="218" a="1"/>
  <c r="O4" i="218" s="1"/>
  <c r="BG218" i="223"/>
  <c r="BH218" i="223"/>
  <c r="BG126" i="223"/>
  <c r="BH126" i="223"/>
  <c r="BB20" i="223"/>
  <c r="BA20" i="223"/>
  <c r="BA194" i="223"/>
  <c r="BB194" i="223"/>
  <c r="AF117" i="11" a="1"/>
  <c r="AF117" i="11" s="1"/>
  <c r="AC117" i="11"/>
  <c r="AF274" i="11" a="1"/>
  <c r="AF274" i="11" s="1"/>
  <c r="AC274" i="11"/>
  <c r="AF244" i="11" a="1"/>
  <c r="AF244" i="11" s="1"/>
  <c r="AC244" i="11"/>
  <c r="BO154" i="1"/>
  <c r="BN154" i="1"/>
  <c r="AF182" i="11" a="1"/>
  <c r="AF182" i="11" s="1"/>
  <c r="AC182" i="11"/>
  <c r="AK39" i="213"/>
  <c r="AC158" i="11"/>
  <c r="AF158" i="11" a="1"/>
  <c r="AF158" i="11" s="1"/>
  <c r="AA4" i="218" a="1"/>
  <c r="AA4" i="218" s="1"/>
  <c r="L4" i="218" a="1"/>
  <c r="L4" i="218" s="1"/>
  <c r="BJ80" i="1"/>
  <c r="BH80" i="1"/>
  <c r="BO163" i="1"/>
  <c r="BN163" i="1"/>
  <c r="BO176" i="1"/>
  <c r="BN176" i="1"/>
  <c r="AC210" i="11"/>
  <c r="E219" i="212"/>
  <c r="AI62" i="213" s="1"/>
  <c r="Z4" i="218" a="1"/>
  <c r="Z4" i="218" s="1"/>
  <c r="BH154" i="223"/>
  <c r="BG154" i="223"/>
  <c r="BJ97" i="1"/>
  <c r="BH97" i="1"/>
  <c r="BH102" i="223"/>
  <c r="BG102" i="223"/>
  <c r="AC151" i="11"/>
  <c r="BR13" i="213"/>
  <c r="BQ13" i="213"/>
  <c r="BR11" i="213"/>
  <c r="BQ11" i="213"/>
  <c r="BB192" i="223"/>
  <c r="AI248" i="11"/>
  <c r="AH248" i="11"/>
  <c r="BA177" i="223"/>
  <c r="BB177" i="223"/>
  <c r="AI251" i="11"/>
  <c r="AH251" i="11"/>
  <c r="AI153" i="11"/>
  <c r="AH153" i="11"/>
  <c r="AI233" i="11"/>
  <c r="AH233" i="11"/>
  <c r="BA78" i="223"/>
  <c r="BB78" i="223"/>
  <c r="AI134" i="11"/>
  <c r="AH134" i="11"/>
  <c r="BJ164" i="1"/>
  <c r="BA206" i="223"/>
  <c r="BB206" i="223"/>
  <c r="AH138" i="11"/>
  <c r="AI138" i="11"/>
  <c r="BA205" i="223"/>
  <c r="BB205" i="223"/>
  <c r="AH147" i="11"/>
  <c r="AI147" i="11"/>
  <c r="BB13" i="223"/>
  <c r="BA13" i="223"/>
  <c r="AH171" i="11"/>
  <c r="AI171" i="11"/>
  <c r="BA121" i="223"/>
  <c r="BB121" i="223"/>
  <c r="BA199" i="223"/>
  <c r="BB199" i="223"/>
  <c r="AI246" i="11"/>
  <c r="AH246" i="11"/>
  <c r="BA84" i="223"/>
  <c r="BB84" i="223"/>
  <c r="BH23" i="1"/>
  <c r="BJ23" i="1"/>
  <c r="AI275" i="11"/>
  <c r="AH275" i="11"/>
  <c r="BJ190" i="1"/>
  <c r="BH190" i="1"/>
  <c r="BH110" i="1"/>
  <c r="BJ110" i="1"/>
  <c r="BB211" i="223"/>
  <c r="BA211" i="223"/>
  <c r="BJ65" i="1"/>
  <c r="BH65" i="1"/>
  <c r="BJ125" i="1"/>
  <c r="BH125" i="1"/>
  <c r="AH197" i="11"/>
  <c r="AI197" i="11"/>
  <c r="BA105" i="223"/>
  <c r="BB105" i="223"/>
  <c r="BJ199" i="1"/>
  <c r="BH199" i="1"/>
  <c r="AI121" i="11"/>
  <c r="AH121" i="11"/>
  <c r="BA91" i="223"/>
  <c r="BB91" i="223"/>
  <c r="BA82" i="223"/>
  <c r="BB82" i="223"/>
  <c r="BH128" i="1"/>
  <c r="BJ128" i="1"/>
  <c r="AI161" i="11"/>
  <c r="AH161" i="11"/>
  <c r="BA124" i="223"/>
  <c r="BB124" i="223"/>
  <c r="BA38" i="223"/>
  <c r="BB38" i="223"/>
  <c r="BJ136" i="1"/>
  <c r="BH136" i="1"/>
  <c r="AH241" i="11"/>
  <c r="AI241" i="11"/>
  <c r="AI196" i="11"/>
  <c r="AH196" i="11"/>
  <c r="BB67" i="223"/>
  <c r="BA67" i="223"/>
  <c r="BL9" i="213"/>
  <c r="BM9" i="213"/>
  <c r="BH34" i="1"/>
  <c r="BJ34" i="1"/>
  <c r="BJ54" i="1"/>
  <c r="BH54" i="1"/>
  <c r="BA191" i="223"/>
  <c r="BB191" i="223"/>
  <c r="AI261" i="11"/>
  <c r="AH261" i="11"/>
  <c r="BH115" i="1"/>
  <c r="BJ115" i="1"/>
  <c r="BA141" i="223"/>
  <c r="BB141" i="223"/>
  <c r="BA149" i="223"/>
  <c r="BB149" i="223"/>
  <c r="BB164" i="223"/>
  <c r="BA164" i="223"/>
  <c r="BA190" i="223"/>
  <c r="BB190" i="223"/>
  <c r="AI177" i="11"/>
  <c r="AH177" i="11"/>
  <c r="BA57" i="223"/>
  <c r="BB57" i="223"/>
  <c r="AI113" i="11"/>
  <c r="AH113" i="11"/>
  <c r="BA49" i="223"/>
  <c r="BB49" i="223"/>
  <c r="AI172" i="11"/>
  <c r="AH172" i="11"/>
  <c r="AI220" i="11"/>
  <c r="AH220" i="11"/>
  <c r="AH216" i="11"/>
  <c r="AI216" i="11"/>
  <c r="BA185" i="223"/>
  <c r="BB185" i="223"/>
  <c r="BB128" i="223"/>
  <c r="BA128" i="223"/>
  <c r="AI254" i="11"/>
  <c r="AH254" i="11"/>
  <c r="BA146" i="223"/>
  <c r="BB146" i="223"/>
  <c r="BJ51" i="1"/>
  <c r="BH51" i="1"/>
  <c r="BB115" i="223"/>
  <c r="BA115" i="223"/>
  <c r="BH82" i="1"/>
  <c r="BJ82" i="1"/>
  <c r="BA212" i="223"/>
  <c r="BB212" i="223"/>
  <c r="BJ75" i="1"/>
  <c r="BH75" i="1"/>
  <c r="BB160" i="223"/>
  <c r="BA160" i="223"/>
  <c r="BA168" i="223"/>
  <c r="BB168" i="223"/>
  <c r="BH169" i="1"/>
  <c r="BJ169" i="1"/>
  <c r="AI181" i="11"/>
  <c r="AH181" i="11"/>
  <c r="BJ150" i="1"/>
  <c r="BH150" i="1"/>
  <c r="BA21" i="223"/>
  <c r="BB21" i="223"/>
  <c r="BA158" i="223"/>
  <c r="BB158" i="223"/>
  <c r="AI139" i="11"/>
  <c r="AH139" i="11"/>
  <c r="AI202" i="11"/>
  <c r="AH202" i="11"/>
  <c r="BB96" i="223"/>
  <c r="BB135" i="223"/>
  <c r="BJ219" i="1"/>
  <c r="BH219" i="1"/>
  <c r="AI232" i="11"/>
  <c r="AH232" i="11"/>
  <c r="BA65" i="223"/>
  <c r="BB65" i="223"/>
  <c r="AH262" i="11"/>
  <c r="AI262" i="11"/>
  <c r="AH180" i="11"/>
  <c r="AI180" i="11"/>
  <c r="BA142" i="223"/>
  <c r="BJ206" i="1"/>
  <c r="BH206" i="1"/>
  <c r="C203" i="11"/>
  <c r="AZ147" i="223" a="1"/>
  <c r="AZ147" i="223" s="1"/>
  <c r="BE147" i="223" a="1"/>
  <c r="BE147" i="223" s="1"/>
  <c r="C25" i="11"/>
  <c r="C49" i="11" s="1"/>
  <c r="AA49" i="11" s="1"/>
  <c r="BN32" i="1"/>
  <c r="BO32" i="1"/>
  <c r="AL52" i="213"/>
  <c r="AK52" i="213"/>
  <c r="AZ165" i="223" a="1"/>
  <c r="AZ165" i="223" s="1"/>
  <c r="C221" i="11"/>
  <c r="BE165" i="223" a="1"/>
  <c r="BE165" i="223" s="1"/>
  <c r="B46" i="220"/>
  <c r="BN157" i="1"/>
  <c r="BO157" i="1"/>
  <c r="AK53" i="213"/>
  <c r="AL53" i="213"/>
  <c r="C41" i="220" s="1"/>
  <c r="C105" i="220" s="1"/>
  <c r="C213" i="11"/>
  <c r="AZ157" i="223" a="1"/>
  <c r="AZ157" i="223" s="1"/>
  <c r="BE157" i="223" a="1"/>
  <c r="BE157" i="223" s="1"/>
  <c r="C27" i="11"/>
  <c r="C26" i="11" s="1"/>
  <c r="C50" i="11" s="1"/>
  <c r="BE32" i="223" a="1"/>
  <c r="BE32" i="223" s="1"/>
  <c r="AZ32" i="223" a="1"/>
  <c r="AZ32" i="223" s="1"/>
  <c r="C88" i="11"/>
  <c r="C11" i="11"/>
  <c r="C10" i="11" s="1"/>
  <c r="BN131" i="1"/>
  <c r="BO131" i="1"/>
  <c r="BO11" i="1"/>
  <c r="BN11" i="1"/>
  <c r="AL55" i="213"/>
  <c r="C43" i="220" s="1"/>
  <c r="C107" i="220" s="1"/>
  <c r="AK55" i="213"/>
  <c r="BG224" i="1"/>
  <c r="C187" i="11"/>
  <c r="AZ131" i="223" a="1"/>
  <c r="AZ131" i="223" s="1"/>
  <c r="BE131" i="223" a="1"/>
  <c r="BE131" i="223" s="1"/>
  <c r="C23" i="11"/>
  <c r="BE11" i="223" a="1"/>
  <c r="BE11" i="223" s="1"/>
  <c r="AZ11" i="223" a="1"/>
  <c r="AZ11" i="223" s="1"/>
  <c r="C67" i="11"/>
  <c r="C8" i="11"/>
  <c r="BO17" i="1"/>
  <c r="BN17" i="1"/>
  <c r="BO113" i="1"/>
  <c r="BN113" i="1"/>
  <c r="BO183" i="1"/>
  <c r="BN183" i="1"/>
  <c r="BE17" i="223" a="1"/>
  <c r="BE17" i="223" s="1"/>
  <c r="AZ17" i="223" a="1"/>
  <c r="AZ17" i="223" s="1"/>
  <c r="B73" i="11"/>
  <c r="B8" i="11"/>
  <c r="F219" i="212"/>
  <c r="C169" i="11"/>
  <c r="AZ113" i="223" a="1"/>
  <c r="AZ113" i="223" s="1"/>
  <c r="BE113" i="223" a="1"/>
  <c r="BE113" i="223" s="1"/>
  <c r="C22" i="11"/>
  <c r="BO172" i="1"/>
  <c r="BN172" i="1"/>
  <c r="B239" i="11"/>
  <c r="AZ183" i="223" a="1"/>
  <c r="AZ183" i="223" s="1"/>
  <c r="BE183" i="223" a="1"/>
  <c r="BE183" i="223" s="1"/>
  <c r="B29" i="11"/>
  <c r="B51" i="11" s="1"/>
  <c r="BO28" i="1"/>
  <c r="BN28" i="1"/>
  <c r="BO26" i="1"/>
  <c r="BN26" i="1"/>
  <c r="BN186" i="1"/>
  <c r="BO186" i="1"/>
  <c r="BO87" i="1"/>
  <c r="BN87" i="1"/>
  <c r="AZ26" i="223" a="1"/>
  <c r="AZ26" i="223" s="1"/>
  <c r="B82" i="11"/>
  <c r="BE26" i="223" a="1"/>
  <c r="BE26" i="223" s="1"/>
  <c r="B9" i="11"/>
  <c r="BE186" i="223" a="1"/>
  <c r="BE186" i="223" s="1"/>
  <c r="C242" i="11"/>
  <c r="AZ186" i="223" a="1"/>
  <c r="AZ186" i="223" s="1"/>
  <c r="C29" i="11"/>
  <c r="C51" i="11" s="1"/>
  <c r="B48" i="220"/>
  <c r="B228" i="11"/>
  <c r="AZ172" i="223" a="1"/>
  <c r="AZ172" i="223" s="1"/>
  <c r="BE172" i="223" a="1"/>
  <c r="BE172" i="223" s="1"/>
  <c r="B28" i="11"/>
  <c r="B26" i="11" s="1"/>
  <c r="B50" i="11" s="1"/>
  <c r="BE28" i="223" a="1"/>
  <c r="BE28" i="223" s="1"/>
  <c r="AZ28" i="223" a="1"/>
  <c r="AZ28" i="223" s="1"/>
  <c r="B84" i="11"/>
  <c r="C143" i="11"/>
  <c r="BE87" i="223" a="1"/>
  <c r="BE87" i="223" s="1"/>
  <c r="AZ87" i="223" a="1"/>
  <c r="AZ87" i="223" s="1"/>
  <c r="C18" i="11"/>
  <c r="C45" i="11" s="1"/>
  <c r="AA45" i="11" s="1"/>
  <c r="BO70" i="1"/>
  <c r="BN70" i="1"/>
  <c r="BO19" i="1"/>
  <c r="BN19" i="1"/>
  <c r="AK19" i="213"/>
  <c r="AL19" i="213"/>
  <c r="AZ70" i="223" a="1"/>
  <c r="AZ70" i="223" s="1"/>
  <c r="C126" i="11"/>
  <c r="BE70" i="223" a="1"/>
  <c r="BE70" i="223" s="1"/>
  <c r="C17" i="11"/>
  <c r="C75" i="11"/>
  <c r="BE19" i="223" a="1"/>
  <c r="BE19" i="223" s="1"/>
  <c r="AZ19" i="223" a="1"/>
  <c r="AZ19" i="223" s="1"/>
  <c r="C9" i="11"/>
  <c r="Y54" i="218"/>
  <c r="L54" i="218"/>
  <c r="F54" i="218"/>
  <c r="AB54" i="218"/>
  <c r="J54" i="218"/>
  <c r="P54" i="218"/>
  <c r="N54" i="218"/>
  <c r="T54" i="218"/>
  <c r="V54" i="218"/>
  <c r="A55" i="218"/>
  <c r="Z54" i="218"/>
  <c r="AC54" i="218" a="1"/>
  <c r="AC54" i="218" s="1"/>
  <c r="G54" i="218"/>
  <c r="K54" i="218"/>
  <c r="O54" i="218"/>
  <c r="AD54" i="218"/>
  <c r="S54" i="218"/>
  <c r="E54" i="218"/>
  <c r="W54" i="218"/>
  <c r="I54" i="218"/>
  <c r="AA54" i="218"/>
  <c r="M54" i="218"/>
  <c r="H54" i="218"/>
  <c r="Q54" i="218"/>
  <c r="X54" i="218"/>
  <c r="U54" i="218"/>
  <c r="D54" i="218"/>
  <c r="R54" i="218"/>
  <c r="C54" i="218"/>
  <c r="BO196" i="1"/>
  <c r="BN196" i="1"/>
  <c r="B252" i="11"/>
  <c r="AZ196" i="223" a="1"/>
  <c r="AZ196" i="223" s="1"/>
  <c r="BE196" i="223" a="1"/>
  <c r="BE196" i="223" s="1"/>
  <c r="B30" i="11"/>
  <c r="BN165" i="1"/>
  <c r="BO165" i="1"/>
  <c r="BO147" i="1"/>
  <c r="BN147" i="1"/>
  <c r="P5" i="218" l="1" a="1"/>
  <c r="P5" i="218" s="1"/>
  <c r="BC6" i="218"/>
  <c r="F7" i="9"/>
  <c r="F26" i="9" s="1"/>
  <c r="G7" i="9"/>
  <c r="G26" i="9" s="1"/>
  <c r="BN23" i="218"/>
  <c r="AH101" i="11"/>
  <c r="BA90" i="223"/>
  <c r="BJ146" i="1"/>
  <c r="BJ64" i="1"/>
  <c r="BA222" i="223"/>
  <c r="BB210" i="223"/>
  <c r="Y5" i="218" a="1"/>
  <c r="Y5" i="218" s="1"/>
  <c r="Q5" i="218" a="1"/>
  <c r="Q5" i="218" s="1"/>
  <c r="BJ58" i="213" a="1"/>
  <c r="BJ58" i="213" s="1"/>
  <c r="BO58" i="213" a="1"/>
  <c r="BO58" i="213" s="1"/>
  <c r="BK58" i="213" a="1"/>
  <c r="BK58" i="213" s="1"/>
  <c r="U5" i="218" a="1"/>
  <c r="U5" i="218" s="1"/>
  <c r="S5" i="218" a="1"/>
  <c r="S5" i="218" s="1"/>
  <c r="X5" i="218" a="1"/>
  <c r="X5" i="218" s="1"/>
  <c r="BH151" i="1"/>
  <c r="BJ84" i="1"/>
  <c r="Z5" i="218" a="1"/>
  <c r="Z5" i="218" s="1"/>
  <c r="AL23" i="218"/>
  <c r="AS23" i="218"/>
  <c r="BL23" i="218"/>
  <c r="BA23" i="218"/>
  <c r="BG23" i="218"/>
  <c r="CA23" i="218"/>
  <c r="AV23" i="218"/>
  <c r="AM23" i="218"/>
  <c r="BM23" i="218"/>
  <c r="AR23" i="218"/>
  <c r="BB23" i="218"/>
  <c r="BX23" i="218"/>
  <c r="AN23" i="218"/>
  <c r="BC23" i="218"/>
  <c r="BJ139" i="1"/>
  <c r="BM12" i="213"/>
  <c r="AI247" i="11"/>
  <c r="AC53" i="218" a="1"/>
  <c r="AC53" i="218" s="1"/>
  <c r="BH73" i="1"/>
  <c r="AA5" i="218" a="1"/>
  <c r="AA5" i="218" s="1"/>
  <c r="AB5" i="218" a="1"/>
  <c r="AB5" i="218" s="1"/>
  <c r="L5" i="218" a="1"/>
  <c r="L5" i="218" s="1"/>
  <c r="R5" i="218" a="1"/>
  <c r="R5" i="218" s="1"/>
  <c r="V5" i="218" a="1"/>
  <c r="V5" i="218" s="1"/>
  <c r="I5" i="218" a="1"/>
  <c r="I5" i="218" s="1"/>
  <c r="O5" i="218" a="1"/>
  <c r="O5" i="218" s="1"/>
  <c r="K5" i="218" a="1"/>
  <c r="K5" i="218" s="1"/>
  <c r="N5" i="218" a="1"/>
  <c r="N5" i="218" s="1"/>
  <c r="M5" i="218" a="1"/>
  <c r="M5" i="218" s="1"/>
  <c r="D5" i="218" a="1"/>
  <c r="D5" i="218" s="1"/>
  <c r="D36" i="218" s="1"/>
  <c r="W5" i="218" a="1"/>
  <c r="W5" i="218" s="1"/>
  <c r="T5" i="218" a="1"/>
  <c r="T5" i="218" s="1"/>
  <c r="BA45" i="223"/>
  <c r="BH208" i="1"/>
  <c r="BJ25" i="1"/>
  <c r="BA119" i="223"/>
  <c r="BJ10" i="1"/>
  <c r="BB161" i="223"/>
  <c r="BH192" i="1"/>
  <c r="BH20" i="1"/>
  <c r="BA120" i="223"/>
  <c r="BJ37" i="1"/>
  <c r="BJ15" i="1"/>
  <c r="BJ207" i="1"/>
  <c r="BJ170" i="1"/>
  <c r="BH121" i="1"/>
  <c r="AH137" i="11"/>
  <c r="BH92" i="1"/>
  <c r="BJ48" i="1"/>
  <c r="AB25" i="9"/>
  <c r="AC25" i="9" s="1"/>
  <c r="AC23" i="218" a="1"/>
  <c r="AC23" i="218" s="1"/>
  <c r="AD23" i="218" s="1"/>
  <c r="AX23" i="218"/>
  <c r="BT23" i="218"/>
  <c r="AP23" i="218"/>
  <c r="BR23" i="218"/>
  <c r="AK23" i="218"/>
  <c r="BD23" i="218"/>
  <c r="AQ23" i="218"/>
  <c r="AU23" i="218"/>
  <c r="AW23" i="218"/>
  <c r="AO23" i="218"/>
  <c r="BF23" i="218"/>
  <c r="BK23" i="218"/>
  <c r="AT23" i="218"/>
  <c r="BS23" i="218"/>
  <c r="BZ23" i="218"/>
  <c r="BE23" i="218"/>
  <c r="BO23" i="218"/>
  <c r="BJ23" i="218"/>
  <c r="BV23" i="218"/>
  <c r="E7" i="9"/>
  <c r="E26" i="9" s="1"/>
  <c r="D7" i="9"/>
  <c r="D26" i="9" s="1"/>
  <c r="BL24" i="218"/>
  <c r="AO24" i="218"/>
  <c r="BM4" i="213"/>
  <c r="AI103" i="11"/>
  <c r="BJ47" i="1"/>
  <c r="D5" i="214"/>
  <c r="F5" i="214" s="1"/>
  <c r="AC24" i="9"/>
  <c r="BB171" i="223"/>
  <c r="BH188" i="1"/>
  <c r="BJ158" i="1"/>
  <c r="BH193" i="1"/>
  <c r="BJ85" i="1"/>
  <c r="AH176" i="11"/>
  <c r="BJ114" i="1"/>
  <c r="BH63" i="1"/>
  <c r="BG24" i="218"/>
  <c r="BT24" i="218"/>
  <c r="AI24" i="218"/>
  <c r="BR24" i="218"/>
  <c r="BJ24" i="218"/>
  <c r="BZ24" i="218"/>
  <c r="AG25" i="218"/>
  <c r="BG25" i="218" s="1"/>
  <c r="AT24" i="218"/>
  <c r="BH209" i="1"/>
  <c r="CA24" i="218"/>
  <c r="AK24" i="218"/>
  <c r="AQ24" i="218"/>
  <c r="BN24" i="218"/>
  <c r="AR24" i="218"/>
  <c r="BJ182" i="1"/>
  <c r="BC24" i="218"/>
  <c r="AX24" i="218"/>
  <c r="BJ16" i="1"/>
  <c r="BW24" i="218"/>
  <c r="BA24" i="218"/>
  <c r="AN24" i="218"/>
  <c r="BD24" i="218"/>
  <c r="BH197" i="1"/>
  <c r="BU24" i="218"/>
  <c r="AU24" i="218"/>
  <c r="BE24" i="218"/>
  <c r="BM24" i="218"/>
  <c r="BY24" i="218"/>
  <c r="BB24" i="218"/>
  <c r="AM24" i="218"/>
  <c r="BS24" i="218"/>
  <c r="BK24" i="218"/>
  <c r="AW24" i="218"/>
  <c r="BO24" i="218"/>
  <c r="AS24" i="218"/>
  <c r="BV24" i="218"/>
  <c r="BX24" i="218"/>
  <c r="AP24" i="218"/>
  <c r="BF24" i="218"/>
  <c r="AV24" i="218"/>
  <c r="E190" i="212"/>
  <c r="AI33" i="213" s="1"/>
  <c r="AI66" i="213" s="1"/>
  <c r="AE68" i="213" s="1"/>
  <c r="BB216" i="223"/>
  <c r="BB204" i="223"/>
  <c r="BJ221" i="1"/>
  <c r="AI201" i="11"/>
  <c r="BH86" i="1"/>
  <c r="BB198" i="223"/>
  <c r="BB175" i="223"/>
  <c r="BA75" i="223"/>
  <c r="BH153" i="1"/>
  <c r="BH223" i="1"/>
  <c r="AD50" i="218"/>
  <c r="BB39" i="223"/>
  <c r="BB162" i="223"/>
  <c r="BB148" i="223"/>
  <c r="BB76" i="223"/>
  <c r="BJ31" i="1"/>
  <c r="BJ53" i="1"/>
  <c r="BB54" i="223"/>
  <c r="CA6" i="218"/>
  <c r="BS6" i="218"/>
  <c r="BA6" i="218"/>
  <c r="BY6" i="218"/>
  <c r="BM6" i="218"/>
  <c r="AK6" i="218"/>
  <c r="BJ6" i="218"/>
  <c r="BV6" i="218"/>
  <c r="AO6" i="218"/>
  <c r="BG6" i="218"/>
  <c r="BR6" i="218"/>
  <c r="AT6" i="218"/>
  <c r="BL6" i="218"/>
  <c r="BZ6" i="218"/>
  <c r="BB6" i="218"/>
  <c r="BU6" i="218"/>
  <c r="BK6" i="218"/>
  <c r="BO6" i="218"/>
  <c r="BT6" i="218"/>
  <c r="BN6" i="218"/>
  <c r="AV6" i="218"/>
  <c r="BF6" i="218"/>
  <c r="AX6" i="218"/>
  <c r="BD6" i="218"/>
  <c r="AW6" i="218"/>
  <c r="BE6" i="218"/>
  <c r="AM6" i="218"/>
  <c r="AQ6" i="218"/>
  <c r="BW6" i="218"/>
  <c r="AU6" i="218"/>
  <c r="BX6" i="218"/>
  <c r="AP6" i="218"/>
  <c r="AN6" i="218"/>
  <c r="AL6" i="218"/>
  <c r="AS6" i="218"/>
  <c r="B8" i="9"/>
  <c r="A9" i="9"/>
  <c r="B27" i="9"/>
  <c r="A9" i="214"/>
  <c r="AG8" i="218"/>
  <c r="AI7" i="218"/>
  <c r="AK7" i="218" s="1"/>
  <c r="AB6" i="9"/>
  <c r="AC6" i="9" s="1"/>
  <c r="AC9" i="218" a="1"/>
  <c r="AC9" i="218" s="1"/>
  <c r="AD9" i="218"/>
  <c r="C7" i="9"/>
  <c r="AK42" i="213"/>
  <c r="B30" i="220" s="1"/>
  <c r="AK62" i="213"/>
  <c r="B50" i="220" s="1"/>
  <c r="AH191" i="11"/>
  <c r="BH212" i="1"/>
  <c r="BH69" i="1"/>
  <c r="BJ130" i="1"/>
  <c r="BA81" i="223"/>
  <c r="BG37" i="223"/>
  <c r="BG188" i="223"/>
  <c r="BB150" i="223"/>
  <c r="BJ107" i="1"/>
  <c r="BH134" i="1"/>
  <c r="BJ134" i="1"/>
  <c r="BA22" i="223"/>
  <c r="BH62" i="1"/>
  <c r="E220" i="212"/>
  <c r="F220" i="212"/>
  <c r="B52" i="11"/>
  <c r="AA52" i="11" s="1"/>
  <c r="B111" i="220"/>
  <c r="AA111" i="220" s="1" a="1"/>
  <c r="AA111" i="220" s="1"/>
  <c r="AB111" i="220" s="1"/>
  <c r="AA47" i="220" a="1"/>
  <c r="AA47" i="220" s="1"/>
  <c r="AB47" i="220" s="1"/>
  <c r="B110" i="220"/>
  <c r="AA110" i="220" s="1" a="1"/>
  <c r="AA110" i="220" s="1"/>
  <c r="AB110" i="220" s="1"/>
  <c r="AA46" i="220" a="1"/>
  <c r="AA46" i="220" s="1"/>
  <c r="AB46" i="220" s="1"/>
  <c r="B109" i="220"/>
  <c r="AA109" i="220" s="1" a="1"/>
  <c r="AA109" i="220" s="1"/>
  <c r="AB109" i="220" s="1"/>
  <c r="AA45" i="220" a="1"/>
  <c r="AA45" i="220" s="1"/>
  <c r="AB45" i="220" s="1"/>
  <c r="B88" i="220"/>
  <c r="B98" i="220"/>
  <c r="AA98" i="220" s="1" a="1"/>
  <c r="AA98" i="220" s="1"/>
  <c r="AB98" i="220" s="1"/>
  <c r="AA34" i="220" a="1"/>
  <c r="AA34" i="220" s="1"/>
  <c r="AB34" i="220" s="1"/>
  <c r="B76" i="220"/>
  <c r="B89" i="220"/>
  <c r="B73" i="220"/>
  <c r="AC25" i="218" a="1"/>
  <c r="AC25" i="218" s="1"/>
  <c r="AD25" i="218"/>
  <c r="D52" i="218"/>
  <c r="AC52" i="218" s="1" a="1"/>
  <c r="AC52" i="218" s="1"/>
  <c r="AC22" i="218" a="1"/>
  <c r="AC22" i="218" s="1"/>
  <c r="AD22" i="218" s="1"/>
  <c r="B112" i="220"/>
  <c r="AA112" i="220" s="1" a="1"/>
  <c r="AA112" i="220" s="1"/>
  <c r="AB112" i="220" s="1"/>
  <c r="AA48" i="220" a="1"/>
  <c r="AA48" i="220" s="1"/>
  <c r="AB48" i="220" s="1"/>
  <c r="B92" i="220"/>
  <c r="BL8" i="213"/>
  <c r="AH236" i="11"/>
  <c r="BB63" i="223"/>
  <c r="AH146" i="11"/>
  <c r="BA34" i="223"/>
  <c r="BA114" i="223"/>
  <c r="BA129" i="223"/>
  <c r="BB184" i="223"/>
  <c r="BA33" i="223"/>
  <c r="BA136" i="223"/>
  <c r="AB48" i="11"/>
  <c r="BA63" i="223"/>
  <c r="BB98" i="223"/>
  <c r="AI227" i="11"/>
  <c r="AH218" i="11"/>
  <c r="BB145" i="223"/>
  <c r="BH198" i="1"/>
  <c r="BA23" i="223"/>
  <c r="BJ117" i="1"/>
  <c r="BO60" i="213" a="1"/>
  <c r="BO60" i="213" s="1"/>
  <c r="BR60" i="213" s="1"/>
  <c r="BA125" i="223"/>
  <c r="BB176" i="223"/>
  <c r="AC119" i="11"/>
  <c r="F31" i="11"/>
  <c r="F53" i="11" s="1"/>
  <c r="BJ211" i="1"/>
  <c r="BH222" i="1"/>
  <c r="BH148" i="1"/>
  <c r="BH78" i="1"/>
  <c r="BJ91" i="1"/>
  <c r="BH91" i="1"/>
  <c r="BJ74" i="1"/>
  <c r="AH150" i="11"/>
  <c r="C14" i="11"/>
  <c r="C44" i="11" s="1"/>
  <c r="AA44" i="11" s="1"/>
  <c r="BB153" i="223"/>
  <c r="BG215" i="223"/>
  <c r="BH215" i="223"/>
  <c r="BA130" i="223"/>
  <c r="BB130" i="223"/>
  <c r="BH191" i="1"/>
  <c r="BJ191" i="1"/>
  <c r="BB97" i="223"/>
  <c r="BO54" i="213" a="1"/>
  <c r="BO54" i="213" s="1"/>
  <c r="BR54" i="213" s="1"/>
  <c r="BJ194" i="1"/>
  <c r="BG94" i="223"/>
  <c r="BH94" i="223"/>
  <c r="D31" i="11"/>
  <c r="D53" i="11" s="1"/>
  <c r="BJ57" i="1"/>
  <c r="BH57" i="1"/>
  <c r="BA223" i="223"/>
  <c r="BB223" i="223"/>
  <c r="BO59" i="213" a="1"/>
  <c r="BO59" i="213" s="1"/>
  <c r="BR59" i="213" s="1"/>
  <c r="BO46" i="213" a="1"/>
  <c r="BO46" i="213" s="1"/>
  <c r="BQ46" i="213" s="1"/>
  <c r="BJ55" i="213" a="1"/>
  <c r="BJ55" i="213" s="1"/>
  <c r="BJ52" i="213" a="1"/>
  <c r="BJ52" i="213" s="1"/>
  <c r="B44" i="220"/>
  <c r="BJ56" i="213" a="1"/>
  <c r="BJ56" i="213" s="1"/>
  <c r="AK27" i="213"/>
  <c r="B15" i="220" s="1"/>
  <c r="BJ53" i="213" a="1"/>
  <c r="BJ53" i="213" s="1"/>
  <c r="BO57" i="213" a="1"/>
  <c r="BO57" i="213" s="1"/>
  <c r="BQ57" i="213" s="1"/>
  <c r="BJ57" i="213" a="1"/>
  <c r="BJ57" i="213" s="1"/>
  <c r="B49" i="220"/>
  <c r="BJ61" i="213" a="1"/>
  <c r="BJ61" i="213" s="1"/>
  <c r="B35" i="220"/>
  <c r="BJ47" i="213" a="1"/>
  <c r="BJ47" i="213" s="1"/>
  <c r="B42" i="220"/>
  <c r="BJ54" i="213" a="1"/>
  <c r="BJ54" i="213" s="1"/>
  <c r="BJ60" i="213" a="1"/>
  <c r="BJ60" i="213" s="1"/>
  <c r="BJ59" i="213" a="1"/>
  <c r="BJ59" i="213" s="1"/>
  <c r="D280" i="11"/>
  <c r="AK20" i="213"/>
  <c r="D19" i="220"/>
  <c r="D83" i="220" s="1"/>
  <c r="F19" i="220"/>
  <c r="F83" i="220" s="1"/>
  <c r="C19" i="220"/>
  <c r="C83" i="220" s="1"/>
  <c r="E19" i="220"/>
  <c r="E83" i="220" s="1"/>
  <c r="A40" i="218"/>
  <c r="L39" i="218"/>
  <c r="AB39" i="218"/>
  <c r="Q39" i="218"/>
  <c r="J39" i="218"/>
  <c r="Z39" i="218"/>
  <c r="G39" i="218"/>
  <c r="D39" i="218"/>
  <c r="T39" i="218"/>
  <c r="I39" i="218"/>
  <c r="Y39" i="218"/>
  <c r="R39" i="218"/>
  <c r="C39" i="218"/>
  <c r="K39" i="218"/>
  <c r="AD39" i="218"/>
  <c r="H39" i="218"/>
  <c r="X39" i="218"/>
  <c r="M39" i="218"/>
  <c r="F39" i="218"/>
  <c r="V39" i="218"/>
  <c r="O39" i="218"/>
  <c r="AA39" i="218"/>
  <c r="E39" i="218"/>
  <c r="W39" i="218"/>
  <c r="U39" i="218"/>
  <c r="AC39" i="218" a="1"/>
  <c r="AC39" i="218" s="1"/>
  <c r="N39" i="218"/>
  <c r="P39" i="218"/>
  <c r="S39" i="218"/>
  <c r="F9" i="218" a="1"/>
  <c r="F9" i="218" s="1"/>
  <c r="H9" i="218" a="1"/>
  <c r="H9" i="218" s="1"/>
  <c r="D9" i="218" a="1"/>
  <c r="D9" i="218" s="1"/>
  <c r="AA9" i="218" a="1"/>
  <c r="AA9" i="218" s="1"/>
  <c r="N9" i="218" a="1"/>
  <c r="N9" i="218" s="1"/>
  <c r="R9" i="218" a="1"/>
  <c r="R9" i="218" s="1"/>
  <c r="C9" i="218"/>
  <c r="T9" i="218" a="1"/>
  <c r="T9" i="218" s="1"/>
  <c r="V9" i="218" a="1"/>
  <c r="V9" i="218" s="1"/>
  <c r="X9" i="218" a="1"/>
  <c r="X9" i="218" s="1"/>
  <c r="J9" i="218" a="1"/>
  <c r="J9" i="218" s="1"/>
  <c r="L9" i="218" a="1"/>
  <c r="L9" i="218" s="1"/>
  <c r="O9" i="218" a="1"/>
  <c r="O9" i="218" s="1"/>
  <c r="S9" i="218" a="1"/>
  <c r="S9" i="218" s="1"/>
  <c r="E9" i="218" a="1"/>
  <c r="E9" i="218" s="1"/>
  <c r="G9" i="218" a="1"/>
  <c r="G9" i="218" s="1"/>
  <c r="I9" i="218" a="1"/>
  <c r="I9" i="218" s="1"/>
  <c r="Z9" i="218" a="1"/>
  <c r="Z9" i="218" s="1"/>
  <c r="AB9" i="218" a="1"/>
  <c r="AB9" i="218" s="1"/>
  <c r="P9" i="218" a="1"/>
  <c r="P9" i="218" s="1"/>
  <c r="U9" i="218" a="1"/>
  <c r="U9" i="218" s="1"/>
  <c r="W9" i="218" a="1"/>
  <c r="W9" i="218" s="1"/>
  <c r="Y9" i="218" a="1"/>
  <c r="Y9" i="218" s="1"/>
  <c r="K9" i="218" a="1"/>
  <c r="K9" i="218" s="1"/>
  <c r="M9" i="218" a="1"/>
  <c r="M9" i="218" s="1"/>
  <c r="Q9" i="218" a="1"/>
  <c r="Q9" i="218" s="1"/>
  <c r="A10" i="218"/>
  <c r="BO31" i="213" a="1"/>
  <c r="BO31" i="213" s="1"/>
  <c r="BQ31" i="213" s="1"/>
  <c r="AM62" i="213"/>
  <c r="D50" i="220" s="1"/>
  <c r="D114" i="220" s="1"/>
  <c r="BB8" i="223"/>
  <c r="AF93" i="11" a="1"/>
  <c r="AF93" i="11" s="1"/>
  <c r="AC93" i="11"/>
  <c r="AH148" i="11"/>
  <c r="AI148" i="11"/>
  <c r="AF238" i="11" a="1"/>
  <c r="AF238" i="11" s="1"/>
  <c r="AC238" i="11"/>
  <c r="BH139" i="223"/>
  <c r="BG139" i="223"/>
  <c r="BB92" i="223"/>
  <c r="BA92" i="223"/>
  <c r="AC72" i="11"/>
  <c r="AF72" i="11" a="1"/>
  <c r="AF72" i="11" s="1"/>
  <c r="AI214" i="11"/>
  <c r="AH214" i="11"/>
  <c r="AC249" i="11"/>
  <c r="AF249" i="11" a="1"/>
  <c r="AF249" i="11" s="1"/>
  <c r="AF207" i="11" a="1"/>
  <c r="AF207" i="11" s="1"/>
  <c r="AC207" i="11"/>
  <c r="BH118" i="223"/>
  <c r="BG118" i="223"/>
  <c r="AF116" i="11" a="1"/>
  <c r="AF116" i="11" s="1"/>
  <c r="AC116" i="11"/>
  <c r="BH123" i="223"/>
  <c r="BG123" i="223"/>
  <c r="BH169" i="223"/>
  <c r="BG169" i="223"/>
  <c r="AF118" i="11" a="1"/>
  <c r="AF118" i="11" s="1"/>
  <c r="AC118" i="11"/>
  <c r="BH48" i="223"/>
  <c r="BG48" i="223"/>
  <c r="BB56" i="223"/>
  <c r="BA56" i="223"/>
  <c r="AF174" i="11" a="1"/>
  <c r="AF174" i="11" s="1"/>
  <c r="AC174" i="11"/>
  <c r="BH104" i="223"/>
  <c r="BG104" i="223"/>
  <c r="AF141" i="11" a="1"/>
  <c r="AF141" i="11" s="1"/>
  <c r="AC141" i="11"/>
  <c r="AC125" i="11"/>
  <c r="AF125" i="11" a="1"/>
  <c r="AF125" i="11" s="1"/>
  <c r="BG209" i="223"/>
  <c r="BH209" i="223"/>
  <c r="BH72" i="223"/>
  <c r="BG72" i="223"/>
  <c r="AI204" i="11"/>
  <c r="AH204" i="11"/>
  <c r="BJ175" i="1"/>
  <c r="BA83" i="223"/>
  <c r="BH182" i="223"/>
  <c r="BG182" i="223"/>
  <c r="AF225" i="11" a="1"/>
  <c r="AF225" i="11" s="1"/>
  <c r="AC225" i="11"/>
  <c r="BH53" i="223"/>
  <c r="BG53" i="223"/>
  <c r="AF195" i="11" a="1"/>
  <c r="AF195" i="11" s="1"/>
  <c r="AC195" i="11"/>
  <c r="BH123" i="1"/>
  <c r="BJ123" i="1"/>
  <c r="BH16" i="223"/>
  <c r="BG16" i="223"/>
  <c r="BH193" i="223"/>
  <c r="BG193" i="223"/>
  <c r="BJ218" i="1"/>
  <c r="BH218" i="1"/>
  <c r="BH151" i="223"/>
  <c r="BG151" i="223"/>
  <c r="AF160" i="11" a="1"/>
  <c r="AF160" i="11" s="1"/>
  <c r="AC160" i="11"/>
  <c r="BH69" i="223"/>
  <c r="BG69" i="223"/>
  <c r="AF128" i="11" a="1"/>
  <c r="AF128" i="11" s="1"/>
  <c r="AC128" i="11"/>
  <c r="E31" i="11"/>
  <c r="E53" i="11" s="1"/>
  <c r="AF179" i="11" a="1"/>
  <c r="AF179" i="11" s="1"/>
  <c r="AC179" i="11"/>
  <c r="BG62" i="223"/>
  <c r="BH62" i="223"/>
  <c r="AF109" i="11" a="1"/>
  <c r="AF109" i="11" s="1"/>
  <c r="AC109" i="11"/>
  <c r="AF104" i="11" a="1"/>
  <c r="AF104" i="11" s="1"/>
  <c r="AC104" i="11"/>
  <c r="BB180" i="223"/>
  <c r="BA180" i="223"/>
  <c r="BG85" i="223"/>
  <c r="BH85" i="223"/>
  <c r="AC265" i="11"/>
  <c r="AF265" i="11" a="1"/>
  <c r="AF265" i="11" s="1"/>
  <c r="BH46" i="1"/>
  <c r="BJ46" i="1"/>
  <c r="AB128" i="220"/>
  <c r="BJ39" i="1"/>
  <c r="BH39" i="1"/>
  <c r="BJ8" i="1"/>
  <c r="BH8" i="1"/>
  <c r="BJ71" i="1"/>
  <c r="BH71" i="1"/>
  <c r="BJ89" i="1"/>
  <c r="BA79" i="223"/>
  <c r="BB79" i="223"/>
  <c r="BH116" i="1"/>
  <c r="BJ116" i="1"/>
  <c r="BO56" i="213" a="1"/>
  <c r="BO56" i="213" s="1"/>
  <c r="BQ56" i="213" s="1"/>
  <c r="AI102" i="11"/>
  <c r="AH102" i="11"/>
  <c r="BK60" i="213" a="1"/>
  <c r="BK60" i="213" s="1"/>
  <c r="BJ9" i="1"/>
  <c r="BH9" i="1"/>
  <c r="BA214" i="223"/>
  <c r="BB214" i="223"/>
  <c r="BB60" i="223"/>
  <c r="BA60" i="223"/>
  <c r="BA143" i="223"/>
  <c r="BB143" i="223"/>
  <c r="BJ135" i="1"/>
  <c r="BH135" i="1"/>
  <c r="BB108" i="223"/>
  <c r="BA108" i="223"/>
  <c r="BH24" i="1"/>
  <c r="BJ24" i="1"/>
  <c r="E40" i="11"/>
  <c r="AB56" i="11"/>
  <c r="BK54" i="213" a="1"/>
  <c r="BK54" i="213" s="1"/>
  <c r="B14" i="220"/>
  <c r="BO47" i="213" a="1"/>
  <c r="BO47" i="213" s="1"/>
  <c r="BR47" i="213" s="1"/>
  <c r="BJ90" i="1"/>
  <c r="BH90" i="1"/>
  <c r="D40" i="220"/>
  <c r="D104" i="220" s="1"/>
  <c r="BJ31" i="213" a="1"/>
  <c r="BJ31" i="213" s="1"/>
  <c r="BK31" i="213" a="1"/>
  <c r="BK31" i="213" s="1"/>
  <c r="BK59" i="213" a="1"/>
  <c r="BK59" i="213" s="1"/>
  <c r="BK44" i="213" a="1"/>
  <c r="BK44" i="213" s="1"/>
  <c r="F32" i="220"/>
  <c r="F96" i="220" s="1"/>
  <c r="AO50" i="213"/>
  <c r="F280" i="11"/>
  <c r="AC66" i="11"/>
  <c r="AF66" i="11" a="1"/>
  <c r="AF66" i="11" s="1"/>
  <c r="F40" i="220"/>
  <c r="F104" i="220" s="1"/>
  <c r="AO62" i="213"/>
  <c r="F50" i="220" s="1"/>
  <c r="F114" i="220" s="1"/>
  <c r="E7" i="220"/>
  <c r="E71" i="220" s="1"/>
  <c r="E32" i="220"/>
  <c r="E96" i="220" s="1"/>
  <c r="AN50" i="213"/>
  <c r="E40" i="220"/>
  <c r="E104" i="220" s="1"/>
  <c r="AN62" i="213"/>
  <c r="E50" i="220" s="1"/>
  <c r="E114" i="220" s="1"/>
  <c r="BH14" i="223"/>
  <c r="BB14" i="223" s="1"/>
  <c r="BG14" i="223"/>
  <c r="BK57" i="213" a="1"/>
  <c r="BK57" i="213" s="1"/>
  <c r="BO61" i="213" a="1"/>
  <c r="BO61" i="213" s="1"/>
  <c r="BR61" i="213" s="1"/>
  <c r="AF71" i="11" a="1"/>
  <c r="AF71" i="11" s="1"/>
  <c r="AI71" i="11" s="1"/>
  <c r="BK47" i="213" a="1"/>
  <c r="BK47" i="213" s="1"/>
  <c r="F40" i="11"/>
  <c r="F12" i="11"/>
  <c r="BK56" i="213" a="1"/>
  <c r="BK56" i="213" s="1"/>
  <c r="AC71" i="11"/>
  <c r="BH10" i="223"/>
  <c r="BG10" i="223"/>
  <c r="F71" i="220"/>
  <c r="AF70" i="11" a="1"/>
  <c r="AF70" i="11" s="1"/>
  <c r="AC70" i="11"/>
  <c r="E280" i="11"/>
  <c r="BK46" i="213" a="1"/>
  <c r="BK46" i="213" s="1"/>
  <c r="D40" i="11"/>
  <c r="D12" i="11"/>
  <c r="D42" i="11" s="1"/>
  <c r="BJ46" i="213" a="1"/>
  <c r="BJ46" i="213" s="1"/>
  <c r="BA221" i="223"/>
  <c r="BO44" i="213" a="1"/>
  <c r="BO44" i="213" s="1"/>
  <c r="B32" i="220"/>
  <c r="BJ44" i="213" a="1"/>
  <c r="BJ44" i="213" s="1"/>
  <c r="BA80" i="223"/>
  <c r="BB80" i="223"/>
  <c r="BH83" i="1"/>
  <c r="BJ83" i="1"/>
  <c r="BO45" i="213" a="1"/>
  <c r="BO45" i="213" s="1"/>
  <c r="B33" i="220"/>
  <c r="D32" i="220"/>
  <c r="D96" i="220" s="1"/>
  <c r="AM50" i="213"/>
  <c r="B19" i="220"/>
  <c r="BK61" i="213" a="1"/>
  <c r="BK61" i="213" s="1"/>
  <c r="BK45" i="213" a="1"/>
  <c r="BK45" i="213" s="1"/>
  <c r="BJ45" i="213" a="1"/>
  <c r="BJ45" i="213" s="1"/>
  <c r="BB110" i="223"/>
  <c r="BA110" i="223"/>
  <c r="BA89" i="223"/>
  <c r="BB89" i="223"/>
  <c r="BB197" i="223"/>
  <c r="BA197" i="223"/>
  <c r="BA140" i="223"/>
  <c r="BB140" i="223"/>
  <c r="AI110" i="11"/>
  <c r="AH110" i="11"/>
  <c r="BH67" i="1"/>
  <c r="BJ67" i="1"/>
  <c r="BJ177" i="1"/>
  <c r="BH177" i="1"/>
  <c r="AH119" i="11"/>
  <c r="AI119" i="11"/>
  <c r="BH181" i="1"/>
  <c r="BJ181" i="1"/>
  <c r="BH187" i="1"/>
  <c r="BJ187" i="1"/>
  <c r="BB86" i="223"/>
  <c r="BA86" i="223"/>
  <c r="B17" i="220"/>
  <c r="B26" i="220"/>
  <c r="B18" i="220"/>
  <c r="BB35" i="223"/>
  <c r="AH276" i="11"/>
  <c r="AL50" i="213"/>
  <c r="C38" i="220" s="1"/>
  <c r="C102" i="220" s="1"/>
  <c r="U34" i="240"/>
  <c r="X33" i="240"/>
  <c r="X33" i="239"/>
  <c r="U34" i="239"/>
  <c r="X34" i="236"/>
  <c r="U35" i="236"/>
  <c r="BA187" i="223"/>
  <c r="BB187" i="223"/>
  <c r="V33" i="235"/>
  <c r="W33" i="235" s="1"/>
  <c r="BJ138" i="1"/>
  <c r="V34" i="234"/>
  <c r="W34" i="234" s="1"/>
  <c r="P33" i="234"/>
  <c r="Q33" i="234" s="1"/>
  <c r="BJ195" i="1"/>
  <c r="BH195" i="1"/>
  <c r="BJ205" i="1"/>
  <c r="BH205" i="1"/>
  <c r="BA37" i="223"/>
  <c r="BB37" i="223"/>
  <c r="V33" i="233"/>
  <c r="W33" i="233" s="1"/>
  <c r="AK50" i="213"/>
  <c r="B38" i="220" s="1"/>
  <c r="BJ96" i="1"/>
  <c r="BH96" i="1"/>
  <c r="U34" i="231"/>
  <c r="X33" i="231"/>
  <c r="M67" i="231"/>
  <c r="N67" i="231" s="1"/>
  <c r="S68" i="231"/>
  <c r="T68" i="231" s="1"/>
  <c r="X32" i="230"/>
  <c r="U33" i="230"/>
  <c r="AH87" i="11"/>
  <c r="AI87" i="11"/>
  <c r="R67" i="230"/>
  <c r="U66" i="230"/>
  <c r="BH137" i="1"/>
  <c r="BJ137" i="1"/>
  <c r="BH160" i="1"/>
  <c r="BJ160" i="1"/>
  <c r="BH127" i="223"/>
  <c r="BG127" i="223"/>
  <c r="AC183" i="11"/>
  <c r="AF183" i="11" a="1"/>
  <c r="AF183" i="11" s="1"/>
  <c r="BJ127" i="1"/>
  <c r="BH127" i="1"/>
  <c r="B23" i="220"/>
  <c r="BJ152" i="1"/>
  <c r="BH152" i="1"/>
  <c r="BM7" i="213"/>
  <c r="BL7" i="213"/>
  <c r="AA51" i="11"/>
  <c r="AB51" i="11" s="1"/>
  <c r="BB68" i="223"/>
  <c r="BA68" i="223"/>
  <c r="BJ32" i="213" a="1"/>
  <c r="BJ32" i="213" s="1"/>
  <c r="BK32" i="213" a="1"/>
  <c r="BK32" i="213" s="1"/>
  <c r="BO32" i="213" a="1"/>
  <c r="BO32" i="213" s="1"/>
  <c r="B20" i="220"/>
  <c r="BB15" i="223"/>
  <c r="BA15" i="223"/>
  <c r="BB220" i="223"/>
  <c r="BA220" i="223"/>
  <c r="BK49" i="213" a="1"/>
  <c r="BK49" i="213" s="1"/>
  <c r="B37" i="220"/>
  <c r="BJ49" i="213" a="1"/>
  <c r="BJ49" i="213" s="1"/>
  <c r="BO49" i="213" a="1"/>
  <c r="BO49" i="213" s="1"/>
  <c r="BH68" i="1"/>
  <c r="BJ68" i="1"/>
  <c r="AF83" i="11" a="1"/>
  <c r="AF83" i="11" s="1"/>
  <c r="AC83" i="11"/>
  <c r="BH174" i="1"/>
  <c r="BJ174" i="1"/>
  <c r="AH124" i="11"/>
  <c r="AI124" i="11"/>
  <c r="BH27" i="223"/>
  <c r="BG27" i="223"/>
  <c r="BH27" i="1"/>
  <c r="BJ27" i="1"/>
  <c r="BJ52" i="1"/>
  <c r="BH52" i="1"/>
  <c r="J25" i="218"/>
  <c r="A26" i="218"/>
  <c r="G25" i="218"/>
  <c r="T25" i="218"/>
  <c r="AB25" i="218"/>
  <c r="V25" i="218"/>
  <c r="AA25" i="218"/>
  <c r="O25" i="218"/>
  <c r="I25" i="218"/>
  <c r="Z25" i="218"/>
  <c r="C25" i="218"/>
  <c r="N25" i="218"/>
  <c r="X25" i="218"/>
  <c r="F25" i="218"/>
  <c r="S25" i="218"/>
  <c r="E25" i="218"/>
  <c r="U25" i="218"/>
  <c r="M25" i="218"/>
  <c r="H25" i="218"/>
  <c r="D25" i="218"/>
  <c r="W25" i="218"/>
  <c r="R25" i="218"/>
  <c r="Q25" i="218"/>
  <c r="L25" i="218"/>
  <c r="Y25" i="218"/>
  <c r="P25" i="218"/>
  <c r="K25" i="218"/>
  <c r="AI159" i="11"/>
  <c r="AH159" i="11"/>
  <c r="BJ103" i="1"/>
  <c r="BH103" i="1"/>
  <c r="AI106" i="11"/>
  <c r="AH106" i="11"/>
  <c r="BA64" i="223"/>
  <c r="BB64" i="223"/>
  <c r="AI81" i="11"/>
  <c r="AH81" i="11"/>
  <c r="BB50" i="223"/>
  <c r="BA50" i="223"/>
  <c r="BB25" i="223"/>
  <c r="BA25" i="223"/>
  <c r="BH171" i="1"/>
  <c r="BJ171" i="1"/>
  <c r="BM5" i="213"/>
  <c r="BL5" i="213"/>
  <c r="BJ163" i="1"/>
  <c r="BH163" i="1"/>
  <c r="B16" i="220"/>
  <c r="BA12" i="223"/>
  <c r="BB12" i="223"/>
  <c r="B27" i="220"/>
  <c r="AH94" i="11"/>
  <c r="AI94" i="11"/>
  <c r="AF115" i="11" a="1"/>
  <c r="AF115" i="11" s="1"/>
  <c r="AC115" i="11"/>
  <c r="BJ59" i="1"/>
  <c r="BH59" i="1"/>
  <c r="B11" i="220"/>
  <c r="C12" i="12"/>
  <c r="D12" i="12" s="1"/>
  <c r="G12" i="12" s="1"/>
  <c r="AB46" i="11"/>
  <c r="BA102" i="223"/>
  <c r="BB102" i="223"/>
  <c r="AH182" i="11"/>
  <c r="AI182" i="11"/>
  <c r="BH95" i="1"/>
  <c r="BJ95" i="1"/>
  <c r="BA106" i="223"/>
  <c r="BB106" i="223"/>
  <c r="BH132" i="223"/>
  <c r="BG132" i="223"/>
  <c r="BH163" i="223"/>
  <c r="BG163" i="223"/>
  <c r="BJ120" i="1"/>
  <c r="BH120" i="1"/>
  <c r="AF188" i="11" a="1"/>
  <c r="AF188" i="11" s="1"/>
  <c r="AC188" i="11"/>
  <c r="BA95" i="223"/>
  <c r="BB95" i="223"/>
  <c r="AC219" i="11"/>
  <c r="AF219" i="11" a="1"/>
  <c r="AF219" i="11" s="1"/>
  <c r="BJ154" i="1"/>
  <c r="BH154" i="1"/>
  <c r="AH68" i="11"/>
  <c r="AI68" i="11"/>
  <c r="BA93" i="223"/>
  <c r="BB93" i="223"/>
  <c r="BJ21" i="1"/>
  <c r="BH21" i="1"/>
  <c r="BH220" i="1"/>
  <c r="BJ220" i="1"/>
  <c r="BA24" i="223"/>
  <c r="BB24" i="223"/>
  <c r="AI244" i="11"/>
  <c r="AH244" i="11"/>
  <c r="B29" i="220"/>
  <c r="BA188" i="223"/>
  <c r="BB188" i="223"/>
  <c r="BH73" i="223"/>
  <c r="BG73" i="223"/>
  <c r="AB55" i="11"/>
  <c r="C21" i="12"/>
  <c r="D21" i="12" s="1"/>
  <c r="G21" i="12" s="1"/>
  <c r="BB137" i="223"/>
  <c r="BA137" i="223"/>
  <c r="AH132" i="11"/>
  <c r="AI132" i="11"/>
  <c r="BA154" i="223"/>
  <c r="BB154" i="223"/>
  <c r="AH274" i="11"/>
  <c r="AI274" i="11"/>
  <c r="BA126" i="223"/>
  <c r="BB126" i="223"/>
  <c r="BB61" i="223"/>
  <c r="BA61" i="223"/>
  <c r="AI158" i="11"/>
  <c r="AH158" i="11"/>
  <c r="BA173" i="223"/>
  <c r="BB173" i="223"/>
  <c r="AF129" i="11" a="1"/>
  <c r="AF129" i="11" s="1"/>
  <c r="AC129" i="11"/>
  <c r="BH208" i="223"/>
  <c r="BG208" i="223"/>
  <c r="BJ48" i="213" a="1"/>
  <c r="BJ48" i="213" s="1"/>
  <c r="BO48" i="213" a="1"/>
  <c r="BO48" i="213" s="1"/>
  <c r="BK48" i="213" a="1"/>
  <c r="BK48" i="213" s="1"/>
  <c r="B36" i="220"/>
  <c r="AH149" i="11"/>
  <c r="AI149" i="11"/>
  <c r="BJ38" i="1"/>
  <c r="BH38" i="1"/>
  <c r="B10" i="220"/>
  <c r="BA218" i="223"/>
  <c r="BB218" i="223"/>
  <c r="AF264" i="11" a="1"/>
  <c r="AF264" i="11" s="1"/>
  <c r="AC264" i="11"/>
  <c r="AI193" i="11"/>
  <c r="AH193" i="11"/>
  <c r="AH117" i="11"/>
  <c r="AI117" i="11"/>
  <c r="BH132" i="1"/>
  <c r="BJ132" i="1"/>
  <c r="BH176" i="1"/>
  <c r="BJ176" i="1"/>
  <c r="B13" i="220"/>
  <c r="AH229" i="11"/>
  <c r="AI229" i="11"/>
  <c r="AI162" i="11"/>
  <c r="AH162" i="11"/>
  <c r="BH59" i="223"/>
  <c r="BG59" i="223"/>
  <c r="AH80" i="11"/>
  <c r="AI80" i="11"/>
  <c r="BM13" i="213"/>
  <c r="BL13" i="213"/>
  <c r="BL11" i="213"/>
  <c r="BM11" i="213"/>
  <c r="BJ28" i="1"/>
  <c r="BH28" i="1"/>
  <c r="AL62" i="213"/>
  <c r="C50" i="220" s="1"/>
  <c r="C114" i="220" s="1"/>
  <c r="C40" i="220"/>
  <c r="C104" i="220" s="1"/>
  <c r="BH87" i="223"/>
  <c r="BG87" i="223"/>
  <c r="AC228" i="11"/>
  <c r="AF228" i="11" a="1"/>
  <c r="AF228" i="11" s="1"/>
  <c r="BH131" i="223"/>
  <c r="BG131" i="223"/>
  <c r="BH157" i="223"/>
  <c r="BG157" i="223"/>
  <c r="BH26" i="223"/>
  <c r="BG26" i="223"/>
  <c r="BJ32" i="1"/>
  <c r="BH32" i="1"/>
  <c r="AC252" i="11"/>
  <c r="AF252" i="11" a="1"/>
  <c r="AF252" i="11" s="1"/>
  <c r="BJ19" i="213" a="1"/>
  <c r="BJ19" i="213" s="1"/>
  <c r="BO19" i="213" a="1"/>
  <c r="BO19" i="213" s="1"/>
  <c r="BK19" i="213" a="1"/>
  <c r="BK19" i="213" s="1"/>
  <c r="B7" i="220"/>
  <c r="AF82" i="11" a="1"/>
  <c r="AF82" i="11" s="1"/>
  <c r="AC82" i="11"/>
  <c r="AC187" i="11"/>
  <c r="AF187" i="11" a="1"/>
  <c r="AF187" i="11" s="1"/>
  <c r="BJ131" i="1"/>
  <c r="BH131" i="1"/>
  <c r="AF213" i="11" a="1"/>
  <c r="AF213" i="11" s="1"/>
  <c r="AC213" i="11"/>
  <c r="BH183" i="223"/>
  <c r="BG183" i="223"/>
  <c r="BJ183" i="1"/>
  <c r="BH183" i="1"/>
  <c r="BJ196" i="1"/>
  <c r="BH196" i="1"/>
  <c r="B41" i="220"/>
  <c r="BO53" i="213" a="1"/>
  <c r="BO53" i="213" s="1"/>
  <c r="BK53" i="213" a="1"/>
  <c r="BK53" i="213" s="1"/>
  <c r="AC239" i="11"/>
  <c r="AF239" i="11" a="1"/>
  <c r="AF239" i="11" s="1"/>
  <c r="AB49" i="11"/>
  <c r="C15" i="12"/>
  <c r="D15" i="12" s="1"/>
  <c r="G15" i="12" s="1"/>
  <c r="AC143" i="11"/>
  <c r="AF143" i="11" a="1"/>
  <c r="AF143" i="11" s="1"/>
  <c r="BH19" i="223"/>
  <c r="BG19" i="223"/>
  <c r="BJ113" i="1"/>
  <c r="BH113" i="1"/>
  <c r="BH147" i="223"/>
  <c r="BG147" i="223"/>
  <c r="C7" i="220"/>
  <c r="C71" i="220" s="1"/>
  <c r="BH172" i="1"/>
  <c r="BJ172" i="1"/>
  <c r="BH147" i="1"/>
  <c r="BJ147" i="1"/>
  <c r="C41" i="11"/>
  <c r="AA41" i="11" s="1"/>
  <c r="AC203" i="11"/>
  <c r="AF203" i="11" a="1"/>
  <c r="AF203" i="11" s="1"/>
  <c r="BH196" i="223"/>
  <c r="BG196" i="223"/>
  <c r="AC75" i="11"/>
  <c r="AF75" i="11" a="1"/>
  <c r="AF75" i="11" s="1"/>
  <c r="BJ17" i="1"/>
  <c r="BH17" i="1"/>
  <c r="AC88" i="11"/>
  <c r="AF88" i="11" a="1"/>
  <c r="AF88" i="11" s="1"/>
  <c r="BH165" i="223"/>
  <c r="BG165" i="223"/>
  <c r="BH70" i="223"/>
  <c r="BG70" i="223"/>
  <c r="AC84" i="11"/>
  <c r="AF84" i="11" a="1"/>
  <c r="AF84" i="11" s="1"/>
  <c r="BH87" i="1"/>
  <c r="BJ87" i="1"/>
  <c r="AC126" i="11"/>
  <c r="AF126" i="11" a="1"/>
  <c r="AF126" i="11" s="1"/>
  <c r="AF242" i="11" a="1"/>
  <c r="AF242" i="11" s="1"/>
  <c r="AC242" i="11"/>
  <c r="BJ186" i="1"/>
  <c r="BH186" i="1"/>
  <c r="C20" i="11"/>
  <c r="C47" i="11" s="1"/>
  <c r="AA47" i="11" s="1"/>
  <c r="B43" i="220"/>
  <c r="BO55" i="213" a="1"/>
  <c r="BO55" i="213" s="1"/>
  <c r="BK55" i="213" a="1"/>
  <c r="BK55" i="213" s="1"/>
  <c r="BH157" i="1"/>
  <c r="BJ157" i="1"/>
  <c r="AF221" i="11" a="1"/>
  <c r="AF221" i="11" s="1"/>
  <c r="AC221" i="11"/>
  <c r="BJ19" i="1"/>
  <c r="BH19" i="1"/>
  <c r="BH28" i="223"/>
  <c r="BG28" i="223"/>
  <c r="BH186" i="223"/>
  <c r="BG186" i="223"/>
  <c r="BG113" i="223"/>
  <c r="BH113" i="223"/>
  <c r="B7" i="11"/>
  <c r="B40" i="11" s="1"/>
  <c r="C7" i="11"/>
  <c r="C40" i="11" s="1"/>
  <c r="BH32" i="223"/>
  <c r="BG32" i="223"/>
  <c r="AC55" i="218" a="1"/>
  <c r="AC55" i="218" s="1"/>
  <c r="J55" i="218"/>
  <c r="Z55" i="218"/>
  <c r="G55" i="218"/>
  <c r="I55" i="218"/>
  <c r="H55" i="218"/>
  <c r="S55" i="218"/>
  <c r="X55" i="218"/>
  <c r="F55" i="218"/>
  <c r="M55" i="218"/>
  <c r="V55" i="218"/>
  <c r="C55" i="218"/>
  <c r="O55" i="218"/>
  <c r="K55" i="218"/>
  <c r="E55" i="218"/>
  <c r="AA55" i="218"/>
  <c r="U55" i="218"/>
  <c r="AB55" i="218"/>
  <c r="Q55" i="218"/>
  <c r="P55" i="218"/>
  <c r="D55" i="218"/>
  <c r="N55" i="218"/>
  <c r="W55" i="218"/>
  <c r="AD55" i="218"/>
  <c r="R55" i="218"/>
  <c r="L55" i="218"/>
  <c r="T55" i="218"/>
  <c r="Y55" i="218"/>
  <c r="A56" i="218"/>
  <c r="BJ165" i="1"/>
  <c r="BH165" i="1"/>
  <c r="BH70" i="1"/>
  <c r="BJ70" i="1"/>
  <c r="AC73" i="11"/>
  <c r="AF73" i="11" a="1"/>
  <c r="AF73" i="11" s="1"/>
  <c r="B280" i="11"/>
  <c r="AC67" i="11"/>
  <c r="AF67" i="11" a="1"/>
  <c r="AF67" i="11" s="1"/>
  <c r="C280" i="11"/>
  <c r="BR58" i="213"/>
  <c r="BQ58" i="213"/>
  <c r="AA50" i="11"/>
  <c r="B31" i="11"/>
  <c r="B53" i="11" s="1"/>
  <c r="BH26" i="1"/>
  <c r="BJ26" i="1"/>
  <c r="AF169" i="11" a="1"/>
  <c r="AF169" i="11" s="1"/>
  <c r="AC169" i="11"/>
  <c r="AZ224" i="223"/>
  <c r="BJ11" i="1"/>
  <c r="BH11" i="1"/>
  <c r="C11" i="12"/>
  <c r="D11" i="12" s="1"/>
  <c r="G11" i="12" s="1"/>
  <c r="AB45" i="11"/>
  <c r="BH172" i="223"/>
  <c r="BG172" i="223"/>
  <c r="BH17" i="223"/>
  <c r="BG17" i="223"/>
  <c r="BG11" i="223"/>
  <c r="BH11" i="223"/>
  <c r="B40" i="220"/>
  <c r="BO52" i="213" a="1"/>
  <c r="BO52" i="213" s="1"/>
  <c r="BK52" i="213" a="1"/>
  <c r="BK52" i="213" s="1"/>
  <c r="BK7" i="218" l="1"/>
  <c r="BA25" i="218"/>
  <c r="F8" i="9"/>
  <c r="F27" i="9" s="1"/>
  <c r="G8" i="9"/>
  <c r="G27" i="9" s="1"/>
  <c r="BC7" i="218"/>
  <c r="CA7" i="218"/>
  <c r="AR7" i="218"/>
  <c r="BT7" i="218"/>
  <c r="AS7" i="218"/>
  <c r="BR25" i="218"/>
  <c r="AQ7" i="218"/>
  <c r="BN25" i="218"/>
  <c r="BJ7" i="218"/>
  <c r="AO25" i="218"/>
  <c r="AM7" i="218"/>
  <c r="BM7" i="218"/>
  <c r="BK25" i="218"/>
  <c r="BB7" i="218"/>
  <c r="BX7" i="218"/>
  <c r="BR7" i="218"/>
  <c r="BW7" i="218"/>
  <c r="AL7" i="218"/>
  <c r="BV7" i="218"/>
  <c r="BO7" i="218"/>
  <c r="AV7" i="218"/>
  <c r="BL7" i="218"/>
  <c r="AX7" i="218"/>
  <c r="BE7" i="218"/>
  <c r="AP7" i="218"/>
  <c r="AD53" i="218"/>
  <c r="D6" i="214"/>
  <c r="F6" i="214" s="1"/>
  <c r="AB7" i="9"/>
  <c r="AC7" i="9" s="1"/>
  <c r="BU7" i="218"/>
  <c r="BZ7" i="218"/>
  <c r="AN7" i="218"/>
  <c r="BD7" i="218"/>
  <c r="AU7" i="218"/>
  <c r="BF7" i="218"/>
  <c r="AO7" i="218"/>
  <c r="BY7" i="218"/>
  <c r="BA7" i="218"/>
  <c r="BN7" i="218"/>
  <c r="AW7" i="218"/>
  <c r="BG7" i="218"/>
  <c r="BS7" i="218"/>
  <c r="AT7" i="218"/>
  <c r="D8" i="9"/>
  <c r="D27" i="9" s="1"/>
  <c r="E8" i="9"/>
  <c r="E27" i="9" s="1"/>
  <c r="AN25" i="218"/>
  <c r="BV25" i="218"/>
  <c r="BO25" i="218"/>
  <c r="AT25" i="218"/>
  <c r="BE25" i="218"/>
  <c r="BT25" i="218"/>
  <c r="BC25" i="218"/>
  <c r="BB25" i="218"/>
  <c r="AQ25" i="218"/>
  <c r="BJ25" i="218"/>
  <c r="BU25" i="218"/>
  <c r="BF25" i="218"/>
  <c r="AX25" i="218"/>
  <c r="AP25" i="218"/>
  <c r="AS25" i="218"/>
  <c r="BL25" i="218"/>
  <c r="BS25" i="218"/>
  <c r="AV25" i="218"/>
  <c r="BD25" i="218"/>
  <c r="BM25" i="218"/>
  <c r="AL25" i="218"/>
  <c r="BW25" i="218"/>
  <c r="BZ25" i="218"/>
  <c r="CA25" i="218"/>
  <c r="AR25" i="218"/>
  <c r="AW25" i="218"/>
  <c r="AU25" i="218"/>
  <c r="AK25" i="218"/>
  <c r="BX25" i="218"/>
  <c r="BY25" i="218"/>
  <c r="AM25" i="218"/>
  <c r="AI25" i="218"/>
  <c r="AG26" i="218"/>
  <c r="AS26" i="218" s="1"/>
  <c r="AK33" i="213"/>
  <c r="C26" i="9"/>
  <c r="AB26" i="9" s="1"/>
  <c r="D6" i="218" a="1"/>
  <c r="D6" i="218" s="1"/>
  <c r="P6" i="218" a="1"/>
  <c r="P6" i="218" s="1"/>
  <c r="K6" i="218" a="1"/>
  <c r="K6" i="218" s="1"/>
  <c r="AB6" i="218" a="1"/>
  <c r="AB6" i="218" s="1"/>
  <c r="Q6" i="218" a="1"/>
  <c r="Q6" i="218" s="1"/>
  <c r="M6" i="218" a="1"/>
  <c r="M6" i="218" s="1"/>
  <c r="I6" i="218" a="1"/>
  <c r="I6" i="218" s="1"/>
  <c r="X6" i="218" a="1"/>
  <c r="X6" i="218" s="1"/>
  <c r="L6" i="218" a="1"/>
  <c r="L6" i="218" s="1"/>
  <c r="AA6" i="218" a="1"/>
  <c r="AA6" i="218" s="1"/>
  <c r="S6" i="218" a="1"/>
  <c r="S6" i="218" s="1"/>
  <c r="O6" i="218" a="1"/>
  <c r="O6" i="218" s="1"/>
  <c r="Z6" i="218" a="1"/>
  <c r="Z6" i="218" s="1"/>
  <c r="T6" i="218" a="1"/>
  <c r="T6" i="218" s="1"/>
  <c r="N6" i="218" a="1"/>
  <c r="N6" i="218" s="1"/>
  <c r="V6" i="218" a="1"/>
  <c r="V6" i="218" s="1"/>
  <c r="W6" i="218" a="1"/>
  <c r="W6" i="218" s="1"/>
  <c r="R6" i="218" a="1"/>
  <c r="R6" i="218" s="1"/>
  <c r="Y6" i="218" a="1"/>
  <c r="Y6" i="218" s="1"/>
  <c r="U6" i="218" a="1"/>
  <c r="U6" i="218" s="1"/>
  <c r="B9" i="9"/>
  <c r="A10" i="9"/>
  <c r="B28" i="9"/>
  <c r="G9" i="214"/>
  <c r="C9" i="214"/>
  <c r="A10" i="214"/>
  <c r="C8" i="9"/>
  <c r="C27" i="9" s="1"/>
  <c r="AD10" i="218"/>
  <c r="AC10" i="218" a="1"/>
  <c r="AC10" i="218" s="1"/>
  <c r="BD8" i="218"/>
  <c r="AS8" i="218"/>
  <c r="AR8" i="218"/>
  <c r="AL8" i="218"/>
  <c r="BZ8" i="218"/>
  <c r="BV8" i="218"/>
  <c r="BY8" i="218"/>
  <c r="CA8" i="218"/>
  <c r="BX8" i="218"/>
  <c r="BB8" i="218"/>
  <c r="BJ8" i="218"/>
  <c r="AW8" i="218"/>
  <c r="BN8" i="218"/>
  <c r="AP8" i="218"/>
  <c r="BC8" i="218"/>
  <c r="BR8" i="218"/>
  <c r="BU8" i="218"/>
  <c r="AV8" i="218"/>
  <c r="AG9" i="218"/>
  <c r="AX8" i="218"/>
  <c r="AQ8" i="218"/>
  <c r="BM8" i="218"/>
  <c r="BE8" i="218"/>
  <c r="BS8" i="218"/>
  <c r="BW8" i="218"/>
  <c r="BL8" i="218"/>
  <c r="AN8" i="218"/>
  <c r="AM8" i="218"/>
  <c r="BO8" i="218"/>
  <c r="BA8" i="218"/>
  <c r="AI8" i="218"/>
  <c r="AT8" i="218"/>
  <c r="BT8" i="218"/>
  <c r="BG8" i="218"/>
  <c r="AO8" i="218"/>
  <c r="AU8" i="218"/>
  <c r="BF8" i="218"/>
  <c r="BK8" i="218"/>
  <c r="AK8" i="218"/>
  <c r="BJ62" i="213"/>
  <c r="BQ60" i="213"/>
  <c r="BM54" i="213"/>
  <c r="BR56" i="213"/>
  <c r="BL56" i="213" s="1"/>
  <c r="BQ54" i="213"/>
  <c r="BR46" i="213"/>
  <c r="BM46" i="213" s="1"/>
  <c r="BR31" i="213"/>
  <c r="BM31" i="213" s="1"/>
  <c r="AB52" i="11"/>
  <c r="C18" i="12"/>
  <c r="D18" i="12" s="1"/>
  <c r="G18" i="12" s="1"/>
  <c r="B114" i="220"/>
  <c r="AA114" i="220" s="1" a="1"/>
  <c r="AA114" i="220" s="1"/>
  <c r="AB114" i="220" s="1"/>
  <c r="AA50" i="220" a="1"/>
  <c r="AA50" i="220" s="1"/>
  <c r="AB50" i="220" s="1"/>
  <c r="B104" i="220"/>
  <c r="AA104" i="220" s="1" a="1"/>
  <c r="AA104" i="220" s="1"/>
  <c r="AB104" i="220" s="1"/>
  <c r="AA40" i="220" a="1"/>
  <c r="AA40" i="220" s="1"/>
  <c r="AB40" i="220" s="1"/>
  <c r="B79" i="220"/>
  <c r="B74" i="220"/>
  <c r="AD26" i="218"/>
  <c r="AC26" i="218" a="1"/>
  <c r="AC26" i="218" s="1"/>
  <c r="B101" i="220"/>
  <c r="AA101" i="220" s="1" a="1"/>
  <c r="AA101" i="220" s="1"/>
  <c r="AB101" i="220" s="1"/>
  <c r="AA37" i="220" a="1"/>
  <c r="AA37" i="220" s="1"/>
  <c r="AB37" i="220" s="1"/>
  <c r="B90" i="220"/>
  <c r="B99" i="220"/>
  <c r="AA99" i="220" s="1" a="1"/>
  <c r="AA99" i="220" s="1"/>
  <c r="AB99" i="220" s="1"/>
  <c r="AA35" i="220" a="1"/>
  <c r="AA35" i="220" s="1"/>
  <c r="AB35" i="220" s="1"/>
  <c r="B108" i="220"/>
  <c r="AA108" i="220" s="1" a="1"/>
  <c r="AA108" i="220" s="1"/>
  <c r="AB108" i="220" s="1"/>
  <c r="AA44" i="220" a="1"/>
  <c r="AA44" i="220" s="1"/>
  <c r="AB44" i="220" s="1"/>
  <c r="B107" i="220"/>
  <c r="AA107" i="220" s="1" a="1"/>
  <c r="AA107" i="220" s="1"/>
  <c r="AB107" i="220" s="1"/>
  <c r="AA43" i="220" a="1"/>
  <c r="AA43" i="220" s="1"/>
  <c r="AB43" i="220" s="1"/>
  <c r="B105" i="220"/>
  <c r="AA105" i="220" s="1" a="1"/>
  <c r="AA105" i="220" s="1"/>
  <c r="AB105" i="220" s="1"/>
  <c r="AA41" i="220" a="1"/>
  <c r="AA41" i="220" s="1"/>
  <c r="AB41" i="220" s="1"/>
  <c r="B71" i="220"/>
  <c r="AA71" i="220" s="1" a="1"/>
  <c r="AA71" i="220" s="1"/>
  <c r="AB71" i="220" s="1"/>
  <c r="AA7" i="220" a="1"/>
  <c r="AA7" i="220" s="1"/>
  <c r="AB7" i="220" s="1"/>
  <c r="B100" i="220"/>
  <c r="AA100" i="220" s="1" a="1"/>
  <c r="AA100" i="220" s="1"/>
  <c r="AB100" i="220" s="1"/>
  <c r="AA36" i="220" a="1"/>
  <c r="AA36" i="220" s="1"/>
  <c r="AB36" i="220" s="1"/>
  <c r="B80" i="220"/>
  <c r="B84" i="220"/>
  <c r="AA84" i="220" s="1" a="1"/>
  <c r="AA84" i="220" s="1"/>
  <c r="AB84" i="220" s="1"/>
  <c r="AA20" i="220" a="1"/>
  <c r="AA20" i="220" s="1"/>
  <c r="AB20" i="220" s="1"/>
  <c r="B102" i="220"/>
  <c r="B81" i="220"/>
  <c r="B83" i="220"/>
  <c r="AA83" i="220" s="1" a="1"/>
  <c r="AA83" i="220" s="1"/>
  <c r="AB83" i="220" s="1"/>
  <c r="AA19" i="220" a="1"/>
  <c r="AA19" i="220" s="1"/>
  <c r="AB19" i="220" s="1"/>
  <c r="B96" i="220"/>
  <c r="AA96" i="220" s="1" a="1"/>
  <c r="AA96" i="220" s="1"/>
  <c r="AB96" i="220" s="1"/>
  <c r="AA32" i="220" a="1"/>
  <c r="AA32" i="220" s="1"/>
  <c r="AB32" i="220" s="1"/>
  <c r="B78" i="220"/>
  <c r="AD52" i="218"/>
  <c r="B93" i="220"/>
  <c r="B75" i="220"/>
  <c r="B91" i="220"/>
  <c r="B94" i="220"/>
  <c r="B106" i="220"/>
  <c r="AA106" i="220" s="1" a="1"/>
  <c r="AA106" i="220" s="1"/>
  <c r="AB106" i="220" s="1"/>
  <c r="AA42" i="220" a="1"/>
  <c r="AA42" i="220" s="1"/>
  <c r="AB42" i="220" s="1"/>
  <c r="B113" i="220"/>
  <c r="AA113" i="220" s="1" a="1"/>
  <c r="AA113" i="220" s="1"/>
  <c r="AB113" i="220" s="1"/>
  <c r="AA49" i="220" a="1"/>
  <c r="AA49" i="220" s="1"/>
  <c r="AB49" i="220" s="1"/>
  <c r="B77" i="220"/>
  <c r="B87" i="220"/>
  <c r="B82" i="220"/>
  <c r="B97" i="220"/>
  <c r="AA97" i="220" s="1" a="1"/>
  <c r="AA97" i="220" s="1"/>
  <c r="AB97" i="220" s="1"/>
  <c r="AA33" i="220" a="1"/>
  <c r="AA33" i="220" s="1"/>
  <c r="AB33" i="220" s="1"/>
  <c r="E32" i="11"/>
  <c r="E54" i="11" s="1"/>
  <c r="BQ59" i="213"/>
  <c r="BB215" i="223"/>
  <c r="BA215" i="223"/>
  <c r="BA94" i="223"/>
  <c r="BB94" i="223"/>
  <c r="BR57" i="213"/>
  <c r="BM57" i="213" s="1"/>
  <c r="K40" i="218"/>
  <c r="AA40" i="218"/>
  <c r="P40" i="218"/>
  <c r="E40" i="218"/>
  <c r="U40" i="218"/>
  <c r="V40" i="218"/>
  <c r="R40" i="218"/>
  <c r="AC40" i="218" a="1"/>
  <c r="AC40" i="218" s="1"/>
  <c r="S40" i="218"/>
  <c r="H40" i="218"/>
  <c r="X40" i="218"/>
  <c r="M40" i="218"/>
  <c r="J40" i="218"/>
  <c r="N40" i="218"/>
  <c r="G40" i="218"/>
  <c r="W40" i="218"/>
  <c r="L40" i="218"/>
  <c r="AB40" i="218"/>
  <c r="Q40" i="218"/>
  <c r="Z40" i="218"/>
  <c r="A41" i="218"/>
  <c r="AD40" i="218"/>
  <c r="I40" i="218"/>
  <c r="O40" i="218"/>
  <c r="Y40" i="218"/>
  <c r="D40" i="218"/>
  <c r="C40" i="218"/>
  <c r="T40" i="218"/>
  <c r="F40" i="218"/>
  <c r="O10" i="218" a="1"/>
  <c r="O10" i="218" s="1"/>
  <c r="U10" i="218" a="1"/>
  <c r="U10" i="218" s="1"/>
  <c r="Y10" i="218" a="1"/>
  <c r="Y10" i="218" s="1"/>
  <c r="Z10" i="218" a="1"/>
  <c r="Z10" i="218" s="1"/>
  <c r="P10" i="218" a="1"/>
  <c r="P10" i="218" s="1"/>
  <c r="S10" i="218" a="1"/>
  <c r="S10" i="218" s="1"/>
  <c r="F10" i="218" a="1"/>
  <c r="F10" i="218" s="1"/>
  <c r="H10" i="218" a="1"/>
  <c r="H10" i="218" s="1"/>
  <c r="J10" i="218" a="1"/>
  <c r="J10" i="218" s="1"/>
  <c r="L10" i="218" a="1"/>
  <c r="L10" i="218" s="1"/>
  <c r="N10" i="218" a="1"/>
  <c r="N10" i="218" s="1"/>
  <c r="R10" i="218" a="1"/>
  <c r="R10" i="218" s="1"/>
  <c r="E10" i="218" a="1"/>
  <c r="E10" i="218" s="1"/>
  <c r="G10" i="218" a="1"/>
  <c r="G10" i="218" s="1"/>
  <c r="I10" i="218" a="1"/>
  <c r="I10" i="218" s="1"/>
  <c r="K10" i="218" a="1"/>
  <c r="K10" i="218" s="1"/>
  <c r="A11" i="218"/>
  <c r="D10" i="218" a="1"/>
  <c r="D10" i="218" s="1"/>
  <c r="W10" i="218" a="1"/>
  <c r="W10" i="218" s="1"/>
  <c r="AA10" i="218" a="1"/>
  <c r="AA10" i="218" s="1"/>
  <c r="C10" i="218"/>
  <c r="M10" i="218" a="1"/>
  <c r="M10" i="218" s="1"/>
  <c r="Q10" i="218" a="1"/>
  <c r="Q10" i="218" s="1"/>
  <c r="T10" i="218" a="1"/>
  <c r="T10" i="218" s="1"/>
  <c r="V10" i="218" a="1"/>
  <c r="V10" i="218" s="1"/>
  <c r="X10" i="218" a="1"/>
  <c r="X10" i="218" s="1"/>
  <c r="AB10" i="218" a="1"/>
  <c r="AB10" i="218" s="1"/>
  <c r="AI109" i="11"/>
  <c r="AH109" i="11"/>
  <c r="AI265" i="11"/>
  <c r="AH265" i="11"/>
  <c r="AI128" i="11"/>
  <c r="AH128" i="11"/>
  <c r="AH160" i="11"/>
  <c r="AI160" i="11"/>
  <c r="BA16" i="223"/>
  <c r="BB16" i="223"/>
  <c r="AI195" i="11"/>
  <c r="AH195" i="11"/>
  <c r="AI225" i="11"/>
  <c r="AH225" i="11"/>
  <c r="BB72" i="223"/>
  <c r="BA72" i="223"/>
  <c r="BB104" i="223"/>
  <c r="BA104" i="223"/>
  <c r="AH118" i="11"/>
  <c r="AI118" i="11"/>
  <c r="BA123" i="223"/>
  <c r="BB123" i="223"/>
  <c r="BA118" i="223"/>
  <c r="BB118" i="223"/>
  <c r="BA139" i="223"/>
  <c r="BB139" i="223"/>
  <c r="AI179" i="11"/>
  <c r="AH179" i="11"/>
  <c r="BA209" i="223"/>
  <c r="BB209" i="223"/>
  <c r="BB85" i="223"/>
  <c r="BA85" i="223"/>
  <c r="BB62" i="223"/>
  <c r="BA62" i="223"/>
  <c r="BA69" i="223"/>
  <c r="BB69" i="223"/>
  <c r="BA151" i="223"/>
  <c r="BB151" i="223"/>
  <c r="BB193" i="223"/>
  <c r="BA193" i="223"/>
  <c r="BA53" i="223"/>
  <c r="BB53" i="223"/>
  <c r="BB182" i="223"/>
  <c r="BA182" i="223"/>
  <c r="AH141" i="11"/>
  <c r="AI141" i="11"/>
  <c r="AH174" i="11"/>
  <c r="AI174" i="11"/>
  <c r="BA48" i="223"/>
  <c r="BB48" i="223"/>
  <c r="BA169" i="223"/>
  <c r="BB169" i="223"/>
  <c r="AI116" i="11"/>
  <c r="AH116" i="11"/>
  <c r="AH207" i="11"/>
  <c r="AI207" i="11"/>
  <c r="AI238" i="11"/>
  <c r="AH238" i="11"/>
  <c r="AH93" i="11"/>
  <c r="AI93" i="11"/>
  <c r="AI104" i="11"/>
  <c r="AH104" i="11"/>
  <c r="AI125" i="11"/>
  <c r="AH125" i="11"/>
  <c r="AH249" i="11"/>
  <c r="AI249" i="11"/>
  <c r="AH72" i="11"/>
  <c r="AI72" i="11"/>
  <c r="AH71" i="11"/>
  <c r="BL54" i="213"/>
  <c r="BQ47" i="213"/>
  <c r="BL47" i="213"/>
  <c r="BM47" i="213"/>
  <c r="BQ61" i="213"/>
  <c r="BK50" i="213"/>
  <c r="AI68" i="213"/>
  <c r="BJ50" i="213"/>
  <c r="D32" i="11"/>
  <c r="D35" i="11" s="1"/>
  <c r="D57" i="11" s="1"/>
  <c r="BA10" i="223"/>
  <c r="BB10" i="223"/>
  <c r="E38" i="220"/>
  <c r="E102" i="220" s="1"/>
  <c r="AI70" i="11"/>
  <c r="AH70" i="11"/>
  <c r="BA14" i="223"/>
  <c r="F38" i="220"/>
  <c r="F102" i="220" s="1"/>
  <c r="F42" i="11"/>
  <c r="F32" i="11"/>
  <c r="AI66" i="11"/>
  <c r="AH66" i="11"/>
  <c r="D38" i="220"/>
  <c r="D102" i="220" s="1"/>
  <c r="BR45" i="213"/>
  <c r="BQ45" i="213"/>
  <c r="BR44" i="213"/>
  <c r="BQ44" i="213"/>
  <c r="C17" i="12"/>
  <c r="D17" i="12" s="1"/>
  <c r="G17" i="12" s="1"/>
  <c r="V34" i="240"/>
  <c r="W34" i="240" s="1"/>
  <c r="V34" i="239"/>
  <c r="W34" i="239" s="1"/>
  <c r="V35" i="236"/>
  <c r="W35" i="236" s="1"/>
  <c r="U34" i="235"/>
  <c r="X33" i="235"/>
  <c r="U35" i="234"/>
  <c r="O34" i="234"/>
  <c r="X33" i="234"/>
  <c r="U34" i="233"/>
  <c r="X33" i="233"/>
  <c r="U67" i="231"/>
  <c r="V34" i="231"/>
  <c r="W34" i="231" s="1"/>
  <c r="V33" i="230"/>
  <c r="W33" i="230" s="1"/>
  <c r="S67" i="230"/>
  <c r="T67" i="230" s="1"/>
  <c r="AI183" i="11"/>
  <c r="AH183" i="11"/>
  <c r="BB127" i="223"/>
  <c r="BA127" i="223"/>
  <c r="S26" i="218"/>
  <c r="AA26" i="218"/>
  <c r="J26" i="218"/>
  <c r="P26" i="218"/>
  <c r="V26" i="218"/>
  <c r="Z26" i="218"/>
  <c r="O26" i="218"/>
  <c r="D26" i="218"/>
  <c r="T26" i="218"/>
  <c r="N26" i="218"/>
  <c r="C26" i="218"/>
  <c r="H26" i="218"/>
  <c r="Q26" i="218"/>
  <c r="W26" i="218"/>
  <c r="G26" i="218"/>
  <c r="X26" i="218"/>
  <c r="E26" i="218"/>
  <c r="AB26" i="218"/>
  <c r="L26" i="218"/>
  <c r="M26" i="218"/>
  <c r="R26" i="218"/>
  <c r="U26" i="218"/>
  <c r="I26" i="218"/>
  <c r="A27" i="218"/>
  <c r="K26" i="218"/>
  <c r="F26" i="218"/>
  <c r="Y26" i="218"/>
  <c r="AI83" i="11"/>
  <c r="AH83" i="11"/>
  <c r="BO26" i="218"/>
  <c r="AI26" i="218"/>
  <c r="AK26" i="218"/>
  <c r="AV26" i="218"/>
  <c r="AN26" i="218"/>
  <c r="BZ26" i="218"/>
  <c r="BX26" i="218"/>
  <c r="BB26" i="218"/>
  <c r="AT26" i="218"/>
  <c r="BR26" i="218"/>
  <c r="BF26" i="218"/>
  <c r="BT26" i="218"/>
  <c r="BM26" i="218"/>
  <c r="BE26" i="218"/>
  <c r="AW26" i="218"/>
  <c r="BD26" i="218"/>
  <c r="BL26" i="218"/>
  <c r="AQ26" i="218"/>
  <c r="BC26" i="218"/>
  <c r="AP26" i="218"/>
  <c r="BG26" i="218"/>
  <c r="BN26" i="218"/>
  <c r="AO26" i="218"/>
  <c r="BS26" i="218"/>
  <c r="BU26" i="218"/>
  <c r="AG27" i="218"/>
  <c r="BJ26" i="218"/>
  <c r="BW26" i="218"/>
  <c r="BA26" i="218"/>
  <c r="AR26" i="218"/>
  <c r="AM26" i="218"/>
  <c r="BY26" i="218"/>
  <c r="CA26" i="218"/>
  <c r="AX26" i="218"/>
  <c r="BK26" i="218"/>
  <c r="AU26" i="218"/>
  <c r="BV26" i="218"/>
  <c r="BQ49" i="213"/>
  <c r="BR49" i="213"/>
  <c r="BR32" i="213"/>
  <c r="BQ32" i="213"/>
  <c r="BA27" i="223"/>
  <c r="BB27" i="223"/>
  <c r="BL14" i="213"/>
  <c r="BK62" i="213"/>
  <c r="AH219" i="11"/>
  <c r="AI219" i="11"/>
  <c r="B8" i="220"/>
  <c r="AI188" i="11"/>
  <c r="AH188" i="11"/>
  <c r="BB59" i="223"/>
  <c r="BA59" i="223"/>
  <c r="BA73" i="223"/>
  <c r="BB73" i="223"/>
  <c r="BQ48" i="213"/>
  <c r="BR48" i="213"/>
  <c r="BA163" i="223"/>
  <c r="BB163" i="223"/>
  <c r="AI264" i="11"/>
  <c r="AH264" i="11"/>
  <c r="F22" i="12"/>
  <c r="E22" i="12"/>
  <c r="BA132" i="223"/>
  <c r="BB132" i="223"/>
  <c r="BA208" i="223"/>
  <c r="BB208" i="223"/>
  <c r="BM14" i="213"/>
  <c r="AI115" i="11"/>
  <c r="AH115" i="11"/>
  <c r="AI129" i="11"/>
  <c r="AH129" i="11"/>
  <c r="BJ224" i="1"/>
  <c r="AC280" i="11"/>
  <c r="AI221" i="11"/>
  <c r="AH221" i="11"/>
  <c r="AI239" i="11"/>
  <c r="AH239" i="11"/>
  <c r="AI213" i="11"/>
  <c r="AH213" i="11"/>
  <c r="BR19" i="213"/>
  <c r="BQ19" i="213"/>
  <c r="AH75" i="11"/>
  <c r="AI75" i="11"/>
  <c r="BB131" i="223"/>
  <c r="BA131" i="223"/>
  <c r="AA40" i="11"/>
  <c r="B12" i="11"/>
  <c r="B42" i="11" s="1"/>
  <c r="BA113" i="223"/>
  <c r="BB113" i="223"/>
  <c r="AH187" i="11"/>
  <c r="AI187" i="11"/>
  <c r="AI252" i="11"/>
  <c r="AH252" i="11"/>
  <c r="BB32" i="223"/>
  <c r="BA32" i="223"/>
  <c r="AI67" i="11"/>
  <c r="AH67" i="11"/>
  <c r="BA196" i="223"/>
  <c r="BB196" i="223"/>
  <c r="AI84" i="11"/>
  <c r="AH84" i="11"/>
  <c r="AI203" i="11"/>
  <c r="AH203" i="11"/>
  <c r="BA19" i="223"/>
  <c r="BB19" i="223"/>
  <c r="BM59" i="213"/>
  <c r="BL59" i="213"/>
  <c r="AI143" i="11"/>
  <c r="AH143" i="11"/>
  <c r="BL61" i="213"/>
  <c r="BM61" i="213"/>
  <c r="AH228" i="11"/>
  <c r="AI228" i="11"/>
  <c r="BR52" i="213"/>
  <c r="BQ52" i="213"/>
  <c r="C7" i="12"/>
  <c r="D7" i="12" s="1"/>
  <c r="G7" i="12" s="1"/>
  <c r="AB41" i="11"/>
  <c r="AB50" i="11"/>
  <c r="C16" i="12"/>
  <c r="D16" i="12" s="1"/>
  <c r="G16" i="12" s="1"/>
  <c r="AI73" i="11"/>
  <c r="AH73" i="11"/>
  <c r="BA28" i="223"/>
  <c r="BB28" i="223"/>
  <c r="AB47" i="11"/>
  <c r="C13" i="12"/>
  <c r="D13" i="12" s="1"/>
  <c r="G13" i="12" s="1"/>
  <c r="C12" i="11"/>
  <c r="C42" i="11" s="1"/>
  <c r="BR55" i="213"/>
  <c r="BQ55" i="213"/>
  <c r="C31" i="11"/>
  <c r="BB87" i="223"/>
  <c r="BA87" i="223"/>
  <c r="BB186" i="223"/>
  <c r="BA186" i="223"/>
  <c r="BB70" i="223"/>
  <c r="BA70" i="223"/>
  <c r="C10" i="12"/>
  <c r="D10" i="12" s="1"/>
  <c r="G10" i="12" s="1"/>
  <c r="AB44" i="11"/>
  <c r="AI82" i="11"/>
  <c r="AH82" i="11"/>
  <c r="BA172" i="223"/>
  <c r="BB172" i="223"/>
  <c r="BB11" i="223"/>
  <c r="BA11" i="223"/>
  <c r="AI242" i="11"/>
  <c r="AH242" i="11"/>
  <c r="BA165" i="223"/>
  <c r="BB165" i="223"/>
  <c r="BA183" i="223"/>
  <c r="BB183" i="223"/>
  <c r="BM60" i="213"/>
  <c r="BL60" i="213"/>
  <c r="BA26" i="223"/>
  <c r="BB26" i="223"/>
  <c r="Z56" i="218"/>
  <c r="L56" i="218"/>
  <c r="H56" i="218"/>
  <c r="AC56" i="218" a="1"/>
  <c r="AC56" i="218" s="1"/>
  <c r="T56" i="218"/>
  <c r="C56" i="218"/>
  <c r="E56" i="218"/>
  <c r="U56" i="218"/>
  <c r="N56" i="218"/>
  <c r="G56" i="218"/>
  <c r="W56" i="218"/>
  <c r="AB56" i="218"/>
  <c r="A57" i="218"/>
  <c r="Q56" i="218"/>
  <c r="I56" i="218"/>
  <c r="J56" i="218"/>
  <c r="Y56" i="218"/>
  <c r="S56" i="218"/>
  <c r="R56" i="218"/>
  <c r="X56" i="218"/>
  <c r="K56" i="218"/>
  <c r="AD56" i="218"/>
  <c r="AA56" i="218"/>
  <c r="M56" i="218"/>
  <c r="P56" i="218"/>
  <c r="F56" i="218"/>
  <c r="V56" i="218"/>
  <c r="O56" i="218"/>
  <c r="D56" i="218"/>
  <c r="AH126" i="11"/>
  <c r="AI126" i="11"/>
  <c r="AI88" i="11"/>
  <c r="AH88" i="11"/>
  <c r="BR53" i="213"/>
  <c r="BQ53" i="213"/>
  <c r="BB17" i="223"/>
  <c r="BA17" i="223"/>
  <c r="BM58" i="213"/>
  <c r="BL58" i="213"/>
  <c r="AH169" i="11"/>
  <c r="AI169" i="11"/>
  <c r="BH224" i="1"/>
  <c r="BA147" i="223"/>
  <c r="BB147" i="223"/>
  <c r="BB157" i="223"/>
  <c r="BA157" i="223"/>
  <c r="F9" i="9" l="1"/>
  <c r="G9" i="9"/>
  <c r="G28" i="9"/>
  <c r="F28" i="9"/>
  <c r="AL26" i="218"/>
  <c r="E35" i="11"/>
  <c r="E57" i="11" s="1"/>
  <c r="M7" i="218" a="1"/>
  <c r="M7" i="218" s="1"/>
  <c r="AA7" i="218" a="1"/>
  <c r="AA7" i="218" s="1"/>
  <c r="AB7" i="218" a="1"/>
  <c r="AB7" i="218" s="1"/>
  <c r="R7" i="218" a="1"/>
  <c r="R7" i="218" s="1"/>
  <c r="W7" i="218" a="1"/>
  <c r="W7" i="218" s="1"/>
  <c r="B21" i="220"/>
  <c r="B85" i="220" s="1"/>
  <c r="AK66" i="213"/>
  <c r="AK68" i="213" s="1"/>
  <c r="AB27" i="9"/>
  <c r="AB8" i="9"/>
  <c r="AC8" i="9" s="1"/>
  <c r="T7" i="218" a="1"/>
  <c r="T7" i="218" s="1"/>
  <c r="X7" i="218" a="1"/>
  <c r="X7" i="218" s="1"/>
  <c r="E38" i="218"/>
  <c r="U7" i="218" a="1"/>
  <c r="U7" i="218" s="1"/>
  <c r="H38" i="218"/>
  <c r="Q7" i="218" a="1"/>
  <c r="Q7" i="218" s="1"/>
  <c r="K7" i="218" a="1"/>
  <c r="K7" i="218" s="1"/>
  <c r="Z7" i="218" a="1"/>
  <c r="Z7" i="218" s="1"/>
  <c r="S7" i="218" a="1"/>
  <c r="S7" i="218" s="1"/>
  <c r="G38" i="218"/>
  <c r="N7" i="218" a="1"/>
  <c r="N7" i="218" s="1"/>
  <c r="L7" i="218" a="1"/>
  <c r="L7" i="218" s="1"/>
  <c r="Y7" i="218" a="1"/>
  <c r="Y7" i="218" s="1"/>
  <c r="I7" i="218" a="1"/>
  <c r="I7" i="218" s="1"/>
  <c r="P7" i="218" a="1"/>
  <c r="P7" i="218" s="1"/>
  <c r="O7" i="218" a="1"/>
  <c r="O7" i="218" s="1"/>
  <c r="V7" i="218" a="1"/>
  <c r="V7" i="218" s="1"/>
  <c r="F38" i="218"/>
  <c r="E9" i="9"/>
  <c r="D9" i="9"/>
  <c r="E28" i="9"/>
  <c r="D28" i="9"/>
  <c r="BL46" i="213"/>
  <c r="D37" i="218"/>
  <c r="D7" i="214"/>
  <c r="F7" i="214" s="1"/>
  <c r="AC26" i="9"/>
  <c r="A11" i="9"/>
  <c r="B29" i="9"/>
  <c r="B10" i="9"/>
  <c r="AS9" i="218"/>
  <c r="AR9" i="218"/>
  <c r="AL9" i="218"/>
  <c r="BG9" i="218"/>
  <c r="AQ9" i="218"/>
  <c r="AG10" i="218"/>
  <c r="AN9" i="218"/>
  <c r="AM9" i="218"/>
  <c r="BB9" i="218"/>
  <c r="BZ9" i="218"/>
  <c r="BU9" i="218"/>
  <c r="AW9" i="218"/>
  <c r="BC9" i="218"/>
  <c r="AT9" i="218"/>
  <c r="BO9" i="218"/>
  <c r="AO9" i="218"/>
  <c r="BX9" i="218"/>
  <c r="BA9" i="218"/>
  <c r="BW9" i="218"/>
  <c r="BT9" i="218"/>
  <c r="BV9" i="218"/>
  <c r="AU9" i="218"/>
  <c r="AV9" i="218"/>
  <c r="AX9" i="218"/>
  <c r="BM9" i="218"/>
  <c r="BD9" i="218"/>
  <c r="BS9" i="218"/>
  <c r="BE9" i="218"/>
  <c r="BR9" i="218"/>
  <c r="AP9" i="218"/>
  <c r="BJ9" i="218"/>
  <c r="BL9" i="218"/>
  <c r="AK9" i="218"/>
  <c r="BN9" i="218"/>
  <c r="AI9" i="218"/>
  <c r="CA9" i="218"/>
  <c r="BK9" i="218"/>
  <c r="BF9" i="218"/>
  <c r="BY9" i="218"/>
  <c r="A11" i="214"/>
  <c r="G10" i="214"/>
  <c r="C10" i="214"/>
  <c r="AC9" i="9"/>
  <c r="AB9" i="9"/>
  <c r="C9" i="9"/>
  <c r="AC11" i="218" a="1"/>
  <c r="AC11" i="218" s="1"/>
  <c r="AD11" i="218"/>
  <c r="AB28" i="9"/>
  <c r="D9" i="214" s="1"/>
  <c r="C28" i="9"/>
  <c r="AC28" i="9"/>
  <c r="I9" i="214" s="1"/>
  <c r="BM56" i="213"/>
  <c r="BL57" i="213"/>
  <c r="BL31" i="213"/>
  <c r="B72" i="220"/>
  <c r="AC27" i="218" a="1"/>
  <c r="AC27" i="218" s="1"/>
  <c r="AD27" i="218"/>
  <c r="AA38" i="220" a="1"/>
  <c r="AA38" i="220" s="1"/>
  <c r="AB38" i="220" s="1"/>
  <c r="E12" i="12"/>
  <c r="D54" i="11"/>
  <c r="AS27" i="218"/>
  <c r="AL27" i="218"/>
  <c r="F11" i="218" a="1"/>
  <c r="F11" i="218" s="1"/>
  <c r="H11" i="218" a="1"/>
  <c r="H11" i="218" s="1"/>
  <c r="J11" i="218" a="1"/>
  <c r="J11" i="218" s="1"/>
  <c r="D11" i="218" a="1"/>
  <c r="D11" i="218" s="1"/>
  <c r="N11" i="218" a="1"/>
  <c r="N11" i="218" s="1"/>
  <c r="R11" i="218" a="1"/>
  <c r="R11" i="218" s="1"/>
  <c r="C11" i="218"/>
  <c r="W11" i="218" a="1"/>
  <c r="W11" i="218" s="1"/>
  <c r="AA11" i="218" a="1"/>
  <c r="AA11" i="218" s="1"/>
  <c r="M11" i="218" a="1"/>
  <c r="M11" i="218" s="1"/>
  <c r="A12" i="218"/>
  <c r="V11" i="218" a="1"/>
  <c r="V11" i="218" s="1"/>
  <c r="X11" i="218" a="1"/>
  <c r="X11" i="218" s="1"/>
  <c r="Z11" i="218" a="1"/>
  <c r="Z11" i="218" s="1"/>
  <c r="L11" i="218" a="1"/>
  <c r="L11" i="218" s="1"/>
  <c r="O11" i="218" a="1"/>
  <c r="O11" i="218" s="1"/>
  <c r="S11" i="218" a="1"/>
  <c r="S11" i="218" s="1"/>
  <c r="E11" i="218" a="1"/>
  <c r="E11" i="218" s="1"/>
  <c r="G11" i="218" a="1"/>
  <c r="G11" i="218" s="1"/>
  <c r="I11" i="218" a="1"/>
  <c r="I11" i="218" s="1"/>
  <c r="K11" i="218" a="1"/>
  <c r="K11" i="218" s="1"/>
  <c r="AB11" i="218" a="1"/>
  <c r="AB11" i="218" s="1"/>
  <c r="P11" i="218" a="1"/>
  <c r="P11" i="218" s="1"/>
  <c r="T11" i="218" a="1"/>
  <c r="T11" i="218" s="1"/>
  <c r="U11" i="218" a="1"/>
  <c r="U11" i="218" s="1"/>
  <c r="Y11" i="218" a="1"/>
  <c r="Y11" i="218" s="1"/>
  <c r="Q11" i="218" a="1"/>
  <c r="Q11" i="218" s="1"/>
  <c r="F41" i="218"/>
  <c r="V41" i="218"/>
  <c r="K41" i="218"/>
  <c r="AA41" i="218"/>
  <c r="P41" i="218"/>
  <c r="Q41" i="218"/>
  <c r="Y41" i="218"/>
  <c r="A42" i="218"/>
  <c r="R41" i="218"/>
  <c r="G41" i="218"/>
  <c r="W41" i="218"/>
  <c r="L41" i="218"/>
  <c r="AB41" i="218"/>
  <c r="I41" i="218"/>
  <c r="N41" i="218"/>
  <c r="S41" i="218"/>
  <c r="X41" i="218"/>
  <c r="M41" i="218"/>
  <c r="Z41" i="218"/>
  <c r="E41" i="218"/>
  <c r="D41" i="218"/>
  <c r="AD41" i="218"/>
  <c r="AC41" i="218" a="1"/>
  <c r="AC41" i="218" s="1"/>
  <c r="H41" i="218"/>
  <c r="U41" i="218"/>
  <c r="J41" i="218"/>
  <c r="O41" i="218"/>
  <c r="T41" i="218"/>
  <c r="C41" i="218"/>
  <c r="F14" i="12"/>
  <c r="E14" i="12"/>
  <c r="F12" i="12"/>
  <c r="AA102" i="220" a="1"/>
  <c r="AA102" i="220" s="1"/>
  <c r="AB102" i="220" s="1"/>
  <c r="F54" i="11"/>
  <c r="F35" i="11"/>
  <c r="F57" i="11" s="1"/>
  <c r="BL45" i="213"/>
  <c r="BM45" i="213"/>
  <c r="BM44" i="213"/>
  <c r="BL44" i="213"/>
  <c r="U35" i="240"/>
  <c r="X34" i="240"/>
  <c r="U35" i="239"/>
  <c r="X34" i="239"/>
  <c r="X35" i="236"/>
  <c r="U36" i="236"/>
  <c r="V34" i="235"/>
  <c r="W34" i="235" s="1"/>
  <c r="P34" i="234"/>
  <c r="Q34" i="234" s="1"/>
  <c r="V35" i="234"/>
  <c r="W35" i="234" s="1"/>
  <c r="V34" i="233"/>
  <c r="W34" i="233" s="1"/>
  <c r="M68" i="231"/>
  <c r="N68" i="231" s="1"/>
  <c r="X34" i="231"/>
  <c r="U35" i="231"/>
  <c r="S69" i="231"/>
  <c r="T69" i="231" s="1"/>
  <c r="R68" i="230"/>
  <c r="U67" i="230"/>
  <c r="U34" i="230"/>
  <c r="X33" i="230"/>
  <c r="BL32" i="213"/>
  <c r="BM32" i="213"/>
  <c r="BV27" i="218"/>
  <c r="AG28" i="218"/>
  <c r="BA27" i="218"/>
  <c r="BX27" i="218"/>
  <c r="BD27" i="218"/>
  <c r="BZ27" i="218"/>
  <c r="BF27" i="218"/>
  <c r="BN27" i="218"/>
  <c r="AQ27" i="218"/>
  <c r="BE27" i="218"/>
  <c r="BB27" i="218"/>
  <c r="BK27" i="218"/>
  <c r="BG27" i="218"/>
  <c r="AI27" i="218"/>
  <c r="AT27" i="218"/>
  <c r="AM27" i="218"/>
  <c r="AV27" i="218"/>
  <c r="BL27" i="218"/>
  <c r="AP27" i="218"/>
  <c r="BU27" i="218"/>
  <c r="AW27" i="218"/>
  <c r="AN27" i="218"/>
  <c r="BW27" i="218"/>
  <c r="BO27" i="218"/>
  <c r="AO27" i="218"/>
  <c r="BY27" i="218"/>
  <c r="BC27" i="218"/>
  <c r="BM27" i="218"/>
  <c r="CA27" i="218"/>
  <c r="AU27" i="218"/>
  <c r="AR27" i="218"/>
  <c r="BS27" i="218"/>
  <c r="AX27" i="218"/>
  <c r="BR27" i="218"/>
  <c r="AK27" i="218"/>
  <c r="BJ27" i="218"/>
  <c r="BT27" i="218"/>
  <c r="BL49" i="213"/>
  <c r="BM49" i="213"/>
  <c r="W27" i="218"/>
  <c r="M27" i="218"/>
  <c r="P27" i="218"/>
  <c r="AB27" i="218"/>
  <c r="I27" i="218"/>
  <c r="Z27" i="218"/>
  <c r="K27" i="218"/>
  <c r="A28" i="218"/>
  <c r="T27" i="218"/>
  <c r="F27" i="218"/>
  <c r="J27" i="218"/>
  <c r="N27" i="218"/>
  <c r="Q27" i="218"/>
  <c r="Y27" i="218"/>
  <c r="D27" i="218"/>
  <c r="O27" i="218"/>
  <c r="R27" i="218"/>
  <c r="AA27" i="218"/>
  <c r="L27" i="218"/>
  <c r="H27" i="218"/>
  <c r="C27" i="218"/>
  <c r="U27" i="218"/>
  <c r="S27" i="218"/>
  <c r="X27" i="218"/>
  <c r="G27" i="218"/>
  <c r="E27" i="218"/>
  <c r="V27" i="218"/>
  <c r="BL48" i="213"/>
  <c r="BM48" i="213"/>
  <c r="AA42" i="11"/>
  <c r="AB42" i="11" s="1"/>
  <c r="C6" i="12"/>
  <c r="D6" i="12" s="1"/>
  <c r="G6" i="12" s="1"/>
  <c r="AB40" i="11"/>
  <c r="BB224" i="223"/>
  <c r="BA224" i="223"/>
  <c r="BM53" i="213"/>
  <c r="BL53" i="213"/>
  <c r="C32" i="11"/>
  <c r="C53" i="11"/>
  <c r="AA53" i="11" s="1"/>
  <c r="BM19" i="213"/>
  <c r="BL19" i="213"/>
  <c r="BM55" i="213"/>
  <c r="BL55" i="213"/>
  <c r="BM52" i="213"/>
  <c r="BL52" i="213"/>
  <c r="S57" i="218"/>
  <c r="T57" i="218"/>
  <c r="AD57" i="218"/>
  <c r="Y57" i="218"/>
  <c r="H57" i="218"/>
  <c r="K57" i="218"/>
  <c r="X57" i="218"/>
  <c r="AC57" i="218" a="1"/>
  <c r="AC57" i="218" s="1"/>
  <c r="M57" i="218"/>
  <c r="F57" i="218"/>
  <c r="P57" i="218"/>
  <c r="V57" i="218"/>
  <c r="E57" i="218"/>
  <c r="O57" i="218"/>
  <c r="U57" i="218"/>
  <c r="C57" i="218"/>
  <c r="N57" i="218"/>
  <c r="A58" i="218"/>
  <c r="G57" i="218"/>
  <c r="L57" i="218"/>
  <c r="W57" i="218"/>
  <c r="AB57" i="218"/>
  <c r="D57" i="218"/>
  <c r="Q57" i="218"/>
  <c r="I57" i="218"/>
  <c r="J57" i="218"/>
  <c r="R57" i="218"/>
  <c r="Z57" i="218"/>
  <c r="AA57" i="218"/>
  <c r="B32" i="11"/>
  <c r="B54" i="11" s="1"/>
  <c r="G10" i="9" l="1"/>
  <c r="F10" i="9"/>
  <c r="F29" i="9"/>
  <c r="G29" i="9"/>
  <c r="AC27" i="9"/>
  <c r="D8" i="214"/>
  <c r="F8" i="214" s="1"/>
  <c r="D38" i="218"/>
  <c r="AC38" i="218" s="1" a="1"/>
  <c r="AC38" i="218" s="1"/>
  <c r="G8" i="214" s="1"/>
  <c r="D10" i="9"/>
  <c r="E10" i="9"/>
  <c r="E29" i="9"/>
  <c r="D29" i="9"/>
  <c r="G11" i="214"/>
  <c r="C11" i="214"/>
  <c r="A12" i="214"/>
  <c r="AB10" i="9"/>
  <c r="AC10" i="9"/>
  <c r="C10" i="9"/>
  <c r="AD12" i="218"/>
  <c r="AC12" i="218" a="1"/>
  <c r="AC12" i="218" s="1"/>
  <c r="C29" i="9"/>
  <c r="AB29" i="9"/>
  <c r="D10" i="214" s="1"/>
  <c r="AC29" i="9"/>
  <c r="I10" i="214" s="1"/>
  <c r="AL10" i="218"/>
  <c r="AS10" i="218"/>
  <c r="AR10" i="218"/>
  <c r="AT10" i="218"/>
  <c r="BM10" i="218"/>
  <c r="AM10" i="218"/>
  <c r="BC10" i="218"/>
  <c r="AX10" i="218"/>
  <c r="AW10" i="218"/>
  <c r="BY10" i="218"/>
  <c r="BD10" i="218"/>
  <c r="CA10" i="218"/>
  <c r="BF10" i="218"/>
  <c r="AP10" i="218"/>
  <c r="AK10" i="218"/>
  <c r="BK10" i="218"/>
  <c r="BJ10" i="218"/>
  <c r="AG11" i="218"/>
  <c r="AU10" i="218"/>
  <c r="BX10" i="218"/>
  <c r="BZ10" i="218"/>
  <c r="BE10" i="218"/>
  <c r="AQ10" i="218"/>
  <c r="AN10" i="218"/>
  <c r="BL10" i="218"/>
  <c r="AI10" i="218"/>
  <c r="BO10" i="218"/>
  <c r="BS10" i="218"/>
  <c r="BT10" i="218"/>
  <c r="BV10" i="218"/>
  <c r="BG10" i="218"/>
  <c r="BN10" i="218"/>
  <c r="AO10" i="218"/>
  <c r="AV10" i="218"/>
  <c r="BB10" i="218"/>
  <c r="BA10" i="218"/>
  <c r="BR10" i="218"/>
  <c r="BU10" i="218"/>
  <c r="BW10" i="218"/>
  <c r="A12" i="9"/>
  <c r="B30" i="9"/>
  <c r="B11" i="9"/>
  <c r="B51" i="220"/>
  <c r="B115" i="220" s="1"/>
  <c r="AD28" i="218"/>
  <c r="AC28" i="218" a="1"/>
  <c r="AC28" i="218" s="1"/>
  <c r="F15" i="12"/>
  <c r="E18" i="12"/>
  <c r="E21" i="12"/>
  <c r="F11" i="12"/>
  <c r="E7" i="12"/>
  <c r="F18" i="12"/>
  <c r="F21" i="12"/>
  <c r="E11" i="12"/>
  <c r="AL28" i="218"/>
  <c r="AS28" i="218"/>
  <c r="E42" i="218"/>
  <c r="U42" i="218"/>
  <c r="N42" i="218"/>
  <c r="G42" i="218"/>
  <c r="W42" i="218"/>
  <c r="D42" i="218"/>
  <c r="P42" i="218"/>
  <c r="A43" i="218"/>
  <c r="Q42" i="218"/>
  <c r="J42" i="218"/>
  <c r="Z42" i="218"/>
  <c r="S42" i="218"/>
  <c r="I42" i="218"/>
  <c r="R42" i="218"/>
  <c r="AA42" i="218"/>
  <c r="AB42" i="218"/>
  <c r="M42" i="218"/>
  <c r="H42" i="218"/>
  <c r="C42" i="218"/>
  <c r="V42" i="218"/>
  <c r="AC42" i="218" a="1"/>
  <c r="AC42" i="218" s="1"/>
  <c r="Y42" i="218"/>
  <c r="K42" i="218"/>
  <c r="X42" i="218"/>
  <c r="T42" i="218"/>
  <c r="AD42" i="218"/>
  <c r="F42" i="218"/>
  <c r="O42" i="218"/>
  <c r="L42" i="218"/>
  <c r="O12" i="218" a="1"/>
  <c r="O12" i="218" s="1"/>
  <c r="S12" i="218" a="1"/>
  <c r="S12" i="218" s="1"/>
  <c r="U12" i="218" a="1"/>
  <c r="U12" i="218" s="1"/>
  <c r="W12" i="218" a="1"/>
  <c r="W12" i="218" s="1"/>
  <c r="Y12" i="218" a="1"/>
  <c r="Y12" i="218" s="1"/>
  <c r="AA12" i="218" a="1"/>
  <c r="AA12" i="218" s="1"/>
  <c r="C12" i="218"/>
  <c r="E12" i="218" a="1"/>
  <c r="E12" i="218" s="1"/>
  <c r="G12" i="218" a="1"/>
  <c r="G12" i="218" s="1"/>
  <c r="A13" i="218"/>
  <c r="P12" i="218" a="1"/>
  <c r="P12" i="218" s="1"/>
  <c r="T12" i="218" a="1"/>
  <c r="T12" i="218" s="1"/>
  <c r="F12" i="218" a="1"/>
  <c r="F12" i="218" s="1"/>
  <c r="H12" i="218" a="1"/>
  <c r="H12" i="218" s="1"/>
  <c r="J12" i="218" a="1"/>
  <c r="J12" i="218" s="1"/>
  <c r="L12" i="218" a="1"/>
  <c r="L12" i="218" s="1"/>
  <c r="N12" i="218" a="1"/>
  <c r="N12" i="218" s="1"/>
  <c r="K12" i="218" a="1"/>
  <c r="K12" i="218" s="1"/>
  <c r="M12" i="218" a="1"/>
  <c r="M12" i="218" s="1"/>
  <c r="Q12" i="218" a="1"/>
  <c r="Q12" i="218" s="1"/>
  <c r="D12" i="218" a="1"/>
  <c r="D12" i="218" s="1"/>
  <c r="V12" i="218" a="1"/>
  <c r="V12" i="218" s="1"/>
  <c r="X12" i="218" a="1"/>
  <c r="X12" i="218" s="1"/>
  <c r="Z12" i="218" a="1"/>
  <c r="Z12" i="218" s="1"/>
  <c r="AB12" i="218" a="1"/>
  <c r="AB12" i="218" s="1"/>
  <c r="R12" i="218" a="1"/>
  <c r="R12" i="218" s="1"/>
  <c r="I12" i="218" a="1"/>
  <c r="I12" i="218" s="1"/>
  <c r="E15" i="12"/>
  <c r="F7" i="12"/>
  <c r="V35" i="240"/>
  <c r="W35" i="240" s="1"/>
  <c r="V35" i="239"/>
  <c r="W35" i="239" s="1"/>
  <c r="V36" i="236"/>
  <c r="W36" i="236" s="1"/>
  <c r="U35" i="235"/>
  <c r="X34" i="235"/>
  <c r="U36" i="234"/>
  <c r="O35" i="234"/>
  <c r="X34" i="234"/>
  <c r="U35" i="233"/>
  <c r="X34" i="233"/>
  <c r="BL50" i="213"/>
  <c r="F10" i="12"/>
  <c r="U68" i="231"/>
  <c r="V35" i="231"/>
  <c r="W35" i="231" s="1"/>
  <c r="V34" i="230"/>
  <c r="W34" i="230" s="1"/>
  <c r="S68" i="230"/>
  <c r="T68" i="230" s="1"/>
  <c r="E13" i="12"/>
  <c r="E10" i="12"/>
  <c r="BM50" i="213"/>
  <c r="AA28" i="218"/>
  <c r="Q28" i="218"/>
  <c r="D28" i="218"/>
  <c r="P28" i="218"/>
  <c r="N28" i="218"/>
  <c r="S28" i="218"/>
  <c r="I28" i="218"/>
  <c r="H28" i="218"/>
  <c r="R28" i="218"/>
  <c r="W28" i="218"/>
  <c r="G28" i="218"/>
  <c r="Y28" i="218"/>
  <c r="J28" i="218"/>
  <c r="Z28" i="218"/>
  <c r="F28" i="218"/>
  <c r="C28" i="218"/>
  <c r="T28" i="218"/>
  <c r="M28" i="218"/>
  <c r="O28" i="218"/>
  <c r="X28" i="218"/>
  <c r="L28" i="218"/>
  <c r="V28" i="218"/>
  <c r="E28" i="218"/>
  <c r="A29" i="218"/>
  <c r="AB28" i="218"/>
  <c r="K28" i="218"/>
  <c r="U28" i="218"/>
  <c r="BU28" i="218"/>
  <c r="AI28" i="218"/>
  <c r="AP28" i="218"/>
  <c r="BD28" i="218"/>
  <c r="BK28" i="218"/>
  <c r="BA28" i="218"/>
  <c r="BW28" i="218"/>
  <c r="BM28" i="218"/>
  <c r="AM28" i="218"/>
  <c r="BY28" i="218"/>
  <c r="AW28" i="218"/>
  <c r="BJ28" i="218"/>
  <c r="BR28" i="218"/>
  <c r="AX28" i="218"/>
  <c r="BX28" i="218"/>
  <c r="BN28" i="218"/>
  <c r="BG28" i="218"/>
  <c r="BB28" i="218"/>
  <c r="AN28" i="218"/>
  <c r="AQ28" i="218"/>
  <c r="BS28" i="218"/>
  <c r="BT28" i="218"/>
  <c r="BF28" i="218"/>
  <c r="BV28" i="218"/>
  <c r="BZ28" i="218"/>
  <c r="AK28" i="218"/>
  <c r="AT28" i="218"/>
  <c r="BO28" i="218"/>
  <c r="AG29" i="218"/>
  <c r="AU28" i="218"/>
  <c r="BC28" i="218"/>
  <c r="AR28" i="218"/>
  <c r="BL28" i="218"/>
  <c r="BE28" i="218"/>
  <c r="CA28" i="218"/>
  <c r="AO28" i="218"/>
  <c r="AV28" i="218"/>
  <c r="F17" i="12"/>
  <c r="C8" i="12"/>
  <c r="D8" i="12" s="1"/>
  <c r="G8" i="12" s="1"/>
  <c r="E17" i="12"/>
  <c r="F13" i="12"/>
  <c r="AB53" i="11"/>
  <c r="C19" i="12"/>
  <c r="D19" i="12" s="1"/>
  <c r="G19" i="12" s="1"/>
  <c r="AA54" i="11"/>
  <c r="C35" i="11"/>
  <c r="C57" i="11" s="1"/>
  <c r="C54" i="11"/>
  <c r="T58" i="218"/>
  <c r="E58" i="218"/>
  <c r="I58" i="218"/>
  <c r="U58" i="218"/>
  <c r="Y58" i="218"/>
  <c r="N58" i="218"/>
  <c r="R58" i="218"/>
  <c r="G58" i="218"/>
  <c r="A59" i="218"/>
  <c r="W58" i="218"/>
  <c r="AD58" i="218"/>
  <c r="AB58" i="218"/>
  <c r="S58" i="218"/>
  <c r="Q58" i="218"/>
  <c r="H58" i="218"/>
  <c r="J58" i="218"/>
  <c r="X58" i="218"/>
  <c r="P58" i="218"/>
  <c r="M58" i="218"/>
  <c r="C58" i="218"/>
  <c r="F58" i="218"/>
  <c r="V58" i="218"/>
  <c r="AC58" i="218" a="1"/>
  <c r="AC58" i="218" s="1"/>
  <c r="L58" i="218"/>
  <c r="Z58" i="218"/>
  <c r="O58" i="218"/>
  <c r="K58" i="218"/>
  <c r="D58" i="218"/>
  <c r="AA58" i="218"/>
  <c r="BL62" i="213"/>
  <c r="E6" i="12"/>
  <c r="B65" i="220"/>
  <c r="F6" i="12"/>
  <c r="E16" i="12"/>
  <c r="BM62" i="213"/>
  <c r="F16" i="12"/>
  <c r="B35" i="11"/>
  <c r="B57" i="11" s="1"/>
  <c r="F11" i="9" l="1"/>
  <c r="G11" i="9"/>
  <c r="G30" i="9"/>
  <c r="F30" i="9"/>
  <c r="E8" i="12"/>
  <c r="AD38" i="218"/>
  <c r="E11" i="9"/>
  <c r="D11" i="9"/>
  <c r="E30" i="9"/>
  <c r="D30" i="9"/>
  <c r="AC13" i="218" a="1"/>
  <c r="AC13" i="218" s="1"/>
  <c r="AD13" i="218"/>
  <c r="B31" i="9"/>
  <c r="B12" i="9"/>
  <c r="A13" i="9"/>
  <c r="AB11" i="9"/>
  <c r="C11" i="9"/>
  <c r="AC11" i="9"/>
  <c r="AL11" i="218"/>
  <c r="AS11" i="218"/>
  <c r="AR11" i="218"/>
  <c r="BK11" i="218"/>
  <c r="AQ11" i="218"/>
  <c r="AM11" i="218"/>
  <c r="AT11" i="218"/>
  <c r="BA11" i="218"/>
  <c r="AP11" i="218"/>
  <c r="BX11" i="218"/>
  <c r="BZ11" i="218"/>
  <c r="BU11" i="218"/>
  <c r="BL11" i="218"/>
  <c r="BG11" i="218"/>
  <c r="BJ11" i="218"/>
  <c r="AV11" i="218"/>
  <c r="AI11" i="218"/>
  <c r="BF11" i="218"/>
  <c r="BY11" i="218"/>
  <c r="CA11" i="218"/>
  <c r="BD11" i="218"/>
  <c r="AO11" i="218"/>
  <c r="BB11" i="218"/>
  <c r="AG12" i="218"/>
  <c r="BO11" i="218"/>
  <c r="BN11" i="218"/>
  <c r="BE11" i="218"/>
  <c r="BS11" i="218"/>
  <c r="BW11" i="218"/>
  <c r="BV11" i="218"/>
  <c r="BC11" i="218"/>
  <c r="AW11" i="218"/>
  <c r="AN11" i="218"/>
  <c r="BM11" i="218"/>
  <c r="AX11" i="218"/>
  <c r="AK11" i="218"/>
  <c r="AU11" i="218"/>
  <c r="BR11" i="218"/>
  <c r="BT11" i="218"/>
  <c r="AC30" i="9"/>
  <c r="I11" i="214" s="1"/>
  <c r="C30" i="9"/>
  <c r="AB30" i="9"/>
  <c r="D11" i="214" s="1"/>
  <c r="C12" i="214"/>
  <c r="A13" i="214"/>
  <c r="AC29" i="218" a="1"/>
  <c r="AC29" i="218" s="1"/>
  <c r="AD29" i="218"/>
  <c r="B129" i="220"/>
  <c r="F8" i="12"/>
  <c r="AL29" i="218"/>
  <c r="AS29" i="218"/>
  <c r="AC43" i="218" a="1"/>
  <c r="AC43" i="218" s="1"/>
  <c r="P43" i="218"/>
  <c r="E43" i="218"/>
  <c r="U43" i="218"/>
  <c r="N43" i="218"/>
  <c r="O43" i="218"/>
  <c r="G43" i="218"/>
  <c r="D43" i="218"/>
  <c r="T43" i="218"/>
  <c r="Y43" i="218"/>
  <c r="R43" i="218"/>
  <c r="W43" i="218"/>
  <c r="I43" i="218"/>
  <c r="C43" i="218"/>
  <c r="AD43" i="218"/>
  <c r="H43" i="218"/>
  <c r="X43" i="218"/>
  <c r="M43" i="218"/>
  <c r="F43" i="218"/>
  <c r="V43" i="218"/>
  <c r="K43" i="218"/>
  <c r="AA43" i="218"/>
  <c r="L43" i="218"/>
  <c r="Z43" i="218"/>
  <c r="AB43" i="218"/>
  <c r="S43" i="218"/>
  <c r="Q43" i="218"/>
  <c r="A44" i="218"/>
  <c r="J43" i="218"/>
  <c r="E13" i="218" a="1"/>
  <c r="E13" i="218" s="1"/>
  <c r="G13" i="218" a="1"/>
  <c r="G13" i="218" s="1"/>
  <c r="I13" i="218" a="1"/>
  <c r="I13" i="218" s="1"/>
  <c r="K13" i="218" a="1"/>
  <c r="K13" i="218" s="1"/>
  <c r="M13" i="218" a="1"/>
  <c r="M13" i="218" s="1"/>
  <c r="P13" i="218" a="1"/>
  <c r="P13" i="218" s="1"/>
  <c r="T13" i="218" a="1"/>
  <c r="T13" i="218" s="1"/>
  <c r="X13" i="218" a="1"/>
  <c r="X13" i="218" s="1"/>
  <c r="O13" i="218" a="1"/>
  <c r="O13" i="218" s="1"/>
  <c r="U13" i="218" a="1"/>
  <c r="U13" i="218" s="1"/>
  <c r="W13" i="218" a="1"/>
  <c r="W13" i="218" s="1"/>
  <c r="Y13" i="218" a="1"/>
  <c r="Y13" i="218" s="1"/>
  <c r="AA13" i="218" a="1"/>
  <c r="AA13" i="218" s="1"/>
  <c r="D13" i="218" a="1"/>
  <c r="D13" i="218" s="1"/>
  <c r="Q13" i="218" a="1"/>
  <c r="Q13" i="218" s="1"/>
  <c r="A14" i="218"/>
  <c r="V13" i="218" a="1"/>
  <c r="V13" i="218" s="1"/>
  <c r="AB13" i="218" a="1"/>
  <c r="AB13" i="218" s="1"/>
  <c r="F13" i="218" a="1"/>
  <c r="F13" i="218" s="1"/>
  <c r="H13" i="218" a="1"/>
  <c r="H13" i="218" s="1"/>
  <c r="J13" i="218" a="1"/>
  <c r="J13" i="218" s="1"/>
  <c r="L13" i="218" a="1"/>
  <c r="L13" i="218" s="1"/>
  <c r="N13" i="218" a="1"/>
  <c r="N13" i="218" s="1"/>
  <c r="R13" i="218" a="1"/>
  <c r="R13" i="218" s="1"/>
  <c r="C13" i="218"/>
  <c r="Z13" i="218" a="1"/>
  <c r="Z13" i="218" s="1"/>
  <c r="S13" i="218" a="1"/>
  <c r="S13" i="218" s="1"/>
  <c r="U36" i="240"/>
  <c r="X35" i="240"/>
  <c r="X35" i="239"/>
  <c r="U36" i="239"/>
  <c r="X36" i="236"/>
  <c r="U37" i="236"/>
  <c r="V35" i="235"/>
  <c r="W35" i="235" s="1"/>
  <c r="P35" i="234"/>
  <c r="Q35" i="234" s="1"/>
  <c r="V36" i="234"/>
  <c r="W36" i="234" s="1"/>
  <c r="V35" i="233"/>
  <c r="W35" i="233" s="1"/>
  <c r="U36" i="231"/>
  <c r="X35" i="231"/>
  <c r="S70" i="231"/>
  <c r="T70" i="231" s="1"/>
  <c r="M69" i="231"/>
  <c r="N69" i="231" s="1"/>
  <c r="X34" i="230"/>
  <c r="U35" i="230"/>
  <c r="R69" i="230"/>
  <c r="U68" i="230"/>
  <c r="E19" i="12"/>
  <c r="BS29" i="218"/>
  <c r="BK29" i="218"/>
  <c r="BM29" i="218"/>
  <c r="BU29" i="218"/>
  <c r="AQ29" i="218"/>
  <c r="BO29" i="218"/>
  <c r="AG30" i="218"/>
  <c r="BW29" i="218"/>
  <c r="BG29" i="218"/>
  <c r="BF29" i="218"/>
  <c r="BY29" i="218"/>
  <c r="AV29" i="218"/>
  <c r="BB29" i="218"/>
  <c r="CA29" i="218"/>
  <c r="BL29" i="218"/>
  <c r="BX29" i="218"/>
  <c r="AW29" i="218"/>
  <c r="AU29" i="218"/>
  <c r="BZ29" i="218"/>
  <c r="BN29" i="218"/>
  <c r="BR29" i="218"/>
  <c r="BC29" i="218"/>
  <c r="AN29" i="218"/>
  <c r="BT29" i="218"/>
  <c r="AT29" i="218"/>
  <c r="BV29" i="218"/>
  <c r="BA29" i="218"/>
  <c r="AK29" i="218"/>
  <c r="AP29" i="218"/>
  <c r="BE29" i="218"/>
  <c r="AM29" i="218"/>
  <c r="AX29" i="218"/>
  <c r="AO29" i="218"/>
  <c r="BD29" i="218"/>
  <c r="AI29" i="218"/>
  <c r="AR29" i="218"/>
  <c r="BJ29" i="218"/>
  <c r="Q29" i="218"/>
  <c r="K29" i="218"/>
  <c r="J29" i="218"/>
  <c r="F29" i="218"/>
  <c r="U29" i="218"/>
  <c r="O29" i="218"/>
  <c r="X29" i="218"/>
  <c r="C29" i="218"/>
  <c r="I29" i="218"/>
  <c r="N29" i="218"/>
  <c r="AA29" i="218"/>
  <c r="AB29" i="218"/>
  <c r="Y29" i="218"/>
  <c r="T29" i="218"/>
  <c r="P29" i="218"/>
  <c r="Z29" i="218"/>
  <c r="V29" i="218"/>
  <c r="M29" i="218"/>
  <c r="G29" i="218"/>
  <c r="S29" i="218"/>
  <c r="E29" i="218"/>
  <c r="A30" i="218"/>
  <c r="L29" i="218"/>
  <c r="H29" i="218"/>
  <c r="W29" i="218"/>
  <c r="D29" i="218"/>
  <c r="R29" i="218"/>
  <c r="D20" i="12"/>
  <c r="G20" i="12" s="1"/>
  <c r="F19" i="12"/>
  <c r="AA57" i="11"/>
  <c r="C23" i="12" s="1"/>
  <c r="D4" i="214" s="1"/>
  <c r="I59" i="218"/>
  <c r="AB59" i="218"/>
  <c r="Y59" i="218"/>
  <c r="R59" i="218"/>
  <c r="C59" i="218"/>
  <c r="P59" i="218"/>
  <c r="AD59" i="218"/>
  <c r="U59" i="218"/>
  <c r="W59" i="218"/>
  <c r="N59" i="218"/>
  <c r="Q59" i="218"/>
  <c r="L59" i="218"/>
  <c r="A60" i="218"/>
  <c r="K59" i="218"/>
  <c r="AC59" i="218" a="1"/>
  <c r="AC59" i="218" s="1"/>
  <c r="AA59" i="218"/>
  <c r="E59" i="218"/>
  <c r="J59" i="218"/>
  <c r="Z59" i="218"/>
  <c r="F59" i="218"/>
  <c r="S59" i="218"/>
  <c r="V59" i="218"/>
  <c r="H59" i="218"/>
  <c r="O59" i="218"/>
  <c r="X59" i="218"/>
  <c r="D59" i="218"/>
  <c r="M59" i="218"/>
  <c r="T59" i="218"/>
  <c r="G59" i="218"/>
  <c r="C20" i="12"/>
  <c r="AB54" i="11"/>
  <c r="F12" i="9" l="1"/>
  <c r="G12" i="9"/>
  <c r="F31" i="9"/>
  <c r="G31" i="9"/>
  <c r="H8" i="214"/>
  <c r="E20" i="12"/>
  <c r="E23" i="12" s="1"/>
  <c r="E12" i="9"/>
  <c r="D12" i="9"/>
  <c r="E31" i="9"/>
  <c r="D31" i="9"/>
  <c r="F20" i="12"/>
  <c r="F23" i="12" s="1"/>
  <c r="AB12" i="9"/>
  <c r="C12" i="9"/>
  <c r="AC12" i="9"/>
  <c r="AB31" i="9"/>
  <c r="D12" i="214" s="1"/>
  <c r="AC31" i="9"/>
  <c r="C31" i="9"/>
  <c r="A14" i="214"/>
  <c r="G13" i="214"/>
  <c r="D13" i="214"/>
  <c r="C13" i="214"/>
  <c r="AS12" i="218"/>
  <c r="AR12" i="218"/>
  <c r="AL12" i="218"/>
  <c r="BJ12" i="218"/>
  <c r="AX12" i="218"/>
  <c r="AG13" i="218"/>
  <c r="BB12" i="218"/>
  <c r="BD12" i="218"/>
  <c r="BA12" i="218"/>
  <c r="BW12" i="218"/>
  <c r="BT12" i="218"/>
  <c r="BN12" i="218"/>
  <c r="BE12" i="218"/>
  <c r="BZ12" i="218"/>
  <c r="AI12" i="218"/>
  <c r="AK12" i="218"/>
  <c r="BU12" i="218"/>
  <c r="AQ12" i="218"/>
  <c r="AP12" i="218"/>
  <c r="BR12" i="218"/>
  <c r="AM12" i="218"/>
  <c r="BO12" i="218"/>
  <c r="BV12" i="218"/>
  <c r="AO12" i="218"/>
  <c r="BF12" i="218"/>
  <c r="CA12" i="218"/>
  <c r="BX12" i="218"/>
  <c r="AN12" i="218"/>
  <c r="AT12" i="218"/>
  <c r="AW12" i="218"/>
  <c r="BG12" i="218"/>
  <c r="BK12" i="218"/>
  <c r="BY12" i="218"/>
  <c r="BM12" i="218"/>
  <c r="AV12" i="218"/>
  <c r="AU12" i="218"/>
  <c r="BS12" i="218"/>
  <c r="BC12" i="218"/>
  <c r="BL12" i="218"/>
  <c r="AD14" i="218"/>
  <c r="AC14" i="218" a="1"/>
  <c r="AC14" i="218" s="1"/>
  <c r="B13" i="9"/>
  <c r="A14" i="9"/>
  <c r="B32" i="9"/>
  <c r="AD30" i="218"/>
  <c r="AC30" i="218" a="1"/>
  <c r="AC30" i="218" s="1"/>
  <c r="AS30" i="218"/>
  <c r="AL30" i="218"/>
  <c r="AC44" i="218" a="1"/>
  <c r="AC44" i="218" s="1"/>
  <c r="K44" i="218"/>
  <c r="AA44" i="218"/>
  <c r="P44" i="218"/>
  <c r="E44" i="218"/>
  <c r="U44" i="218"/>
  <c r="R44" i="218"/>
  <c r="C44" i="218"/>
  <c r="O44" i="218"/>
  <c r="T44" i="218"/>
  <c r="I44" i="218"/>
  <c r="J44" i="218"/>
  <c r="AD44" i="218"/>
  <c r="D44" i="218"/>
  <c r="Y44" i="218"/>
  <c r="A45" i="218"/>
  <c r="S44" i="218"/>
  <c r="H44" i="218"/>
  <c r="X44" i="218"/>
  <c r="M44" i="218"/>
  <c r="F44" i="218"/>
  <c r="Z44" i="218"/>
  <c r="W44" i="218"/>
  <c r="V44" i="218"/>
  <c r="L44" i="218"/>
  <c r="N44" i="218"/>
  <c r="AB44" i="218"/>
  <c r="G44" i="218"/>
  <c r="Q44" i="218"/>
  <c r="M14" i="218" a="1"/>
  <c r="M14" i="218" s="1"/>
  <c r="Q14" i="218" a="1"/>
  <c r="Q14" i="218" s="1"/>
  <c r="E14" i="218" a="1"/>
  <c r="E14" i="218" s="1"/>
  <c r="D14" i="218" a="1"/>
  <c r="D14" i="218" s="1"/>
  <c r="X14" i="218" a="1"/>
  <c r="X14" i="218" s="1"/>
  <c r="Z14" i="218" a="1"/>
  <c r="Z14" i="218" s="1"/>
  <c r="AB14" i="218" a="1"/>
  <c r="AB14" i="218" s="1"/>
  <c r="N14" i="218" a="1"/>
  <c r="N14" i="218" s="1"/>
  <c r="U14" i="218" a="1"/>
  <c r="U14" i="218" s="1"/>
  <c r="G14" i="218" a="1"/>
  <c r="G14" i="218" s="1"/>
  <c r="I14" i="218" a="1"/>
  <c r="I14" i="218" s="1"/>
  <c r="A15" i="218"/>
  <c r="AA14" i="218" a="1"/>
  <c r="AA14" i="218" s="1"/>
  <c r="T14" i="218" a="1"/>
  <c r="T14" i="218" s="1"/>
  <c r="J14" i="218" a="1"/>
  <c r="J14" i="218" s="1"/>
  <c r="R14" i="218" a="1"/>
  <c r="R14" i="218" s="1"/>
  <c r="K14" i="218" a="1"/>
  <c r="K14" i="218" s="1"/>
  <c r="O14" i="218" a="1"/>
  <c r="O14" i="218" s="1"/>
  <c r="S14" i="218" a="1"/>
  <c r="S14" i="218" s="1"/>
  <c r="F14" i="218" a="1"/>
  <c r="F14" i="218" s="1"/>
  <c r="W14" i="218" a="1"/>
  <c r="W14" i="218" s="1"/>
  <c r="Y14" i="218" a="1"/>
  <c r="Y14" i="218" s="1"/>
  <c r="C14" i="218"/>
  <c r="P14" i="218" a="1"/>
  <c r="P14" i="218" s="1"/>
  <c r="V14" i="218" a="1"/>
  <c r="V14" i="218" s="1"/>
  <c r="H14" i="218" a="1"/>
  <c r="H14" i="218" s="1"/>
  <c r="L14" i="218" a="1"/>
  <c r="L14" i="218" s="1"/>
  <c r="V36" i="240"/>
  <c r="W36" i="240" s="1"/>
  <c r="V36" i="239"/>
  <c r="W36" i="239" s="1"/>
  <c r="V37" i="236"/>
  <c r="W37" i="236" s="1"/>
  <c r="U36" i="235"/>
  <c r="X35" i="235"/>
  <c r="U37" i="234"/>
  <c r="O36" i="234"/>
  <c r="X35" i="234"/>
  <c r="U36" i="233"/>
  <c r="X35" i="233"/>
  <c r="U69" i="231"/>
  <c r="V36" i="231"/>
  <c r="W36" i="231" s="1"/>
  <c r="S69" i="230"/>
  <c r="T69" i="230" s="1"/>
  <c r="V35" i="230"/>
  <c r="W35" i="230" s="1"/>
  <c r="A31" i="218"/>
  <c r="Q30" i="218"/>
  <c r="AB30" i="218"/>
  <c r="Z30" i="218"/>
  <c r="AA30" i="218"/>
  <c r="V30" i="218"/>
  <c r="E30" i="218"/>
  <c r="Y30" i="218"/>
  <c r="S30" i="218"/>
  <c r="P30" i="218"/>
  <c r="R30" i="218"/>
  <c r="U30" i="218"/>
  <c r="H30" i="218"/>
  <c r="W30" i="218"/>
  <c r="K30" i="218"/>
  <c r="I30" i="218"/>
  <c r="M30" i="218"/>
  <c r="O30" i="218"/>
  <c r="T30" i="218"/>
  <c r="C30" i="218"/>
  <c r="F30" i="218"/>
  <c r="X30" i="218"/>
  <c r="D30" i="218"/>
  <c r="N30" i="218"/>
  <c r="L30" i="218"/>
  <c r="G30" i="218"/>
  <c r="J30" i="218"/>
  <c r="BB30" i="218"/>
  <c r="BA30" i="218"/>
  <c r="BG30" i="218"/>
  <c r="AT30" i="218"/>
  <c r="BU30" i="218"/>
  <c r="BT30" i="218"/>
  <c r="AW30" i="218"/>
  <c r="BV30" i="218"/>
  <c r="BD30" i="218"/>
  <c r="BC30" i="218"/>
  <c r="BY30" i="218"/>
  <c r="BF30" i="218"/>
  <c r="AO30" i="218"/>
  <c r="AQ30" i="218"/>
  <c r="BK30" i="218"/>
  <c r="BZ30" i="218"/>
  <c r="BL30" i="218"/>
  <c r="BE30" i="218"/>
  <c r="BJ30" i="218"/>
  <c r="BO30" i="218"/>
  <c r="AI30" i="218"/>
  <c r="CA30" i="218"/>
  <c r="BS30" i="218"/>
  <c r="AG31" i="218"/>
  <c r="BW30" i="218"/>
  <c r="AK30" i="218"/>
  <c r="AM30" i="218"/>
  <c r="AR30" i="218"/>
  <c r="BM30" i="218"/>
  <c r="AP30" i="218"/>
  <c r="AX30" i="218"/>
  <c r="AU30" i="218"/>
  <c r="BN30" i="218"/>
  <c r="BX30" i="218"/>
  <c r="BR30" i="218"/>
  <c r="AV30" i="218"/>
  <c r="AN30" i="218"/>
  <c r="AB57" i="11"/>
  <c r="D23" i="12"/>
  <c r="C4" i="216"/>
  <c r="F4" i="214"/>
  <c r="A61" i="218"/>
  <c r="G60" i="218"/>
  <c r="J60" i="218"/>
  <c r="W60" i="218"/>
  <c r="S60" i="218"/>
  <c r="L60" i="218"/>
  <c r="H60" i="218"/>
  <c r="AB60" i="218"/>
  <c r="Y60" i="218"/>
  <c r="I60" i="218"/>
  <c r="K60" i="218"/>
  <c r="R60" i="218"/>
  <c r="C60" i="218"/>
  <c r="P60" i="218"/>
  <c r="Q60" i="218"/>
  <c r="Z60" i="218"/>
  <c r="AD60" i="218"/>
  <c r="X60" i="218"/>
  <c r="M60" i="218"/>
  <c r="AC60" i="218" a="1"/>
  <c r="AC60" i="218" s="1"/>
  <c r="F60" i="218"/>
  <c r="V60" i="218"/>
  <c r="AA60" i="218"/>
  <c r="O60" i="218"/>
  <c r="E60" i="218"/>
  <c r="D60" i="218"/>
  <c r="U60" i="218"/>
  <c r="T60" i="218"/>
  <c r="N60" i="218"/>
  <c r="F32" i="9" l="1"/>
  <c r="G32" i="9"/>
  <c r="F13" i="9"/>
  <c r="G13" i="9"/>
  <c r="I12" i="214"/>
  <c r="E32" i="9"/>
  <c r="D32" i="9"/>
  <c r="E13" i="9"/>
  <c r="D13" i="9"/>
  <c r="AB32" i="9"/>
  <c r="C32" i="9"/>
  <c r="AC32" i="9"/>
  <c r="A15" i="9"/>
  <c r="B33" i="9"/>
  <c r="B14" i="9"/>
  <c r="D14" i="214"/>
  <c r="G14" i="214"/>
  <c r="A15" i="214"/>
  <c r="C14" i="214"/>
  <c r="AC15" i="218" a="1"/>
  <c r="AC15" i="218" s="1"/>
  <c r="AD15" i="218"/>
  <c r="C13" i="9"/>
  <c r="AC13" i="9"/>
  <c r="AB13" i="9"/>
  <c r="AS13" i="218"/>
  <c r="AR13" i="218"/>
  <c r="AL13" i="218"/>
  <c r="AX13" i="218"/>
  <c r="BK13" i="218"/>
  <c r="BR13" i="218"/>
  <c r="BB13" i="218"/>
  <c r="AI13" i="218"/>
  <c r="BM13" i="218"/>
  <c r="BS13" i="218"/>
  <c r="AV13" i="218"/>
  <c r="BO13" i="218"/>
  <c r="BX13" i="218"/>
  <c r="AU13" i="218"/>
  <c r="AK13" i="218"/>
  <c r="BZ13" i="218"/>
  <c r="BG13" i="218"/>
  <c r="BT13" i="218"/>
  <c r="BL13" i="218"/>
  <c r="BN13" i="218"/>
  <c r="AN13" i="218"/>
  <c r="BW13" i="218"/>
  <c r="BJ13" i="218"/>
  <c r="BD13" i="218"/>
  <c r="BY13" i="218"/>
  <c r="BF13" i="218"/>
  <c r="CA13" i="218"/>
  <c r="BV13" i="218"/>
  <c r="AG14" i="218"/>
  <c r="AW13" i="218"/>
  <c r="BC13" i="218"/>
  <c r="BE13" i="218"/>
  <c r="BA13" i="218"/>
  <c r="AO13" i="218"/>
  <c r="AQ13" i="218"/>
  <c r="AT13" i="218"/>
  <c r="BU13" i="218"/>
  <c r="AM13" i="218"/>
  <c r="AP13" i="218"/>
  <c r="I13" i="214"/>
  <c r="AD31" i="218"/>
  <c r="AC31" i="218" a="1"/>
  <c r="AC31" i="218" s="1"/>
  <c r="AS31" i="218"/>
  <c r="AL31" i="218"/>
  <c r="A46" i="218"/>
  <c r="N45" i="218"/>
  <c r="G45" i="218"/>
  <c r="W45" i="218"/>
  <c r="L45" i="218"/>
  <c r="AB45" i="218"/>
  <c r="E45" i="218"/>
  <c r="AC45" i="218" a="1"/>
  <c r="AC45" i="218" s="1"/>
  <c r="K45" i="218"/>
  <c r="M45" i="218"/>
  <c r="U45" i="218"/>
  <c r="R45" i="218"/>
  <c r="AA45" i="218"/>
  <c r="P45" i="218"/>
  <c r="F45" i="218"/>
  <c r="V45" i="218"/>
  <c r="O45" i="218"/>
  <c r="D45" i="218"/>
  <c r="T45" i="218"/>
  <c r="Y45" i="218"/>
  <c r="C45" i="218"/>
  <c r="AD45" i="218"/>
  <c r="H45" i="218"/>
  <c r="X45" i="218"/>
  <c r="I45" i="218"/>
  <c r="J45" i="218"/>
  <c r="Z45" i="218"/>
  <c r="Q45" i="218"/>
  <c r="S45" i="218"/>
  <c r="U15" i="218" a="1"/>
  <c r="U15" i="218" s="1"/>
  <c r="W15" i="218" a="1"/>
  <c r="W15" i="218" s="1"/>
  <c r="Y15" i="218" a="1"/>
  <c r="Y15" i="218" s="1"/>
  <c r="AA15" i="218" a="1"/>
  <c r="AA15" i="218" s="1"/>
  <c r="N15" i="218" a="1"/>
  <c r="N15" i="218" s="1"/>
  <c r="Q15" i="218" a="1"/>
  <c r="Q15" i="218" s="1"/>
  <c r="C15" i="218"/>
  <c r="J15" i="218" a="1"/>
  <c r="J15" i="218" s="1"/>
  <c r="O15" i="218" a="1"/>
  <c r="O15" i="218" s="1"/>
  <c r="R15" i="218" a="1"/>
  <c r="R15" i="218" s="1"/>
  <c r="F15" i="218" a="1"/>
  <c r="F15" i="218" s="1"/>
  <c r="H15" i="218" a="1"/>
  <c r="H15" i="218" s="1"/>
  <c r="L15" i="218" a="1"/>
  <c r="L15" i="218" s="1"/>
  <c r="A16" i="218"/>
  <c r="E15" i="218" a="1"/>
  <c r="E15" i="218" s="1"/>
  <c r="K15" i="218" a="1"/>
  <c r="K15" i="218" s="1"/>
  <c r="P15" i="218" a="1"/>
  <c r="P15" i="218" s="1"/>
  <c r="T15" i="218" a="1"/>
  <c r="T15" i="218" s="1"/>
  <c r="V15" i="218" a="1"/>
  <c r="V15" i="218" s="1"/>
  <c r="X15" i="218" a="1"/>
  <c r="X15" i="218" s="1"/>
  <c r="Z15" i="218" a="1"/>
  <c r="Z15" i="218" s="1"/>
  <c r="AB15" i="218" a="1"/>
  <c r="AB15" i="218" s="1"/>
  <c r="D15" i="218" a="1"/>
  <c r="D15" i="218" s="1"/>
  <c r="S15" i="218" a="1"/>
  <c r="S15" i="218" s="1"/>
  <c r="G15" i="218" a="1"/>
  <c r="G15" i="218" s="1"/>
  <c r="I15" i="218" a="1"/>
  <c r="I15" i="218" s="1"/>
  <c r="M15" i="218" a="1"/>
  <c r="M15" i="218" s="1"/>
  <c r="X36" i="240"/>
  <c r="U37" i="240"/>
  <c r="U37" i="239"/>
  <c r="X36" i="239"/>
  <c r="X37" i="236"/>
  <c r="U38" i="236"/>
  <c r="V36" i="235"/>
  <c r="W36" i="235" s="1"/>
  <c r="P36" i="234"/>
  <c r="Q36" i="234" s="1"/>
  <c r="V37" i="234"/>
  <c r="W37" i="234" s="1"/>
  <c r="V36" i="233"/>
  <c r="W36" i="233" s="1"/>
  <c r="X36" i="231"/>
  <c r="U37" i="231"/>
  <c r="M70" i="231"/>
  <c r="N70" i="231" s="1"/>
  <c r="S71" i="231"/>
  <c r="T71" i="231" s="1"/>
  <c r="U36" i="230"/>
  <c r="X35" i="230"/>
  <c r="R70" i="230"/>
  <c r="U69" i="230"/>
  <c r="D5" i="228"/>
  <c r="E5" i="228" s="1"/>
  <c r="C6" i="228" s="1"/>
  <c r="AS5" i="228"/>
  <c r="AT31" i="218"/>
  <c r="AN31" i="218"/>
  <c r="BR31" i="218"/>
  <c r="AP31" i="218"/>
  <c r="BS31" i="218"/>
  <c r="BA31" i="218"/>
  <c r="BB31" i="218"/>
  <c r="CA31" i="218"/>
  <c r="BJ31" i="218"/>
  <c r="AK31" i="218"/>
  <c r="BU31" i="218"/>
  <c r="AV31" i="218"/>
  <c r="AG32" i="218"/>
  <c r="BM31" i="218"/>
  <c r="AX31" i="218"/>
  <c r="BF31" i="218"/>
  <c r="BW31" i="218"/>
  <c r="BC31" i="218"/>
  <c r="BE31" i="218"/>
  <c r="AI31" i="218"/>
  <c r="BY31" i="218"/>
  <c r="AW31" i="218"/>
  <c r="BG31" i="218"/>
  <c r="BT31" i="218"/>
  <c r="AQ31" i="218"/>
  <c r="AU31" i="218"/>
  <c r="AM31" i="218"/>
  <c r="BV31" i="218"/>
  <c r="BD31" i="218"/>
  <c r="BO31" i="218"/>
  <c r="BX31" i="218"/>
  <c r="AO31" i="218"/>
  <c r="BN31" i="218"/>
  <c r="BZ31" i="218"/>
  <c r="AR31" i="218"/>
  <c r="BL31" i="218"/>
  <c r="BK31" i="218"/>
  <c r="J31" i="218"/>
  <c r="AB31" i="218"/>
  <c r="W31" i="218"/>
  <c r="Y31" i="218"/>
  <c r="T31" i="218"/>
  <c r="U31" i="218"/>
  <c r="E31" i="218"/>
  <c r="M31" i="218"/>
  <c r="S31" i="218"/>
  <c r="X31" i="218"/>
  <c r="P31" i="218"/>
  <c r="V31" i="218"/>
  <c r="L31" i="218"/>
  <c r="Z31" i="218"/>
  <c r="H31" i="218"/>
  <c r="A32" i="218"/>
  <c r="F31" i="218"/>
  <c r="D31" i="218"/>
  <c r="AA31" i="218"/>
  <c r="G31" i="218"/>
  <c r="I31" i="218"/>
  <c r="Q31" i="218"/>
  <c r="K31" i="218"/>
  <c r="O31" i="218"/>
  <c r="N31" i="218"/>
  <c r="C31" i="218"/>
  <c r="R31" i="218"/>
  <c r="V61" i="218"/>
  <c r="E61" i="218"/>
  <c r="K61" i="218"/>
  <c r="U61" i="218"/>
  <c r="AA61" i="218"/>
  <c r="N61" i="218"/>
  <c r="AD61" i="218"/>
  <c r="AC61" i="218" a="1"/>
  <c r="AC61" i="218" s="1"/>
  <c r="L61" i="218"/>
  <c r="Q61" i="218"/>
  <c r="S61" i="218"/>
  <c r="J61" i="218"/>
  <c r="D61" i="218"/>
  <c r="O61" i="218"/>
  <c r="T61" i="218"/>
  <c r="C61" i="218"/>
  <c r="R61" i="218"/>
  <c r="I61" i="218"/>
  <c r="W61" i="218"/>
  <c r="G61" i="218"/>
  <c r="AB61" i="218"/>
  <c r="H61" i="218"/>
  <c r="Z61" i="218"/>
  <c r="X61" i="218"/>
  <c r="Y61" i="218"/>
  <c r="M61" i="218"/>
  <c r="A62" i="218"/>
  <c r="F61" i="218"/>
  <c r="P61" i="218"/>
  <c r="D7" i="216"/>
  <c r="D8" i="216"/>
  <c r="D13" i="216"/>
  <c r="D12" i="216"/>
  <c r="D15" i="216"/>
  <c r="D11" i="216"/>
  <c r="D9" i="216"/>
  <c r="D16" i="216"/>
  <c r="D14" i="216"/>
  <c r="D10" i="216"/>
  <c r="G23" i="12"/>
  <c r="F33" i="9" l="1"/>
  <c r="G33" i="9"/>
  <c r="G14" i="9"/>
  <c r="F14" i="9"/>
  <c r="E14" i="9"/>
  <c r="D14" i="9"/>
  <c r="E33" i="9"/>
  <c r="D33" i="9"/>
  <c r="B34" i="9"/>
  <c r="B15" i="9"/>
  <c r="A16" i="9"/>
  <c r="AL14" i="218"/>
  <c r="AS14" i="218"/>
  <c r="AR14" i="218"/>
  <c r="BS14" i="218"/>
  <c r="BY14" i="218"/>
  <c r="AN14" i="218"/>
  <c r="BX14" i="218"/>
  <c r="AP14" i="218"/>
  <c r="AV14" i="218"/>
  <c r="BO14" i="218"/>
  <c r="BR14" i="218"/>
  <c r="AQ14" i="218"/>
  <c r="BN14" i="218"/>
  <c r="AX14" i="218"/>
  <c r="AW14" i="218"/>
  <c r="BV14" i="218"/>
  <c r="BC14" i="218"/>
  <c r="BZ14" i="218"/>
  <c r="BB14" i="218"/>
  <c r="BE14" i="218"/>
  <c r="BK14" i="218"/>
  <c r="BD14" i="218"/>
  <c r="AU14" i="218"/>
  <c r="AM14" i="218"/>
  <c r="BU14" i="218"/>
  <c r="AK14" i="218"/>
  <c r="BW14" i="218"/>
  <c r="BM14" i="218"/>
  <c r="BJ14" i="218"/>
  <c r="BF14" i="218"/>
  <c r="CA14" i="218"/>
  <c r="BL14" i="218"/>
  <c r="AO14" i="218"/>
  <c r="AT14" i="218"/>
  <c r="BG14" i="218"/>
  <c r="BA14" i="218"/>
  <c r="BT14" i="218"/>
  <c r="AI14" i="218"/>
  <c r="AG15" i="218"/>
  <c r="G15" i="214"/>
  <c r="A16" i="214"/>
  <c r="D15" i="214"/>
  <c r="C15" i="214"/>
  <c r="AD16" i="218"/>
  <c r="AC16" i="218" a="1"/>
  <c r="AC16" i="218" s="1"/>
  <c r="I14" i="214"/>
  <c r="AC14" i="9"/>
  <c r="AB14" i="9"/>
  <c r="C14" i="9"/>
  <c r="C33" i="9"/>
  <c r="AB33" i="9"/>
  <c r="AC33" i="9"/>
  <c r="AD32" i="218"/>
  <c r="AC32" i="218" a="1"/>
  <c r="AC32" i="218" s="1"/>
  <c r="AL32" i="218"/>
  <c r="AS32" i="218"/>
  <c r="P16" i="218" a="1"/>
  <c r="P16" i="218" s="1"/>
  <c r="T16" i="218" a="1"/>
  <c r="T16" i="218" s="1"/>
  <c r="V16" i="218" a="1"/>
  <c r="V16" i="218" s="1"/>
  <c r="X16" i="218" a="1"/>
  <c r="X16" i="218" s="1"/>
  <c r="J16" i="218" a="1"/>
  <c r="J16" i="218" s="1"/>
  <c r="L16" i="218" a="1"/>
  <c r="L16" i="218" s="1"/>
  <c r="F16" i="218" a="1"/>
  <c r="F16" i="218" s="1"/>
  <c r="Y16" i="218" a="1"/>
  <c r="Y16" i="218" s="1"/>
  <c r="M16" i="218" a="1"/>
  <c r="M16" i="218" s="1"/>
  <c r="Q16" i="218" a="1"/>
  <c r="Q16" i="218" s="1"/>
  <c r="E16" i="218" a="1"/>
  <c r="E16" i="218" s="1"/>
  <c r="G16" i="218" a="1"/>
  <c r="G16" i="218" s="1"/>
  <c r="D16" i="218" a="1"/>
  <c r="D16" i="218" s="1"/>
  <c r="Z16" i="218" a="1"/>
  <c r="Z16" i="218" s="1"/>
  <c r="AB16" i="218" a="1"/>
  <c r="AB16" i="218" s="1"/>
  <c r="S16" i="218" a="1"/>
  <c r="S16" i="218" s="1"/>
  <c r="H16" i="218" a="1"/>
  <c r="H16" i="218" s="1"/>
  <c r="AA16" i="218" a="1"/>
  <c r="AA16" i="218" s="1"/>
  <c r="N16" i="218" a="1"/>
  <c r="N16" i="218" s="1"/>
  <c r="R16" i="218" a="1"/>
  <c r="R16" i="218" s="1"/>
  <c r="U16" i="218" a="1"/>
  <c r="U16" i="218" s="1"/>
  <c r="W16" i="218" a="1"/>
  <c r="W16" i="218" s="1"/>
  <c r="I16" i="218" a="1"/>
  <c r="I16" i="218" s="1"/>
  <c r="K16" i="218" a="1"/>
  <c r="K16" i="218" s="1"/>
  <c r="C16" i="218"/>
  <c r="O16" i="218" a="1"/>
  <c r="O16" i="218" s="1"/>
  <c r="AD46" i="218"/>
  <c r="M46" i="218"/>
  <c r="F46" i="218"/>
  <c r="V46" i="218"/>
  <c r="O46" i="218"/>
  <c r="D46" i="218"/>
  <c r="C46" i="218"/>
  <c r="Q46" i="218"/>
  <c r="J46" i="218"/>
  <c r="S46" i="218"/>
  <c r="L46" i="218"/>
  <c r="A47" i="218"/>
  <c r="Z46" i="218"/>
  <c r="T46" i="218"/>
  <c r="E46" i="218"/>
  <c r="U46" i="218"/>
  <c r="N46" i="218"/>
  <c r="G46" i="218"/>
  <c r="W46" i="218"/>
  <c r="H46" i="218"/>
  <c r="AB46" i="218"/>
  <c r="I46" i="218"/>
  <c r="AA46" i="218"/>
  <c r="Y46" i="218"/>
  <c r="X46" i="218"/>
  <c r="R46" i="218"/>
  <c r="P46" i="218"/>
  <c r="AC46" i="218" a="1"/>
  <c r="AC46" i="218" s="1"/>
  <c r="K46" i="218"/>
  <c r="V37" i="240"/>
  <c r="W37" i="240" s="1"/>
  <c r="V37" i="239"/>
  <c r="W37" i="239" s="1"/>
  <c r="V38" i="236"/>
  <c r="W38" i="236" s="1"/>
  <c r="U37" i="235"/>
  <c r="X36" i="235"/>
  <c r="U38" i="234"/>
  <c r="O37" i="234"/>
  <c r="X36" i="234"/>
  <c r="U37" i="233"/>
  <c r="X36" i="233"/>
  <c r="U70" i="231"/>
  <c r="V37" i="231"/>
  <c r="W37" i="231" s="1"/>
  <c r="S70" i="230"/>
  <c r="T70" i="230" s="1"/>
  <c r="V36" i="230"/>
  <c r="W36" i="230" s="1"/>
  <c r="D6" i="228"/>
  <c r="E6" i="228" s="1"/>
  <c r="AS6" i="228"/>
  <c r="AT32" i="218"/>
  <c r="BD32" i="218"/>
  <c r="AM32" i="218"/>
  <c r="BE32" i="218"/>
  <c r="AK32" i="218"/>
  <c r="BW32" i="218"/>
  <c r="BO32" i="218"/>
  <c r="AU32" i="218"/>
  <c r="BC32" i="218"/>
  <c r="BB32" i="218"/>
  <c r="AQ32" i="218"/>
  <c r="BS32" i="218"/>
  <c r="BU32" i="218"/>
  <c r="BL32" i="218"/>
  <c r="AV32" i="218"/>
  <c r="AI32" i="218"/>
  <c r="BJ32" i="218"/>
  <c r="CA32" i="218"/>
  <c r="BM32" i="218"/>
  <c r="BX32" i="218"/>
  <c r="AO32" i="218"/>
  <c r="BF32" i="218"/>
  <c r="BY32" i="218"/>
  <c r="AP32" i="218"/>
  <c r="AX32" i="218"/>
  <c r="BK32" i="218"/>
  <c r="AW32" i="218"/>
  <c r="BZ32" i="218"/>
  <c r="BG32" i="218"/>
  <c r="AR32" i="218"/>
  <c r="BR32" i="218"/>
  <c r="BA32" i="218"/>
  <c r="BV32" i="218"/>
  <c r="BN32" i="218"/>
  <c r="BT32" i="218"/>
  <c r="AN32" i="218"/>
  <c r="E32" i="218"/>
  <c r="Z32" i="218"/>
  <c r="AB32" i="218"/>
  <c r="P32" i="218"/>
  <c r="M32" i="218"/>
  <c r="D32" i="218"/>
  <c r="F32" i="218"/>
  <c r="C32" i="218"/>
  <c r="N32" i="218"/>
  <c r="Q32" i="218"/>
  <c r="V32" i="218"/>
  <c r="I32" i="218"/>
  <c r="R32" i="218"/>
  <c r="X32" i="218"/>
  <c r="U32" i="218"/>
  <c r="K32" i="218"/>
  <c r="G32" i="218"/>
  <c r="H32" i="218"/>
  <c r="L32" i="218"/>
  <c r="W32" i="218"/>
  <c r="J32" i="218"/>
  <c r="T32" i="218"/>
  <c r="S32" i="218"/>
  <c r="AA32" i="218"/>
  <c r="Y32" i="218"/>
  <c r="O32" i="218"/>
  <c r="Y62" i="218"/>
  <c r="J62" i="218"/>
  <c r="Z62" i="218"/>
  <c r="D62" i="218"/>
  <c r="R62" i="218"/>
  <c r="K62" i="218"/>
  <c r="AA62" i="218"/>
  <c r="S62" i="218"/>
  <c r="P62" i="218"/>
  <c r="H62" i="218"/>
  <c r="E62" i="218"/>
  <c r="X62" i="218"/>
  <c r="U62" i="218"/>
  <c r="M62" i="218"/>
  <c r="N62" i="218"/>
  <c r="F62" i="218"/>
  <c r="C62" i="218"/>
  <c r="V62" i="218"/>
  <c r="AC62" i="218" a="1"/>
  <c r="AC62" i="218" s="1"/>
  <c r="G62" i="218"/>
  <c r="W62" i="218"/>
  <c r="AD62" i="218"/>
  <c r="O62" i="218"/>
  <c r="L62" i="218"/>
  <c r="T62" i="218"/>
  <c r="AB62" i="218"/>
  <c r="I62" i="218"/>
  <c r="Q62" i="218"/>
  <c r="F34" i="9" l="1"/>
  <c r="G34" i="9"/>
  <c r="F15" i="9"/>
  <c r="G15" i="9"/>
  <c r="E34" i="9"/>
  <c r="D34" i="9"/>
  <c r="E15" i="9"/>
  <c r="D15" i="9"/>
  <c r="C7" i="228"/>
  <c r="D7" i="228" s="1"/>
  <c r="E7" i="228" s="1"/>
  <c r="I15" i="214"/>
  <c r="B35" i="9"/>
  <c r="A17" i="9"/>
  <c r="B16" i="9"/>
  <c r="G16" i="214"/>
  <c r="C16" i="214"/>
  <c r="D16" i="214"/>
  <c r="A17" i="214"/>
  <c r="AL15" i="218"/>
  <c r="AS15" i="218"/>
  <c r="AR15" i="218"/>
  <c r="BM15" i="218"/>
  <c r="BF15" i="218"/>
  <c r="AV15" i="218"/>
  <c r="BV15" i="218"/>
  <c r="AG16" i="218"/>
  <c r="AQ15" i="218"/>
  <c r="BK15" i="218"/>
  <c r="BN15" i="218"/>
  <c r="AI15" i="218"/>
  <c r="BR15" i="218"/>
  <c r="AT15" i="218"/>
  <c r="BE15" i="218"/>
  <c r="AO15" i="218"/>
  <c r="BW15" i="218"/>
  <c r="AK15" i="218"/>
  <c r="CA15" i="218"/>
  <c r="BA15" i="218"/>
  <c r="BB15" i="218"/>
  <c r="BU15" i="218"/>
  <c r="BO15" i="218"/>
  <c r="BJ15" i="218"/>
  <c r="AP15" i="218"/>
  <c r="BS15" i="218"/>
  <c r="AU15" i="218"/>
  <c r="BX15" i="218"/>
  <c r="AX15" i="218"/>
  <c r="BT15" i="218"/>
  <c r="BD15" i="218"/>
  <c r="BC15" i="218"/>
  <c r="BZ15" i="218"/>
  <c r="AM15" i="218"/>
  <c r="AN15" i="218"/>
  <c r="BL15" i="218"/>
  <c r="BY15" i="218"/>
  <c r="BG15" i="218"/>
  <c r="AW15" i="218"/>
  <c r="C15" i="9"/>
  <c r="AC15" i="9"/>
  <c r="AB15" i="9"/>
  <c r="AC34" i="9"/>
  <c r="C34" i="9"/>
  <c r="AB34" i="9"/>
  <c r="AC47" i="218" a="1"/>
  <c r="AC47" i="218" s="1"/>
  <c r="P47" i="218"/>
  <c r="E47" i="218"/>
  <c r="U47" i="218"/>
  <c r="N47" i="218"/>
  <c r="K47" i="218"/>
  <c r="O47" i="218"/>
  <c r="T47" i="218"/>
  <c r="Y47" i="218"/>
  <c r="R47" i="218"/>
  <c r="S47" i="218"/>
  <c r="D47" i="218"/>
  <c r="I47" i="218"/>
  <c r="AA47" i="218"/>
  <c r="H47" i="218"/>
  <c r="X47" i="218"/>
  <c r="M47" i="218"/>
  <c r="F47" i="218"/>
  <c r="V47" i="218"/>
  <c r="C47" i="218"/>
  <c r="W47" i="218"/>
  <c r="AB47" i="218"/>
  <c r="G47" i="218"/>
  <c r="Q47" i="218"/>
  <c r="Z47" i="218"/>
  <c r="AD47" i="218"/>
  <c r="J47" i="218"/>
  <c r="L47" i="218"/>
  <c r="U38" i="240"/>
  <c r="X37" i="240"/>
  <c r="X37" i="239"/>
  <c r="U38" i="239"/>
  <c r="X38" i="236"/>
  <c r="U39" i="236"/>
  <c r="V37" i="235"/>
  <c r="W37" i="235" s="1"/>
  <c r="P37" i="234"/>
  <c r="Q37" i="234" s="1"/>
  <c r="V38" i="234"/>
  <c r="W38" i="234" s="1"/>
  <c r="V37" i="233"/>
  <c r="W37" i="233" s="1"/>
  <c r="U38" i="231"/>
  <c r="X37" i="231"/>
  <c r="S72" i="231"/>
  <c r="T72" i="231" s="1"/>
  <c r="M71" i="231"/>
  <c r="N71" i="231" s="1"/>
  <c r="X36" i="230"/>
  <c r="U37" i="230"/>
  <c r="R71" i="230"/>
  <c r="U70" i="230"/>
  <c r="G17" i="214" l="1"/>
  <c r="G35" i="9"/>
  <c r="F35" i="9"/>
  <c r="F16" i="9"/>
  <c r="G16" i="9"/>
  <c r="E35" i="9"/>
  <c r="D35" i="9"/>
  <c r="E16" i="9"/>
  <c r="D16" i="9"/>
  <c r="AS7" i="228"/>
  <c r="B36" i="9"/>
  <c r="B17" i="9"/>
  <c r="AS16" i="218"/>
  <c r="AR16" i="218"/>
  <c r="AL16" i="218"/>
  <c r="BW16" i="218"/>
  <c r="AO16" i="218"/>
  <c r="BZ16" i="218"/>
  <c r="BT16" i="218"/>
  <c r="AX16" i="218"/>
  <c r="CA16" i="218"/>
  <c r="BV16" i="218"/>
  <c r="BJ16" i="218"/>
  <c r="AW16" i="218"/>
  <c r="BF16" i="218"/>
  <c r="AK16" i="218"/>
  <c r="AU16" i="218"/>
  <c r="BY16" i="218"/>
  <c r="BM16" i="218"/>
  <c r="BE16" i="218"/>
  <c r="BR16" i="218"/>
  <c r="BG16" i="218"/>
  <c r="AM16" i="218"/>
  <c r="AN16" i="218"/>
  <c r="BO16" i="218"/>
  <c r="AV16" i="218"/>
  <c r="BA16" i="218"/>
  <c r="AQ16" i="218"/>
  <c r="BK16" i="218"/>
  <c r="AP16" i="218"/>
  <c r="BN16" i="218"/>
  <c r="BD16" i="218"/>
  <c r="BB16" i="218"/>
  <c r="BC16" i="218"/>
  <c r="BX16" i="218"/>
  <c r="AT16" i="218"/>
  <c r="AI16" i="218"/>
  <c r="BS16" i="218"/>
  <c r="BL16" i="218"/>
  <c r="BU16" i="218"/>
  <c r="AC35" i="9"/>
  <c r="C35" i="9"/>
  <c r="AB35" i="9"/>
  <c r="D17" i="214"/>
  <c r="C17" i="214"/>
  <c r="I16" i="214"/>
  <c r="AB16" i="9"/>
  <c r="C16" i="9"/>
  <c r="AC16" i="9"/>
  <c r="C8" i="228"/>
  <c r="AS8" i="228" s="1"/>
  <c r="V38" i="240"/>
  <c r="W38" i="240" s="1"/>
  <c r="X38" i="240" s="1"/>
  <c r="V38" i="239"/>
  <c r="W38" i="239" s="1"/>
  <c r="X38" i="239" s="1"/>
  <c r="V39" i="236"/>
  <c r="W39" i="236" s="1"/>
  <c r="X39" i="236" s="1"/>
  <c r="U38" i="235"/>
  <c r="X37" i="235"/>
  <c r="O38" i="234"/>
  <c r="X37" i="234"/>
  <c r="X37" i="233"/>
  <c r="U38" i="233"/>
  <c r="U71" i="231"/>
  <c r="V38" i="231"/>
  <c r="W38" i="231" s="1"/>
  <c r="X38" i="231" s="1"/>
  <c r="S71" i="230"/>
  <c r="T71" i="230" s="1"/>
  <c r="V37" i="230"/>
  <c r="W37" i="230" s="1"/>
  <c r="F36" i="9" l="1"/>
  <c r="G36" i="9"/>
  <c r="F17" i="9"/>
  <c r="G17" i="9"/>
  <c r="E36" i="9"/>
  <c r="D36" i="9"/>
  <c r="E17" i="9"/>
  <c r="D17" i="9"/>
  <c r="D8" i="228"/>
  <c r="E8" i="228" s="1"/>
  <c r="C9" i="228" s="1"/>
  <c r="D9" i="228" s="1"/>
  <c r="E9" i="228" s="1"/>
  <c r="C10" i="228" s="1"/>
  <c r="AC17" i="9"/>
  <c r="AB17" i="9"/>
  <c r="C17" i="9"/>
  <c r="I17" i="214"/>
  <c r="C36" i="9"/>
  <c r="AB36" i="9"/>
  <c r="AC36" i="9"/>
  <c r="V38" i="235"/>
  <c r="W38" i="235" s="1"/>
  <c r="X38" i="235" s="1"/>
  <c r="P38" i="234"/>
  <c r="Q38" i="234" s="1"/>
  <c r="X38" i="234" s="1"/>
  <c r="V38" i="233"/>
  <c r="W38" i="233" s="1"/>
  <c r="X38" i="233" s="1"/>
  <c r="M72" i="231"/>
  <c r="N72" i="231" s="1"/>
  <c r="U72" i="231" s="1"/>
  <c r="U38" i="230"/>
  <c r="X37" i="230"/>
  <c r="R72" i="230"/>
  <c r="U71" i="230"/>
  <c r="AS9" i="228" l="1"/>
  <c r="D10" i="228"/>
  <c r="E10" i="228" s="1"/>
  <c r="AS10" i="228"/>
  <c r="K19" i="221" s="1"/>
  <c r="S72" i="230"/>
  <c r="T72" i="230" s="1"/>
  <c r="U72" i="230" s="1"/>
  <c r="V38" i="230"/>
  <c r="W38" i="230" s="1"/>
  <c r="X38" i="230" s="1"/>
  <c r="C11" i="228" l="1"/>
  <c r="D11" i="228" s="1"/>
  <c r="E11" i="228" s="1"/>
  <c r="C12" i="228" s="1"/>
  <c r="K5" i="221"/>
  <c r="B5" i="221" s="1"/>
  <c r="B19" i="221"/>
  <c r="K37" i="221"/>
  <c r="B37" i="221" s="1"/>
  <c r="AS11" i="228" l="1"/>
  <c r="D12" i="228"/>
  <c r="E12" i="228" s="1"/>
  <c r="C13" i="228" s="1"/>
  <c r="AS12" i="228"/>
  <c r="D13" i="228" l="1"/>
  <c r="E13" i="228" s="1"/>
  <c r="C14" i="228" s="1"/>
  <c r="AS13" i="228"/>
  <c r="D14" i="228" l="1"/>
  <c r="E14" i="228" s="1"/>
  <c r="C15" i="228" s="1"/>
  <c r="AS14" i="228"/>
  <c r="D15" i="228" l="1"/>
  <c r="E15" i="228" s="1"/>
  <c r="C16" i="228" s="1"/>
  <c r="AS15" i="228"/>
  <c r="D16" i="228" l="1"/>
  <c r="E16" i="228" s="1"/>
  <c r="C17" i="228" s="1"/>
  <c r="AS16" i="228"/>
  <c r="D17" i="228" l="1"/>
  <c r="E17" i="228" s="1"/>
  <c r="C18" i="228" s="1"/>
  <c r="AS17" i="228"/>
  <c r="D18" i="228" l="1"/>
  <c r="E18" i="228" s="1"/>
  <c r="C19" i="228" s="1"/>
  <c r="AS18" i="228"/>
  <c r="D19" i="228" l="1"/>
  <c r="E19" i="228" s="1"/>
  <c r="AS19" i="228"/>
  <c r="C473" i="242" l="1"/>
  <c r="C474" i="242" s="1"/>
  <c r="P611" i="242" s="1"/>
  <c r="U611" i="242" s="1"/>
  <c r="F40" i="213" s="1"/>
  <c r="AO40" i="213" s="1"/>
  <c r="F28" i="220" s="1"/>
  <c r="F92" i="220" s="1"/>
  <c r="C475" i="242" l="1"/>
  <c r="O597" i="242"/>
  <c r="T597" i="242" s="1"/>
  <c r="E22" i="213" s="1"/>
  <c r="AN22" i="213" s="1"/>
  <c r="E10" i="220" s="1"/>
  <c r="E74" i="220" s="1"/>
  <c r="P603" i="242"/>
  <c r="U603" i="242" s="1"/>
  <c r="F28" i="213" s="1"/>
  <c r="AO28" i="213" s="1"/>
  <c r="F16" i="220" s="1"/>
  <c r="F80" i="220" s="1"/>
  <c r="N611" i="242"/>
  <c r="S611" i="242" s="1"/>
  <c r="D40" i="213" s="1"/>
  <c r="AM40" i="213" s="1"/>
  <c r="D28" i="220" s="1"/>
  <c r="D92" i="220" s="1"/>
  <c r="O605" i="242"/>
  <c r="T605" i="242" s="1"/>
  <c r="E30" i="213" s="1"/>
  <c r="AN30" i="213" s="1"/>
  <c r="E18" i="220" s="1"/>
  <c r="E82" i="220" s="1"/>
  <c r="M607" i="242"/>
  <c r="R607" i="242" s="1"/>
  <c r="P597" i="242"/>
  <c r="U597" i="242" s="1"/>
  <c r="F22" i="213" s="1"/>
  <c r="AO22" i="213" s="1"/>
  <c r="F10" i="220" s="1"/>
  <c r="F74" i="220" s="1"/>
  <c r="N601" i="242"/>
  <c r="S601" i="242" s="1"/>
  <c r="D26" i="213" s="1"/>
  <c r="AM26" i="213" s="1"/>
  <c r="D14" i="220" s="1"/>
  <c r="D78" i="220" s="1"/>
  <c r="N605" i="242"/>
  <c r="S605" i="242" s="1"/>
  <c r="D30" i="213" s="1"/>
  <c r="AM30" i="213" s="1"/>
  <c r="D18" i="220" s="1"/>
  <c r="D82" i="220" s="1"/>
  <c r="O598" i="242"/>
  <c r="T598" i="242" s="1"/>
  <c r="E23" i="213" s="1"/>
  <c r="AN23" i="213" s="1"/>
  <c r="E11" i="220" s="1"/>
  <c r="E75" i="220" s="1"/>
  <c r="N598" i="242"/>
  <c r="S598" i="242" s="1"/>
  <c r="D23" i="213" s="1"/>
  <c r="AM23" i="213" s="1"/>
  <c r="D11" i="220" s="1"/>
  <c r="D75" i="220" s="1"/>
  <c r="N608" i="242"/>
  <c r="S608" i="242" s="1"/>
  <c r="D37" i="213" s="1"/>
  <c r="AM37" i="213" s="1"/>
  <c r="D25" i="220" s="1"/>
  <c r="D89" i="220" s="1"/>
  <c r="N597" i="242"/>
  <c r="S597" i="242" s="1"/>
  <c r="D22" i="213" s="1"/>
  <c r="AM22" i="213" s="1"/>
  <c r="D10" i="220" s="1"/>
  <c r="D74" i="220" s="1"/>
  <c r="N602" i="242"/>
  <c r="S602" i="242" s="1"/>
  <c r="D27" i="213" s="1"/>
  <c r="AM27" i="213" s="1"/>
  <c r="D15" i="220" s="1"/>
  <c r="D79" i="220" s="1"/>
  <c r="M599" i="242"/>
  <c r="R599" i="242" s="1"/>
  <c r="M597" i="242"/>
  <c r="R597" i="242" s="1"/>
  <c r="O611" i="242"/>
  <c r="T611" i="242" s="1"/>
  <c r="E40" i="213" s="1"/>
  <c r="AN40" i="213" s="1"/>
  <c r="E28" i="220" s="1"/>
  <c r="E92" i="220" s="1"/>
  <c r="P601" i="242"/>
  <c r="U601" i="242" s="1"/>
  <c r="F26" i="213" s="1"/>
  <c r="AO26" i="213" s="1"/>
  <c r="F14" i="220" s="1"/>
  <c r="F78" i="220" s="1"/>
  <c r="O603" i="242"/>
  <c r="T603" i="242" s="1"/>
  <c r="E28" i="213" s="1"/>
  <c r="AN28" i="213" s="1"/>
  <c r="E16" i="220" s="1"/>
  <c r="E80" i="220" s="1"/>
  <c r="O599" i="242"/>
  <c r="T599" i="242" s="1"/>
  <c r="E24" i="213" s="1"/>
  <c r="AN24" i="213" s="1"/>
  <c r="E12" i="220" s="1"/>
  <c r="E76" i="220" s="1"/>
  <c r="P608" i="242"/>
  <c r="U608" i="242" s="1"/>
  <c r="F37" i="213" s="1"/>
  <c r="AO37" i="213" s="1"/>
  <c r="F25" i="220" s="1"/>
  <c r="F89" i="220" s="1"/>
  <c r="N604" i="242"/>
  <c r="S604" i="242" s="1"/>
  <c r="D29" i="213" s="1"/>
  <c r="AM29" i="213" s="1"/>
  <c r="D17" i="220" s="1"/>
  <c r="D81" i="220" s="1"/>
  <c r="N606" i="242"/>
  <c r="S606" i="242" s="1"/>
  <c r="D35" i="213" s="1"/>
  <c r="M612" i="242"/>
  <c r="R612" i="242" s="1"/>
  <c r="M603" i="242"/>
  <c r="R603" i="242" s="1"/>
  <c r="M602" i="242"/>
  <c r="R602" i="242" s="1"/>
  <c r="N595" i="242"/>
  <c r="S595" i="242" s="1"/>
  <c r="D20" i="213" s="1"/>
  <c r="P595" i="242"/>
  <c r="U595" i="242" s="1"/>
  <c r="F20" i="213" s="1"/>
  <c r="O596" i="242"/>
  <c r="T596" i="242" s="1"/>
  <c r="E21" i="213" s="1"/>
  <c r="AN21" i="213" s="1"/>
  <c r="E9" i="220" s="1"/>
  <c r="E73" i="220" s="1"/>
  <c r="M604" i="242"/>
  <c r="R604" i="242" s="1"/>
  <c r="M605" i="242"/>
  <c r="R605" i="242" s="1"/>
  <c r="N599" i="242"/>
  <c r="S599" i="242" s="1"/>
  <c r="D24" i="213" s="1"/>
  <c r="AM24" i="213" s="1"/>
  <c r="D12" i="220" s="1"/>
  <c r="D76" i="220" s="1"/>
  <c r="O612" i="242"/>
  <c r="T612" i="242" s="1"/>
  <c r="E41" i="213" s="1"/>
  <c r="AN41" i="213" s="1"/>
  <c r="E29" i="220" s="1"/>
  <c r="E93" i="220" s="1"/>
  <c r="O607" i="242"/>
  <c r="T607" i="242" s="1"/>
  <c r="E36" i="213" s="1"/>
  <c r="AN36" i="213" s="1"/>
  <c r="E24" i="220" s="1"/>
  <c r="E88" i="220" s="1"/>
  <c r="P609" i="242"/>
  <c r="U609" i="242" s="1"/>
  <c r="F38" i="213" s="1"/>
  <c r="AO38" i="213" s="1"/>
  <c r="F26" i="220" s="1"/>
  <c r="F90" i="220" s="1"/>
  <c r="N607" i="242"/>
  <c r="S607" i="242" s="1"/>
  <c r="D36" i="213" s="1"/>
  <c r="AM36" i="213" s="1"/>
  <c r="D24" i="220" s="1"/>
  <c r="D88" i="220" s="1"/>
  <c r="N596" i="242"/>
  <c r="S596" i="242" s="1"/>
  <c r="D21" i="213" s="1"/>
  <c r="AM21" i="213" s="1"/>
  <c r="D9" i="220" s="1"/>
  <c r="D73" i="220" s="1"/>
  <c r="P610" i="242"/>
  <c r="U610" i="242" s="1"/>
  <c r="F39" i="213" s="1"/>
  <c r="AO39" i="213" s="1"/>
  <c r="F27" i="220" s="1"/>
  <c r="F91" i="220" s="1"/>
  <c r="P604" i="242"/>
  <c r="U604" i="242" s="1"/>
  <c r="F29" i="213" s="1"/>
  <c r="AO29" i="213" s="1"/>
  <c r="F17" i="220" s="1"/>
  <c r="F81" i="220" s="1"/>
  <c r="P600" i="242"/>
  <c r="U600" i="242" s="1"/>
  <c r="F25" i="213" s="1"/>
  <c r="AO25" i="213" s="1"/>
  <c r="F13" i="220" s="1"/>
  <c r="F77" i="220" s="1"/>
  <c r="N609" i="242"/>
  <c r="S609" i="242" s="1"/>
  <c r="D38" i="213" s="1"/>
  <c r="AM38" i="213" s="1"/>
  <c r="D26" i="220" s="1"/>
  <c r="D90" i="220" s="1"/>
  <c r="N612" i="242"/>
  <c r="S612" i="242" s="1"/>
  <c r="D41" i="213" s="1"/>
  <c r="AM41" i="213" s="1"/>
  <c r="D29" i="220" s="1"/>
  <c r="D93" i="220" s="1"/>
  <c r="M596" i="242"/>
  <c r="R596" i="242" s="1"/>
  <c r="M601" i="242"/>
  <c r="R601" i="242" s="1"/>
  <c r="M598" i="242"/>
  <c r="R598" i="242" s="1"/>
  <c r="N603" i="242"/>
  <c r="S603" i="242" s="1"/>
  <c r="D28" i="213" s="1"/>
  <c r="AM28" i="213" s="1"/>
  <c r="D16" i="220" s="1"/>
  <c r="D80" i="220" s="1"/>
  <c r="O606" i="242"/>
  <c r="T606" i="242" s="1"/>
  <c r="E35" i="213" s="1"/>
  <c r="P606" i="242"/>
  <c r="U606" i="242" s="1"/>
  <c r="F35" i="213" s="1"/>
  <c r="O595" i="242"/>
  <c r="T595" i="242" s="1"/>
  <c r="E20" i="213" s="1"/>
  <c r="P598" i="242"/>
  <c r="U598" i="242" s="1"/>
  <c r="F23" i="213" s="1"/>
  <c r="AO23" i="213" s="1"/>
  <c r="F11" i="220" s="1"/>
  <c r="F75" i="220" s="1"/>
  <c r="O600" i="242"/>
  <c r="T600" i="242" s="1"/>
  <c r="E25" i="213" s="1"/>
  <c r="AN25" i="213" s="1"/>
  <c r="E13" i="220" s="1"/>
  <c r="E77" i="220" s="1"/>
  <c r="O608" i="242"/>
  <c r="T608" i="242" s="1"/>
  <c r="E37" i="213" s="1"/>
  <c r="AN37" i="213" s="1"/>
  <c r="E25" i="220" s="1"/>
  <c r="E89" i="220" s="1"/>
  <c r="M600" i="242"/>
  <c r="R600" i="242" s="1"/>
  <c r="M610" i="242"/>
  <c r="R610" i="242" s="1"/>
  <c r="M611" i="242"/>
  <c r="R611" i="242" s="1"/>
  <c r="O609" i="242"/>
  <c r="T609" i="242" s="1"/>
  <c r="E38" i="213" s="1"/>
  <c r="AN38" i="213" s="1"/>
  <c r="E26" i="220" s="1"/>
  <c r="E90" i="220" s="1"/>
  <c r="O604" i="242"/>
  <c r="T604" i="242" s="1"/>
  <c r="E29" i="213" s="1"/>
  <c r="AN29" i="213" s="1"/>
  <c r="E17" i="220" s="1"/>
  <c r="E81" i="220" s="1"/>
  <c r="O602" i="242"/>
  <c r="T602" i="242" s="1"/>
  <c r="E27" i="213" s="1"/>
  <c r="AN27" i="213" s="1"/>
  <c r="E15" i="220" s="1"/>
  <c r="E79" i="220" s="1"/>
  <c r="N600" i="242"/>
  <c r="S600" i="242" s="1"/>
  <c r="D25" i="213" s="1"/>
  <c r="AM25" i="213" s="1"/>
  <c r="D13" i="220" s="1"/>
  <c r="D77" i="220" s="1"/>
  <c r="N610" i="242"/>
  <c r="S610" i="242" s="1"/>
  <c r="D39" i="213" s="1"/>
  <c r="AM39" i="213" s="1"/>
  <c r="D27" i="220" s="1"/>
  <c r="D91" i="220" s="1"/>
  <c r="P605" i="242"/>
  <c r="U605" i="242" s="1"/>
  <c r="F30" i="213" s="1"/>
  <c r="AO30" i="213" s="1"/>
  <c r="F18" i="220" s="1"/>
  <c r="F82" i="220" s="1"/>
  <c r="M595" i="242"/>
  <c r="R595" i="242" s="1"/>
  <c r="P612" i="242"/>
  <c r="U612" i="242" s="1"/>
  <c r="F41" i="213" s="1"/>
  <c r="AO41" i="213" s="1"/>
  <c r="F29" i="220" s="1"/>
  <c r="F93" i="220" s="1"/>
  <c r="P602" i="242"/>
  <c r="U602" i="242" s="1"/>
  <c r="F27" i="213" s="1"/>
  <c r="AO27" i="213" s="1"/>
  <c r="F15" i="220" s="1"/>
  <c r="F79" i="220" s="1"/>
  <c r="P596" i="242"/>
  <c r="U596" i="242" s="1"/>
  <c r="F21" i="213" s="1"/>
  <c r="AO21" i="213" s="1"/>
  <c r="F9" i="220" s="1"/>
  <c r="F73" i="220" s="1"/>
  <c r="P607" i="242"/>
  <c r="U607" i="242" s="1"/>
  <c r="F36" i="213" s="1"/>
  <c r="AO36" i="213" s="1"/>
  <c r="F24" i="220" s="1"/>
  <c r="F88" i="220" s="1"/>
  <c r="O610" i="242"/>
  <c r="T610" i="242" s="1"/>
  <c r="E39" i="213" s="1"/>
  <c r="AN39" i="213" s="1"/>
  <c r="E27" i="220" s="1"/>
  <c r="E91" i="220" s="1"/>
  <c r="O601" i="242"/>
  <c r="T601" i="242" s="1"/>
  <c r="E26" i="213" s="1"/>
  <c r="AN26" i="213" s="1"/>
  <c r="E14" i="220" s="1"/>
  <c r="E78" i="220" s="1"/>
  <c r="M608" i="242"/>
  <c r="R608" i="242" s="1"/>
  <c r="M609" i="242"/>
  <c r="R609" i="242" s="1"/>
  <c r="M606" i="242"/>
  <c r="R606" i="242" s="1"/>
  <c r="P599" i="242"/>
  <c r="U599" i="242" s="1"/>
  <c r="F24" i="213" s="1"/>
  <c r="AO24" i="213" s="1"/>
  <c r="F12" i="220" s="1"/>
  <c r="F76" i="220" s="1"/>
  <c r="F42" i="213" l="1"/>
  <c r="AO35" i="213"/>
  <c r="E42" i="213"/>
  <c r="AN35" i="213"/>
  <c r="D42" i="213"/>
  <c r="AM35" i="213"/>
  <c r="F33" i="213"/>
  <c r="AO20" i="213"/>
  <c r="D33" i="213"/>
  <c r="AM20" i="213"/>
  <c r="E33" i="213"/>
  <c r="AN20" i="213"/>
  <c r="C22" i="213"/>
  <c r="AB22" i="213" s="1" a="1"/>
  <c r="AB22" i="213" s="1"/>
  <c r="C35" i="213"/>
  <c r="AL35" i="213" s="1"/>
  <c r="H35" i="213"/>
  <c r="H42" i="213" s="1"/>
  <c r="C20" i="213"/>
  <c r="AL20" i="213" s="1"/>
  <c r="H20" i="213"/>
  <c r="C23" i="213"/>
  <c r="AL23" i="213" s="1"/>
  <c r="C41" i="213"/>
  <c r="AB41" i="213" s="1" a="1"/>
  <c r="AB41" i="213" s="1"/>
  <c r="C38" i="213"/>
  <c r="AB38" i="213" s="1" a="1"/>
  <c r="AB38" i="213" s="1"/>
  <c r="C36" i="213"/>
  <c r="AA36" i="213" s="1" a="1"/>
  <c r="AA36" i="213" s="1"/>
  <c r="C26" i="213"/>
  <c r="AB26" i="213" s="1" a="1"/>
  <c r="AB26" i="213" s="1"/>
  <c r="C30" i="213"/>
  <c r="AB30" i="213" s="1" a="1"/>
  <c r="AB30" i="213" s="1"/>
  <c r="C21" i="213"/>
  <c r="AB21" i="213" s="1" a="1"/>
  <c r="AB21" i="213" s="1"/>
  <c r="C24" i="213"/>
  <c r="AL24" i="213" s="1"/>
  <c r="C29" i="213"/>
  <c r="AL29" i="213" s="1"/>
  <c r="C37" i="213"/>
  <c r="AL37" i="213" s="1"/>
  <c r="C27" i="213"/>
  <c r="AL27" i="213" s="1"/>
  <c r="C40" i="213"/>
  <c r="AL40" i="213" s="1"/>
  <c r="C39" i="213"/>
  <c r="AA39" i="213" s="1" a="1"/>
  <c r="AA39" i="213" s="1"/>
  <c r="C25" i="213"/>
  <c r="AB25" i="213" s="1" a="1"/>
  <c r="AB25" i="213" s="1"/>
  <c r="C28" i="213"/>
  <c r="AB28" i="213" s="1" a="1"/>
  <c r="AB28" i="213" s="1"/>
  <c r="H5" i="218" l="1" a="1"/>
  <c r="H5" i="218" s="1"/>
  <c r="H36" i="218" s="1"/>
  <c r="F6" i="218" a="1"/>
  <c r="F6" i="218" s="1"/>
  <c r="F37" i="218" s="1"/>
  <c r="G4" i="218" a="1"/>
  <c r="G4" i="218" s="1"/>
  <c r="G35" i="218" s="1"/>
  <c r="F4" i="218" a="1"/>
  <c r="F4" i="218" s="1"/>
  <c r="F35" i="218" s="1"/>
  <c r="G6" i="218" a="1"/>
  <c r="G6" i="218" s="1"/>
  <c r="G37" i="218" s="1"/>
  <c r="F5" i="218" a="1"/>
  <c r="F5" i="218" s="1"/>
  <c r="F36" i="218" s="1"/>
  <c r="G5" i="218" a="1"/>
  <c r="G5" i="218" s="1"/>
  <c r="G36" i="218" s="1"/>
  <c r="H4" i="218" a="1"/>
  <c r="H4" i="218" s="1"/>
  <c r="H35" i="218" s="1"/>
  <c r="AM42" i="213"/>
  <c r="D30" i="220" s="1"/>
  <c r="D94" i="220" s="1"/>
  <c r="D23" i="220"/>
  <c r="D87" i="220" s="1"/>
  <c r="D66" i="213"/>
  <c r="E8" i="220"/>
  <c r="E72" i="220" s="1"/>
  <c r="AN33" i="213"/>
  <c r="E23" i="220"/>
  <c r="E87" i="220" s="1"/>
  <c r="AN42" i="213"/>
  <c r="E30" i="220" s="1"/>
  <c r="E94" i="220" s="1"/>
  <c r="AM33" i="213"/>
  <c r="D8" i="220"/>
  <c r="D72" i="220" s="1"/>
  <c r="H6" i="218" a="1"/>
  <c r="H6" i="218" s="1"/>
  <c r="H37" i="218" s="1"/>
  <c r="E66" i="213"/>
  <c r="F23" i="220"/>
  <c r="F87" i="220" s="1"/>
  <c r="AO42" i="213"/>
  <c r="F30" i="220" s="1"/>
  <c r="F94" i="220" s="1"/>
  <c r="F8" i="220"/>
  <c r="F72" i="220" s="1"/>
  <c r="AO33" i="213"/>
  <c r="F66" i="213"/>
  <c r="AL22" i="213"/>
  <c r="BK22" i="213" s="1" a="1"/>
  <c r="BK22" i="213" s="1"/>
  <c r="AA38" i="213" a="1"/>
  <c r="AA38" i="213" s="1"/>
  <c r="AB36" i="213" a="1"/>
  <c r="AB36" i="213" s="1"/>
  <c r="AA22" i="213" a="1"/>
  <c r="AA22" i="213" s="1"/>
  <c r="AL38" i="213"/>
  <c r="BJ38" i="213" s="1" a="1"/>
  <c r="BJ38" i="213" s="1"/>
  <c r="AA21" i="213" a="1"/>
  <c r="AA21" i="213" s="1"/>
  <c r="AA30" i="213" a="1"/>
  <c r="AA30" i="213" s="1"/>
  <c r="AA27" i="213" a="1"/>
  <c r="AA27" i="213" s="1"/>
  <c r="AL21" i="213"/>
  <c r="BJ21" i="213" s="1" a="1"/>
  <c r="BJ21" i="213" s="1"/>
  <c r="AA35" i="213" a="1"/>
  <c r="AA35" i="213" s="1"/>
  <c r="AA28" i="213" a="1"/>
  <c r="AA28" i="213" s="1"/>
  <c r="AB27" i="213" a="1"/>
  <c r="AB27" i="213" s="1"/>
  <c r="AL28" i="213"/>
  <c r="BJ28" i="213" s="1" a="1"/>
  <c r="BJ28" i="213" s="1"/>
  <c r="AA25" i="213" a="1"/>
  <c r="AA25" i="213" s="1"/>
  <c r="AL30" i="213"/>
  <c r="BJ30" i="213" s="1" a="1"/>
  <c r="BJ30" i="213" s="1"/>
  <c r="AA41" i="213" a="1"/>
  <c r="AA41" i="213" s="1"/>
  <c r="AL41" i="213"/>
  <c r="BK41" i="213" s="1" a="1"/>
  <c r="BK41" i="213" s="1"/>
  <c r="AL25" i="213"/>
  <c r="BJ25" i="213" s="1" a="1"/>
  <c r="BJ25" i="213" s="1"/>
  <c r="AB37" i="213" a="1"/>
  <c r="AB37" i="213" s="1"/>
  <c r="AA37" i="213" a="1"/>
  <c r="AA37" i="213" s="1"/>
  <c r="AL36" i="213"/>
  <c r="C24" i="220" s="1"/>
  <c r="AA40" i="213" a="1"/>
  <c r="AA40" i="213" s="1"/>
  <c r="AB35" i="213" a="1"/>
  <c r="AB35" i="213" s="1"/>
  <c r="AB20" i="213" a="1"/>
  <c r="AB20" i="213" s="1"/>
  <c r="AB40" i="213" a="1"/>
  <c r="AB40" i="213" s="1"/>
  <c r="AB24" i="213" a="1"/>
  <c r="AB24" i="213" s="1"/>
  <c r="AA24" i="213" a="1"/>
  <c r="AA24" i="213" s="1"/>
  <c r="AA26" i="213" a="1"/>
  <c r="AA26" i="213" s="1"/>
  <c r="AB39" i="213" a="1"/>
  <c r="AB39" i="213" s="1"/>
  <c r="AL26" i="213"/>
  <c r="BK26" i="213" s="1" a="1"/>
  <c r="BK26" i="213" s="1"/>
  <c r="C42" i="213"/>
  <c r="H33" i="213"/>
  <c r="J4" i="218" s="1" a="1"/>
  <c r="J4" i="218" s="1"/>
  <c r="AB23" i="213" a="1"/>
  <c r="AB23" i="213" s="1"/>
  <c r="AB29" i="213" a="1"/>
  <c r="AB29" i="213" s="1"/>
  <c r="AA23" i="213" a="1"/>
  <c r="AA23" i="213" s="1"/>
  <c r="C33" i="213"/>
  <c r="AL39" i="213"/>
  <c r="BJ39" i="213" s="1" a="1"/>
  <c r="BJ39" i="213" s="1"/>
  <c r="AA29" i="213" a="1"/>
  <c r="AA29" i="213" s="1"/>
  <c r="AA20" i="213" a="1"/>
  <c r="AA20" i="213" s="1"/>
  <c r="BK24" i="213" a="1"/>
  <c r="BK24" i="213" s="1"/>
  <c r="BO24" i="213" a="1"/>
  <c r="BO24" i="213" s="1"/>
  <c r="BJ24" i="213" a="1"/>
  <c r="BJ24" i="213" s="1"/>
  <c r="C12" i="220"/>
  <c r="BO40" i="213" a="1"/>
  <c r="BO40" i="213" s="1"/>
  <c r="BK40" i="213" a="1"/>
  <c r="BK40" i="213" s="1"/>
  <c r="C28" i="220"/>
  <c r="BJ40" i="213" a="1"/>
  <c r="BJ40" i="213" s="1"/>
  <c r="BJ35" i="213" a="1"/>
  <c r="BJ35" i="213" s="1"/>
  <c r="BK35" i="213" a="1"/>
  <c r="BK35" i="213" s="1"/>
  <c r="C23" i="220"/>
  <c r="BO35" i="213" a="1"/>
  <c r="BO35" i="213" s="1"/>
  <c r="BK20" i="213" a="1"/>
  <c r="BK20" i="213" s="1"/>
  <c r="BJ20" i="213" a="1"/>
  <c r="BJ20" i="213" s="1"/>
  <c r="BO20" i="213" a="1"/>
  <c r="BO20" i="213" s="1"/>
  <c r="C8" i="220"/>
  <c r="C11" i="220"/>
  <c r="BO23" i="213" a="1"/>
  <c r="BO23" i="213" s="1"/>
  <c r="BJ23" i="213" a="1"/>
  <c r="BJ23" i="213" s="1"/>
  <c r="BK23" i="213" a="1"/>
  <c r="BK23" i="213" s="1"/>
  <c r="BO37" i="213" a="1"/>
  <c r="BO37" i="213" s="1"/>
  <c r="C25" i="220"/>
  <c r="BJ37" i="213" a="1"/>
  <c r="BJ37" i="213" s="1"/>
  <c r="BK37" i="213" a="1"/>
  <c r="BK37" i="213" s="1"/>
  <c r="BK27" i="213" a="1"/>
  <c r="BK27" i="213" s="1"/>
  <c r="C15" i="220"/>
  <c r="BJ27" i="213" a="1"/>
  <c r="BJ27" i="213" s="1"/>
  <c r="BO27" i="213" a="1"/>
  <c r="BO27" i="213" s="1"/>
  <c r="C17" i="220"/>
  <c r="BK29" i="213" a="1"/>
  <c r="BK29" i="213" s="1"/>
  <c r="BJ29" i="213" a="1"/>
  <c r="BJ29" i="213" s="1"/>
  <c r="BO29" i="213" a="1"/>
  <c r="BO29" i="213" s="1"/>
  <c r="BK36" i="213" l="1" a="1"/>
  <c r="BK36" i="213" s="1"/>
  <c r="BK38" i="213" a="1"/>
  <c r="BK38" i="213" s="1"/>
  <c r="AO66" i="213"/>
  <c r="F21" i="220"/>
  <c r="F85" i="220" s="1"/>
  <c r="E21" i="220"/>
  <c r="E85" i="220" s="1"/>
  <c r="AN66" i="213"/>
  <c r="D21" i="220"/>
  <c r="D85" i="220" s="1"/>
  <c r="AM66" i="213"/>
  <c r="BO28" i="213" a="1"/>
  <c r="BO28" i="213" s="1"/>
  <c r="BR28" i="213" s="1"/>
  <c r="BK28" i="213" a="1"/>
  <c r="BK28" i="213" s="1"/>
  <c r="C16" i="220"/>
  <c r="C80" i="220" s="1"/>
  <c r="AA80" i="220" s="1" a="1"/>
  <c r="AA80" i="220" s="1"/>
  <c r="AB80" i="220" s="1"/>
  <c r="BO22" i="213" a="1"/>
  <c r="BO22" i="213" s="1"/>
  <c r="C10" i="220"/>
  <c r="C74" i="220" s="1"/>
  <c r="AA74" i="220" s="1" a="1"/>
  <c r="AA74" i="220" s="1"/>
  <c r="AB74" i="220" s="1"/>
  <c r="BJ22" i="213" a="1"/>
  <c r="BJ22" i="213" s="1"/>
  <c r="C26" i="220"/>
  <c r="C90" i="220" s="1"/>
  <c r="AA90" i="220" s="1" a="1"/>
  <c r="AA90" i="220" s="1"/>
  <c r="AB90" i="220" s="1"/>
  <c r="BO38" i="213" a="1"/>
  <c r="BO38" i="213" s="1"/>
  <c r="BR38" i="213" s="1"/>
  <c r="C18" i="220"/>
  <c r="AA18" i="220" s="1" a="1"/>
  <c r="AA18" i="220" s="1"/>
  <c r="AB18" i="220" s="1"/>
  <c r="BK30" i="213" a="1"/>
  <c r="BK30" i="213" s="1"/>
  <c r="BO30" i="213" a="1"/>
  <c r="BO30" i="213" s="1"/>
  <c r="BQ30" i="213" s="1"/>
  <c r="BJ41" i="213" a="1"/>
  <c r="BJ41" i="213" s="1"/>
  <c r="C29" i="220"/>
  <c r="AA29" i="220" s="1" a="1"/>
  <c r="AA29" i="220" s="1"/>
  <c r="AB29" i="220" s="1"/>
  <c r="C9" i="220"/>
  <c r="AA9" i="220" s="1" a="1"/>
  <c r="AA9" i="220" s="1"/>
  <c r="AB9" i="220" s="1"/>
  <c r="E5" i="218" a="1"/>
  <c r="E5" i="218" s="1"/>
  <c r="E36" i="218" s="1"/>
  <c r="AC36" i="218" s="1" a="1"/>
  <c r="AC36" i="218" s="1"/>
  <c r="AD36" i="218" s="1"/>
  <c r="BO41" i="213" a="1"/>
  <c r="BO41" i="213" s="1"/>
  <c r="BQ41" i="213" s="1"/>
  <c r="BK21" i="213" a="1"/>
  <c r="BK21" i="213" s="1"/>
  <c r="BO21" i="213" a="1"/>
  <c r="BO21" i="213" s="1"/>
  <c r="BQ21" i="213" s="1"/>
  <c r="BK25" i="213" a="1"/>
  <c r="BK25" i="213" s="1"/>
  <c r="C13" i="220"/>
  <c r="AA13" i="220" s="1" a="1"/>
  <c r="AA13" i="220" s="1"/>
  <c r="AB13" i="220" s="1"/>
  <c r="BO25" i="213" a="1"/>
  <c r="BO25" i="213" s="1"/>
  <c r="BR25" i="213" s="1"/>
  <c r="H66" i="213"/>
  <c r="J7" i="218" a="1"/>
  <c r="J7" i="218" s="1"/>
  <c r="AC7" i="218" s="1" a="1"/>
  <c r="AC7" i="218" s="1"/>
  <c r="AD7" i="218" s="1"/>
  <c r="J6" i="218" a="1"/>
  <c r="J6" i="218" s="1"/>
  <c r="E6" i="218" a="1"/>
  <c r="E6" i="218" s="1"/>
  <c r="E37" i="218" s="1"/>
  <c r="AC37" i="218" s="1" a="1"/>
  <c r="AC37" i="218" s="1"/>
  <c r="AD37" i="218" s="1"/>
  <c r="AA42" i="213"/>
  <c r="J5" i="218" a="1"/>
  <c r="J5" i="218" s="1"/>
  <c r="BJ36" i="213" a="1"/>
  <c r="BJ36" i="213" s="1"/>
  <c r="BJ42" i="213" s="1"/>
  <c r="BO36" i="213" a="1"/>
  <c r="BO36" i="213" s="1"/>
  <c r="BQ36" i="213" s="1"/>
  <c r="AB33" i="213"/>
  <c r="E4" i="218" a="1"/>
  <c r="E4" i="218" s="1"/>
  <c r="AC4" i="218" s="1" a="1"/>
  <c r="AC4" i="218" s="1"/>
  <c r="AD4" i="218" s="1"/>
  <c r="AB42" i="213"/>
  <c r="BO26" i="213" a="1"/>
  <c r="BO26" i="213" s="1"/>
  <c r="BQ26" i="213" s="1"/>
  <c r="BJ26" i="213" a="1"/>
  <c r="BJ26" i="213" s="1"/>
  <c r="AL33" i="213"/>
  <c r="C21" i="220" s="1"/>
  <c r="C14" i="220"/>
  <c r="AA14" i="220" s="1" a="1"/>
  <c r="AA14" i="220" s="1"/>
  <c r="AB14" i="220" s="1"/>
  <c r="C66" i="213"/>
  <c r="C27" i="220"/>
  <c r="AA27" i="220" s="1" a="1"/>
  <c r="AA27" i="220" s="1"/>
  <c r="AB27" i="220" s="1"/>
  <c r="BO39" i="213" a="1"/>
  <c r="BO39" i="213" s="1"/>
  <c r="BQ39" i="213" s="1"/>
  <c r="AA33" i="213"/>
  <c r="AL42" i="213"/>
  <c r="C30" i="220" s="1"/>
  <c r="AA30" i="220" s="1" a="1"/>
  <c r="AA30" i="220" s="1"/>
  <c r="AB30" i="220" s="1"/>
  <c r="BK39" i="213" a="1"/>
  <c r="BK39" i="213" s="1"/>
  <c r="BR20" i="213"/>
  <c r="BQ20" i="213"/>
  <c r="AA11" i="220" a="1"/>
  <c r="AA11" i="220" s="1"/>
  <c r="AB11" i="220" s="1"/>
  <c r="C75" i="220"/>
  <c r="AA75" i="220" s="1" a="1"/>
  <c r="AA75" i="220" s="1"/>
  <c r="AB75" i="220" s="1"/>
  <c r="BQ35" i="213"/>
  <c r="BR35" i="213"/>
  <c r="AA12" i="220" a="1"/>
  <c r="AA12" i="220" s="1"/>
  <c r="AB12" i="220" s="1"/>
  <c r="C76" i="220"/>
  <c r="AA76" i="220" s="1" a="1"/>
  <c r="AA76" i="220" s="1"/>
  <c r="AB76" i="220" s="1"/>
  <c r="BR29" i="213"/>
  <c r="BQ29" i="213"/>
  <c r="C89" i="220"/>
  <c r="AA89" i="220" s="1" a="1"/>
  <c r="AA89" i="220" s="1"/>
  <c r="AB89" i="220" s="1"/>
  <c r="AA25" i="220" a="1"/>
  <c r="AA25" i="220" s="1"/>
  <c r="AB25" i="220" s="1"/>
  <c r="C87" i="220"/>
  <c r="AA87" i="220" s="1" a="1"/>
  <c r="AA87" i="220" s="1"/>
  <c r="AB87" i="220" s="1"/>
  <c r="AA23" i="220" a="1"/>
  <c r="AA23" i="220" s="1"/>
  <c r="AB23" i="220" s="1"/>
  <c r="C92" i="220"/>
  <c r="AA92" i="220" s="1" a="1"/>
  <c r="AA92" i="220" s="1"/>
  <c r="AB92" i="220" s="1"/>
  <c r="AA28" i="220" a="1"/>
  <c r="AA28" i="220" s="1"/>
  <c r="AB28" i="220" s="1"/>
  <c r="AA17" i="220" a="1"/>
  <c r="AA17" i="220" s="1"/>
  <c r="AB17" i="220" s="1"/>
  <c r="C81" i="220"/>
  <c r="AA81" i="220" s="1" a="1"/>
  <c r="AA81" i="220" s="1"/>
  <c r="AB81" i="220" s="1"/>
  <c r="BQ37" i="213"/>
  <c r="BR37" i="213"/>
  <c r="BR24" i="213"/>
  <c r="BQ24" i="213"/>
  <c r="BQ40" i="213"/>
  <c r="BR40" i="213"/>
  <c r="BQ23" i="213"/>
  <c r="BR23" i="213"/>
  <c r="C88" i="220"/>
  <c r="AA88" i="220" s="1" a="1"/>
  <c r="AA88" i="220" s="1"/>
  <c r="AB88" i="220" s="1"/>
  <c r="AA24" i="220" a="1"/>
  <c r="AA24" i="220" s="1"/>
  <c r="AB24" i="220" s="1"/>
  <c r="BR22" i="213"/>
  <c r="BQ22" i="213"/>
  <c r="C79" i="220"/>
  <c r="AA79" i="220" s="1" a="1"/>
  <c r="AA79" i="220" s="1"/>
  <c r="AB79" i="220" s="1"/>
  <c r="AA15" i="220" a="1"/>
  <c r="AA15" i="220" s="1"/>
  <c r="AB15" i="220" s="1"/>
  <c r="BR27" i="213"/>
  <c r="BQ27" i="213"/>
  <c r="C72" i="220"/>
  <c r="AA72" i="220" s="1" a="1"/>
  <c r="AA72" i="220" s="1"/>
  <c r="AB72" i="220" s="1"/>
  <c r="AA8" i="220" a="1"/>
  <c r="AA8" i="220" s="1"/>
  <c r="AB8" i="220" s="1"/>
  <c r="AA10" i="220" l="1" a="1"/>
  <c r="AA10" i="220" s="1"/>
  <c r="AB10" i="220" s="1"/>
  <c r="BR30" i="213"/>
  <c r="BM30" i="213" s="1"/>
  <c r="AA16" i="220" a="1"/>
  <c r="AA16" i="220" s="1"/>
  <c r="AB16" i="220" s="1"/>
  <c r="BK42" i="213"/>
  <c r="BQ28" i="213"/>
  <c r="BM28" i="213" s="1"/>
  <c r="AN68" i="213"/>
  <c r="E65" i="220" s="1"/>
  <c r="E129" i="220" s="1"/>
  <c r="E51" i="220"/>
  <c r="E115" i="220" s="1"/>
  <c r="AM68" i="213"/>
  <c r="D65" i="220" s="1"/>
  <c r="D129" i="220" s="1"/>
  <c r="D51" i="220"/>
  <c r="D115" i="220" s="1"/>
  <c r="F51" i="220"/>
  <c r="F115" i="220" s="1"/>
  <c r="AO68" i="213"/>
  <c r="F65" i="220" s="1"/>
  <c r="F129" i="220" s="1"/>
  <c r="BJ33" i="213"/>
  <c r="BJ66" i="213" s="1"/>
  <c r="AA26" i="220" a="1"/>
  <c r="AA26" i="220" s="1"/>
  <c r="AB26" i="220" s="1"/>
  <c r="C82" i="220"/>
  <c r="AA82" i="220" s="1" a="1"/>
  <c r="AA82" i="220" s="1"/>
  <c r="AB82" i="220" s="1"/>
  <c r="C77" i="220"/>
  <c r="AA77" i="220" s="1" a="1"/>
  <c r="AA77" i="220" s="1"/>
  <c r="AB77" i="220" s="1"/>
  <c r="C93" i="220"/>
  <c r="AA93" i="220" s="1" a="1"/>
  <c r="AA93" i="220" s="1"/>
  <c r="AB93" i="220" s="1"/>
  <c r="C73" i="220"/>
  <c r="AA73" i="220" s="1" a="1"/>
  <c r="AA73" i="220" s="1"/>
  <c r="AB73" i="220" s="1"/>
  <c r="BQ38" i="213"/>
  <c r="BL38" i="213" s="1"/>
  <c r="G6" i="214"/>
  <c r="BR41" i="213"/>
  <c r="BM41" i="213" s="1"/>
  <c r="BR21" i="213"/>
  <c r="BL21" i="213" s="1"/>
  <c r="BK33" i="213"/>
  <c r="AC5" i="218" a="1"/>
  <c r="AC5" i="218" s="1"/>
  <c r="AD5" i="218" s="1"/>
  <c r="BQ25" i="213"/>
  <c r="BM25" i="213" s="1"/>
  <c r="AA66" i="213" a="1"/>
  <c r="AA66" i="213" s="1"/>
  <c r="D4" i="216" s="1"/>
  <c r="G7" i="214"/>
  <c r="AC6" i="218" a="1"/>
  <c r="AC6" i="218" s="1"/>
  <c r="AD6" i="218" s="1"/>
  <c r="BR36" i="213"/>
  <c r="BM36" i="213" s="1"/>
  <c r="BR26" i="213"/>
  <c r="BM26" i="213" s="1"/>
  <c r="E35" i="218"/>
  <c r="AC35" i="218" s="1" a="1"/>
  <c r="AC35" i="218" s="1"/>
  <c r="G5" i="214" s="1"/>
  <c r="I5" i="214" s="1"/>
  <c r="C78" i="220"/>
  <c r="AA78" i="220" s="1" a="1"/>
  <c r="AA78" i="220" s="1"/>
  <c r="AB78" i="220" s="1"/>
  <c r="C91" i="220"/>
  <c r="AA91" i="220" s="1" a="1"/>
  <c r="AA91" i="220" s="1"/>
  <c r="AB91" i="220" s="1"/>
  <c r="BR39" i="213"/>
  <c r="BM39" i="213" s="1"/>
  <c r="AB66" i="213" a="1"/>
  <c r="AB66" i="213" s="1"/>
  <c r="C94" i="220"/>
  <c r="AA94" i="220" s="1" a="1"/>
  <c r="AA94" i="220" s="1"/>
  <c r="AB94" i="220" s="1"/>
  <c r="AL66" i="213"/>
  <c r="AL68" i="213" s="1"/>
  <c r="BL37" i="213"/>
  <c r="BM37" i="213"/>
  <c r="BL29" i="213"/>
  <c r="BM29" i="213"/>
  <c r="I7" i="214"/>
  <c r="BM24" i="213"/>
  <c r="BL24" i="213"/>
  <c r="BM22" i="213"/>
  <c r="BL22" i="213"/>
  <c r="BL23" i="213"/>
  <c r="BM23" i="213"/>
  <c r="BL25" i="213"/>
  <c r="BM40" i="213"/>
  <c r="BL40" i="213"/>
  <c r="BL28" i="213"/>
  <c r="BM27" i="213"/>
  <c r="BL27" i="213"/>
  <c r="BL30" i="213"/>
  <c r="BL35" i="213"/>
  <c r="BM35" i="213"/>
  <c r="I6" i="214"/>
  <c r="AA21" i="220" a="1"/>
  <c r="AA21" i="220" s="1"/>
  <c r="AB21" i="220" s="1"/>
  <c r="C85" i="220"/>
  <c r="AA85" i="220" s="1" a="1"/>
  <c r="AA85" i="220" s="1"/>
  <c r="AB85" i="220" s="1"/>
  <c r="BL20" i="213"/>
  <c r="BM20" i="213"/>
  <c r="BK66" i="213" l="1"/>
  <c r="E4" i="216"/>
  <c r="F4" i="216"/>
  <c r="BM38" i="213"/>
  <c r="BM42" i="213" s="1"/>
  <c r="BM21" i="213"/>
  <c r="BM33" i="213" s="1"/>
  <c r="BL41" i="213"/>
  <c r="H6" i="214"/>
  <c r="H7" i="214"/>
  <c r="BL26" i="213"/>
  <c r="BL33" i="213" s="1"/>
  <c r="BL39" i="213"/>
  <c r="BL36" i="213"/>
  <c r="H5" i="214"/>
  <c r="AD35" i="218"/>
  <c r="C51" i="220"/>
  <c r="AA51" i="220" s="1" a="1"/>
  <c r="AA51" i="220" s="1"/>
  <c r="AB51" i="220" s="1"/>
  <c r="C65" i="220"/>
  <c r="BJ68" i="213" a="1"/>
  <c r="BJ68" i="213" s="1"/>
  <c r="BK68" i="213" a="1"/>
  <c r="BK68" i="213" s="1"/>
  <c r="BL42" i="213" l="1"/>
  <c r="BL66" i="213" s="1"/>
  <c r="BL68" i="213" s="1"/>
  <c r="C115" i="220"/>
  <c r="AA115" i="220" s="1" a="1"/>
  <c r="AA115" i="220" s="1"/>
  <c r="G4" i="214" s="1"/>
  <c r="I4" i="214" s="1"/>
  <c r="BM66" i="213"/>
  <c r="BM68" i="213" s="1"/>
  <c r="AA65" i="220" a="1"/>
  <c r="AA65" i="220" s="1"/>
  <c r="AB65" i="220" s="1"/>
  <c r="C129" i="220"/>
  <c r="AA129" i="220" s="1" a="1"/>
  <c r="AA129" i="220" s="1"/>
  <c r="AB129" i="220" s="1"/>
  <c r="AB115" i="220" l="1"/>
  <c r="H4" i="2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<sst xmlns="http://schemas.openxmlformats.org/spreadsheetml/2006/main" count="7654" uniqueCount="908">
  <si>
    <t>Project title:</t>
  </si>
  <si>
    <t>Costs</t>
  </si>
  <si>
    <t>Predicted costs notes/ assumptions</t>
  </si>
  <si>
    <t>Optimism bias correction</t>
  </si>
  <si>
    <t>COSTS</t>
  </si>
  <si>
    <t>Capital Costs</t>
  </si>
  <si>
    <t>Plant and Equipment</t>
  </si>
  <si>
    <t>Buildings</t>
  </si>
  <si>
    <t>Operating Costs</t>
  </si>
  <si>
    <t>Skills and Development Training</t>
  </si>
  <si>
    <t>Other Costs</t>
  </si>
  <si>
    <t>TOTAL COSTS</t>
  </si>
  <si>
    <t>Total  Capital Costs</t>
  </si>
  <si>
    <t>Set up expenses</t>
  </si>
  <si>
    <t xml:space="preserve">Wages for Existing Employee </t>
  </si>
  <si>
    <t>Hiring New Staff</t>
  </si>
  <si>
    <t>Volunteers</t>
  </si>
  <si>
    <t>Other administrative expenses</t>
  </si>
  <si>
    <t>Cost of Maintenance</t>
  </si>
  <si>
    <t>Total Operating Costs</t>
  </si>
  <si>
    <t>Indirect costs</t>
  </si>
  <si>
    <t>Included</t>
  </si>
  <si>
    <t>Yes</t>
  </si>
  <si>
    <t>Instructions:</t>
  </si>
  <si>
    <t>No</t>
  </si>
  <si>
    <t>Spare2</t>
  </si>
  <si>
    <t>Spare3</t>
  </si>
  <si>
    <t>Spare4</t>
  </si>
  <si>
    <t>Spare5</t>
  </si>
  <si>
    <t>Spare6</t>
  </si>
  <si>
    <t>Spare7</t>
  </si>
  <si>
    <t>Spare8</t>
  </si>
  <si>
    <t>Spare9</t>
  </si>
  <si>
    <t>Society</t>
  </si>
  <si>
    <t>Spare10</t>
  </si>
  <si>
    <t>Yes/No</t>
  </si>
  <si>
    <t>Shortlisted agencies</t>
  </si>
  <si>
    <t>Analysis time frame (years)</t>
  </si>
  <si>
    <t>Set up expenses 10</t>
  </si>
  <si>
    <t>Set up expenses 1</t>
  </si>
  <si>
    <t>Set up expenses 2</t>
  </si>
  <si>
    <t>Set up expenses 3</t>
  </si>
  <si>
    <t>Set up expenses 4</t>
  </si>
  <si>
    <t>Set up expenses 5</t>
  </si>
  <si>
    <t>Set up expenses 6</t>
  </si>
  <si>
    <t>Set up expenses 7</t>
  </si>
  <si>
    <t>Set up expenses 8</t>
  </si>
  <si>
    <t>Set up expenses 9</t>
  </si>
  <si>
    <t>Cost of Maintenance 1</t>
  </si>
  <si>
    <t>Cost of Maintenance 2</t>
  </si>
  <si>
    <t>Cost of Maintenance 3</t>
  </si>
  <si>
    <t>Cost of Maintenance 4</t>
  </si>
  <si>
    <t>Cost of Maintenance 5</t>
  </si>
  <si>
    <t>Cost of Maintenance 6</t>
  </si>
  <si>
    <t>Cost of Maintenance 7</t>
  </si>
  <si>
    <t>Cost of Maintenance 8</t>
  </si>
  <si>
    <t>Cost of Maintenance 9</t>
  </si>
  <si>
    <t>Cost of Maintenance 10</t>
  </si>
  <si>
    <t>Wages for Existing Employee 6</t>
  </si>
  <si>
    <t>Wages for Existing Employee 7</t>
  </si>
  <si>
    <t>Wages for Existing Employee 8</t>
  </si>
  <si>
    <t>Wages for Existing Employee 9</t>
  </si>
  <si>
    <t>Wages for Existing Employee 10</t>
  </si>
  <si>
    <t>Hiring New Staff 1</t>
  </si>
  <si>
    <t>Hiring New Staff 2</t>
  </si>
  <si>
    <t>Hiring New Staff 3</t>
  </si>
  <si>
    <t>Hiring New Staff 4</t>
  </si>
  <si>
    <t>Hiring New Staff 5</t>
  </si>
  <si>
    <t>Hiring New Staff 6</t>
  </si>
  <si>
    <t>Hiring New Staff 7</t>
  </si>
  <si>
    <t>Hiring New Staff 8</t>
  </si>
  <si>
    <t>Hiring New Staff 9</t>
  </si>
  <si>
    <t>Hiring New Staff 10</t>
  </si>
  <si>
    <t>Volunteers 1</t>
  </si>
  <si>
    <t>Volunteers 2</t>
  </si>
  <si>
    <t>Volunteers 3</t>
  </si>
  <si>
    <t>Volunteers 4</t>
  </si>
  <si>
    <t>Volunteers 5</t>
  </si>
  <si>
    <t>Volunteers 6</t>
  </si>
  <si>
    <t>Volunteers 7</t>
  </si>
  <si>
    <t>Volunteers 8</t>
  </si>
  <si>
    <t>Volunteers 9</t>
  </si>
  <si>
    <t>Volunteers 10</t>
  </si>
  <si>
    <t>Confidence grade</t>
  </si>
  <si>
    <t>Colour coding</t>
  </si>
  <si>
    <t>Data source</t>
  </si>
  <si>
    <t>Age of data</t>
  </si>
  <si>
    <t>Known Data error</t>
  </si>
  <si>
    <t>Independently audited cost data</t>
  </si>
  <si>
    <t>Current Data (&lt;1 year old)</t>
  </si>
  <si>
    <t>+-2%</t>
  </si>
  <si>
    <t>0%</t>
  </si>
  <si>
    <t>Formal service delivery contract costs</t>
  </si>
  <si>
    <t>1-2  years old</t>
  </si>
  <si>
    <t>+-5%</t>
  </si>
  <si>
    <t>+5%</t>
  </si>
  <si>
    <t>Practitioner monitored costs</t>
  </si>
  <si>
    <t>2-3 years old</t>
  </si>
  <si>
    <t>+-10%</t>
  </si>
  <si>
    <t>+10%</t>
  </si>
  <si>
    <t>Costs developed from ready reckoners</t>
  </si>
  <si>
    <t>3-4 years old</t>
  </si>
  <si>
    <t>+-15%</t>
  </si>
  <si>
    <t>+15%</t>
  </si>
  <si>
    <t>4-5 years old</t>
  </si>
  <si>
    <t>+-20%</t>
  </si>
  <si>
    <t>+25%</t>
  </si>
  <si>
    <t>Uncorroborated expert judgement</t>
  </si>
  <si>
    <t>&gt;5 years old</t>
  </si>
  <si>
    <t>+-25%</t>
  </si>
  <si>
    <t>+40%</t>
  </si>
  <si>
    <t xml:space="preserve">Title </t>
  </si>
  <si>
    <t>Economics</t>
  </si>
  <si>
    <t>Discount rate</t>
  </si>
  <si>
    <t>Inflation</t>
  </si>
  <si>
    <t>Other Costs 1</t>
  </si>
  <si>
    <t>Other Costs 2</t>
  </si>
  <si>
    <t>Other Costs 3</t>
  </si>
  <si>
    <t>Other Costs 4</t>
  </si>
  <si>
    <t>Other Costs 5</t>
  </si>
  <si>
    <t>Other Costs 6</t>
  </si>
  <si>
    <t>Other Costs 7</t>
  </si>
  <si>
    <t>Other Costs 8</t>
  </si>
  <si>
    <t>Other Costs 9</t>
  </si>
  <si>
    <t>Other Costs 10</t>
  </si>
  <si>
    <t>Training 1</t>
  </si>
  <si>
    <t>Training 10</t>
  </si>
  <si>
    <t>Training 2</t>
  </si>
  <si>
    <t>Training 3</t>
  </si>
  <si>
    <t>Training 4</t>
  </si>
  <si>
    <t>Training 5</t>
  </si>
  <si>
    <t>Training 6</t>
  </si>
  <si>
    <t>Training 7</t>
  </si>
  <si>
    <t>Training 8</t>
  </si>
  <si>
    <t>Training 9</t>
  </si>
  <si>
    <t>Do you wish to apply changes?</t>
  </si>
  <si>
    <t>Other Operating Costs</t>
  </si>
  <si>
    <t>Total Indirect Costs</t>
  </si>
  <si>
    <t>Purchasing plant and equipment</t>
  </si>
  <si>
    <t>Purchasing 1</t>
  </si>
  <si>
    <t>Purchasing 2</t>
  </si>
  <si>
    <t>Purchasing 3</t>
  </si>
  <si>
    <t>Purchasing 4</t>
  </si>
  <si>
    <t>Purchasing 5</t>
  </si>
  <si>
    <t>Purchasing 6</t>
  </si>
  <si>
    <t>Purchasing 7</t>
  </si>
  <si>
    <t>Purchasing 8</t>
  </si>
  <si>
    <t>Purchasing 9</t>
  </si>
  <si>
    <t>Purchasing 10</t>
  </si>
  <si>
    <t>Purchasing buildings</t>
  </si>
  <si>
    <t>% Costs Yr1</t>
  </si>
  <si>
    <t>% Costs Yr2</t>
  </si>
  <si>
    <t>% Costs Yr3</t>
  </si>
  <si>
    <t>% Costs Yr4</t>
  </si>
  <si>
    <t>% Costs Yr6</t>
  </si>
  <si>
    <t>% Costs Yr7</t>
  </si>
  <si>
    <t>% Costs Yr8</t>
  </si>
  <si>
    <t>% Costs Yr9</t>
  </si>
  <si>
    <t>% Costs Yr10</t>
  </si>
  <si>
    <t>% Costs Yr11</t>
  </si>
  <si>
    <t>% Costs Yr12</t>
  </si>
  <si>
    <t>% Costs Yr13</t>
  </si>
  <si>
    <t>% Costs Yr14</t>
  </si>
  <si>
    <t>% Costs Yr15</t>
  </si>
  <si>
    <t>% Costs Yr16</t>
  </si>
  <si>
    <t>% Costs Yr17</t>
  </si>
  <si>
    <t>% Costs Yr18</t>
  </si>
  <si>
    <t>% Costs Yr19</t>
  </si>
  <si>
    <t>% Costs Yr20</t>
  </si>
  <si>
    <t>% Costs Yr21</t>
  </si>
  <si>
    <t>% Costs Yr22</t>
  </si>
  <si>
    <t>% Costs Yr23</t>
  </si>
  <si>
    <t>% Costs Yr24</t>
  </si>
  <si>
    <t>% Costs Yr25</t>
  </si>
  <si>
    <t>% Costs Yr5</t>
  </si>
  <si>
    <t>VS</t>
  </si>
  <si>
    <t>S</t>
  </si>
  <si>
    <t>M</t>
  </si>
  <si>
    <t>L</t>
  </si>
  <si>
    <t>VL</t>
  </si>
  <si>
    <t>Utilities</t>
  </si>
  <si>
    <t xml:space="preserve">Utilities </t>
  </si>
  <si>
    <t>Utilities 1</t>
  </si>
  <si>
    <t>Utilities 2</t>
  </si>
  <si>
    <t>Utilities 3</t>
  </si>
  <si>
    <t>Utilities 4</t>
  </si>
  <si>
    <t>Utilities 5</t>
  </si>
  <si>
    <t>Utilities 6</t>
  </si>
  <si>
    <t>Utilities 7</t>
  </si>
  <si>
    <t>Utilities 8</t>
  </si>
  <si>
    <t>Utilities 9</t>
  </si>
  <si>
    <t>Utilities 10</t>
  </si>
  <si>
    <t xml:space="preserve">Other staffing expenses </t>
  </si>
  <si>
    <t>Supplies</t>
  </si>
  <si>
    <t>Services</t>
  </si>
  <si>
    <t>Supplies 2</t>
  </si>
  <si>
    <t>Supplies 3</t>
  </si>
  <si>
    <t>Supplies 4</t>
  </si>
  <si>
    <t>Supplies 5</t>
  </si>
  <si>
    <t>Supplies 6</t>
  </si>
  <si>
    <t>Supplies 7</t>
  </si>
  <si>
    <t>Supplies 8</t>
  </si>
  <si>
    <t>Supplies 9</t>
  </si>
  <si>
    <t>Supplies 10</t>
  </si>
  <si>
    <t>Services 1</t>
  </si>
  <si>
    <t>Services 2</t>
  </si>
  <si>
    <t>Services 3</t>
  </si>
  <si>
    <t>Services 4</t>
  </si>
  <si>
    <t>Services 5</t>
  </si>
  <si>
    <t>Services 6</t>
  </si>
  <si>
    <t>Services 7</t>
  </si>
  <si>
    <t>Services 8</t>
  </si>
  <si>
    <t>Services 9</t>
  </si>
  <si>
    <t>Services 10</t>
  </si>
  <si>
    <t>COSTS (with Inflation and Discount rate)</t>
  </si>
  <si>
    <t>Proposition Summary</t>
  </si>
  <si>
    <t>Costs with economics</t>
  </si>
  <si>
    <t>Intangible costs</t>
  </si>
  <si>
    <t xml:space="preserve">Indirect Costs </t>
  </si>
  <si>
    <t>Intangible Costs</t>
  </si>
  <si>
    <t>Indirect Costs 1</t>
  </si>
  <si>
    <t>Indirect Costs 2</t>
  </si>
  <si>
    <t>Indirect Costs 3</t>
  </si>
  <si>
    <t>Indirect Costs 4</t>
  </si>
  <si>
    <t>Indirect Costs 5</t>
  </si>
  <si>
    <t>Indirect Costs 6</t>
  </si>
  <si>
    <t>Indirect Costs 7</t>
  </si>
  <si>
    <t>Indirect Costs 8</t>
  </si>
  <si>
    <t>Indirect Costs 9</t>
  </si>
  <si>
    <t>Indirect Costs 10</t>
  </si>
  <si>
    <t>Intangible Costs 1</t>
  </si>
  <si>
    <t>Intangible Costs 2</t>
  </si>
  <si>
    <t>Intangible Costs 3</t>
  </si>
  <si>
    <t>Intangible Costs 4</t>
  </si>
  <si>
    <t>Intangible Costs 5</t>
  </si>
  <si>
    <t>Intangible Costs 6</t>
  </si>
  <si>
    <t>Intangible Costs 7</t>
  </si>
  <si>
    <t>Intangible Costs 8</t>
  </si>
  <si>
    <t>Intangible Costs 9</t>
  </si>
  <si>
    <t>Intangible Costs 10</t>
  </si>
  <si>
    <t>Total Intangible Costs</t>
  </si>
  <si>
    <t>Total Direct Costs</t>
  </si>
  <si>
    <t xml:space="preserve">Total Indirect Costs </t>
  </si>
  <si>
    <t>Direct Costs:</t>
  </si>
  <si>
    <t>H</t>
  </si>
  <si>
    <t>VH</t>
  </si>
  <si>
    <t>Who bears the costs?</t>
  </si>
  <si>
    <t>Costs to bearers</t>
  </si>
  <si>
    <t>Costs to bearers (with Inflation and discount rate)</t>
  </si>
  <si>
    <t>Very low risk</t>
  </si>
  <si>
    <t>Low risk</t>
  </si>
  <si>
    <t>Medium risk</t>
  </si>
  <si>
    <t>High risk</t>
  </si>
  <si>
    <t>Very high risk</t>
  </si>
  <si>
    <t>Very low level</t>
  </si>
  <si>
    <t>Low level</t>
  </si>
  <si>
    <t>Medium level</t>
  </si>
  <si>
    <t>High level</t>
  </si>
  <si>
    <t>Very high level</t>
  </si>
  <si>
    <t>Very small population</t>
  </si>
  <si>
    <t>Small population</t>
  </si>
  <si>
    <t>Medium population</t>
  </si>
  <si>
    <t>Large population</t>
  </si>
  <si>
    <t>Very large population</t>
  </si>
  <si>
    <t>Bearers</t>
  </si>
  <si>
    <t>Source: HM Treasury. (2014). Supporting public service transformation: cost benefit analysis guidance for local partnerships. Surrey: Crown copyright.</t>
  </si>
  <si>
    <t>1. Include a bearer by selecting "Yes" in the drop down list</t>
  </si>
  <si>
    <t>3. It is possible to give more specific names to the bearers (e.g. Change Business to "Night Club").</t>
  </si>
  <si>
    <t>4. If there are more bearers, then use the Spare categories and overwrite these.</t>
  </si>
  <si>
    <t>Total Costs</t>
  </si>
  <si>
    <t>COSTS (without Inflation and Discount rate)</t>
  </si>
  <si>
    <t>SD</t>
  </si>
  <si>
    <t>Confidence coefficient</t>
  </si>
  <si>
    <t>Margin of error</t>
  </si>
  <si>
    <t>Supplies 1</t>
  </si>
  <si>
    <t>Optimism bias correction (%)</t>
  </si>
  <si>
    <t>Instruction:</t>
  </si>
  <si>
    <t xml:space="preserve">1. Please define an appropriate optimism bias correction percentage (from 0 to 100%) for each item based on the confidence grade. </t>
  </si>
  <si>
    <t>Evaluator provides cost data on each identified item and calculates the overall expenditure.</t>
  </si>
  <si>
    <t>2. For those bearers included, use the Yes flag, which will allow the drop downs, bearer split calculations and cashability calculations to work</t>
  </si>
  <si>
    <t xml:space="preserve">Intervention-related staffing expenses </t>
  </si>
  <si>
    <t>Plant and equipment</t>
  </si>
  <si>
    <t xml:space="preserve">Supplies </t>
  </si>
  <si>
    <t xml:space="preserve">Services </t>
  </si>
  <si>
    <t xml:space="preserve">Intervention-related staffing  expenses </t>
  </si>
  <si>
    <t>Supplies (intervention-related)</t>
  </si>
  <si>
    <t>Services (intervention-related)</t>
  </si>
  <si>
    <t>Offence category</t>
  </si>
  <si>
    <t>Defensive Expenditure</t>
  </si>
  <si>
    <t>Insurance Administration</t>
  </si>
  <si>
    <t>Homicide</t>
  </si>
  <si>
    <t>Sexual offences</t>
  </si>
  <si>
    <t>Robbery</t>
  </si>
  <si>
    <t>Theft</t>
  </si>
  <si>
    <t>Costs as a consequence of crime (£)</t>
  </si>
  <si>
    <t>Costs in response to crime (£)</t>
  </si>
  <si>
    <t>Bias correction (%)</t>
  </si>
  <si>
    <t>Who receives the benefit?</t>
  </si>
  <si>
    <t>Other benefit 1</t>
  </si>
  <si>
    <t>Other benefit 2</t>
  </si>
  <si>
    <t>Other benefit 3</t>
  </si>
  <si>
    <t>Other benefit 4</t>
  </si>
  <si>
    <t>Other benefit 5</t>
  </si>
  <si>
    <t>Other benefit 6</t>
  </si>
  <si>
    <t>Other benefit 7</t>
  </si>
  <si>
    <t>Other benefit 8</t>
  </si>
  <si>
    <t>Other benefit 9</t>
  </si>
  <si>
    <t>Other benefit 10</t>
  </si>
  <si>
    <t>Type of offence avoided</t>
  </si>
  <si>
    <t>Gained unit of measurement in Year 1</t>
  </si>
  <si>
    <t>Gained unit of measurement in Year 2</t>
  </si>
  <si>
    <t>Gained unit of measurement in Year 3</t>
  </si>
  <si>
    <t>Gained unit of measurement in Year 4</t>
  </si>
  <si>
    <t>Gained unit of measurement in Year 5</t>
  </si>
  <si>
    <t>Gained unit of measurement in Year 6</t>
  </si>
  <si>
    <t>Gained unit of measurement in Year 7</t>
  </si>
  <si>
    <t>Gained unit of measurement in Year 8</t>
  </si>
  <si>
    <t>Gained unit of measurement in Year 9</t>
  </si>
  <si>
    <t>Gained unit of measurement in Year 10</t>
  </si>
  <si>
    <t>Gained unit of measurement in Year 11</t>
  </si>
  <si>
    <t>Gained unit of measurement in Year 12</t>
  </si>
  <si>
    <t>Gained unit of measurement in Year 13</t>
  </si>
  <si>
    <t>Gained unit of measurement in Year 14</t>
  </si>
  <si>
    <t>Gained unit of measurement in Year 15</t>
  </si>
  <si>
    <t>Gained unit of measurement in Year 16</t>
  </si>
  <si>
    <t>Gained unit of measurement in Year 17</t>
  </si>
  <si>
    <t>Gained unit of measurement in Year 18</t>
  </si>
  <si>
    <t>Gained unit of measurement in Year 19</t>
  </si>
  <si>
    <t>Gained unit of measurement in Year 20</t>
  </si>
  <si>
    <t>Gained unit of measurement in Year 21</t>
  </si>
  <si>
    <t>Gained unit of measurement in Year 22</t>
  </si>
  <si>
    <t>Gained unit of measurement in Year 23</t>
  </si>
  <si>
    <t>Gained unit of measurement in Year 24</t>
  </si>
  <si>
    <t>Gained unit of measurement in Year 25</t>
  </si>
  <si>
    <t>Total savings and benefits:</t>
  </si>
  <si>
    <t>Sum of all benefits:</t>
  </si>
  <si>
    <t>Sum of all savings (Violence against the person+Sexual offences+Common assault+Robbery+Burglary in a dwelling+Theft+Criminal damage):</t>
  </si>
  <si>
    <t>Total no. of offences avoided</t>
  </si>
  <si>
    <t>Sum of all no. of offences avoided</t>
  </si>
  <si>
    <t>Cost-effectiveness ratio</t>
  </si>
  <si>
    <t>Is this particular type of offence going to be included in the benefit analysis?</t>
  </si>
  <si>
    <t>Effectiveness section</t>
  </si>
  <si>
    <t>Year</t>
  </si>
  <si>
    <t>No. of offences avoided in Year 1</t>
  </si>
  <si>
    <t>No. of offences avoided in Year 2</t>
  </si>
  <si>
    <t>No. of offences avoided in Year 3</t>
  </si>
  <si>
    <t>No. of offences avoided in Year 4</t>
  </si>
  <si>
    <t>No. of offences avoided in Year 5</t>
  </si>
  <si>
    <t>No. of offences avoided in Year 6</t>
  </si>
  <si>
    <t>No. of offences avoided in Year 7</t>
  </si>
  <si>
    <t>No. of offences avoided in Year 8</t>
  </si>
  <si>
    <t>No. of offences avoided in Year 9</t>
  </si>
  <si>
    <t>No. of offences avoided in Year 10</t>
  </si>
  <si>
    <t>No. of offences avoided in Year 11</t>
  </si>
  <si>
    <t>No. of offences avoided in Year 12</t>
  </si>
  <si>
    <t>No. of offences avoided in Year 13</t>
  </si>
  <si>
    <t>No. of offences avoided in Year 14</t>
  </si>
  <si>
    <t>No. of offences avoided in Year 15</t>
  </si>
  <si>
    <t>No. of offences avoided in Year 16</t>
  </si>
  <si>
    <t>No. of offences avoided in Year 17</t>
  </si>
  <si>
    <t>No. of offences avoided in Year 18</t>
  </si>
  <si>
    <t>No. of offences avoided in Year 19</t>
  </si>
  <si>
    <t>No. of offences avoided in Year 20</t>
  </si>
  <si>
    <t>No. of offences avoided in Year 21</t>
  </si>
  <si>
    <t>No. of offences avoided in Year 22</t>
  </si>
  <si>
    <t>No. of offences avoided in Year 23</t>
  </si>
  <si>
    <t>No. of offences avoided in Year 24</t>
  </si>
  <si>
    <t>No. of offences avoided in Year 25</t>
  </si>
  <si>
    <t>Annual total no. of offences avoided</t>
  </si>
  <si>
    <t>Benefit section</t>
  </si>
  <si>
    <t>Costs in anticipation of crime (£)</t>
  </si>
  <si>
    <r>
      <rPr>
        <b/>
        <sz val="12"/>
        <rFont val="Roboto"/>
        <family val="2"/>
        <scheme val="minor"/>
      </rPr>
      <t>Note:</t>
    </r>
    <r>
      <rPr>
        <sz val="12"/>
        <rFont val="Roboto"/>
        <family val="2"/>
        <scheme val="minor"/>
      </rPr>
      <t xml:space="preserve"> The costs of intervention are rarely met by one individual or organization.  Bearers are those people or organization on whom the total (known) costs of intervention fall.</t>
    </r>
  </si>
  <si>
    <t>Defensive Expenditure (DE)</t>
  </si>
  <si>
    <t>Who bears the costs (DE)?</t>
  </si>
  <si>
    <t>Insurance Administration (IA)</t>
  </si>
  <si>
    <t>Who bears the costs (IA)?</t>
  </si>
  <si>
    <t>Victim Services (VS)</t>
  </si>
  <si>
    <t>Lost Output (LO)</t>
  </si>
  <si>
    <t>Health Services (HS)</t>
  </si>
  <si>
    <t>Savings and Benefits (without Inflation and Discount rate)</t>
  </si>
  <si>
    <t>Savings and Benefits (with Inflation and Discount rate)</t>
  </si>
  <si>
    <t>Bearer</t>
  </si>
  <si>
    <t>Predicted benefits notes/ assumptions (optional)</t>
  </si>
  <si>
    <t>COST SECTION</t>
  </si>
  <si>
    <t>BENEFIT SECTION</t>
  </si>
  <si>
    <t>Evaluator provides background information for overall expenditure and outcome calculation, including the length of programme implementation and the number of items for each category of cost and benefit.</t>
  </si>
  <si>
    <t>Savings of avoided crimes</t>
  </si>
  <si>
    <t>Overall savings and benefits</t>
  </si>
  <si>
    <t>Benefits with economics</t>
  </si>
  <si>
    <t>Savings and benefits to bearers</t>
  </si>
  <si>
    <t>Cost-effectiveness</t>
  </si>
  <si>
    <t>Cost-benefit</t>
  </si>
  <si>
    <t xml:space="preserve">Other benefits of the intervention (e.g. decrease in the fear of crime, enhancement in people' quality of life/well-being, improvement of the physical environment, facilitation in business activity) </t>
  </si>
  <si>
    <t xml:space="preserve">Other positive outcomes of the intervention (e.g. decrease in the fear of crime, enhancement in people' quality of life/well-being, improvement of the physical environment, facilitation in business activity) </t>
  </si>
  <si>
    <t>Other outcome 2</t>
  </si>
  <si>
    <t>Other outcome 3</t>
  </si>
  <si>
    <t>Other outcome 4</t>
  </si>
  <si>
    <t>Other outcome 5</t>
  </si>
  <si>
    <t>Other outcome 6</t>
  </si>
  <si>
    <t>Other outcome 7</t>
  </si>
  <si>
    <t>Other outcome 8</t>
  </si>
  <si>
    <t>Other outcome 9</t>
  </si>
  <si>
    <t>Other outcome 10</t>
  </si>
  <si>
    <t>Total no. of units</t>
  </si>
  <si>
    <t>Annual total no. of units</t>
  </si>
  <si>
    <t>Sum of all no. of units for other outcome</t>
  </si>
  <si>
    <t>Burglary not in dwelling</t>
  </si>
  <si>
    <t>Theft from a shop</t>
  </si>
  <si>
    <t>Theft of commercial vehicle</t>
  </si>
  <si>
    <t>Theft from commercial vehicle</t>
  </si>
  <si>
    <t>Robbery or till snatch</t>
  </si>
  <si>
    <t>Criminal damage (public/commercial)</t>
  </si>
  <si>
    <t>TOTAL COMMERCIAL/ PUBLIC SECTOR</t>
  </si>
  <si>
    <t>Traffic and motering/ other non-notifiable offences</t>
  </si>
  <si>
    <t>Drug offences</t>
  </si>
  <si>
    <t>Other indictablenon motoring offences</t>
  </si>
  <si>
    <t>Indictable motoring offences</t>
  </si>
  <si>
    <t>Summary non-motoring offences</t>
  </si>
  <si>
    <t>Summary motoring offences</t>
  </si>
  <si>
    <t>TOTAL TRAFFIC/ MOTORING/ OTHER</t>
  </si>
  <si>
    <t>Commercial and public sector victimisation</t>
  </si>
  <si>
    <t>Drug offences (e.g. driving under the influence of drugs)</t>
  </si>
  <si>
    <t>Alcohol offences (e.g. driving under the influence of alcohol)</t>
  </si>
  <si>
    <t>Alcohol offences</t>
  </si>
  <si>
    <t>Fraud</t>
  </si>
  <si>
    <t>TOTAL INDIVIDUAL AND HOUSEHOLD</t>
  </si>
  <si>
    <t>TOTAL COST OF CRIME</t>
  </si>
  <si>
    <t>SUM OF ALL SAVINGS</t>
  </si>
  <si>
    <t>Illegal speed</t>
  </si>
  <si>
    <t>not estimated</t>
  </si>
  <si>
    <t>Traffic and motoring/other non-notifiable offences</t>
  </si>
  <si>
    <t xml:space="preserve">Wages for Existing Employee/Group of Employees </t>
  </si>
  <si>
    <t>Wages for Existing Employee/Group of Employees 1</t>
  </si>
  <si>
    <t>Wages for Existing Employee/Group of Employees 2</t>
  </si>
  <si>
    <t>Wages for Existing Employee/Group of Employees 3</t>
  </si>
  <si>
    <t>Wages for Existing Employee/Group of Employees 4</t>
  </si>
  <si>
    <t>Wages for Existing Employee/Group of Employees 5</t>
  </si>
  <si>
    <t>Wages for Existing Employee/Group of Employees 6</t>
  </si>
  <si>
    <t>Wages for Existing Employee/Group of Employees 7</t>
  </si>
  <si>
    <t>Wages for Existing Employee/Group of Employees 8</t>
  </si>
  <si>
    <t>Wages for Existing Employee/Group of Employees 9</t>
  </si>
  <si>
    <t>Wages for Existing Employee/Group of Employees 10</t>
  </si>
  <si>
    <t>Wages for Existing Employee/Group of Employees</t>
  </si>
  <si>
    <t>% of cost that is attributable to the program/intervention in Year 23</t>
  </si>
  <si>
    <t>% of cost that is attributable to the program/intervention in Year 24</t>
  </si>
  <si>
    <t>% of cost that is attributable to the program/intervention in Year 25</t>
  </si>
  <si>
    <t>% of cost that is attributable to the program/intervention in Year 1</t>
  </si>
  <si>
    <t>% of cost that is attributable to the program/intervention in Year 2</t>
  </si>
  <si>
    <t>% of cost that is attributable to the program/intervention in Year 3</t>
  </si>
  <si>
    <t>% of cost that is attributable to the program/intervention in Year 4</t>
  </si>
  <si>
    <t>% of cost that is attributable to the program/intervention in Year 5</t>
  </si>
  <si>
    <t>% of cost that is attributable to the program/intervention in Year 6</t>
  </si>
  <si>
    <t>% of cost that is attributable to the program/intervention in Year 7</t>
  </si>
  <si>
    <t>% of cost that is attributable to the program/intervention in Year 8</t>
  </si>
  <si>
    <t>% of cost that is attributable to the program/intervention in Year 9</t>
  </si>
  <si>
    <t>% of cost that is attributable to the program/intervention in Year 10</t>
  </si>
  <si>
    <t>% of cost that is attributable to the program/intervention in Year 11</t>
  </si>
  <si>
    <t>% of cost that is attributable to the program/intervention in Year 12</t>
  </si>
  <si>
    <t>% of cost that is attributable to the program/intervention in Year 13</t>
  </si>
  <si>
    <t>% of cost that is attributable to the program/intervention in Year 14</t>
  </si>
  <si>
    <t>% of cost that is attributable to the program/intervention in Year 15</t>
  </si>
  <si>
    <t>% of cost that is attributable to the program/intervention in Year 16</t>
  </si>
  <si>
    <t>% of cost that is attributable to the program/intervention in Year 17</t>
  </si>
  <si>
    <t>% of cost that is attributable to the program/intervention in Year 18</t>
  </si>
  <si>
    <t>% of cost that is attributable to the program/intervention in Year 19</t>
  </si>
  <si>
    <t>% of cost that is attributable to the program/intervention in Year 20</t>
  </si>
  <si>
    <t>% of cost that is attributable to the program/intervention in Year 21</t>
  </si>
  <si>
    <t>% of cost that is attributable to the program/intervention in Year 22</t>
  </si>
  <si>
    <t>Cost-benefit ratio</t>
  </si>
  <si>
    <r>
      <t>Best-case Estimate</t>
    </r>
    <r>
      <rPr>
        <sz val="12"/>
        <rFont val="Roboto"/>
        <family val="2"/>
        <scheme val="minor"/>
      </rPr>
      <t xml:space="preserve"> (1-margin of error)</t>
    </r>
  </si>
  <si>
    <r>
      <t>Worst-case Estimate</t>
    </r>
    <r>
      <rPr>
        <sz val="12"/>
        <rFont val="Roboto"/>
        <family val="2"/>
        <scheme val="minor"/>
      </rPr>
      <t xml:space="preserve"> (1+ Margin of error)</t>
    </r>
  </si>
  <si>
    <t>Other staffing expenses (not directly intervention related)</t>
  </si>
  <si>
    <t>Total % (sum should be 100%)</t>
  </si>
  <si>
    <t>Other indictable non-motoring offences</t>
  </si>
  <si>
    <t>3. Please input the defined optimism bias correction percentage for each item in the "Costs" page.</t>
  </si>
  <si>
    <t>Adjusted costs (including optimism bias correction) without inflation and discount rates</t>
  </si>
  <si>
    <t>CONTENTS</t>
  </si>
  <si>
    <t>PROPOSITION SUMMARY</t>
  </si>
  <si>
    <t>HOME OFFICE DATA</t>
  </si>
  <si>
    <t>CONFIDENCE GRADE DEFINITIONS - OPTIMISM BIAS CORRECTION</t>
  </si>
  <si>
    <t>ECONOMIC ASSUMPTIONS</t>
  </si>
  <si>
    <t>BEARER LIST</t>
  </si>
  <si>
    <t>ATTRIBUTABLE FRACTION</t>
  </si>
  <si>
    <t>COSTS WITH ECONOMICS</t>
  </si>
  <si>
    <t>COSTS TO BEARERS</t>
  </si>
  <si>
    <t>SAVINGS OF AVOIDED CRIMES</t>
  </si>
  <si>
    <t>OVERALL SAVINGS AND BENEFITS</t>
  </si>
  <si>
    <t>COST-EFFECTIVENESS</t>
  </si>
  <si>
    <t>COST-BENEFIT</t>
  </si>
  <si>
    <t>BENEFITS WITH ECONOMICS</t>
  </si>
  <si>
    <t>SAVINGS AND BENEFITS TO BEARERS</t>
  </si>
  <si>
    <t>Calculation and record of overall expenditure of one or more intervention programmes</t>
  </si>
  <si>
    <t>Calculation of financial benefit of a programme</t>
  </si>
  <si>
    <t>CJS</t>
  </si>
  <si>
    <t>Who is the recipient (VPS)?</t>
  </si>
  <si>
    <t>Who is the recipient (VS)?</t>
  </si>
  <si>
    <t>Who is the recipient (LO)?</t>
  </si>
  <si>
    <t>Who is the recipient (HS)?</t>
  </si>
  <si>
    <t>The formula for calculating this is:</t>
  </si>
  <si>
    <t>Where:</t>
  </si>
  <si>
    <t>n = the number of years in the future for which you want to calculate the rate (in your example this is 5).</t>
  </si>
  <si>
    <t>The Cabinet Office and the HM Treasury’s "The Green Book" (2003), recommends a UK public service discount rate of 3.5%. For example, a payment of £100 at the middle of year 5 has a present value at the middle of  the resent year of: £84.2</t>
  </si>
  <si>
    <t>r =  the yearly discount rate (eg, 3.5%, or 0.035)</t>
  </si>
  <si>
    <t>Example</t>
  </si>
  <si>
    <t>Dn = The discount rate in year "n".  This rate has to be multiplied by the amount concerned.</t>
  </si>
  <si>
    <t xml:space="preserve">A payment of £100 which is to be made in 5 years time has a present value of: </t>
  </si>
  <si>
    <t>1/((1+0.035)^5) = 1/1.188 = 0.842 = 84.2% of it's present value</t>
  </si>
  <si>
    <r>
      <rPr>
        <b/>
        <sz val="12"/>
        <rFont val="Roboto"/>
        <family val="2"/>
        <scheme val="minor"/>
      </rPr>
      <t>Attributable fraction</t>
    </r>
    <r>
      <rPr>
        <sz val="12"/>
        <rFont val="Roboto"/>
        <family val="2"/>
        <scheme val="minor"/>
      </rPr>
      <t xml:space="preserve"> is the percentage of time, or proportion of resources, utilised with respect to the program or intervention of concern. For example, a police officer may only spend 20% of his/her time to the intervention. The remaining 80% represents his/her time on other activities. The attributable fraction, in this case, is 20%.</t>
    </r>
  </si>
  <si>
    <t>Shows the benefits for each bearer/recipient, including the benefit of each year of intervention, total benefits of the intervention programme and the average annual benefits.</t>
  </si>
  <si>
    <t>Shows the benefits with and without inflation and discount rate of each year.</t>
  </si>
  <si>
    <t>Shows the cost-benefit outcomes, including the cost-benefit ratio.</t>
  </si>
  <si>
    <t>Shows cost-effectiveness outcomes including the cost-effectiveness ratio.</t>
  </si>
  <si>
    <t>Evaluators should consider inflation and discounting when conducting any form of economic analysis. Inflation is an increase in the overall level of prices in the economy. We use the term inflation to mean the percentage change in the price level from the previous period. Discounting is used to adjust costs for their time value. In other words, discounting is the conversion of a future amount of money to its present value. A discount rate is the rate at which any given entity can expect to earn on their money invested. For example, it may reflect the interest for a customer for keeping the money in a bank or returns from other investments. The calculation of present value uses an interest rate (sometimes referred to as a discount rate) to discount future costs relative to current ones. Users do not need to correct future values of goods, the tool automatically adjusts the costs for inflation.</t>
  </si>
  <si>
    <t>Traffic and motoring/ other non-notifiable offences (Home Office Research Study 217 (2000))</t>
  </si>
  <si>
    <t>Other indictable on motoring offences</t>
  </si>
  <si>
    <t>Traffic and motoring/ other non-notifiable offences</t>
  </si>
  <si>
    <t>Other indictable non- motoring offences</t>
  </si>
  <si>
    <t>Shows the total costs after the implementation of a programme, including both best and worst scenarios, and compares costs of the intervention programme with the status quo.</t>
  </si>
  <si>
    <t>Shows the costs with and without inflation and discount rate for each year.</t>
  </si>
  <si>
    <t>Shows the costs for each bearer, including the costs for each year of intervention, total costs of the intervention programme and the average annual costs.</t>
  </si>
  <si>
    <t>Evaluator provides cost data of each selected crime type. This is disaggregated into a number of different sources of cost.</t>
  </si>
  <si>
    <t>Evaluator provides information (e.g. impact on family school engagement, child wellbeing outcomes) for the calculation of the overall savings and financial benefit.</t>
  </si>
  <si>
    <t>Light grey</t>
  </si>
  <si>
    <t>Other offences</t>
  </si>
  <si>
    <t>Other offences (not captured above)</t>
  </si>
  <si>
    <t>Number of additional offences to be included</t>
  </si>
  <si>
    <t>Other offence 1</t>
  </si>
  <si>
    <t>Other offence 2</t>
  </si>
  <si>
    <t>Other offence 3</t>
  </si>
  <si>
    <t>Other offence 4</t>
  </si>
  <si>
    <t>Other offence 5</t>
  </si>
  <si>
    <t>Other offence 6</t>
  </si>
  <si>
    <t>Other offence 7</t>
  </si>
  <si>
    <t>Other offence 8</t>
  </si>
  <si>
    <t>Other offence 9</t>
  </si>
  <si>
    <t>Other offence 10</t>
  </si>
  <si>
    <t>TOTAL OTHER OFFENCES</t>
  </si>
  <si>
    <t>Other offences (not included above)</t>
  </si>
  <si>
    <t>Exchange rate againt Pound Sterling</t>
  </si>
  <si>
    <t>GDP Def</t>
  </si>
  <si>
    <t>Growth</t>
  </si>
  <si>
    <t>Current cost</t>
  </si>
  <si>
    <t>Violence with Injury</t>
  </si>
  <si>
    <t>Violence without Injury</t>
  </si>
  <si>
    <t>Rape</t>
  </si>
  <si>
    <t>Other sexual offences</t>
  </si>
  <si>
    <t>Domestic burglary</t>
  </si>
  <si>
    <t>Theft of Vehicle</t>
  </si>
  <si>
    <t>Theft from Vehicle</t>
  </si>
  <si>
    <t>Theft from Person</t>
  </si>
  <si>
    <t>Criminal damage – arson</t>
  </si>
  <si>
    <t>Criminal damage – other</t>
  </si>
  <si>
    <t>Cybercrime</t>
  </si>
  <si>
    <t>Individual</t>
  </si>
  <si>
    <t>TOTAL INDIVIDUAL</t>
  </si>
  <si>
    <t>Commercial robbery</t>
  </si>
  <si>
    <t>Commercial burglary</t>
  </si>
  <si>
    <t>Commercial theft</t>
  </si>
  <si>
    <t>Commercial criminal damage - arson</t>
  </si>
  <si>
    <t>Commercial criminal damage - other</t>
  </si>
  <si>
    <t>TOTAL COMMERCIAL</t>
  </si>
  <si>
    <t>Individual (Home Office Online Report 99 (2018))</t>
  </si>
  <si>
    <t>Value of Property Stolen/ Damaged (VPS)</t>
  </si>
  <si>
    <t>Commercial (Home Office Online Report 99 (2018))</t>
  </si>
  <si>
    <t>Physical and Emotional Harm (PEH)</t>
  </si>
  <si>
    <t>Police costs (PC)</t>
  </si>
  <si>
    <t>Other CJS costs (OCJ)</t>
  </si>
  <si>
    <t>Crime type</t>
  </si>
  <si>
    <t>Crimes</t>
  </si>
  <si>
    <t xml:space="preserve">Commercial </t>
  </si>
  <si>
    <t>Who is the recipient (PEH)?</t>
  </si>
  <si>
    <t>Who is the recipient (PC)?</t>
  </si>
  <si>
    <t>Who is the recipient (OCJ)?</t>
  </si>
  <si>
    <t>TOTAL INDIVIDUAl</t>
  </si>
  <si>
    <t>Individual (Home Office Online Report 99 (2018)) - 2015-16 Pounds</t>
  </si>
  <si>
    <t>Commercial (Home Office Online Report 99 (2018)) - 2015-16 Pounds</t>
  </si>
  <si>
    <t>Year for current price (e.g. year of valuation)</t>
  </si>
  <si>
    <t>Costs as a consequence of crime</t>
  </si>
  <si>
    <t>Costs in anticipation of crime</t>
  </si>
  <si>
    <t>Costs in response to crime</t>
  </si>
  <si>
    <t>Total Cost (not including the costs in anticipation of crime)</t>
  </si>
  <si>
    <t>Total Cost (including the costs in anticipation of crime)</t>
  </si>
  <si>
    <t>AUD ($)</t>
  </si>
  <si>
    <t>USD ($)</t>
  </si>
  <si>
    <t>EUR (€)</t>
  </si>
  <si>
    <t>RMB (¥)</t>
  </si>
  <si>
    <t>HKD ($)</t>
  </si>
  <si>
    <t>GBP (£)</t>
  </si>
  <si>
    <t>CAD ($)</t>
  </si>
  <si>
    <t>CHF (Fr.)</t>
  </si>
  <si>
    <t>Currency used in this project</t>
  </si>
  <si>
    <t>Adjusted costs of crime data (by exchange rate)</t>
  </si>
  <si>
    <t>The aim of this page is to collect cost data from each selected crime type. There are three cost categories with 9 sub-categories. This categorisation is based on the Home Office Online Report 99 (2018).</t>
  </si>
  <si>
    <t xml:space="preserve">Light grey refers to tabs that should not be edited. Doing so will potentially jeapotize the functioning of the tool. </t>
  </si>
  <si>
    <r>
      <rPr>
        <b/>
        <sz val="10"/>
        <rFont val="Roboto"/>
        <family val="2"/>
        <scheme val="minor"/>
      </rPr>
      <t xml:space="preserve">
Note:</t>
    </r>
    <r>
      <rPr>
        <sz val="10"/>
        <rFont val="Roboto"/>
        <family val="2"/>
        <scheme val="minor"/>
      </rPr>
      <t xml:space="preserve"> The confidence grade is only for guidance. Users should list any assumptions or bias correction choices made.</t>
    </r>
  </si>
  <si>
    <r>
      <t xml:space="preserve">2. Please always select a </t>
    </r>
    <r>
      <rPr>
        <b/>
        <sz val="12"/>
        <rFont val="Roboto"/>
        <family val="2"/>
        <scheme val="minor"/>
      </rPr>
      <t>higher percentage</t>
    </r>
    <r>
      <rPr>
        <sz val="12"/>
        <rFont val="Roboto"/>
        <family val="2"/>
        <scheme val="minor"/>
      </rPr>
      <t xml:space="preserve"> for more conservative estimation of item costs when the data source and the age of data do not match for the same confidence grade. 
</t>
    </r>
    <r>
      <rPr>
        <b/>
        <sz val="12"/>
        <rFont val="Roboto"/>
        <family val="2"/>
        <scheme val="minor"/>
      </rPr>
      <t>Example 1:</t>
    </r>
    <r>
      <rPr>
        <sz val="12"/>
        <rFont val="Roboto"/>
        <family val="2"/>
        <scheme val="minor"/>
      </rPr>
      <t xml:space="preserve"> Formal service delivery contract costs that are 2-3 years old should be defined as Grade 3 in the confidence grade-the item cost should be subjected to a 10% optimism bias correction.
</t>
    </r>
    <r>
      <rPr>
        <b/>
        <sz val="12"/>
        <rFont val="Roboto"/>
        <family val="2"/>
        <scheme val="minor"/>
      </rPr>
      <t>Example 2:</t>
    </r>
    <r>
      <rPr>
        <sz val="12"/>
        <rFont val="Roboto"/>
        <family val="2"/>
        <scheme val="minor"/>
      </rPr>
      <t xml:space="preserve"> Independently audited cost data that is more than 5 years old should be defined as Grade 6 in the confidence grade-the item cost should be subjected to a 40% optimism bias correction. </t>
    </r>
  </si>
  <si>
    <t>Source</t>
  </si>
  <si>
    <t>https://www.gov.uk/government/statistics/gdp-deflators-at-market-prices-and-money-gdp-march-2022-quarterly-national-accounts</t>
  </si>
  <si>
    <t>GDP deflator (%)</t>
  </si>
  <si>
    <t>Control group</t>
  </si>
  <si>
    <t>Rate</t>
  </si>
  <si>
    <t>Risk</t>
  </si>
  <si>
    <t>Treatment effect</t>
  </si>
  <si>
    <t>SMD</t>
  </si>
  <si>
    <t>lnOR</t>
  </si>
  <si>
    <t>Cochrane Formula</t>
  </si>
  <si>
    <t>OR</t>
  </si>
  <si>
    <t>Values</t>
  </si>
  <si>
    <t>Soure</t>
  </si>
  <si>
    <t>Input</t>
  </si>
  <si>
    <t>Theme</t>
  </si>
  <si>
    <t>Strang 2013</t>
  </si>
  <si>
    <t>Government reoffending data</t>
  </si>
  <si>
    <t>Index offence</t>
  </si>
  <si>
    <t>Reoffence</t>
  </si>
  <si>
    <t>Adults</t>
  </si>
  <si>
    <t>Violence against the person</t>
  </si>
  <si>
    <t>Sexual</t>
  </si>
  <si>
    <t>Criminal damage and arson</t>
  </si>
  <si>
    <t>Drug</t>
  </si>
  <si>
    <t>Miscellaneous crimes against society</t>
  </si>
  <si>
    <t>Other</t>
  </si>
  <si>
    <t>Juvenile</t>
  </si>
  <si>
    <t>Table B4:  https://www.gov.uk/government/statistics/proven-reoffending-statistics-january-to-march-2020</t>
  </si>
  <si>
    <t xml:space="preserve">Reoffending input data </t>
  </si>
  <si>
    <t>na</t>
  </si>
  <si>
    <t>Total_number_of_offenders</t>
  </si>
  <si>
    <t>All_offenders</t>
  </si>
  <si>
    <t>Violence_against_the_person</t>
  </si>
  <si>
    <t>Criminal_damage_and_arson</t>
  </si>
  <si>
    <t>Possession_of_weapons</t>
  </si>
  <si>
    <t>Public_order</t>
  </si>
  <si>
    <t>Miscellaneous_crimes_against_society</t>
  </si>
  <si>
    <t>Summary_non-motoring</t>
  </si>
  <si>
    <t>Summary_motoring</t>
  </si>
  <si>
    <t>Total_reoffences</t>
  </si>
  <si>
    <t>No_of_reoffences</t>
  </si>
  <si>
    <t>vlookup</t>
  </si>
  <si>
    <t>Control</t>
  </si>
  <si>
    <t>Notes</t>
  </si>
  <si>
    <t>Multiplier 1</t>
  </si>
  <si>
    <t>Table 4: Total number of crimes committed, PRCs and resultant multipliers, https://assets.publishing.service.gov.uk/government/uploads/system/uploads/attachment_data/file/732110/the-economic-and-social-costs-of-crime-horr99.pdf</t>
  </si>
  <si>
    <t>Multiplier_1</t>
  </si>
  <si>
    <t>Possession of weapons offences</t>
  </si>
  <si>
    <t>Theft offences</t>
  </si>
  <si>
    <t>Fraud offences to 2012/13</t>
  </si>
  <si>
    <t>Public order offences</t>
  </si>
  <si>
    <t>Charged/Summonsed</t>
  </si>
  <si>
    <t>Evidential difficulties (suspect identified; victim supports action)</t>
  </si>
  <si>
    <t>Violence_with_injury</t>
  </si>
  <si>
    <t>Violence_without_injury</t>
  </si>
  <si>
    <t>Other_sexual_offences</t>
  </si>
  <si>
    <t>Domestic_Burglary</t>
  </si>
  <si>
    <t>Theft_of_vehicle</t>
  </si>
  <si>
    <t>Theft_from_vehicle</t>
  </si>
  <si>
    <t>Theft_from_person</t>
  </si>
  <si>
    <t>Criminal_damage_arson</t>
  </si>
  <si>
    <t>Criminal_damage_other</t>
  </si>
  <si>
    <t>Commercial_robbery</t>
  </si>
  <si>
    <t>Commercial_burglary</t>
  </si>
  <si>
    <t>Commercial_theft</t>
  </si>
  <si>
    <t>*</t>
  </si>
  <si>
    <t>Table Q1.3 - “Proven Offenders” in the criminal justice system, https://www.gov.uk/government/statistics/criminal-justice-system-statistics-quarterly-march-2021</t>
  </si>
  <si>
    <t>Multiplier 2</t>
  </si>
  <si>
    <t>Crime type mapping</t>
  </si>
  <si>
    <t>Baseline reoffending rate</t>
  </si>
  <si>
    <t>Cyber crime</t>
  </si>
  <si>
    <t>Theft_of_commercial vehicle</t>
  </si>
  <si>
    <t>Theft_from_commercial_vehicle</t>
  </si>
  <si>
    <t>Commercial_criminal_damage–arson</t>
  </si>
  <si>
    <t>Commercial_criminal_damage–other</t>
  </si>
  <si>
    <t>Sexual_offences</t>
  </si>
  <si>
    <t>Drug_offences</t>
  </si>
  <si>
    <t>Possession_of_weapons_offences</t>
  </si>
  <si>
    <t>Public_order_offences</t>
  </si>
  <si>
    <t>-</t>
  </si>
  <si>
    <t>Cyber Crime</t>
  </si>
  <si>
    <t>Theft_Offences</t>
  </si>
  <si>
    <t>Criminal_damage_and_Arson</t>
  </si>
  <si>
    <t>Indictable_offences</t>
  </si>
  <si>
    <t>Summary_motoring offences</t>
  </si>
  <si>
    <t>Summary_Offences</t>
  </si>
  <si>
    <t>Outcomes</t>
  </si>
  <si>
    <t>Combined</t>
  </si>
  <si>
    <t>Reoffending</t>
  </si>
  <si>
    <t>%Adult</t>
  </si>
  <si>
    <t>Total reoffences</t>
  </si>
  <si>
    <t>Combined reoffending rate, dissagregated</t>
  </si>
  <si>
    <t>HealthSystem</t>
  </si>
  <si>
    <t xml:space="preserve">Economic and social costs of crime </t>
  </si>
  <si>
    <t>Total_Crime</t>
  </si>
  <si>
    <t>Police_reported_Crime</t>
  </si>
  <si>
    <t>Final table</t>
  </si>
  <si>
    <t>Multiplier_2</t>
  </si>
  <si>
    <t>Theft_of_commercial_vehicle</t>
  </si>
  <si>
    <t>Investigation complete - no suspect identified</t>
  </si>
  <si>
    <t>Action undertaken by another body/agency</t>
  </si>
  <si>
    <t>End of page</t>
  </si>
  <si>
    <t>Year 1</t>
  </si>
  <si>
    <t>Year 2</t>
  </si>
  <si>
    <t>Year 3</t>
  </si>
  <si>
    <t xml:space="preserve">Pathway input data </t>
  </si>
  <si>
    <t>Stage</t>
  </si>
  <si>
    <t>Referral</t>
  </si>
  <si>
    <t>Assessment</t>
  </si>
  <si>
    <t>Direct_RJ</t>
  </si>
  <si>
    <t>Probability</t>
  </si>
  <si>
    <t>Pathway</t>
  </si>
  <si>
    <t>Cases</t>
  </si>
  <si>
    <t>Indirect_RJ</t>
  </si>
  <si>
    <t>Attrition</t>
  </si>
  <si>
    <t>Resources</t>
  </si>
  <si>
    <t>Facilitator_hours</t>
  </si>
  <si>
    <t>Manager_hours</t>
  </si>
  <si>
    <t>Police_hours</t>
  </si>
  <si>
    <t>Facilitator</t>
  </si>
  <si>
    <t>Facilitator_wage</t>
  </si>
  <si>
    <t>Manager_wage</t>
  </si>
  <si>
    <t>Full economic cost, 2017 cost year</t>
  </si>
  <si>
    <t>Police_PC_hourly_cost</t>
  </si>
  <si>
    <t>Page 34, https://www.npcc.police.uk/documents/finance/2018/Charging%20for%20Police%20Services_July_2018.pdf</t>
  </si>
  <si>
    <t>Police_Sgt_hourly_cost</t>
  </si>
  <si>
    <t>Probation_officer_hourly_cost</t>
  </si>
  <si>
    <t>Manager</t>
  </si>
  <si>
    <t>Police</t>
  </si>
  <si>
    <t>Probation</t>
  </si>
  <si>
    <t>2012 costs</t>
  </si>
  <si>
    <t>Page 65, https://www.pssru.ac.uk/pub/dp2855.pdf</t>
  </si>
  <si>
    <t>Interventions</t>
  </si>
  <si>
    <t>Effectiveness of Indirect vs direct</t>
  </si>
  <si>
    <t>Value used</t>
  </si>
  <si>
    <t>Base case</t>
  </si>
  <si>
    <t>All</t>
  </si>
  <si>
    <t xml:space="preserve">Age </t>
  </si>
  <si>
    <t>Strang 2013, https://restorativejustice.org.uk/sites/default/files/resources/files/Campbell%20RJ%20review.pdf</t>
  </si>
  <si>
    <t>Reoffefending_rates</t>
  </si>
  <si>
    <t>Assumed</t>
  </si>
  <si>
    <t>Adult</t>
  </si>
  <si>
    <t>Effectiveness</t>
  </si>
  <si>
    <t>Population</t>
  </si>
  <si>
    <t xml:space="preserve">RJ benefits input data </t>
  </si>
  <si>
    <t>https://assets.publishing.service.gov.uk/government/uploads/system/uploads/attachment_data/file/954485/the-economic-and-social-costs-of-crime-horr99.pdf</t>
  </si>
  <si>
    <t>Victim_crime_impact</t>
  </si>
  <si>
    <t>RJ_victim_effect</t>
  </si>
  <si>
    <t xml:space="preserve">Assumed 0 be default, but can vary </t>
  </si>
  <si>
    <t>Offence type</t>
  </si>
  <si>
    <t>Commercial_Robbery</t>
  </si>
  <si>
    <t>Conviction_ratio</t>
  </si>
  <si>
    <t>Taken_into_consideration</t>
  </si>
  <si>
    <t>Out-of-court(formal)</t>
  </si>
  <si>
    <t>Out-of-court(informal)</t>
  </si>
  <si>
    <t>Not_yet_assigned_an_outcome</t>
  </si>
  <si>
    <t>Direct benefit</t>
  </si>
  <si>
    <t>Proportion of referrals for each index offence type</t>
  </si>
  <si>
    <t>Effectiveness of indirect Restorative Justice, as a fraction of the effectiveness of direct Restorative Justice</t>
  </si>
  <si>
    <t>Total</t>
  </si>
  <si>
    <t>Proportion</t>
  </si>
  <si>
    <t>Assumed that the total benefit is experienced in the second year</t>
  </si>
  <si>
    <t>Victim</t>
  </si>
  <si>
    <t>TOTAL DIRECT BENEFITS</t>
  </si>
  <si>
    <t>Direct benefits for victims</t>
  </si>
  <si>
    <t>Economic Evaluation of Restorative Justice</t>
  </si>
  <si>
    <t>Why me?</t>
  </si>
  <si>
    <r>
      <rPr>
        <b/>
        <sz val="12"/>
        <color theme="1"/>
        <rFont val="Roboto"/>
        <family val="2"/>
        <scheme val="minor"/>
      </rPr>
      <t xml:space="preserve">Date: </t>
    </r>
    <r>
      <rPr>
        <sz val="12"/>
        <color theme="1"/>
        <rFont val="Roboto"/>
        <family val="2"/>
        <scheme val="minor"/>
      </rPr>
      <t>2022</t>
    </r>
  </si>
  <si>
    <t>Economic evaluation of Restorative Justice</t>
  </si>
  <si>
    <t>Police Force Area 2, data in technical report</t>
  </si>
  <si>
    <t>Offence_mix_base</t>
  </si>
  <si>
    <t>Year 4</t>
  </si>
  <si>
    <t>Year 5</t>
  </si>
  <si>
    <t>https://assets.publishing.service.gov.uk/government/uploads/system/uploads/attachment_data/file/732110/the-economic-and-social-costs-of-crime-horr99.pdf</t>
  </si>
  <si>
    <t>Sources</t>
  </si>
  <si>
    <t>Manager_time_%</t>
  </si>
  <si>
    <t>Probation_hours</t>
  </si>
  <si>
    <t>Prison_hours</t>
  </si>
  <si>
    <t>Prison</t>
  </si>
  <si>
    <t>Treatment effect_Strang</t>
  </si>
  <si>
    <t>Treatment effect_Shapland</t>
  </si>
  <si>
    <t>Standardised mean difference</t>
  </si>
  <si>
    <t>Shapland 4th report, https://restorativejustice.org.uk/sites/default/files/resources/files/Does%20restorative%20justice%20affect%20reconviction.pdf</t>
  </si>
  <si>
    <t>Odds ratio</t>
  </si>
  <si>
    <t>Default</t>
  </si>
  <si>
    <t>User defined</t>
  </si>
  <si>
    <t>Live</t>
  </si>
  <si>
    <t>Total offenders</t>
  </si>
  <si>
    <t>Total reoffending (apportioned)</t>
  </si>
  <si>
    <t>Total reoffending (Group)</t>
  </si>
  <si>
    <t>Check</t>
  </si>
  <si>
    <t>Total_offences</t>
  </si>
  <si>
    <t>Reoffending (apportioned)</t>
  </si>
  <si>
    <t>Cohort size</t>
  </si>
  <si>
    <t>Number of referrals</t>
  </si>
  <si>
    <t>Proportion of victim harm that is mitigated by completing a restorative justice intervention</t>
  </si>
  <si>
    <r>
      <rPr>
        <b/>
        <sz val="12"/>
        <rFont val="Roboto"/>
        <family val="2"/>
        <scheme val="minor"/>
      </rPr>
      <t>Tab colours</t>
    </r>
    <r>
      <rPr>
        <sz val="12"/>
        <rFont val="Roboto"/>
        <family val="2"/>
        <scheme val="minor"/>
      </rPr>
      <t xml:space="preserve">. There are three (3) tab colours.  
</t>
    </r>
  </si>
  <si>
    <r>
      <t xml:space="preserve">How many other positive outcomes/benefits are going to be included in the analysis? </t>
    </r>
    <r>
      <rPr>
        <sz val="12"/>
        <rFont val="Roboto"/>
        <family val="2"/>
        <scheme val="minor"/>
      </rPr>
      <t>Examples include decrease in the fear of crime, enhancement in people's quality of life/well-being, improvement of the physical environment, facilitation in business activity</t>
    </r>
  </si>
  <si>
    <r>
      <rPr>
        <b/>
        <i/>
        <u/>
        <sz val="12"/>
        <rFont val="Roboto"/>
        <family val="2"/>
        <scheme val="minor"/>
      </rPr>
      <t>The base rate for the cost of avoided crime is in Pound Sterling (as estimated by the Home Office U.K.)</t>
    </r>
    <r>
      <rPr>
        <i/>
        <sz val="12"/>
        <rFont val="Roboto"/>
        <family val="2"/>
        <scheme val="minor"/>
      </rPr>
      <t>. To convert to another currency (e.g. AUD, USD) an exchange rate must be specified in this cell. For example, to convert Pound Sterling to AUD based on the daily exchange rate (e.g. 1.833 on 11th September 2018), you simply type 1.833 into Cell B77. This will then convert all figures from the Home office data to AUD. Thus, results will be in AUD. If you are using the GBP as the currency in this project, enter the number 1 into Cell B77.</t>
    </r>
  </si>
  <si>
    <r>
      <rPr>
        <b/>
        <sz val="12"/>
        <rFont val="Roboto"/>
        <scheme val="major"/>
      </rPr>
      <t>Margin of error</t>
    </r>
    <r>
      <rPr>
        <sz val="12"/>
        <rFont val="Roboto"/>
        <scheme val="major"/>
      </rPr>
      <t>: This costing tool includes the traditional method and an adaptation of the optimism bias correction method  (HM Treasury, 2014a).  The tool provides both worst-case (i.e., the intervention cost more money – 1+margin of error) and best-case (i.e., cost less money – 1-margin of error) scenarios according to an assumption of margin of error in item cost. The upper and lower bounds of the confidence interval are calculated by adding and subtracting the margin of error from the mean, which refers to the average annual cost of an item.</t>
    </r>
  </si>
  <si>
    <r>
      <t>Best-case Estimate</t>
    </r>
    <r>
      <rPr>
        <sz val="12"/>
        <rFont val="Roboto"/>
        <scheme val="major"/>
      </rPr>
      <t xml:space="preserve"> (1-margin of error)</t>
    </r>
  </si>
  <si>
    <r>
      <t>Worst-case Estimate</t>
    </r>
    <r>
      <rPr>
        <sz val="12"/>
        <rFont val="Roboto"/>
        <scheme val="major"/>
      </rPr>
      <t xml:space="preserve"> (1+ Margin of error)</t>
    </r>
  </si>
  <si>
    <r>
      <t xml:space="preserve">Comparison of costs before (i.e the </t>
    </r>
    <r>
      <rPr>
        <b/>
        <i/>
        <sz val="14"/>
        <rFont val="Roboto"/>
        <scheme val="major"/>
      </rPr>
      <t xml:space="preserve">status quo </t>
    </r>
    <r>
      <rPr>
        <b/>
        <sz val="14"/>
        <rFont val="Roboto"/>
        <scheme val="major"/>
      </rPr>
      <t>or costs in the absence of the intervention) and after the intervention.</t>
    </r>
  </si>
  <si>
    <r>
      <t>Offenc_not_known</t>
    </r>
    <r>
      <rPr>
        <b/>
        <vertAlign val="superscript"/>
        <sz val="10"/>
        <rFont val="Roboto"/>
        <scheme val="major"/>
      </rPr>
      <t>(12)</t>
    </r>
  </si>
  <si>
    <r>
      <t xml:space="preserve">Table 2.2: Outcomes assigned to crimes recorded in year to December 2021, by outcome group and offence group (excl. Greater Manchester Police)10, </t>
    </r>
    <r>
      <rPr>
        <b/>
        <sz val="12"/>
        <rFont val="Roboto"/>
        <scheme val="major"/>
      </rPr>
      <t>https://www.gov.uk/government/statistics/crime-outcomes-in-england-and-wales-2020-to-2021</t>
    </r>
  </si>
  <si>
    <r>
      <t>Prosecution prevented or not in the public interest</t>
    </r>
    <r>
      <rPr>
        <b/>
        <vertAlign val="superscript"/>
        <sz val="8"/>
        <rFont val="Roboto"/>
        <scheme val="major"/>
      </rPr>
      <t>5</t>
    </r>
  </si>
  <si>
    <r>
      <t>Evidential difficulties (victim does not support action)</t>
    </r>
    <r>
      <rPr>
        <b/>
        <vertAlign val="superscript"/>
        <sz val="8"/>
        <rFont val="Roboto"/>
        <scheme val="major"/>
      </rPr>
      <t>6</t>
    </r>
  </si>
  <si>
    <r>
      <t>Further investigation to support formal action not in the public interest</t>
    </r>
    <r>
      <rPr>
        <b/>
        <vertAlign val="superscript"/>
        <sz val="8"/>
        <rFont val="Roboto"/>
        <scheme val="major"/>
      </rPr>
      <t>7</t>
    </r>
  </si>
  <si>
    <r>
      <t>Diversionary, educational or intervention activity, resulting from the crime report, has been undertaken and it is not in the public interest to take any further action</t>
    </r>
    <r>
      <rPr>
        <b/>
        <vertAlign val="superscript"/>
        <sz val="8"/>
        <rFont val="Roboto"/>
        <scheme val="major"/>
      </rPr>
      <t>7</t>
    </r>
  </si>
  <si>
    <r>
      <t>*</t>
    </r>
    <r>
      <rPr>
        <b/>
        <sz val="14"/>
        <rFont val="Roboto"/>
        <scheme val="major"/>
      </rPr>
      <t>Instruction</t>
    </r>
    <r>
      <rPr>
        <sz val="14"/>
        <rFont val="Roboto"/>
        <scheme val="major"/>
      </rPr>
      <t xml:space="preserve">. Please provide the number of units of positive outcome produced in each year resulting from the intervention. </t>
    </r>
  </si>
  <si>
    <r>
      <t>This section multiplies the no. of offences avoided/no. of units of benefit produced in each year by the associated cost of each offence/financial benefit (other benefit 1-10). 
*</t>
    </r>
    <r>
      <rPr>
        <b/>
        <sz val="14"/>
        <rFont val="Roboto"/>
        <scheme val="major"/>
      </rPr>
      <t>Instruction</t>
    </r>
    <r>
      <rPr>
        <sz val="14"/>
        <rFont val="Roboto"/>
        <scheme val="major"/>
      </rPr>
      <t xml:space="preserve">. You are asked to: (1) provide the benefits produced in financial terms; (b) assign a beneficiary; and (c) provide a percentage for bias correction of the benefit (please refer to the "Confidence Grade - Costs" for more information) for each identified benefit (Other benefit 1-10). </t>
    </r>
  </si>
  <si>
    <r>
      <t>*</t>
    </r>
    <r>
      <rPr>
        <b/>
        <sz val="14"/>
        <rFont val="Roboto"/>
        <scheme val="major"/>
      </rPr>
      <t>Instruction</t>
    </r>
    <r>
      <rPr>
        <sz val="14"/>
        <rFont val="Roboto"/>
        <scheme val="major"/>
      </rPr>
      <t>. Please provide the number of offences avoided in each year for each offence type. A positive (+ve) value represents the number of crimes avoided, while a negative (-ve) value represents the number of crimes increased.</t>
    </r>
  </si>
  <si>
    <r>
      <rPr>
        <u/>
        <sz val="14"/>
        <rFont val="Roboto"/>
        <scheme val="major"/>
      </rPr>
      <t xml:space="preserve">Please note: </t>
    </r>
    <r>
      <rPr>
        <sz val="14"/>
        <rFont val="Roboto"/>
        <scheme val="major"/>
      </rPr>
      <t>Costs/savings/benefits to bearer should add up to the total costs/savings/benefits. If it does not add up to the total value, please go to previous tabs and confirm that all items have been assigned to a bearer.</t>
    </r>
  </si>
  <si>
    <t>RJ victim benefit</t>
  </si>
  <si>
    <t>Offence Type</t>
  </si>
  <si>
    <t>Offence subtype</t>
  </si>
  <si>
    <t>Calculated</t>
  </si>
  <si>
    <t>%</t>
  </si>
  <si>
    <t>Offece subtype</t>
  </si>
  <si>
    <t>Note that direct benefits of homicide for victims are not modelled as estimates are not available for the impact of homicide on secondary victims</t>
  </si>
  <si>
    <t>Average age</t>
  </si>
  <si>
    <t>Age</t>
  </si>
  <si>
    <t>Base reoffending rate</t>
  </si>
  <si>
    <t>Offending</t>
  </si>
  <si>
    <t>Changes in official offending with age</t>
  </si>
  <si>
    <t>No. males at risk</t>
  </si>
  <si>
    <t>No. of first offenders</t>
  </si>
  <si>
    <t>No. of offenders</t>
  </si>
  <si>
    <t>No. of offences</t>
  </si>
  <si>
    <t>Offending (5 year average)</t>
  </si>
  <si>
    <t>Ratio (5 year average)</t>
  </si>
  <si>
    <t>Y1</t>
  </si>
  <si>
    <t>Y2</t>
  </si>
  <si>
    <t>Y3</t>
  </si>
  <si>
    <t>Y4</t>
  </si>
  <si>
    <t>Y5</t>
  </si>
  <si>
    <t xml:space="preserve">https://www.gov.uk/national-minimum-wage-rates
https://www.accountingservicesforbusiness.co.uk/calculators1/true-cost-of-an-employee
</t>
  </si>
  <si>
    <t>https://www.pssru.ac.uk/pub/dp2855.pdf</t>
  </si>
  <si>
    <t>Base case (2021 costs)</t>
  </si>
  <si>
    <t>Base case (raw costs)</t>
  </si>
  <si>
    <t>n/a</t>
  </si>
  <si>
    <t>GDP deflator (%) (cumulative)</t>
  </si>
  <si>
    <t>A check against Shapland Figure 2.6 is to the right</t>
  </si>
  <si>
    <t>Reoffending rate</t>
  </si>
  <si>
    <t>Log(reoffending rate)</t>
  </si>
  <si>
    <t>Treatment</t>
  </si>
  <si>
    <t>Reduction</t>
  </si>
  <si>
    <t>Length of impact on reoffending</t>
  </si>
  <si>
    <t>Years</t>
  </si>
  <si>
    <t xml:space="preserve">Shapland 4th report </t>
  </si>
  <si>
    <t>Intergers from 1 to 4</t>
  </si>
  <si>
    <t>The Development of Offending from Age 8 to Age 50: Recent Results from the Cambridge Study in Delinquent Development, Farrington 2009</t>
  </si>
  <si>
    <t>*Manning, M., Wong, T.W.G., Tilley, N., &amp; Johnson, S. (2019). Manning Cost-Benefit Tool. Canberra: The Australian National University. 
https://www.college.police.uk/research/practical-evaluation-tools</t>
  </si>
  <si>
    <t xml:space="preserve">Light Green referes to content that requires the user to input data. </t>
  </si>
  <si>
    <t>Light green</t>
  </si>
  <si>
    <t>Dark green refers to tabs where output is presented.</t>
  </si>
  <si>
    <t>Dark green</t>
  </si>
  <si>
    <t>Modify any of the text in light green cells (B3 &amp; B4) to update the model</t>
  </si>
  <si>
    <t>Instruction: The light green boxes in the costs of implementation column are where you enter cost data for each identified item. For a detailed example refer to Ch 7 of "A Guide to Economic Analysis and Efficiency".                                                                                 Note: The percentage cost, for each cost item, on each year should sum to 100% over the life of the project. If the total is less than 100% the cell will be highlighted in red. 
Where the best case estimate is a negative number, the best-case estimate assigned to 0, since negative cost is meaningless.
Optimism bias correction: The optimism bias correction method used here allows adjustment of cost according to the various degrees of confidence in each piece of data. Please refer to the tab "Confidence Grade".</t>
  </si>
  <si>
    <t>INSTRUCTIONS. You can decide whether you would like to use the Home Office estimates (which appear in a drop-down) or type in your own estimate for the respective cost for a given offence. You can then assign a bearer to the cost; and provide a percentage for bias correction of the cost (please refer to the "Confidence Grade - Costs" for more information) for each cost sub-category.  For a single offence type the costs have been broken down into a number of categories to allow for flexibility (eg, "Defensive Expenditure", "Physical and Emotional Impact on Victims", etc).  Note, you can only input data into the light green cells. The “-” symbol indicates that the Home Office estimated the cost to be zero. When the cost was not estimated by the Home Office, the cell is specified with “not estimated” – the user has the option to input their own estimate.</t>
  </si>
  <si>
    <t>Total reoffences (reapportioned)</t>
  </si>
  <si>
    <t>Reapportionment</t>
  </si>
  <si>
    <t>Intervention</t>
  </si>
  <si>
    <t>Attrition through the RJ pathway</t>
  </si>
  <si>
    <t>% of interventions that are direct</t>
  </si>
  <si>
    <t>% of referrals that lead to an assessment</t>
  </si>
  <si>
    <t>% of assessments that lead to an intervention</t>
  </si>
  <si>
    <t>Police Force Area 2</t>
  </si>
  <si>
    <t>Treatment effect_Strang_upper</t>
  </si>
  <si>
    <t>Treatment effect_Strang_lower</t>
  </si>
  <si>
    <t>SE = 0.052</t>
  </si>
  <si>
    <t>Treatment_effect_Strang_supplement</t>
  </si>
  <si>
    <t xml:space="preserve">Calculated using: Table 2.2: Outcomes assigned to crimes recorded in year to December 2021, by outcome group and offence group (excl. Greater Manchester Police)10, https://www.gov.uk/government/statistics/crime-outcomes-in-england-and-wales-2020-to-2021 and Table 4: Total number of crimes committed, PRCs and resultant multipliers, https://assets.publishing.service.gov.uk/government/uploads/system/uploads/attachment_data/file/732110/the-economic-and-social-costs-of-crime-horr99.pdf </t>
  </si>
  <si>
    <t>Relative risk</t>
  </si>
  <si>
    <t>Relative risk (5 year moving average, anchored)</t>
  </si>
  <si>
    <t>Inflated</t>
  </si>
  <si>
    <t>Raw</t>
  </si>
  <si>
    <t>Analysis</t>
  </si>
  <si>
    <t>Lower CI</t>
  </si>
  <si>
    <t>Result</t>
  </si>
  <si>
    <t>Upper CI</t>
  </si>
  <si>
    <r>
      <t>Inclusion of direct benefits for victims (20%)</t>
    </r>
    <r>
      <rPr>
        <sz val="8"/>
        <color theme="1"/>
        <rFont val="Arial"/>
        <family val="2"/>
      </rPr>
      <t> </t>
    </r>
  </si>
  <si>
    <r>
      <t>Rate of attrition (+/-10%)</t>
    </r>
    <r>
      <rPr>
        <sz val="8"/>
        <color theme="1"/>
        <rFont val="Arial"/>
        <family val="2"/>
      </rPr>
      <t> </t>
    </r>
  </si>
  <si>
    <t>No cost for the assessment stage (assume that it includes a restorative conversation, which displaces victims support)</t>
  </si>
  <si>
    <t>Reoffending rate (+/- 10%)</t>
  </si>
  <si>
    <r>
      <t>Cost of reoffending (+/-10</t>
    </r>
    <r>
      <rPr>
        <sz val="8"/>
        <color theme="1"/>
        <rFont val="Arial"/>
        <family val="2"/>
      </rPr>
      <t> </t>
    </r>
    <r>
      <rPr>
        <sz val="11"/>
        <color rgb="FF000000"/>
        <rFont val="Arial"/>
        <family val="2"/>
      </rPr>
      <t>%)</t>
    </r>
  </si>
  <si>
    <t>Treatment_effect_Strang_supplement_upper</t>
  </si>
  <si>
    <t>Treatment_effect_Strang_supplement_lower</t>
  </si>
  <si>
    <t>Cost of delivering RJ total (+100%)</t>
  </si>
  <si>
    <t>Treatment effect (CI) (SMD: -0.141; -0.245)</t>
  </si>
  <si>
    <t/>
  </si>
  <si>
    <t>Expert opinion</t>
  </si>
  <si>
    <t>Offence Group</t>
  </si>
  <si>
    <t>Percentage</t>
  </si>
  <si>
    <t>Cost per activity</t>
  </si>
  <si>
    <t>Total cost</t>
  </si>
  <si>
    <t>SUM OF ALL BENEFITS</t>
  </si>
  <si>
    <r>
      <t>Inclusion of benefits for indirect RJ (RR 0.37 vs direct RJ)</t>
    </r>
    <r>
      <rPr>
        <sz val="8"/>
        <color theme="1"/>
        <rFont val="Arial"/>
        <family val="2"/>
      </rPr>
      <t>  </t>
    </r>
  </si>
  <si>
    <t>2 years</t>
  </si>
  <si>
    <t>3 years</t>
  </si>
  <si>
    <t>4 years</t>
  </si>
  <si>
    <t>Multiplier 2 (+/-50%)</t>
  </si>
  <si>
    <t>Costs of delivering a direct RJ intervention (+/- 50%)</t>
  </si>
  <si>
    <t>37% used as a scenario</t>
  </si>
  <si>
    <t>Cost of the RJ pathway (+/-50%)</t>
  </si>
  <si>
    <r>
      <rPr>
        <b/>
        <sz val="12"/>
        <color theme="1"/>
        <rFont val="Roboto"/>
      </rPr>
      <t xml:space="preserve">Created by: </t>
    </r>
    <r>
      <rPr>
        <sz val="12"/>
        <color theme="1"/>
        <rFont val="Roboto"/>
      </rPr>
      <t>Frank Grimsey Jones, info@why-me.org</t>
    </r>
  </si>
  <si>
    <t>Cost-effectiveness ratio based on cost per avoided crime (GBP (£))</t>
  </si>
  <si>
    <t>No.</t>
  </si>
  <si>
    <r>
      <rPr>
        <b/>
        <sz val="12"/>
        <color theme="1"/>
        <rFont val="Roboto"/>
      </rPr>
      <t xml:space="preserve">Funded by: </t>
    </r>
    <r>
      <rPr>
        <sz val="12"/>
        <color theme="1"/>
        <rFont val="Roboto"/>
      </rPr>
      <t>Halley Stewart Foundation, Rank Foundation</t>
    </r>
  </si>
  <si>
    <t>This model comprises an economic evaluation of Restorative Justice interventions for victims of crime and offenders, compared with the conventional justice system. It was adapted from the Manning Cost-Benefit Tool Version 5.7 (30 July2019)*. Further information on the methodology and results can be found in the report, available on the Why me? website.</t>
  </si>
  <si>
    <t>Effectiveness of indirect vs direct</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</si>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</sst>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8" formatCode="&quot;£&quot;#,##0.00;[Red]\-&quot;£&quot;#,##0.00"/>
    <numFmt numFmtId="44" formatCode="_-&quot;£&quot;* #,##0.00_-;\-&quot;£&quot;* #,##0.00_-;_-&quot;£&quot;* &quot;-&quot;??_-;_-@_-"/>
    <numFmt numFmtId="43" formatCode="_-* #,##0.00_-;\-* #,##0.00_-;_-* &quot;-&quot;??_-;_-@_-"/>
    <numFmt numFmtId="164" formatCode="_(* #,##0.00_);_(* \(#,##0.00\);_(* &quot;-&quot;??_);_(@_)"/>
    <numFmt numFmtId="165" formatCode="_-&quot;$&quot;* #,##0.00_-;\-&quot;$&quot;* #,##0.00_-;_-&quot;$&quot;* &quot;-&quot;??_-;_-@_-"/>
    <numFmt numFmtId="166" formatCode="_-&quot;£&quot;* #,##0_-;\-&quot;£&quot;* #,##0_-;_-&quot;£&quot;* &quot;-&quot;??_-;_-@_-"/>
    <numFmt numFmtId="167" formatCode="[$£-809]#,##0"/>
    <numFmt numFmtId="168" formatCode="_-[$£-809]* #,##0.00_-;\-[$£-809]* #,##0.00_-;_-[$£-809]* &quot;-&quot;??_-;_-@_-"/>
    <numFmt numFmtId="169" formatCode="_-[$£-809]* #,##0_-;\-[$£-809]* #,##0_-;_-[$£-809]* &quot;-&quot;??_-;_-@_-"/>
    <numFmt numFmtId="170" formatCode="0.000"/>
    <numFmt numFmtId="171" formatCode="0.0%"/>
    <numFmt numFmtId="172" formatCode="&quot;£&quot;#,##0.00"/>
    <numFmt numFmtId="173" formatCode="&quot;£&quot;#,##0"/>
    <numFmt numFmtId="174" formatCode="0.0"/>
    <numFmt numFmtId="175" formatCode="0.0000"/>
  </numFmts>
  <fonts count="107">
    <font>
      <sz val="12"/>
      <color theme="1"/>
      <name val="Roboto"/>
      <family val="2"/>
      <scheme val="minor"/>
    </font>
    <font>
      <sz val="11"/>
      <color theme="1"/>
      <name val="Roboto"/>
      <family val="2"/>
      <scheme val="minor"/>
    </font>
    <font>
      <sz val="12"/>
      <color theme="1"/>
      <name val="Roboto"/>
      <family val="2"/>
      <scheme val="minor"/>
    </font>
    <font>
      <sz val="10"/>
      <name val="Arial"/>
      <family val="2"/>
    </font>
    <font>
      <b/>
      <sz val="10"/>
      <name val="Arial"/>
      <family val="2"/>
    </font>
    <font>
      <u/>
      <sz val="12"/>
      <color theme="10"/>
      <name val="Roboto"/>
      <family val="2"/>
      <scheme val="minor"/>
    </font>
    <font>
      <u/>
      <sz val="12"/>
      <color theme="11"/>
      <name val="Roboto"/>
      <family val="2"/>
      <scheme val="minor"/>
    </font>
    <font>
      <b/>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Verdana"/>
      <family val="2"/>
    </font>
    <font>
      <sz val="11"/>
      <color indexed="8"/>
      <name val="Arial"/>
      <family val="2"/>
    </font>
    <font>
      <sz val="10"/>
      <color theme="1"/>
      <name val="Arial"/>
      <family val="2"/>
    </font>
    <font>
      <b/>
      <sz val="11"/>
      <color indexed="63"/>
      <name val="Calibri"/>
      <family val="2"/>
    </font>
    <font>
      <sz val="10"/>
      <color indexed="8"/>
      <name val="Arial"/>
      <family val="2"/>
    </font>
    <font>
      <b/>
      <sz val="18"/>
      <color indexed="56"/>
      <name val="Cambria"/>
      <family val="2"/>
    </font>
    <font>
      <b/>
      <sz val="11"/>
      <color indexed="8"/>
      <name val="Calibri"/>
      <family val="2"/>
    </font>
    <font>
      <sz val="11"/>
      <color indexed="10"/>
      <name val="Calibri"/>
      <family val="2"/>
    </font>
    <font>
      <sz val="12"/>
      <name val="Roboto"/>
      <family val="2"/>
      <scheme val="minor"/>
    </font>
    <font>
      <sz val="10"/>
      <color rgb="FF9C6500"/>
      <name val="Arial"/>
      <family val="2"/>
    </font>
    <font>
      <b/>
      <sz val="10"/>
      <color rgb="FFFA7D00"/>
      <name val="Arial"/>
      <family val="2"/>
    </font>
    <font>
      <b/>
      <sz val="12"/>
      <color theme="1"/>
      <name val="Roboto"/>
      <family val="2"/>
      <scheme val="minor"/>
    </font>
    <font>
      <b/>
      <sz val="14"/>
      <name val="Roboto"/>
      <family val="2"/>
      <scheme val="minor"/>
    </font>
    <font>
      <sz val="10"/>
      <name val="Roboto"/>
      <family val="2"/>
      <scheme val="minor"/>
    </font>
    <font>
      <sz val="14"/>
      <name val="Roboto"/>
      <family val="2"/>
      <scheme val="minor"/>
    </font>
    <font>
      <b/>
      <sz val="10"/>
      <name val="Roboto"/>
      <family val="2"/>
      <scheme val="minor"/>
    </font>
    <font>
      <b/>
      <sz val="12"/>
      <name val="Roboto"/>
      <family val="2"/>
      <scheme val="minor"/>
    </font>
    <font>
      <i/>
      <sz val="12"/>
      <name val="Roboto"/>
      <family val="2"/>
      <scheme val="minor"/>
    </font>
    <font>
      <i/>
      <sz val="12"/>
      <color rgb="FFFF0000"/>
      <name val="Roboto"/>
      <family val="2"/>
      <scheme val="minor"/>
    </font>
    <font>
      <sz val="16"/>
      <name val="Times New Roman"/>
      <family val="1"/>
    </font>
    <font>
      <sz val="9"/>
      <name val="Roboto"/>
      <family val="3"/>
      <charset val="136"/>
      <scheme val="minor"/>
    </font>
    <font>
      <sz val="11"/>
      <name val="Roboto"/>
      <family val="2"/>
      <scheme val="minor"/>
    </font>
    <font>
      <b/>
      <u/>
      <sz val="14"/>
      <name val="Roboto"/>
      <family val="2"/>
      <scheme val="minor"/>
    </font>
    <font>
      <b/>
      <sz val="14"/>
      <color rgb="FF000000"/>
      <name val="Lucida Grande"/>
    </font>
    <font>
      <sz val="10"/>
      <color rgb="FF000000"/>
      <name val="Arial"/>
      <family val="2"/>
    </font>
    <font>
      <sz val="8"/>
      <name val="Roboto"/>
      <family val="2"/>
      <scheme val="minor"/>
    </font>
    <font>
      <sz val="12"/>
      <color theme="1"/>
      <name val="Roboto"/>
    </font>
    <font>
      <b/>
      <sz val="12"/>
      <color theme="1"/>
      <name val="Roboto"/>
    </font>
    <font>
      <u/>
      <sz val="28"/>
      <color rgb="FF286165"/>
      <name val="Roboto"/>
    </font>
    <font>
      <u/>
      <sz val="12"/>
      <color theme="1"/>
      <name val="Roboto"/>
      <family val="2"/>
      <scheme val="minor"/>
    </font>
    <font>
      <u/>
      <sz val="24"/>
      <color rgb="FF286165"/>
      <name val="Roboto"/>
    </font>
    <font>
      <b/>
      <i/>
      <sz val="12"/>
      <name val="Roboto"/>
      <family val="2"/>
      <scheme val="minor"/>
    </font>
    <font>
      <sz val="12"/>
      <name val="Times New Roman"/>
      <family val="1"/>
    </font>
    <font>
      <b/>
      <sz val="11"/>
      <name val="Roboto"/>
      <family val="2"/>
      <scheme val="minor"/>
    </font>
    <font>
      <b/>
      <sz val="12"/>
      <name val="Times New Roman"/>
      <family val="1"/>
    </font>
    <font>
      <b/>
      <sz val="14"/>
      <name val="Roboto"/>
      <scheme val="minor"/>
    </font>
    <font>
      <sz val="16"/>
      <name val="Roboto"/>
      <scheme val="major"/>
    </font>
    <font>
      <sz val="12"/>
      <name val="Roboto"/>
      <scheme val="minor"/>
    </font>
    <font>
      <sz val="18"/>
      <name val="Roboto"/>
      <scheme val="minor"/>
    </font>
    <font>
      <b/>
      <sz val="12"/>
      <name val="Roboto"/>
      <scheme val="minor"/>
    </font>
    <font>
      <b/>
      <sz val="12"/>
      <name val="Calibri"/>
      <family val="2"/>
    </font>
    <font>
      <i/>
      <sz val="11"/>
      <name val="Roboto"/>
      <family val="2"/>
      <scheme val="minor"/>
    </font>
    <font>
      <b/>
      <i/>
      <u/>
      <sz val="12"/>
      <name val="Roboto"/>
      <family val="2"/>
      <scheme val="minor"/>
    </font>
    <font>
      <b/>
      <i/>
      <sz val="12"/>
      <name val="Roboto"/>
      <scheme val="major"/>
    </font>
    <font>
      <b/>
      <sz val="12"/>
      <name val="Roboto"/>
      <scheme val="major"/>
    </font>
    <font>
      <sz val="12"/>
      <name val="Roboto"/>
      <scheme val="major"/>
    </font>
    <font>
      <b/>
      <sz val="16"/>
      <name val="Roboto"/>
      <scheme val="major"/>
    </font>
    <font>
      <sz val="14"/>
      <name val="Roboto"/>
      <scheme val="major"/>
    </font>
    <font>
      <sz val="12"/>
      <name val="Roboto"/>
      <family val="2"/>
      <scheme val="major"/>
    </font>
    <font>
      <b/>
      <i/>
      <sz val="12"/>
      <name val="Roboto"/>
      <family val="2"/>
      <scheme val="major"/>
    </font>
    <font>
      <b/>
      <sz val="12"/>
      <name val="Roboto"/>
      <family val="2"/>
      <scheme val="major"/>
    </font>
    <font>
      <sz val="10"/>
      <name val="Roboto"/>
      <scheme val="major"/>
    </font>
    <font>
      <b/>
      <u/>
      <sz val="12"/>
      <name val="Roboto"/>
      <scheme val="major"/>
    </font>
    <font>
      <u/>
      <sz val="12"/>
      <name val="Roboto"/>
      <scheme val="major"/>
    </font>
    <font>
      <sz val="18"/>
      <name val="Roboto"/>
      <family val="2"/>
      <scheme val="minor"/>
    </font>
    <font>
      <b/>
      <u/>
      <sz val="18"/>
      <name val="Roboto"/>
      <family val="2"/>
      <scheme val="major"/>
    </font>
    <font>
      <b/>
      <i/>
      <sz val="18"/>
      <name val="Roboto"/>
      <family val="2"/>
      <scheme val="major"/>
    </font>
    <font>
      <sz val="18"/>
      <name val="Roboto"/>
      <family val="2"/>
      <scheme val="major"/>
    </font>
    <font>
      <b/>
      <sz val="14"/>
      <name val="Roboto"/>
      <scheme val="major"/>
    </font>
    <font>
      <b/>
      <i/>
      <sz val="10"/>
      <name val="Roboto"/>
      <scheme val="major"/>
    </font>
    <font>
      <b/>
      <u/>
      <sz val="12"/>
      <name val="Roboto"/>
      <family val="2"/>
      <scheme val="major"/>
    </font>
    <font>
      <sz val="18"/>
      <name val="Roboto"/>
      <scheme val="major"/>
    </font>
    <font>
      <i/>
      <sz val="12"/>
      <name val="Roboto"/>
      <scheme val="major"/>
    </font>
    <font>
      <sz val="20"/>
      <name val="Roboto"/>
      <scheme val="major"/>
    </font>
    <font>
      <b/>
      <i/>
      <sz val="14"/>
      <name val="Roboto"/>
      <scheme val="major"/>
    </font>
    <font>
      <b/>
      <vertAlign val="superscript"/>
      <sz val="10"/>
      <name val="Roboto"/>
      <scheme val="major"/>
    </font>
    <font>
      <b/>
      <vertAlign val="superscript"/>
      <sz val="8"/>
      <name val="Roboto"/>
      <scheme val="major"/>
    </font>
    <font>
      <b/>
      <sz val="20"/>
      <name val="Roboto"/>
      <scheme val="major"/>
    </font>
    <font>
      <b/>
      <i/>
      <sz val="20"/>
      <name val="Roboto"/>
      <scheme val="major"/>
    </font>
    <font>
      <b/>
      <i/>
      <u/>
      <sz val="24"/>
      <name val="Roboto"/>
      <scheme val="major"/>
    </font>
    <font>
      <u/>
      <sz val="14"/>
      <name val="Roboto"/>
      <scheme val="major"/>
    </font>
    <font>
      <b/>
      <i/>
      <sz val="16"/>
      <name val="Roboto"/>
      <scheme val="major"/>
    </font>
    <font>
      <b/>
      <i/>
      <u/>
      <sz val="12"/>
      <name val="Roboto"/>
      <scheme val="major"/>
    </font>
    <font>
      <sz val="12"/>
      <color rgb="FFFFC000"/>
      <name val="Roboto"/>
      <family val="2"/>
      <scheme val="major"/>
    </font>
    <font>
      <sz val="12"/>
      <color rgb="FFFFC000"/>
      <name val="Roboto"/>
      <scheme val="major"/>
    </font>
    <font>
      <sz val="11"/>
      <color rgb="FF000000"/>
      <name val="Arial"/>
      <family val="2"/>
    </font>
    <font>
      <sz val="12"/>
      <color theme="8" tint="-0.249977111117893"/>
      <name val="Roboto"/>
      <scheme val="major"/>
    </font>
    <font>
      <b/>
      <sz val="16"/>
      <color rgb="FF286165"/>
      <name val="Times New Roman"/>
      <family val="1"/>
    </font>
    <font>
      <sz val="12"/>
      <color rgb="FF286165"/>
      <name val="Roboto"/>
      <family val="2"/>
      <scheme val="minor"/>
    </font>
    <font>
      <b/>
      <sz val="12"/>
      <color rgb="FF286165"/>
      <name val="Times New Roman"/>
      <family val="1"/>
    </font>
    <font>
      <sz val="12"/>
      <color rgb="FF286165"/>
      <name val="Times New Roman"/>
      <family val="1"/>
    </font>
    <font>
      <b/>
      <sz val="12"/>
      <color rgb="FF286165"/>
      <name val="Roboto"/>
      <family val="2"/>
      <scheme val="minor"/>
    </font>
    <font>
      <b/>
      <u/>
      <sz val="12"/>
      <color rgb="FF286165"/>
      <name val="Times New Roman"/>
      <family val="1"/>
    </font>
    <font>
      <sz val="12"/>
      <color theme="3"/>
      <name val="Roboto"/>
      <scheme val="major"/>
    </font>
    <font>
      <sz val="8"/>
      <color theme="1"/>
      <name val="Arial"/>
      <family val="2"/>
    </font>
    <font>
      <i/>
      <sz val="9"/>
      <color theme="1"/>
      <name val="Roboto"/>
    </font>
  </fonts>
  <fills count="62">
    <fill>
      <patternFill patternType="none"/>
    </fill>
    <fill>
      <patternFill patternType="gray125"/>
    </fill>
    <fill>
      <patternFill patternType="solid">
        <fgColor indexed="51"/>
        <bgColor indexed="64"/>
      </patternFill>
    </fill>
    <fill>
      <patternFill patternType="solid">
        <fgColor indexed="13"/>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7"/>
        <bgColor indexed="64"/>
      </patternFill>
    </fill>
    <fill>
      <patternFill patternType="solid">
        <fgColor indexed="50"/>
        <bgColor indexed="64"/>
      </patternFill>
    </fill>
    <fill>
      <patternFill patternType="solid">
        <fgColor indexed="53"/>
        <bgColor indexed="64"/>
      </patternFill>
    </fill>
    <fill>
      <patternFill patternType="solid">
        <fgColor indexed="10"/>
        <bgColor indexed="64"/>
      </patternFill>
    </fill>
    <fill>
      <patternFill patternType="solid">
        <fgColor rgb="FFFFEB9C"/>
      </patternFill>
    </fill>
    <fill>
      <patternFill patternType="solid">
        <fgColor rgb="FFF2F2F2"/>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D9D9D9"/>
        <bgColor rgb="FF000000"/>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9" tint="0.39997558519241921"/>
        <bgColor theme="9"/>
      </patternFill>
    </fill>
    <fill>
      <patternFill patternType="solid">
        <fgColor rgb="FFFFC000"/>
        <bgColor theme="9"/>
      </patternFill>
    </fill>
    <fill>
      <patternFill patternType="solid">
        <fgColor theme="8" tint="0.79998168889431442"/>
        <bgColor indexed="64"/>
      </patternFill>
    </fill>
    <fill>
      <patternFill patternType="solid">
        <fgColor rgb="FFB2CCE5"/>
        <bgColor indexed="64"/>
      </patternFill>
    </fill>
    <fill>
      <patternFill patternType="solid">
        <fgColor rgb="FFE0EBF5"/>
        <bgColor indexed="64"/>
      </patternFill>
    </fill>
    <fill>
      <patternFill patternType="solid">
        <fgColor rgb="FFE6E6E6"/>
        <bgColor rgb="FF000000"/>
      </patternFill>
    </fill>
    <fill>
      <patternFill patternType="solid">
        <fgColor rgb="FFE0EBF5"/>
        <bgColor rgb="FF000000"/>
      </patternFill>
    </fill>
    <fill>
      <patternFill patternType="solid">
        <fgColor theme="0"/>
        <bgColor rgb="FF000000"/>
      </patternFill>
    </fill>
    <fill>
      <patternFill patternType="solid">
        <fgColor theme="0"/>
        <bgColor theme="9" tint="0.79998168889431442"/>
      </patternFill>
    </fill>
    <fill>
      <patternFill patternType="solid">
        <fgColor rgb="FFE6E6E6"/>
        <bgColor indexed="64"/>
      </patternFill>
    </fill>
    <fill>
      <patternFill patternType="solid">
        <fgColor rgb="FFB2CCE5"/>
        <bgColor theme="9"/>
      </patternFill>
    </fill>
    <fill>
      <patternFill patternType="solid">
        <fgColor theme="0"/>
        <bgColor theme="9"/>
      </patternFill>
    </fill>
    <fill>
      <patternFill patternType="solid">
        <fgColor theme="0" tint="-0.499984740745262"/>
        <bgColor indexed="64"/>
      </patternFill>
    </fill>
    <fill>
      <patternFill patternType="solid">
        <fgColor theme="2"/>
        <bgColor indexed="64"/>
      </patternFill>
    </fill>
    <fill>
      <patternFill patternType="solid">
        <fgColor theme="1" tint="0.39997558519241921"/>
        <bgColor rgb="FF000000"/>
      </patternFill>
    </fill>
    <fill>
      <patternFill patternType="solid">
        <fgColor theme="6"/>
        <bgColor theme="9"/>
      </patternFill>
    </fill>
    <fill>
      <patternFill patternType="solid">
        <fgColor theme="6"/>
        <bgColor indexed="64"/>
      </patternFill>
    </fill>
    <fill>
      <patternFill patternType="solid">
        <fgColor theme="6"/>
        <bgColor rgb="FF000000"/>
      </patternFill>
    </fill>
    <fill>
      <patternFill patternType="solid">
        <fgColor rgb="FF286165"/>
        <bgColor indexed="64"/>
      </patternFill>
    </fill>
  </fills>
  <borders count="154">
    <border>
      <left/>
      <right/>
      <top/>
      <bottom/>
      <diagonal/>
    </border>
    <border>
      <left style="thin">
        <color auto="1"/>
      </left>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right style="thin">
        <color auto="1"/>
      </right>
      <top/>
      <bottom/>
      <diagonal/>
    </border>
    <border>
      <left/>
      <right/>
      <top style="thin">
        <color auto="1"/>
      </top>
      <bottom style="double">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top style="double">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diagonal/>
    </border>
    <border>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double">
        <color auto="1"/>
      </bottom>
      <diagonal/>
    </border>
    <border>
      <left style="thin">
        <color theme="9" tint="0.39997558519241921"/>
      </left>
      <right/>
      <top style="medium">
        <color auto="1"/>
      </top>
      <bottom style="double">
        <color auto="1"/>
      </bottom>
      <diagonal/>
    </border>
    <border>
      <left style="thin">
        <color theme="9" tint="0.39997558519241921"/>
      </left>
      <right style="thin">
        <color theme="9" tint="0.39997558519241921"/>
      </right>
      <top style="medium">
        <color auto="1"/>
      </top>
      <bottom style="double">
        <color auto="1"/>
      </bottom>
      <diagonal/>
    </border>
    <border>
      <left style="thin">
        <color theme="9" tint="0.39997558519241921"/>
      </left>
      <right style="medium">
        <color auto="1"/>
      </right>
      <top style="medium">
        <color auto="1"/>
      </top>
      <bottom style="double">
        <color auto="1"/>
      </bottom>
      <diagonal/>
    </border>
    <border>
      <left style="medium">
        <color auto="1"/>
      </left>
      <right/>
      <top style="double">
        <color auto="1"/>
      </top>
      <bottom/>
      <diagonal/>
    </border>
    <border>
      <left/>
      <right style="medium">
        <color auto="1"/>
      </right>
      <top style="double">
        <color auto="1"/>
      </top>
      <bottom/>
      <diagonal/>
    </border>
    <border>
      <left style="thin">
        <color rgb="FF7F7F7F"/>
      </left>
      <right style="thin">
        <color rgb="FF7F7F7F"/>
      </right>
      <top style="thin">
        <color rgb="FF7F7F7F"/>
      </top>
      <bottom style="thin">
        <color rgb="FF7F7F7F"/>
      </bottom>
      <diagonal/>
    </border>
    <border>
      <left style="medium">
        <color auto="1"/>
      </left>
      <right/>
      <top style="medium">
        <color auto="1"/>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thin">
        <color auto="1"/>
      </left>
      <right/>
      <top style="thin">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thin">
        <color theme="9" tint="0.39997558519241921"/>
      </right>
      <top style="medium">
        <color auto="1"/>
      </top>
      <bottom style="double">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thin">
        <color auto="1"/>
      </left>
      <right/>
      <top/>
      <bottom style="medium">
        <color auto="1"/>
      </bottom>
      <diagonal/>
    </border>
    <border>
      <left/>
      <right/>
      <top style="medium">
        <color auto="1"/>
      </top>
      <bottom style="double">
        <color auto="1"/>
      </bottom>
      <diagonal/>
    </border>
    <border>
      <left style="medium">
        <color auto="1"/>
      </left>
      <right style="medium">
        <color auto="1"/>
      </right>
      <top style="double">
        <color auto="1"/>
      </top>
      <bottom/>
      <diagonal/>
    </border>
    <border>
      <left style="medium">
        <color auto="1"/>
      </left>
      <right style="medium">
        <color auto="1"/>
      </right>
      <top/>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double">
        <color auto="1"/>
      </top>
      <bottom/>
      <diagonal/>
    </border>
    <border>
      <left/>
      <right style="thin">
        <color auto="1"/>
      </right>
      <top/>
      <bottom style="medium">
        <color auto="1"/>
      </bottom>
      <diagonal/>
    </border>
    <border>
      <left/>
      <right style="medium">
        <color auto="1"/>
      </right>
      <top style="medium">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auto="1"/>
      </left>
      <right/>
      <top style="thin">
        <color auto="1"/>
      </top>
      <bottom/>
      <diagonal/>
    </border>
    <border>
      <left style="medium">
        <color auto="1"/>
      </left>
      <right style="thin">
        <color auto="1"/>
      </right>
      <top style="thin">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style="medium">
        <color auto="1"/>
      </top>
      <bottom style="double">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n">
        <color auto="1"/>
      </top>
      <bottom style="medium">
        <color auto="1"/>
      </bottom>
      <diagonal/>
    </border>
    <border>
      <left style="thin">
        <color theme="9" tint="0.39997558519241921"/>
      </left>
      <right style="thin">
        <color auto="1"/>
      </right>
      <top style="medium">
        <color auto="1"/>
      </top>
      <bottom style="double">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theme="9" tint="0.39997558519241921"/>
      </left>
      <right/>
      <top/>
      <bottom/>
      <diagonal/>
    </border>
    <border>
      <left/>
      <right style="medium">
        <color auto="1"/>
      </right>
      <top style="medium">
        <color auto="1"/>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right style="thin">
        <color auto="1"/>
      </right>
      <top style="medium">
        <color auto="1"/>
      </top>
      <bottom style="thin">
        <color auto="1"/>
      </bottom>
      <diagonal/>
    </border>
    <border>
      <left style="thin">
        <color auto="1"/>
      </left>
      <right style="thin">
        <color auto="1"/>
      </right>
      <top/>
      <bottom/>
      <diagonal/>
    </border>
    <border>
      <left/>
      <right/>
      <top style="thin">
        <color auto="1"/>
      </top>
      <bottom/>
      <diagonal/>
    </border>
    <border>
      <left/>
      <right style="medium">
        <color auto="1"/>
      </right>
      <top style="thin">
        <color auto="1"/>
      </top>
      <bottom/>
      <diagonal/>
    </border>
    <border>
      <left/>
      <right/>
      <top style="medium">
        <color auto="1"/>
      </top>
      <bottom style="thin">
        <color auto="1"/>
      </bottom>
      <diagonal/>
    </border>
    <border>
      <left/>
      <right style="thin">
        <color auto="1"/>
      </right>
      <top style="thin">
        <color auto="1"/>
      </top>
      <bottom/>
      <diagonal/>
    </border>
    <border>
      <left style="medium">
        <color indexed="64"/>
      </left>
      <right style="medium">
        <color indexed="64"/>
      </right>
      <top/>
      <bottom style="medium">
        <color indexed="64"/>
      </bottom>
      <diagonal/>
    </border>
    <border>
      <left style="thin">
        <color auto="1"/>
      </left>
      <right style="medium">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286165"/>
      </left>
      <right/>
      <top style="medium">
        <color rgb="FF286165"/>
      </top>
      <bottom/>
      <diagonal/>
    </border>
    <border>
      <left/>
      <right/>
      <top style="medium">
        <color rgb="FF286165"/>
      </top>
      <bottom/>
      <diagonal/>
    </border>
    <border>
      <left/>
      <right style="medium">
        <color rgb="FF286165"/>
      </right>
      <top style="medium">
        <color rgb="FF286165"/>
      </top>
      <bottom/>
      <diagonal/>
    </border>
    <border>
      <left style="medium">
        <color rgb="FF286165"/>
      </left>
      <right/>
      <top/>
      <bottom/>
      <diagonal/>
    </border>
    <border>
      <left/>
      <right style="medium">
        <color rgb="FF286165"/>
      </right>
      <top/>
      <bottom/>
      <diagonal/>
    </border>
    <border>
      <left style="medium">
        <color rgb="FF286165"/>
      </left>
      <right/>
      <top/>
      <bottom style="medium">
        <color rgb="FF286165"/>
      </bottom>
      <diagonal/>
    </border>
    <border>
      <left/>
      <right/>
      <top/>
      <bottom style="medium">
        <color rgb="FF286165"/>
      </bottom>
      <diagonal/>
    </border>
    <border>
      <left/>
      <right style="medium">
        <color rgb="FF286165"/>
      </right>
      <top/>
      <bottom style="medium">
        <color rgb="FF286165"/>
      </bottom>
      <diagonal/>
    </border>
    <border>
      <left style="thin">
        <color indexed="64"/>
      </left>
      <right style="thin">
        <color indexed="64"/>
      </right>
      <top style="thin">
        <color indexed="64"/>
      </top>
      <bottom style="thin">
        <color indexed="64"/>
      </bottom>
      <diagonal/>
    </border>
  </borders>
  <cellStyleXfs count="490">
    <xf numFmtId="0" fontId="0" fillId="0" borderId="0"/>
    <xf numFmtId="165" fontId="2" fillId="0" borderId="0" applyFont="0" applyFill="0" applyBorder="0" applyAlignment="0" applyProtection="0"/>
    <xf numFmtId="9" fontId="2"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3" fillId="0" borderId="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9" fillId="15"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2" borderId="0" applyNumberFormat="0" applyBorder="0" applyAlignment="0" applyProtection="0"/>
    <xf numFmtId="0" fontId="10" fillId="6" borderId="0" applyNumberFormat="0" applyBorder="0" applyAlignment="0" applyProtection="0"/>
    <xf numFmtId="0" fontId="11" fillId="23" borderId="9" applyNumberFormat="0" applyAlignment="0" applyProtection="0"/>
    <xf numFmtId="0" fontId="12" fillId="24" borderId="10"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0" fontId="4" fillId="0" borderId="0"/>
    <xf numFmtId="0" fontId="13" fillId="0" borderId="0" applyNumberFormat="0" applyFill="0" applyBorder="0" applyAlignment="0" applyProtection="0"/>
    <xf numFmtId="0" fontId="14" fillId="7" borderId="0" applyNumberFormat="0" applyBorder="0" applyAlignment="0" applyProtection="0"/>
    <xf numFmtId="0" fontId="15" fillId="0" borderId="11" applyNumberFormat="0" applyFill="0" applyAlignment="0" applyProtection="0"/>
    <xf numFmtId="0" fontId="16" fillId="0" borderId="12" applyNumberFormat="0" applyFill="0" applyAlignment="0" applyProtection="0"/>
    <xf numFmtId="0" fontId="17" fillId="0" borderId="13" applyNumberFormat="0" applyFill="0" applyAlignment="0" applyProtection="0"/>
    <xf numFmtId="0" fontId="17" fillId="0" borderId="0" applyNumberFormat="0" applyFill="0" applyBorder="0" applyAlignment="0" applyProtection="0"/>
    <xf numFmtId="0" fontId="4" fillId="0" borderId="0"/>
    <xf numFmtId="0" fontId="3" fillId="0" borderId="0"/>
    <xf numFmtId="0" fontId="4" fillId="0" borderId="0"/>
    <xf numFmtId="0" fontId="18" fillId="10" borderId="9" applyNumberFormat="0" applyAlignment="0" applyProtection="0"/>
    <xf numFmtId="0" fontId="19" fillId="0" borderId="14" applyNumberFormat="0" applyFill="0" applyAlignment="0" applyProtection="0"/>
    <xf numFmtId="0" fontId="20" fillId="25" borderId="0" applyNumberFormat="0" applyBorder="0" applyAlignment="0" applyProtection="0"/>
    <xf numFmtId="0" fontId="3" fillId="0" borderId="0"/>
    <xf numFmtId="0" fontId="8" fillId="0" borderId="0"/>
    <xf numFmtId="0" fontId="3" fillId="0" borderId="0"/>
    <xf numFmtId="0" fontId="8" fillId="0" borderId="0"/>
    <xf numFmtId="0" fontId="21" fillId="0" borderId="0"/>
    <xf numFmtId="0" fontId="8" fillId="0" borderId="0"/>
    <xf numFmtId="0" fontId="22" fillId="0" borderId="0"/>
    <xf numFmtId="0" fontId="3" fillId="0" borderId="0"/>
    <xf numFmtId="0" fontId="23" fillId="0" borderId="0"/>
    <xf numFmtId="0" fontId="3" fillId="26" borderId="15" applyNumberFormat="0" applyFont="0" applyAlignment="0" applyProtection="0"/>
    <xf numFmtId="0" fontId="24" fillId="23" borderId="16" applyNumberFormat="0" applyAlignment="0" applyProtection="0"/>
    <xf numFmtId="9" fontId="3"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3" fillId="0" borderId="0">
      <alignment textRotation="90"/>
    </xf>
    <xf numFmtId="0" fontId="3" fillId="0" borderId="0"/>
    <xf numFmtId="0" fontId="3" fillId="0" borderId="0"/>
    <xf numFmtId="0" fontId="3" fillId="0" borderId="0"/>
    <xf numFmtId="0" fontId="3" fillId="0" borderId="0"/>
    <xf numFmtId="0" fontId="7" fillId="0" borderId="0"/>
    <xf numFmtId="0" fontId="26" fillId="0" borderId="0" applyNumberFormat="0" applyFill="0" applyBorder="0" applyAlignment="0" applyProtection="0"/>
    <xf numFmtId="0" fontId="27" fillId="0" borderId="17" applyNumberFormat="0" applyFill="0" applyAlignment="0" applyProtection="0"/>
    <xf numFmtId="0" fontId="28" fillId="0" borderId="0" applyNumberFormat="0" applyFill="0" applyBorder="0" applyAlignment="0" applyProtection="0"/>
    <xf numFmtId="0" fontId="4" fillId="0" borderId="0"/>
    <xf numFmtId="0" fontId="3" fillId="0" borderId="0"/>
    <xf numFmtId="0" fontId="3"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30" fillId="31" borderId="0" applyNumberFormat="0" applyBorder="0" applyAlignment="0" applyProtection="0"/>
    <xf numFmtId="0" fontId="31" fillId="32" borderId="45" applyNumberFormat="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Border="0" applyProtection="0"/>
    <xf numFmtId="0" fontId="45" fillId="0" borderId="0" applyNumberFormat="0" applyFont="0" applyBorder="0" applyProtection="0"/>
  </cellStyleXfs>
  <cellXfs count="1203">
    <xf numFmtId="0" fontId="0" fillId="0" borderId="0" xfId="0"/>
    <xf numFmtId="0" fontId="3" fillId="0" borderId="0" xfId="39"/>
    <xf numFmtId="0" fontId="29" fillId="0" borderId="0" xfId="0" applyFont="1"/>
    <xf numFmtId="0" fontId="36" fillId="33" borderId="0" xfId="0" applyFont="1" applyFill="1"/>
    <xf numFmtId="0" fontId="36" fillId="4" borderId="0" xfId="0" applyFont="1" applyFill="1"/>
    <xf numFmtId="0" fontId="34" fillId="4" borderId="0" xfId="0" applyFont="1" applyFill="1"/>
    <xf numFmtId="0" fontId="29" fillId="4" borderId="5" xfId="0" applyFont="1" applyFill="1" applyBorder="1" applyAlignment="1">
      <alignment wrapText="1"/>
    </xf>
    <xf numFmtId="0" fontId="34" fillId="4" borderId="0" xfId="0" applyFont="1" applyFill="1" applyAlignment="1">
      <alignment horizontal="center"/>
    </xf>
    <xf numFmtId="0" fontId="33" fillId="0" borderId="0" xfId="0" applyFont="1" applyAlignment="1">
      <alignment horizontal="center" wrapText="1"/>
    </xf>
    <xf numFmtId="0" fontId="0" fillId="4" borderId="0" xfId="0" applyFill="1"/>
    <xf numFmtId="0" fontId="29" fillId="0" borderId="0" xfId="0" applyFont="1" applyAlignment="1">
      <alignment wrapText="1"/>
    </xf>
    <xf numFmtId="0" fontId="29" fillId="4" borderId="0" xfId="0" applyFont="1" applyFill="1"/>
    <xf numFmtId="0" fontId="29" fillId="53" borderId="71" xfId="0" applyFont="1" applyFill="1" applyBorder="1" applyAlignment="1">
      <alignment horizontal="center" wrapText="1"/>
    </xf>
    <xf numFmtId="0" fontId="38" fillId="4" borderId="32" xfId="0" applyFont="1" applyFill="1" applyBorder="1" applyAlignment="1">
      <alignment horizontal="left" indent="3"/>
    </xf>
    <xf numFmtId="0" fontId="33" fillId="4" borderId="31" xfId="0" applyFont="1" applyFill="1" applyBorder="1"/>
    <xf numFmtId="0" fontId="38" fillId="4" borderId="30" xfId="0" applyFont="1" applyFill="1" applyBorder="1" applyAlignment="1">
      <alignment horizontal="left" indent="3"/>
    </xf>
    <xf numFmtId="0" fontId="38" fillId="4" borderId="5" xfId="0" applyFont="1" applyFill="1" applyBorder="1" applyAlignment="1">
      <alignment horizontal="left" indent="3"/>
    </xf>
    <xf numFmtId="0" fontId="37" fillId="4" borderId="5" xfId="0" applyFont="1" applyFill="1" applyBorder="1" applyAlignment="1">
      <alignment horizontal="left"/>
    </xf>
    <xf numFmtId="0" fontId="37" fillId="4" borderId="0" xfId="0" applyFont="1" applyFill="1" applyAlignment="1">
      <alignment horizontal="left"/>
    </xf>
    <xf numFmtId="0" fontId="37" fillId="4" borderId="6" xfId="0" applyFont="1" applyFill="1" applyBorder="1" applyAlignment="1">
      <alignment horizontal="left"/>
    </xf>
    <xf numFmtId="0" fontId="37" fillId="4" borderId="5" xfId="0" applyFont="1" applyFill="1" applyBorder="1"/>
    <xf numFmtId="0" fontId="37" fillId="4" borderId="0" xfId="0" applyFont="1" applyFill="1"/>
    <xf numFmtId="0" fontId="37" fillId="4" borderId="6" xfId="0" applyFont="1" applyFill="1" applyBorder="1"/>
    <xf numFmtId="0" fontId="29" fillId="4" borderId="0" xfId="0" applyFont="1" applyFill="1" applyAlignment="1">
      <alignment wrapText="1"/>
    </xf>
    <xf numFmtId="0" fontId="33" fillId="4" borderId="5" xfId="0" applyFont="1" applyFill="1" applyBorder="1"/>
    <xf numFmtId="0" fontId="33" fillId="4" borderId="0" xfId="0" applyFont="1" applyFill="1"/>
    <xf numFmtId="0" fontId="33" fillId="4" borderId="6" xfId="0" applyFont="1" applyFill="1" applyBorder="1"/>
    <xf numFmtId="0" fontId="38" fillId="4" borderId="33" xfId="0" applyFont="1" applyFill="1" applyBorder="1" applyAlignment="1">
      <alignment horizontal="left" indent="3"/>
    </xf>
    <xf numFmtId="0" fontId="39" fillId="52" borderId="34" xfId="0" applyFont="1" applyFill="1" applyBorder="1" applyAlignment="1">
      <alignment horizontal="right" vertical="center"/>
    </xf>
    <xf numFmtId="0" fontId="38" fillId="4" borderId="0" xfId="0" applyFont="1" applyFill="1" applyAlignment="1">
      <alignment horizontal="left" indent="3"/>
    </xf>
    <xf numFmtId="0" fontId="38" fillId="4" borderId="6" xfId="0" applyFont="1" applyFill="1" applyBorder="1" applyAlignment="1">
      <alignment horizontal="left" indent="3"/>
    </xf>
    <xf numFmtId="0" fontId="39" fillId="52" borderId="126" xfId="0" applyFont="1" applyFill="1" applyBorder="1" applyAlignment="1">
      <alignment horizontal="right" vertical="center"/>
    </xf>
    <xf numFmtId="0" fontId="39" fillId="52" borderId="126" xfId="0" applyFont="1" applyFill="1" applyBorder="1" applyAlignment="1">
      <alignment horizontal="right"/>
    </xf>
    <xf numFmtId="0" fontId="42" fillId="0" borderId="3" xfId="39" applyFont="1" applyBorder="1" applyAlignment="1">
      <alignment horizontal="left"/>
    </xf>
    <xf numFmtId="0" fontId="42" fillId="0" borderId="4" xfId="39" applyFont="1" applyBorder="1" applyAlignment="1">
      <alignment horizontal="left"/>
    </xf>
    <xf numFmtId="0" fontId="36" fillId="4" borderId="18" xfId="39" applyFont="1" applyFill="1" applyBorder="1" applyAlignment="1">
      <alignment horizontal="center" vertical="center" wrapText="1"/>
    </xf>
    <xf numFmtId="0" fontId="34" fillId="0" borderId="18" xfId="39" applyFont="1" applyBorder="1" applyAlignment="1">
      <alignment horizontal="center" vertical="center" wrapText="1"/>
    </xf>
    <xf numFmtId="0" fontId="34" fillId="27" borderId="18" xfId="39" applyFont="1" applyFill="1" applyBorder="1" applyAlignment="1">
      <alignment horizontal="center" vertical="center" wrapText="1"/>
    </xf>
    <xf numFmtId="0" fontId="34" fillId="0" borderId="18" xfId="39" quotePrefix="1" applyFont="1" applyBorder="1" applyAlignment="1">
      <alignment horizontal="center" vertical="center" wrapText="1"/>
    </xf>
    <xf numFmtId="9" fontId="34" fillId="0" borderId="18" xfId="39" quotePrefix="1" applyNumberFormat="1" applyFont="1" applyBorder="1" applyAlignment="1">
      <alignment horizontal="center" vertical="center" wrapText="1"/>
    </xf>
    <xf numFmtId="0" fontId="34" fillId="28" borderId="18" xfId="39" applyFont="1" applyFill="1" applyBorder="1" applyAlignment="1">
      <alignment vertical="center" wrapText="1"/>
    </xf>
    <xf numFmtId="0" fontId="34" fillId="3" borderId="18" xfId="39" applyFont="1" applyFill="1" applyBorder="1" applyAlignment="1">
      <alignment vertical="center" wrapText="1"/>
    </xf>
    <xf numFmtId="0" fontId="34" fillId="2" borderId="18" xfId="39" applyFont="1" applyFill="1" applyBorder="1" applyAlignment="1">
      <alignment vertical="center" wrapText="1"/>
    </xf>
    <xf numFmtId="0" fontId="34" fillId="29" borderId="18" xfId="39" applyFont="1" applyFill="1" applyBorder="1" applyAlignment="1">
      <alignment vertical="center" wrapText="1"/>
    </xf>
    <xf numFmtId="0" fontId="34" fillId="30" borderId="18" xfId="39" applyFont="1" applyFill="1" applyBorder="1" applyAlignment="1">
      <alignment vertical="center" wrapText="1"/>
    </xf>
    <xf numFmtId="0" fontId="34" fillId="0" borderId="0" xfId="39" applyFont="1"/>
    <xf numFmtId="0" fontId="43" fillId="0" borderId="2" xfId="39" applyFont="1" applyBorder="1" applyAlignment="1">
      <alignment horizontal="left"/>
    </xf>
    <xf numFmtId="0" fontId="0" fillId="4" borderId="145" xfId="0" applyFill="1" applyBorder="1"/>
    <xf numFmtId="0" fontId="0" fillId="4" borderId="146" xfId="0" applyFill="1" applyBorder="1"/>
    <xf numFmtId="0" fontId="0" fillId="4" borderId="147" xfId="0" applyFill="1" applyBorder="1"/>
    <xf numFmtId="0" fontId="0" fillId="4" borderId="148" xfId="0" applyFill="1" applyBorder="1"/>
    <xf numFmtId="0" fontId="0" fillId="4" borderId="149" xfId="0" applyFill="1" applyBorder="1"/>
    <xf numFmtId="0" fontId="0" fillId="4" borderId="150" xfId="0" applyFill="1" applyBorder="1"/>
    <xf numFmtId="0" fontId="0" fillId="4" borderId="151" xfId="0" applyFill="1" applyBorder="1"/>
    <xf numFmtId="0" fontId="0" fillId="4" borderId="152" xfId="0" applyFill="1" applyBorder="1"/>
    <xf numFmtId="0" fontId="47" fillId="4" borderId="0" xfId="0" applyFont="1" applyFill="1"/>
    <xf numFmtId="0" fontId="50" fillId="4" borderId="0" xfId="0" applyFont="1" applyFill="1"/>
    <xf numFmtId="0" fontId="29" fillId="4" borderId="61" xfId="0" applyFont="1" applyFill="1" applyBorder="1"/>
    <xf numFmtId="0" fontId="37" fillId="4" borderId="18" xfId="39" applyFont="1" applyFill="1" applyBorder="1" applyAlignment="1">
      <alignment horizontal="center" vertical="center" wrapText="1"/>
    </xf>
    <xf numFmtId="0" fontId="55" fillId="0" borderId="0" xfId="0" applyFont="1" applyAlignment="1">
      <alignment vertical="center"/>
    </xf>
    <xf numFmtId="0" fontId="53" fillId="0" borderId="0" xfId="0" applyFont="1" applyAlignment="1">
      <alignment vertical="center"/>
    </xf>
    <xf numFmtId="0" fontId="29" fillId="0" borderId="2" xfId="0" applyFont="1" applyBorder="1"/>
    <xf numFmtId="0" fontId="29" fillId="0" borderId="3" xfId="0" applyFont="1" applyBorder="1"/>
    <xf numFmtId="0" fontId="29" fillId="0" borderId="4" xfId="0" applyFont="1" applyBorder="1"/>
    <xf numFmtId="0" fontId="29" fillId="0" borderId="5" xfId="0" applyFont="1" applyBorder="1" applyAlignment="1">
      <alignment wrapText="1"/>
    </xf>
    <xf numFmtId="0" fontId="29" fillId="0" borderId="6" xfId="0" applyFont="1" applyBorder="1" applyAlignment="1">
      <alignment wrapText="1"/>
    </xf>
    <xf numFmtId="0" fontId="29" fillId="0" borderId="5" xfId="0" applyFont="1" applyBorder="1"/>
    <xf numFmtId="0" fontId="29" fillId="0" borderId="6" xfId="0" applyFont="1" applyBorder="1"/>
    <xf numFmtId="0" fontId="29" fillId="0" borderId="124" xfId="0" applyFont="1" applyBorder="1"/>
    <xf numFmtId="0" fontId="29" fillId="0" borderId="116" xfId="0" applyFont="1" applyBorder="1"/>
    <xf numFmtId="0" fontId="29" fillId="0" borderId="123" xfId="0" applyFont="1" applyBorder="1"/>
    <xf numFmtId="0" fontId="56" fillId="0" borderId="0" xfId="0" applyFont="1" applyAlignment="1">
      <alignment vertical="center"/>
    </xf>
    <xf numFmtId="0" fontId="58" fillId="0" borderId="0" xfId="0" applyFont="1"/>
    <xf numFmtId="0" fontId="60" fillId="0" borderId="0" xfId="0" applyFont="1"/>
    <xf numFmtId="0" fontId="58" fillId="0" borderId="125" xfId="0" applyFont="1" applyBorder="1"/>
    <xf numFmtId="0" fontId="60" fillId="0" borderId="125" xfId="0" applyFont="1" applyBorder="1" applyAlignment="1">
      <alignment horizontal="center"/>
    </xf>
    <xf numFmtId="9" fontId="58" fillId="33" borderId="125" xfId="2" applyFont="1" applyFill="1" applyBorder="1"/>
    <xf numFmtId="0" fontId="58" fillId="33" borderId="125" xfId="0" applyFont="1" applyFill="1" applyBorder="1"/>
    <xf numFmtId="9" fontId="58" fillId="0" borderId="0" xfId="0" applyNumberFormat="1" applyFont="1"/>
    <xf numFmtId="0" fontId="37" fillId="4" borderId="48" xfId="0" applyFont="1" applyFill="1" applyBorder="1"/>
    <xf numFmtId="0" fontId="29" fillId="0" borderId="0" xfId="0" applyFont="1" applyAlignment="1" applyProtection="1">
      <alignment horizontal="left"/>
      <protection locked="0"/>
    </xf>
    <xf numFmtId="0" fontId="29" fillId="4" borderId="0" xfId="0" applyFont="1" applyFill="1" applyAlignment="1">
      <alignment horizontal="center"/>
    </xf>
    <xf numFmtId="0" fontId="37" fillId="4" borderId="25" xfId="0" applyFont="1" applyFill="1" applyBorder="1"/>
    <xf numFmtId="0" fontId="37" fillId="4" borderId="25" xfId="0" applyFont="1" applyFill="1" applyBorder="1" applyAlignment="1">
      <alignment vertical="top"/>
    </xf>
    <xf numFmtId="0" fontId="29" fillId="4" borderId="0" xfId="0" applyFont="1" applyFill="1" applyAlignment="1">
      <alignment vertical="top"/>
    </xf>
    <xf numFmtId="0" fontId="29" fillId="4" borderId="0" xfId="0" applyFont="1" applyFill="1" applyAlignment="1">
      <alignment horizontal="center" vertical="top" wrapText="1"/>
    </xf>
    <xf numFmtId="0" fontId="33" fillId="4" borderId="0" xfId="0" applyFont="1" applyFill="1" applyAlignment="1">
      <alignment horizontal="left" vertical="top"/>
    </xf>
    <xf numFmtId="0" fontId="29" fillId="46" borderId="0" xfId="0" applyFont="1" applyFill="1"/>
    <xf numFmtId="0" fontId="29" fillId="4" borderId="46" xfId="0" applyFont="1" applyFill="1" applyBorder="1"/>
    <xf numFmtId="0" fontId="29" fillId="4" borderId="58" xfId="0" applyFont="1" applyFill="1" applyBorder="1"/>
    <xf numFmtId="0" fontId="29" fillId="4" borderId="48" xfId="0" applyFont="1" applyFill="1" applyBorder="1"/>
    <xf numFmtId="0" fontId="38" fillId="4" borderId="46" xfId="0" applyFont="1" applyFill="1" applyBorder="1" applyAlignment="1">
      <alignment horizontal="left" indent="1"/>
    </xf>
    <xf numFmtId="0" fontId="38" fillId="4" borderId="52" xfId="0" applyFont="1" applyFill="1" applyBorder="1" applyAlignment="1">
      <alignment horizontal="left" indent="1"/>
    </xf>
    <xf numFmtId="0" fontId="29" fillId="4" borderId="52" xfId="0" applyFont="1" applyFill="1" applyBorder="1"/>
    <xf numFmtId="0" fontId="29" fillId="0" borderId="0" xfId="343" applyFont="1"/>
    <xf numFmtId="0" fontId="29" fillId="4" borderId="0" xfId="343" applyFont="1" applyFill="1"/>
    <xf numFmtId="0" fontId="29" fillId="4" borderId="0" xfId="0" applyFont="1" applyFill="1" applyAlignment="1">
      <alignment horizontal="left" indent="1"/>
    </xf>
    <xf numFmtId="0" fontId="29" fillId="4" borderId="0" xfId="0" applyFont="1" applyFill="1" applyAlignment="1">
      <alignment horizontal="center" wrapText="1"/>
    </xf>
    <xf numFmtId="0" fontId="29" fillId="4" borderId="124" xfId="343" applyFont="1" applyFill="1" applyBorder="1" applyAlignment="1">
      <alignment vertical="top" wrapText="1"/>
    </xf>
    <xf numFmtId="0" fontId="29" fillId="4" borderId="116" xfId="343" applyFont="1" applyFill="1" applyBorder="1" applyAlignment="1">
      <alignment vertical="top" wrapText="1"/>
    </xf>
    <xf numFmtId="0" fontId="29" fillId="4" borderId="123" xfId="343" applyFont="1" applyFill="1" applyBorder="1" applyAlignment="1">
      <alignment vertical="top" wrapText="1"/>
    </xf>
    <xf numFmtId="0" fontId="29" fillId="4" borderId="5" xfId="343" applyFont="1" applyFill="1" applyBorder="1" applyAlignment="1">
      <alignment vertical="top" wrapText="1"/>
    </xf>
    <xf numFmtId="0" fontId="29" fillId="4" borderId="0" xfId="343" applyFont="1" applyFill="1" applyAlignment="1">
      <alignment vertical="top" wrapText="1"/>
    </xf>
    <xf numFmtId="0" fontId="29" fillId="4" borderId="6" xfId="343" applyFont="1" applyFill="1" applyBorder="1" applyAlignment="1">
      <alignment vertical="top" wrapText="1"/>
    </xf>
    <xf numFmtId="0" fontId="61" fillId="4" borderId="0" xfId="0" applyFont="1" applyFill="1" applyAlignment="1">
      <alignment vertical="top" wrapText="1"/>
    </xf>
    <xf numFmtId="0" fontId="37" fillId="4" borderId="0" xfId="0" applyFont="1" applyFill="1" applyAlignment="1">
      <alignment horizontal="center" vertical="center"/>
    </xf>
    <xf numFmtId="0" fontId="29" fillId="4" borderId="74" xfId="0" applyFont="1" applyFill="1" applyBorder="1"/>
    <xf numFmtId="0" fontId="29" fillId="4" borderId="56" xfId="0" applyFont="1" applyFill="1" applyBorder="1"/>
    <xf numFmtId="0" fontId="29" fillId="4" borderId="98" xfId="0" applyFont="1" applyFill="1" applyBorder="1"/>
    <xf numFmtId="0" fontId="29" fillId="4" borderId="89" xfId="0" applyFont="1" applyFill="1" applyBorder="1"/>
    <xf numFmtId="0" fontId="62" fillId="4" borderId="115" xfId="0" applyFont="1" applyFill="1" applyBorder="1" applyAlignment="1">
      <alignment horizontal="left"/>
    </xf>
    <xf numFmtId="0" fontId="29" fillId="49" borderId="117" xfId="0" applyFont="1" applyFill="1" applyBorder="1" applyAlignment="1" applyProtection="1">
      <alignment horizontal="center"/>
      <protection locked="0"/>
    </xf>
    <xf numFmtId="0" fontId="64" fillId="0" borderId="89" xfId="0" applyFont="1" applyBorder="1" applyAlignment="1">
      <alignment wrapText="1"/>
    </xf>
    <xf numFmtId="0" fontId="66" fillId="0" borderId="0" xfId="0" applyFont="1" applyAlignment="1">
      <alignment wrapText="1"/>
    </xf>
    <xf numFmtId="0" fontId="66" fillId="0" borderId="0" xfId="0" applyFont="1"/>
    <xf numFmtId="0" fontId="65" fillId="35" borderId="89" xfId="0" applyFont="1" applyFill="1" applyBorder="1"/>
    <xf numFmtId="0" fontId="65" fillId="35" borderId="77" xfId="0" applyFont="1" applyFill="1" applyBorder="1"/>
    <xf numFmtId="0" fontId="65" fillId="35" borderId="90" xfId="0" applyFont="1" applyFill="1" applyBorder="1"/>
    <xf numFmtId="0" fontId="67" fillId="45" borderId="0" xfId="0" applyFont="1" applyFill="1"/>
    <xf numFmtId="0" fontId="57" fillId="45" borderId="0" xfId="0" applyFont="1" applyFill="1" applyAlignment="1">
      <alignment wrapText="1"/>
    </xf>
    <xf numFmtId="0" fontId="65" fillId="0" borderId="82" xfId="0" applyFont="1" applyBorder="1"/>
    <xf numFmtId="0" fontId="66" fillId="0" borderId="106" xfId="0" applyFont="1" applyBorder="1" applyAlignment="1">
      <alignment horizontal="left" wrapText="1"/>
    </xf>
    <xf numFmtId="0" fontId="66" fillId="0" borderId="83" xfId="0" applyFont="1" applyBorder="1" applyAlignment="1">
      <alignment horizontal="left" wrapText="1"/>
    </xf>
    <xf numFmtId="0" fontId="64" fillId="0" borderId="95" xfId="0" applyFont="1" applyBorder="1"/>
    <xf numFmtId="0" fontId="66" fillId="0" borderId="8" xfId="0" applyFont="1" applyBorder="1" applyAlignment="1">
      <alignment horizontal="left" wrapText="1"/>
    </xf>
    <xf numFmtId="0" fontId="66" fillId="0" borderId="36" xfId="0" applyFont="1" applyBorder="1" applyAlignment="1">
      <alignment horizontal="left" wrapText="1"/>
    </xf>
    <xf numFmtId="0" fontId="64" fillId="0" borderId="82" xfId="0" applyFont="1" applyBorder="1"/>
    <xf numFmtId="168" fontId="66" fillId="0" borderId="77" xfId="0" applyNumberFormat="1" applyFont="1" applyBorder="1"/>
    <xf numFmtId="168" fontId="66" fillId="0" borderId="90" xfId="0" applyNumberFormat="1" applyFont="1" applyBorder="1"/>
    <xf numFmtId="0" fontId="64" fillId="0" borderId="106" xfId="0" applyFont="1" applyBorder="1" applyAlignment="1">
      <alignment wrapText="1"/>
    </xf>
    <xf numFmtId="168" fontId="66" fillId="0" borderId="106" xfId="0" applyNumberFormat="1" applyFont="1" applyBorder="1"/>
    <xf numFmtId="168" fontId="66" fillId="0" borderId="83" xfId="0" applyNumberFormat="1" applyFont="1" applyBorder="1"/>
    <xf numFmtId="0" fontId="66" fillId="0" borderId="5" xfId="0" applyFont="1" applyBorder="1" applyAlignment="1">
      <alignment wrapText="1"/>
    </xf>
    <xf numFmtId="2" fontId="66" fillId="52" borderId="106" xfId="0" applyNumberFormat="1" applyFont="1" applyFill="1" applyBorder="1"/>
    <xf numFmtId="2" fontId="66" fillId="52" borderId="83" xfId="0" applyNumberFormat="1" applyFont="1" applyFill="1" applyBorder="1"/>
    <xf numFmtId="168" fontId="66" fillId="0" borderId="0" xfId="0" applyNumberFormat="1" applyFont="1"/>
    <xf numFmtId="0" fontId="64" fillId="0" borderId="82" xfId="0" applyFont="1" applyBorder="1" applyAlignment="1">
      <alignment wrapText="1"/>
    </xf>
    <xf numFmtId="2" fontId="66" fillId="0" borderId="106" xfId="0" applyNumberFormat="1" applyFont="1" applyBorder="1"/>
    <xf numFmtId="2" fontId="66" fillId="0" borderId="83" xfId="0" applyNumberFormat="1" applyFont="1" applyBorder="1"/>
    <xf numFmtId="0" fontId="68" fillId="0" borderId="106" xfId="0" applyFont="1" applyBorder="1" applyAlignment="1">
      <alignment horizontal="center"/>
    </xf>
    <xf numFmtId="0" fontId="66" fillId="0" borderId="83" xfId="0" applyFont="1" applyBorder="1"/>
    <xf numFmtId="0" fontId="66" fillId="0" borderId="106" xfId="0" applyFont="1" applyBorder="1"/>
    <xf numFmtId="0" fontId="66" fillId="52" borderId="106" xfId="0" applyFont="1" applyFill="1" applyBorder="1"/>
    <xf numFmtId="0" fontId="66" fillId="52" borderId="83" xfId="0" applyFont="1" applyFill="1" applyBorder="1"/>
    <xf numFmtId="0" fontId="66" fillId="0" borderId="122" xfId="0" applyFont="1" applyBorder="1" applyAlignment="1">
      <alignment wrapText="1"/>
    </xf>
    <xf numFmtId="2" fontId="66" fillId="52" borderId="80" xfId="0" applyNumberFormat="1" applyFont="1" applyFill="1" applyBorder="1"/>
    <xf numFmtId="2" fontId="66" fillId="52" borderId="85" xfId="0" applyNumberFormat="1" applyFont="1" applyFill="1" applyBorder="1"/>
    <xf numFmtId="168" fontId="66" fillId="0" borderId="80" xfId="0" applyNumberFormat="1" applyFont="1" applyBorder="1"/>
    <xf numFmtId="168" fontId="66" fillId="0" borderId="85" xfId="0" applyNumberFormat="1" applyFont="1" applyBorder="1"/>
    <xf numFmtId="0" fontId="65" fillId="46" borderId="25" xfId="0" applyFont="1" applyFill="1" applyBorder="1"/>
    <xf numFmtId="0" fontId="65" fillId="0" borderId="0" xfId="0" applyFont="1"/>
    <xf numFmtId="0" fontId="65" fillId="35" borderId="25" xfId="0" applyFont="1" applyFill="1" applyBorder="1"/>
    <xf numFmtId="0" fontId="65" fillId="35" borderId="55" xfId="0" applyFont="1" applyFill="1" applyBorder="1"/>
    <xf numFmtId="0" fontId="65" fillId="35" borderId="26" xfId="0" applyFont="1" applyFill="1" applyBorder="1"/>
    <xf numFmtId="0" fontId="65" fillId="0" borderId="34" xfId="0" applyFont="1" applyBorder="1"/>
    <xf numFmtId="0" fontId="66" fillId="0" borderId="6" xfId="0" applyFont="1" applyBorder="1" applyAlignment="1">
      <alignment wrapText="1"/>
    </xf>
    <xf numFmtId="0" fontId="66" fillId="0" borderId="83" xfId="0" applyFont="1" applyBorder="1" applyAlignment="1">
      <alignment wrapText="1"/>
    </xf>
    <xf numFmtId="0" fontId="66" fillId="0" borderId="82" xfId="0" applyFont="1" applyBorder="1" applyAlignment="1">
      <alignment horizontal="left"/>
    </xf>
    <xf numFmtId="0" fontId="66" fillId="0" borderId="82" xfId="0" applyFont="1" applyBorder="1" applyAlignment="1">
      <alignment horizontal="left" wrapText="1"/>
    </xf>
    <xf numFmtId="0" fontId="66" fillId="0" borderId="82" xfId="0" applyFont="1" applyBorder="1" applyAlignment="1">
      <alignment wrapText="1"/>
    </xf>
    <xf numFmtId="0" fontId="65" fillId="0" borderId="84" xfId="0" applyFont="1" applyBorder="1" applyAlignment="1">
      <alignment wrapText="1"/>
    </xf>
    <xf numFmtId="0" fontId="65" fillId="0" borderId="0" xfId="0" applyFont="1" applyAlignment="1">
      <alignment wrapText="1"/>
    </xf>
    <xf numFmtId="0" fontId="65" fillId="35" borderId="55" xfId="0" applyFont="1" applyFill="1" applyBorder="1" applyAlignment="1">
      <alignment wrapText="1"/>
    </xf>
    <xf numFmtId="0" fontId="65" fillId="35" borderId="26" xfId="0" applyFont="1" applyFill="1" applyBorder="1" applyAlignment="1">
      <alignment wrapText="1"/>
    </xf>
    <xf numFmtId="0" fontId="65" fillId="0" borderId="6" xfId="0" applyFont="1" applyBorder="1"/>
    <xf numFmtId="0" fontId="66" fillId="0" borderId="95" xfId="0" applyFont="1" applyBorder="1" applyAlignment="1">
      <alignment horizontal="left" wrapText="1"/>
    </xf>
    <xf numFmtId="0" fontId="68" fillId="0" borderId="83" xfId="0" applyFont="1" applyBorder="1" applyAlignment="1">
      <alignment horizontal="center"/>
    </xf>
    <xf numFmtId="0" fontId="65" fillId="52" borderId="25" xfId="0" applyFont="1" applyFill="1" applyBorder="1"/>
    <xf numFmtId="0" fontId="69" fillId="0" borderId="0" xfId="0" applyFont="1" applyAlignment="1">
      <alignment wrapText="1"/>
    </xf>
    <xf numFmtId="0" fontId="69" fillId="0" borderId="0" xfId="0" applyFont="1"/>
    <xf numFmtId="0" fontId="70" fillId="0" borderId="0" xfId="0" applyFont="1"/>
    <xf numFmtId="0" fontId="70" fillId="0" borderId="0" xfId="0" applyFont="1" applyAlignment="1">
      <alignment wrapText="1"/>
    </xf>
    <xf numFmtId="0" fontId="71" fillId="0" borderId="0" xfId="0" applyFont="1" applyAlignment="1">
      <alignment wrapText="1"/>
    </xf>
    <xf numFmtId="0" fontId="71" fillId="0" borderId="0" xfId="0" applyFont="1"/>
    <xf numFmtId="0" fontId="73" fillId="0" borderId="0" xfId="0" applyFont="1"/>
    <xf numFmtId="0" fontId="74" fillId="0" borderId="0" xfId="374" applyFont="1"/>
    <xf numFmtId="0" fontId="66" fillId="33" borderId="0" xfId="0" applyFont="1" applyFill="1"/>
    <xf numFmtId="0" fontId="66" fillId="0" borderId="0" xfId="0" applyFont="1" applyAlignment="1">
      <alignment horizontal="left"/>
    </xf>
    <xf numFmtId="0" fontId="66" fillId="33" borderId="0" xfId="0" applyFont="1" applyFill="1" applyAlignment="1">
      <alignment horizontal="left"/>
    </xf>
    <xf numFmtId="0" fontId="76" fillId="40" borderId="0" xfId="0" applyFont="1" applyFill="1"/>
    <xf numFmtId="0" fontId="70" fillId="40" borderId="0" xfId="0" applyFont="1" applyFill="1" applyAlignment="1">
      <alignment wrapText="1"/>
    </xf>
    <xf numFmtId="0" fontId="69" fillId="40" borderId="0" xfId="0" applyFont="1" applyFill="1" applyAlignment="1">
      <alignment horizontal="left" wrapText="1"/>
    </xf>
    <xf numFmtId="0" fontId="69" fillId="40" borderId="0" xfId="0" applyFont="1" applyFill="1"/>
    <xf numFmtId="0" fontId="77" fillId="40" borderId="0" xfId="0" applyFont="1" applyFill="1"/>
    <xf numFmtId="0" fontId="71" fillId="0" borderId="0" xfId="0" applyFont="1" applyAlignment="1">
      <alignment horizontal="left" wrapText="1"/>
    </xf>
    <xf numFmtId="0" fontId="71" fillId="37" borderId="0" xfId="0" applyFont="1" applyFill="1" applyAlignment="1">
      <alignment horizontal="left" wrapText="1"/>
    </xf>
    <xf numFmtId="168" fontId="69" fillId="0" borderId="0" xfId="0" applyNumberFormat="1" applyFont="1"/>
    <xf numFmtId="168" fontId="69" fillId="0" borderId="0" xfId="0" applyNumberFormat="1" applyFont="1" applyAlignment="1">
      <alignment wrapText="1"/>
    </xf>
    <xf numFmtId="168" fontId="69" fillId="37" borderId="0" xfId="0" applyNumberFormat="1" applyFont="1" applyFill="1" applyAlignment="1">
      <alignment wrapText="1"/>
    </xf>
    <xf numFmtId="0" fontId="78" fillId="40" borderId="0" xfId="0" applyFont="1" applyFill="1" applyAlignment="1">
      <alignment wrapText="1"/>
    </xf>
    <xf numFmtId="0" fontId="78" fillId="40" borderId="0" xfId="0" applyFont="1" applyFill="1"/>
    <xf numFmtId="0" fontId="70" fillId="0" borderId="82" xfId="0" applyFont="1" applyBorder="1" applyAlignment="1">
      <alignment wrapText="1"/>
    </xf>
    <xf numFmtId="0" fontId="71" fillId="37" borderId="0" xfId="0" applyFont="1" applyFill="1" applyAlignment="1">
      <alignment wrapText="1"/>
    </xf>
    <xf numFmtId="0" fontId="69" fillId="37" borderId="0" xfId="0" applyFont="1" applyFill="1" applyAlignment="1">
      <alignment wrapText="1"/>
    </xf>
    <xf numFmtId="0" fontId="69" fillId="0" borderId="79" xfId="0" applyFont="1" applyBorder="1"/>
    <xf numFmtId="0" fontId="72" fillId="33" borderId="0" xfId="0" applyFont="1" applyFill="1"/>
    <xf numFmtId="0" fontId="66" fillId="4" borderId="0" xfId="0" applyFont="1" applyFill="1"/>
    <xf numFmtId="0" fontId="68" fillId="4" borderId="0" xfId="0" applyFont="1" applyFill="1"/>
    <xf numFmtId="0" fontId="66" fillId="51" borderId="126" xfId="0" applyFont="1" applyFill="1" applyBorder="1" applyAlignment="1">
      <alignment vertical="center" wrapText="1"/>
    </xf>
    <xf numFmtId="0" fontId="68" fillId="4" borderId="5" xfId="0" applyFont="1" applyFill="1" applyBorder="1"/>
    <xf numFmtId="0" fontId="68" fillId="4" borderId="6" xfId="0" applyFont="1" applyFill="1" applyBorder="1"/>
    <xf numFmtId="0" fontId="66" fillId="4" borderId="128" xfId="0" applyFont="1" applyFill="1" applyBorder="1" applyAlignment="1">
      <alignment vertical="center" wrapText="1"/>
    </xf>
    <xf numFmtId="0" fontId="66" fillId="4" borderId="5" xfId="0" applyFont="1" applyFill="1" applyBorder="1"/>
    <xf numFmtId="0" fontId="66" fillId="4" borderId="6" xfId="0" applyFont="1" applyFill="1" applyBorder="1"/>
    <xf numFmtId="0" fontId="66" fillId="4" borderId="115" xfId="0" applyFont="1" applyFill="1" applyBorder="1"/>
    <xf numFmtId="0" fontId="66" fillId="4" borderId="116" xfId="0" applyFont="1" applyFill="1" applyBorder="1"/>
    <xf numFmtId="0" fontId="66" fillId="4" borderId="117" xfId="0" applyFont="1" applyFill="1" applyBorder="1"/>
    <xf numFmtId="0" fontId="35" fillId="4" borderId="61" xfId="0" applyFont="1" applyFill="1" applyBorder="1"/>
    <xf numFmtId="0" fontId="29" fillId="33" borderId="0" xfId="0" applyFont="1" applyFill="1"/>
    <xf numFmtId="0" fontId="29" fillId="4" borderId="6" xfId="0" applyFont="1" applyFill="1" applyBorder="1" applyAlignment="1">
      <alignment wrapText="1"/>
    </xf>
    <xf numFmtId="0" fontId="29" fillId="4" borderId="5" xfId="0" applyFont="1" applyFill="1" applyBorder="1"/>
    <xf numFmtId="0" fontId="29" fillId="4" borderId="6" xfId="0" applyFont="1" applyFill="1" applyBorder="1"/>
    <xf numFmtId="0" fontId="29" fillId="4" borderId="63" xfId="0" applyFont="1" applyFill="1" applyBorder="1"/>
    <xf numFmtId="0" fontId="29" fillId="4" borderId="64" xfId="0" applyFont="1" applyFill="1" applyBorder="1"/>
    <xf numFmtId="0" fontId="29" fillId="4" borderId="65" xfId="0" applyFont="1" applyFill="1" applyBorder="1"/>
    <xf numFmtId="0" fontId="81" fillId="0" borderId="0" xfId="0" applyFont="1"/>
    <xf numFmtId="9" fontId="69" fillId="0" borderId="0" xfId="0" applyNumberFormat="1" applyFont="1"/>
    <xf numFmtId="2" fontId="69" fillId="0" borderId="0" xfId="1" applyNumberFormat="1" applyFont="1"/>
    <xf numFmtId="2" fontId="69" fillId="0" borderId="0" xfId="0" applyNumberFormat="1" applyFont="1"/>
    <xf numFmtId="172" fontId="69" fillId="0" borderId="0" xfId="1" applyNumberFormat="1" applyFont="1"/>
    <xf numFmtId="172" fontId="69" fillId="0" borderId="0" xfId="0" applyNumberFormat="1" applyFont="1"/>
    <xf numFmtId="8" fontId="69" fillId="0" borderId="0" xfId="0" applyNumberFormat="1" applyFont="1"/>
    <xf numFmtId="0" fontId="69" fillId="42" borderId="0" xfId="0" applyFont="1" applyFill="1"/>
    <xf numFmtId="0" fontId="75" fillId="52" borderId="0" xfId="0" applyFont="1" applyFill="1"/>
    <xf numFmtId="167" fontId="29" fillId="4" borderId="0" xfId="0" applyNumberFormat="1" applyFont="1" applyFill="1"/>
    <xf numFmtId="167" fontId="29" fillId="4" borderId="31" xfId="0" applyNumberFormat="1" applyFont="1" applyFill="1" applyBorder="1"/>
    <xf numFmtId="167" fontId="29" fillId="4" borderId="44" xfId="0" applyNumberFormat="1" applyFont="1" applyFill="1" applyBorder="1"/>
    <xf numFmtId="0" fontId="35" fillId="4" borderId="5" xfId="0" applyFont="1" applyFill="1" applyBorder="1" applyAlignment="1">
      <alignment horizontal="left" indent="1"/>
    </xf>
    <xf numFmtId="0" fontId="35" fillId="4" borderId="0" xfId="0" applyFont="1" applyFill="1" applyAlignment="1">
      <alignment horizontal="left" indent="1"/>
    </xf>
    <xf numFmtId="0" fontId="29" fillId="4" borderId="6" xfId="0" applyFont="1" applyFill="1" applyBorder="1" applyAlignment="1">
      <alignment horizontal="center" vertical="center" wrapText="1"/>
    </xf>
    <xf numFmtId="0" fontId="29" fillId="4" borderId="30" xfId="0" applyFont="1" applyFill="1" applyBorder="1"/>
    <xf numFmtId="0" fontId="29" fillId="4" borderId="33" xfId="0" applyFont="1" applyFill="1" applyBorder="1" applyAlignment="1">
      <alignment horizontal="center" vertical="center" wrapText="1"/>
    </xf>
    <xf numFmtId="0" fontId="29" fillId="4" borderId="0" xfId="0" applyFont="1" applyFill="1" applyAlignment="1">
      <alignment horizontal="right"/>
    </xf>
    <xf numFmtId="0" fontId="29" fillId="4" borderId="5" xfId="0" applyFont="1" applyFill="1" applyBorder="1" applyAlignment="1">
      <alignment horizontal="left" indent="1"/>
    </xf>
    <xf numFmtId="0" fontId="38" fillId="4" borderId="5" xfId="0" applyFont="1" applyFill="1" applyBorder="1" applyAlignment="1">
      <alignment horizontal="left" vertical="center" indent="3"/>
    </xf>
    <xf numFmtId="0" fontId="79" fillId="0" borderId="0" xfId="0" applyFont="1" applyAlignment="1">
      <alignment vertical="center"/>
    </xf>
    <xf numFmtId="0" fontId="82" fillId="52" borderId="0" xfId="0" applyFont="1" applyFill="1"/>
    <xf numFmtId="9" fontId="66" fillId="0" borderId="0" xfId="0" applyNumberFormat="1" applyFont="1" applyAlignment="1">
      <alignment wrapText="1"/>
    </xf>
    <xf numFmtId="0" fontId="68" fillId="0" borderId="0" xfId="0" applyFont="1"/>
    <xf numFmtId="0" fontId="79" fillId="4" borderId="19" xfId="0" applyFont="1" applyFill="1" applyBorder="1" applyAlignment="1">
      <alignment wrapText="1"/>
    </xf>
    <xf numFmtId="0" fontId="66" fillId="53" borderId="39" xfId="0" applyFont="1" applyFill="1" applyBorder="1" applyAlignment="1">
      <alignment wrapText="1"/>
    </xf>
    <xf numFmtId="0" fontId="65" fillId="53" borderId="71" xfId="0" applyFont="1" applyFill="1" applyBorder="1" applyAlignment="1">
      <alignment horizontal="center" wrapText="1"/>
    </xf>
    <xf numFmtId="0" fontId="65" fillId="53" borderId="88" xfId="0" applyFont="1" applyFill="1" applyBorder="1" applyAlignment="1">
      <alignment horizontal="center" wrapText="1"/>
    </xf>
    <xf numFmtId="0" fontId="79" fillId="4" borderId="2" xfId="0" applyFont="1" applyFill="1" applyBorder="1"/>
    <xf numFmtId="167" fontId="66" fillId="4" borderId="3" xfId="0" applyNumberFormat="1" applyFont="1" applyFill="1" applyBorder="1"/>
    <xf numFmtId="167" fontId="66" fillId="4" borderId="4" xfId="0" applyNumberFormat="1" applyFont="1" applyFill="1" applyBorder="1"/>
    <xf numFmtId="167" fontId="66" fillId="4" borderId="0" xfId="0" applyNumberFormat="1" applyFont="1" applyFill="1"/>
    <xf numFmtId="0" fontId="79" fillId="4" borderId="43" xfId="0" applyFont="1" applyFill="1" applyBorder="1"/>
    <xf numFmtId="167" fontId="66" fillId="4" borderId="31" xfId="0" applyNumberFormat="1" applyFont="1" applyFill="1" applyBorder="1"/>
    <xf numFmtId="0" fontId="79" fillId="4" borderId="31" xfId="0" applyFont="1" applyFill="1" applyBorder="1"/>
    <xf numFmtId="0" fontId="79" fillId="4" borderId="72" xfId="0" applyFont="1" applyFill="1" applyBorder="1"/>
    <xf numFmtId="167" fontId="66" fillId="4" borderId="43" xfId="0" applyNumberFormat="1" applyFont="1" applyFill="1" applyBorder="1"/>
    <xf numFmtId="167" fontId="66" fillId="4" borderId="44" xfId="0" applyNumberFormat="1" applyFont="1" applyFill="1" applyBorder="1"/>
    <xf numFmtId="0" fontId="68" fillId="4" borderId="5" xfId="0" applyFont="1" applyFill="1" applyBorder="1" applyAlignment="1">
      <alignment horizontal="left" indent="1"/>
    </xf>
    <xf numFmtId="0" fontId="66" fillId="4" borderId="0" xfId="0" applyFont="1" applyFill="1" applyAlignment="1">
      <alignment horizontal="center" vertical="center" wrapText="1"/>
    </xf>
    <xf numFmtId="0" fontId="68" fillId="4" borderId="0" xfId="0" applyFont="1" applyFill="1" applyAlignment="1">
      <alignment horizontal="left" indent="1"/>
    </xf>
    <xf numFmtId="0" fontId="68" fillId="4" borderId="73" xfId="0" applyFont="1" applyFill="1" applyBorder="1" applyAlignment="1">
      <alignment horizontal="left" indent="1"/>
    </xf>
    <xf numFmtId="0" fontId="66" fillId="4" borderId="5" xfId="0" applyFont="1" applyFill="1" applyBorder="1" applyAlignment="1">
      <alignment horizontal="center" vertical="center" wrapText="1"/>
    </xf>
    <xf numFmtId="0" fontId="66" fillId="4" borderId="6" xfId="0" applyFont="1" applyFill="1" applyBorder="1" applyAlignment="1">
      <alignment horizontal="center" vertical="center" wrapText="1"/>
    </xf>
    <xf numFmtId="0" fontId="83" fillId="4" borderId="32" xfId="0" applyFont="1" applyFill="1" applyBorder="1" applyAlignment="1">
      <alignment horizontal="left" indent="3"/>
    </xf>
    <xf numFmtId="0" fontId="66" fillId="4" borderId="30" xfId="0" applyFont="1" applyFill="1" applyBorder="1"/>
    <xf numFmtId="0" fontId="66" fillId="4" borderId="30" xfId="0" applyFont="1" applyFill="1" applyBorder="1" applyAlignment="1">
      <alignment horizontal="center" vertical="center" wrapText="1"/>
    </xf>
    <xf numFmtId="0" fontId="66" fillId="4" borderId="33" xfId="0" applyFont="1" applyFill="1" applyBorder="1"/>
    <xf numFmtId="0" fontId="83" fillId="4" borderId="30" xfId="0" applyFont="1" applyFill="1" applyBorder="1" applyAlignment="1">
      <alignment horizontal="left" indent="3"/>
    </xf>
    <xf numFmtId="0" fontId="83" fillId="4" borderId="74" xfId="0" applyFont="1" applyFill="1" applyBorder="1" applyAlignment="1">
      <alignment horizontal="left" indent="3"/>
    </xf>
    <xf numFmtId="0" fontId="66" fillId="4" borderId="32" xfId="0" applyFont="1" applyFill="1" applyBorder="1" applyAlignment="1">
      <alignment horizontal="center" vertical="center" wrapText="1"/>
    </xf>
    <xf numFmtId="0" fontId="66" fillId="4" borderId="33" xfId="0" applyFont="1" applyFill="1" applyBorder="1" applyAlignment="1">
      <alignment horizontal="center" vertical="center" wrapText="1"/>
    </xf>
    <xf numFmtId="0" fontId="66" fillId="4" borderId="0" xfId="0" applyFont="1" applyFill="1" applyAlignment="1">
      <alignment horizontal="right"/>
    </xf>
    <xf numFmtId="0" fontId="83" fillId="47" borderId="34" xfId="0" applyFont="1" applyFill="1" applyBorder="1" applyAlignment="1" applyProtection="1">
      <alignment horizontal="right" vertical="center"/>
      <protection locked="0"/>
    </xf>
    <xf numFmtId="0" fontId="66" fillId="47" borderId="47" xfId="1" applyNumberFormat="1" applyFont="1" applyFill="1" applyBorder="1" applyAlignment="1" applyProtection="1">
      <alignment horizontal="center" vertical="center" wrapText="1"/>
      <protection locked="0"/>
    </xf>
    <xf numFmtId="0" fontId="66" fillId="47" borderId="20" xfId="0" applyFont="1" applyFill="1" applyBorder="1" applyAlignment="1" applyProtection="1">
      <alignment horizontal="center" vertical="center" wrapText="1"/>
      <protection locked="0"/>
    </xf>
    <xf numFmtId="9" fontId="66" fillId="47" borderId="68" xfId="2" applyFont="1" applyFill="1" applyBorder="1" applyAlignment="1" applyProtection="1">
      <alignment horizontal="center" vertical="center" wrapText="1"/>
      <protection locked="0"/>
    </xf>
    <xf numFmtId="9" fontId="66" fillId="47" borderId="61" xfId="2" applyFont="1" applyFill="1" applyBorder="1" applyAlignment="1" applyProtection="1">
      <alignment horizontal="center" vertical="center" wrapText="1"/>
      <protection locked="0"/>
    </xf>
    <xf numFmtId="9" fontId="66" fillId="47" borderId="49" xfId="2" applyFont="1" applyFill="1" applyBorder="1" applyAlignment="1" applyProtection="1">
      <alignment horizontal="center" vertical="center" wrapText="1"/>
      <protection locked="0"/>
    </xf>
    <xf numFmtId="9" fontId="66" fillId="0" borderId="56" xfId="0" applyNumberFormat="1" applyFont="1" applyBorder="1" applyAlignment="1">
      <alignment horizontal="center" vertical="center" wrapText="1"/>
    </xf>
    <xf numFmtId="0" fontId="66" fillId="52" borderId="82" xfId="1" applyNumberFormat="1" applyFont="1" applyFill="1" applyBorder="1" applyAlignment="1" applyProtection="1">
      <alignment horizontal="center" vertical="center" wrapText="1"/>
    </xf>
    <xf numFmtId="0" fontId="66" fillId="52" borderId="106" xfId="1" applyNumberFormat="1" applyFont="1" applyFill="1" applyBorder="1" applyAlignment="1" applyProtection="1">
      <alignment horizontal="center" vertical="center" wrapText="1"/>
    </xf>
    <xf numFmtId="0" fontId="66" fillId="52" borderId="81" xfId="1" applyNumberFormat="1" applyFont="1" applyFill="1" applyBorder="1" applyAlignment="1" applyProtection="1">
      <alignment horizontal="center" vertical="center" wrapText="1"/>
    </xf>
    <xf numFmtId="0" fontId="66" fillId="47" borderId="18" xfId="0" applyFont="1" applyFill="1" applyBorder="1" applyAlignment="1" applyProtection="1">
      <alignment horizontal="center" vertical="center" wrapText="1"/>
      <protection locked="0"/>
    </xf>
    <xf numFmtId="0" fontId="66" fillId="47" borderId="28" xfId="1" applyNumberFormat="1" applyFont="1" applyFill="1" applyBorder="1" applyAlignment="1" applyProtection="1">
      <alignment horizontal="center" vertical="center" wrapText="1"/>
    </xf>
    <xf numFmtId="0" fontId="83" fillId="47" borderId="27" xfId="0" applyFont="1" applyFill="1" applyBorder="1" applyAlignment="1" applyProtection="1">
      <alignment horizontal="right" vertical="center"/>
      <protection locked="0"/>
    </xf>
    <xf numFmtId="0" fontId="66" fillId="47" borderId="8" xfId="0" applyFont="1" applyFill="1" applyBorder="1" applyAlignment="1" applyProtection="1">
      <alignment horizontal="center" vertical="center" wrapText="1"/>
      <protection locked="0"/>
    </xf>
    <xf numFmtId="0" fontId="66" fillId="47" borderId="36" xfId="1" applyNumberFormat="1" applyFont="1" applyFill="1" applyBorder="1" applyAlignment="1" applyProtection="1">
      <alignment horizontal="center" vertical="center" wrapText="1"/>
    </xf>
    <xf numFmtId="0" fontId="66" fillId="4" borderId="50" xfId="0" applyFont="1" applyFill="1" applyBorder="1"/>
    <xf numFmtId="0" fontId="66" fillId="4" borderId="29" xfId="0" applyFont="1" applyFill="1" applyBorder="1"/>
    <xf numFmtId="0" fontId="66" fillId="4" borderId="37" xfId="0" applyFont="1" applyFill="1" applyBorder="1"/>
    <xf numFmtId="0" fontId="66" fillId="4" borderId="69" xfId="0" applyFont="1" applyFill="1" applyBorder="1"/>
    <xf numFmtId="0" fontId="66" fillId="4" borderId="62" xfId="0" applyFont="1" applyFill="1" applyBorder="1"/>
    <xf numFmtId="0" fontId="66" fillId="4" borderId="56" xfId="0" applyFont="1" applyFill="1" applyBorder="1"/>
    <xf numFmtId="0" fontId="66" fillId="33" borderId="106" xfId="0" applyFont="1" applyFill="1" applyBorder="1"/>
    <xf numFmtId="0" fontId="66" fillId="4" borderId="5" xfId="0" applyFont="1" applyFill="1" applyBorder="1" applyAlignment="1">
      <alignment horizontal="left" indent="1"/>
    </xf>
    <xf numFmtId="0" fontId="66" fillId="4" borderId="73" xfId="0" applyFont="1" applyFill="1" applyBorder="1"/>
    <xf numFmtId="0" fontId="83" fillId="4" borderId="5" xfId="0" applyFont="1" applyFill="1" applyBorder="1" applyAlignment="1">
      <alignment horizontal="left" indent="3"/>
    </xf>
    <xf numFmtId="0" fontId="65" fillId="4" borderId="5" xfId="0" applyFont="1" applyFill="1" applyBorder="1" applyAlignment="1">
      <alignment horizontal="left"/>
    </xf>
    <xf numFmtId="0" fontId="65" fillId="4" borderId="0" xfId="0" applyFont="1" applyFill="1" applyAlignment="1">
      <alignment horizontal="left"/>
    </xf>
    <xf numFmtId="0" fontId="65" fillId="4" borderId="6" xfId="0" applyFont="1" applyFill="1" applyBorder="1" applyAlignment="1">
      <alignment horizontal="left"/>
    </xf>
    <xf numFmtId="0" fontId="65" fillId="4" borderId="73" xfId="0" applyFont="1" applyFill="1" applyBorder="1" applyAlignment="1">
      <alignment horizontal="left"/>
    </xf>
    <xf numFmtId="0" fontId="65" fillId="4" borderId="5" xfId="0" applyFont="1" applyFill="1" applyBorder="1"/>
    <xf numFmtId="0" fontId="65" fillId="4" borderId="0" xfId="0" applyFont="1" applyFill="1"/>
    <xf numFmtId="0" fontId="65" fillId="4" borderId="6" xfId="0" applyFont="1" applyFill="1" applyBorder="1"/>
    <xf numFmtId="0" fontId="65" fillId="4" borderId="73" xfId="0" applyFont="1" applyFill="1" applyBorder="1"/>
    <xf numFmtId="0" fontId="83" fillId="47" borderId="27" xfId="0" applyFont="1" applyFill="1" applyBorder="1" applyAlignment="1" applyProtection="1">
      <alignment horizontal="right"/>
      <protection locked="0"/>
    </xf>
    <xf numFmtId="0" fontId="83" fillId="4" borderId="5" xfId="0" applyFont="1" applyFill="1" applyBorder="1" applyAlignment="1">
      <alignment horizontal="left" vertical="center" indent="3"/>
    </xf>
    <xf numFmtId="0" fontId="66" fillId="47" borderId="18" xfId="0" applyFont="1" applyFill="1" applyBorder="1" applyAlignment="1" applyProtection="1">
      <alignment wrapText="1"/>
      <protection locked="0"/>
    </xf>
    <xf numFmtId="0" fontId="66" fillId="4" borderId="0" xfId="0" applyFont="1" applyFill="1" applyAlignment="1">
      <alignment wrapText="1"/>
    </xf>
    <xf numFmtId="0" fontId="66" fillId="47" borderId="18" xfId="1" applyNumberFormat="1" applyFont="1" applyFill="1" applyBorder="1" applyAlignment="1" applyProtection="1">
      <alignment horizontal="center" vertical="center" wrapText="1"/>
      <protection locked="0"/>
    </xf>
    <xf numFmtId="0" fontId="66" fillId="46" borderId="0" xfId="0" applyFont="1" applyFill="1"/>
    <xf numFmtId="0" fontId="79" fillId="0" borderId="0" xfId="0" applyFont="1" applyAlignment="1">
      <alignment horizontal="center" wrapText="1"/>
    </xf>
    <xf numFmtId="0" fontId="72" fillId="33" borderId="0" xfId="0" applyFont="1" applyFill="1" applyAlignment="1">
      <alignment wrapText="1"/>
    </xf>
    <xf numFmtId="0" fontId="72" fillId="0" borderId="0" xfId="0" applyFont="1" applyAlignment="1">
      <alignment wrapText="1"/>
    </xf>
    <xf numFmtId="166" fontId="66" fillId="0" borderId="0" xfId="0" applyNumberFormat="1" applyFont="1" applyAlignment="1">
      <alignment wrapText="1"/>
    </xf>
    <xf numFmtId="0" fontId="35" fillId="4" borderId="6" xfId="0" applyFont="1" applyFill="1" applyBorder="1" applyAlignment="1">
      <alignment horizontal="left" indent="1"/>
    </xf>
    <xf numFmtId="0" fontId="38" fillId="52" borderId="34" xfId="0" applyFont="1" applyFill="1" applyBorder="1" applyAlignment="1">
      <alignment horizontal="right" vertical="center"/>
    </xf>
    <xf numFmtId="9" fontId="29" fillId="47" borderId="125" xfId="2" applyFont="1" applyFill="1" applyBorder="1" applyProtection="1">
      <protection locked="0"/>
    </xf>
    <xf numFmtId="9" fontId="29" fillId="47" borderId="127" xfId="2" applyFont="1" applyFill="1" applyBorder="1" applyProtection="1">
      <protection locked="0"/>
    </xf>
    <xf numFmtId="0" fontId="29" fillId="52" borderId="126" xfId="2" applyNumberFormat="1" applyFont="1" applyFill="1" applyBorder="1" applyProtection="1"/>
    <xf numFmtId="0" fontId="29" fillId="52" borderId="125" xfId="2" applyNumberFormat="1" applyFont="1" applyFill="1" applyBorder="1" applyProtection="1"/>
    <xf numFmtId="0" fontId="29" fillId="52" borderId="125" xfId="0" applyFont="1" applyFill="1" applyBorder="1"/>
    <xf numFmtId="0" fontId="29" fillId="52" borderId="127" xfId="0" applyFont="1" applyFill="1" applyBorder="1"/>
    <xf numFmtId="0" fontId="29" fillId="33" borderId="51" xfId="0" applyFont="1" applyFill="1" applyBorder="1"/>
    <xf numFmtId="0" fontId="38" fillId="52" borderId="126" xfId="0" applyFont="1" applyFill="1" applyBorder="1" applyAlignment="1">
      <alignment horizontal="right" vertical="center"/>
    </xf>
    <xf numFmtId="0" fontId="29" fillId="4" borderId="6" xfId="0" applyFont="1" applyFill="1" applyBorder="1" applyAlignment="1">
      <alignment horizontal="left" indent="1"/>
    </xf>
    <xf numFmtId="0" fontId="38" fillId="52" borderId="126" xfId="0" applyFont="1" applyFill="1" applyBorder="1" applyAlignment="1">
      <alignment horizontal="right"/>
    </xf>
    <xf numFmtId="0" fontId="38" fillId="4" borderId="0" xfId="0" applyFont="1" applyFill="1" applyAlignment="1">
      <alignment horizontal="left" vertical="center" indent="3"/>
    </xf>
    <xf numFmtId="0" fontId="38" fillId="4" borderId="6" xfId="0" applyFont="1" applyFill="1" applyBorder="1" applyAlignment="1">
      <alignment horizontal="left" vertical="center" indent="3"/>
    </xf>
    <xf numFmtId="166" fontId="29" fillId="46" borderId="104" xfId="1" applyNumberFormat="1" applyFont="1" applyFill="1" applyBorder="1" applyAlignment="1" applyProtection="1">
      <alignment horizontal="center" vertical="center" wrapText="1"/>
    </xf>
    <xf numFmtId="0" fontId="84" fillId="52" borderId="0" xfId="0" applyFont="1" applyFill="1"/>
    <xf numFmtId="0" fontId="65" fillId="53" borderId="42" xfId="0" applyFont="1" applyFill="1" applyBorder="1" applyAlignment="1">
      <alignment wrapText="1"/>
    </xf>
    <xf numFmtId="0" fontId="65" fillId="4" borderId="107" xfId="0" applyFont="1" applyFill="1" applyBorder="1"/>
    <xf numFmtId="0" fontId="79" fillId="0" borderId="0" xfId="0" applyFont="1" applyAlignment="1">
      <alignment wrapText="1"/>
    </xf>
    <xf numFmtId="0" fontId="66" fillId="4" borderId="19" xfId="0" applyFont="1" applyFill="1" applyBorder="1"/>
    <xf numFmtId="0" fontId="66" fillId="4" borderId="108" xfId="0" applyFont="1" applyFill="1" applyBorder="1"/>
    <xf numFmtId="0" fontId="66" fillId="0" borderId="107" xfId="0" applyFont="1" applyBorder="1" applyAlignment="1">
      <alignment horizontal="left" indent="1"/>
    </xf>
    <xf numFmtId="0" fontId="66" fillId="52" borderId="19" xfId="0" applyFont="1" applyFill="1" applyBorder="1"/>
    <xf numFmtId="0" fontId="66" fillId="52" borderId="108" xfId="0" applyFont="1" applyFill="1" applyBorder="1"/>
    <xf numFmtId="0" fontId="66" fillId="4" borderId="107" xfId="0" applyFont="1" applyFill="1" applyBorder="1" applyAlignment="1">
      <alignment horizontal="left" indent="1"/>
    </xf>
    <xf numFmtId="0" fontId="66" fillId="53" borderId="41" xfId="0" applyFont="1" applyFill="1" applyBorder="1" applyAlignment="1">
      <alignment wrapText="1"/>
    </xf>
    <xf numFmtId="0" fontId="66" fillId="53" borderId="40" xfId="0" applyFont="1" applyFill="1" applyBorder="1" applyAlignment="1">
      <alignment wrapText="1"/>
    </xf>
    <xf numFmtId="0" fontId="65" fillId="54" borderId="5" xfId="0" applyFont="1" applyFill="1" applyBorder="1"/>
    <xf numFmtId="0" fontId="65" fillId="54" borderId="0" xfId="0" applyFont="1" applyFill="1" applyAlignment="1">
      <alignment wrapText="1"/>
    </xf>
    <xf numFmtId="0" fontId="65" fillId="54" borderId="6" xfId="0" applyFont="1" applyFill="1" applyBorder="1" applyAlignment="1">
      <alignment wrapText="1"/>
    </xf>
    <xf numFmtId="0" fontId="79" fillId="4" borderId="0" xfId="0" applyFont="1" applyFill="1" applyAlignment="1">
      <alignment wrapText="1"/>
    </xf>
    <xf numFmtId="0" fontId="65" fillId="46" borderId="32" xfId="0" applyFont="1" applyFill="1" applyBorder="1" applyAlignment="1">
      <alignment horizontal="left"/>
    </xf>
    <xf numFmtId="0" fontId="65" fillId="46" borderId="5" xfId="0" applyFont="1" applyFill="1" applyBorder="1" applyAlignment="1">
      <alignment horizontal="left"/>
    </xf>
    <xf numFmtId="0" fontId="65" fillId="46" borderId="58" xfId="0" applyFont="1" applyFill="1" applyBorder="1"/>
    <xf numFmtId="0" fontId="65" fillId="46" borderId="113" xfId="0" applyFont="1" applyFill="1" applyBorder="1"/>
    <xf numFmtId="0" fontId="65" fillId="46" borderId="102" xfId="0" applyFont="1" applyFill="1" applyBorder="1"/>
    <xf numFmtId="0" fontId="65" fillId="0" borderId="0" xfId="0" applyFont="1" applyAlignment="1">
      <alignment horizontal="center" wrapText="1"/>
    </xf>
    <xf numFmtId="0" fontId="65" fillId="53" borderId="109" xfId="0" applyFont="1" applyFill="1" applyBorder="1"/>
    <xf numFmtId="0" fontId="65" fillId="53" borderId="40" xfId="0" applyFont="1" applyFill="1" applyBorder="1" applyAlignment="1">
      <alignment wrapText="1"/>
    </xf>
    <xf numFmtId="0" fontId="65" fillId="53" borderId="39" xfId="0" applyFont="1" applyFill="1" applyBorder="1" applyAlignment="1">
      <alignment wrapText="1"/>
    </xf>
    <xf numFmtId="0" fontId="66" fillId="53" borderId="42" xfId="0" applyFont="1" applyFill="1" applyBorder="1" applyAlignment="1">
      <alignment wrapText="1"/>
    </xf>
    <xf numFmtId="0" fontId="65" fillId="4" borderId="2" xfId="0" applyFont="1" applyFill="1" applyBorder="1"/>
    <xf numFmtId="0" fontId="79" fillId="4" borderId="0" xfId="0" applyFont="1" applyFill="1"/>
    <xf numFmtId="0" fontId="83" fillId="4" borderId="0" xfId="0" applyFont="1" applyFill="1" applyAlignment="1">
      <alignment horizontal="left" indent="3"/>
    </xf>
    <xf numFmtId="0" fontId="66" fillId="52" borderId="125" xfId="1" applyNumberFormat="1" applyFont="1" applyFill="1" applyBorder="1" applyAlignment="1" applyProtection="1">
      <alignment horizontal="center" vertical="center" wrapText="1"/>
    </xf>
    <xf numFmtId="0" fontId="66" fillId="52" borderId="127" xfId="1" applyNumberFormat="1" applyFont="1" applyFill="1" applyBorder="1" applyAlignment="1" applyProtection="1">
      <alignment horizontal="center" vertical="center" wrapText="1"/>
    </xf>
    <xf numFmtId="0" fontId="83" fillId="4" borderId="6" xfId="0" applyFont="1" applyFill="1" applyBorder="1" applyAlignment="1">
      <alignment horizontal="left" indent="3"/>
    </xf>
    <xf numFmtId="0" fontId="79" fillId="4" borderId="0" xfId="0" applyFont="1" applyFill="1" applyAlignment="1">
      <alignment horizontal="left"/>
    </xf>
    <xf numFmtId="0" fontId="79" fillId="4" borderId="6" xfId="0" applyFont="1" applyFill="1" applyBorder="1" applyAlignment="1">
      <alignment horizontal="left"/>
    </xf>
    <xf numFmtId="0" fontId="79" fillId="4" borderId="6" xfId="0" applyFont="1" applyFill="1" applyBorder="1"/>
    <xf numFmtId="0" fontId="65" fillId="46" borderId="128" xfId="0" applyFont="1" applyFill="1" applyBorder="1"/>
    <xf numFmtId="0" fontId="66" fillId="46" borderId="130" xfId="1" applyNumberFormat="1" applyFont="1" applyFill="1" applyBorder="1" applyAlignment="1" applyProtection="1">
      <alignment horizontal="center" vertical="center" wrapText="1"/>
    </xf>
    <xf numFmtId="0" fontId="66" fillId="46" borderId="129" xfId="1" applyNumberFormat="1" applyFont="1" applyFill="1" applyBorder="1" applyAlignment="1" applyProtection="1">
      <alignment horizontal="center" vertical="center" wrapText="1"/>
    </xf>
    <xf numFmtId="0" fontId="66" fillId="46" borderId="80" xfId="1" applyNumberFormat="1" applyFont="1" applyFill="1" applyBorder="1" applyAlignment="1" applyProtection="1">
      <alignment horizontal="center" vertical="center" wrapText="1"/>
    </xf>
    <xf numFmtId="0" fontId="84" fillId="0" borderId="0" xfId="0" applyFont="1"/>
    <xf numFmtId="167" fontId="66" fillId="4" borderId="6" xfId="0" applyNumberFormat="1" applyFont="1" applyFill="1" applyBorder="1"/>
    <xf numFmtId="0" fontId="66" fillId="52" borderId="0" xfId="0" applyFont="1" applyFill="1"/>
    <xf numFmtId="0" fontId="66" fillId="52" borderId="6" xfId="0" applyFont="1" applyFill="1" applyBorder="1"/>
    <xf numFmtId="0" fontId="65" fillId="46" borderId="30" xfId="0" applyFont="1" applyFill="1" applyBorder="1"/>
    <xf numFmtId="0" fontId="65" fillId="46" borderId="33" xfId="0" applyFont="1" applyFill="1" applyBorder="1"/>
    <xf numFmtId="0" fontId="66" fillId="46" borderId="6" xfId="0" applyFont="1" applyFill="1" applyBorder="1"/>
    <xf numFmtId="0" fontId="66" fillId="0" borderId="5" xfId="0" applyFont="1" applyBorder="1" applyAlignment="1">
      <alignment horizontal="left" indent="1"/>
    </xf>
    <xf numFmtId="0" fontId="66" fillId="46" borderId="0" xfId="0" applyFont="1" applyFill="1" applyAlignment="1">
      <alignment wrapText="1"/>
    </xf>
    <xf numFmtId="0" fontId="83" fillId="52" borderId="126" xfId="0" applyFont="1" applyFill="1" applyBorder="1" applyAlignment="1">
      <alignment horizontal="right" vertical="center"/>
    </xf>
    <xf numFmtId="0" fontId="66" fillId="36" borderId="51" xfId="0" applyFont="1" applyFill="1" applyBorder="1"/>
    <xf numFmtId="0" fontId="66" fillId="36" borderId="23" xfId="0" applyFont="1" applyFill="1" applyBorder="1"/>
    <xf numFmtId="0" fontId="68" fillId="4" borderId="6" xfId="0" applyFont="1" applyFill="1" applyBorder="1" applyAlignment="1">
      <alignment horizontal="left" indent="1"/>
    </xf>
    <xf numFmtId="0" fontId="83" fillId="52" borderId="126" xfId="0" applyFont="1" applyFill="1" applyBorder="1" applyAlignment="1">
      <alignment horizontal="right"/>
    </xf>
    <xf numFmtId="0" fontId="83" fillId="4" borderId="0" xfId="0" applyFont="1" applyFill="1" applyAlignment="1">
      <alignment horizontal="left" vertical="center" indent="3"/>
    </xf>
    <xf numFmtId="0" fontId="83" fillId="4" borderId="6" xfId="0" applyFont="1" applyFill="1" applyBorder="1" applyAlignment="1">
      <alignment horizontal="left" vertical="center" indent="3"/>
    </xf>
    <xf numFmtId="0" fontId="66" fillId="52" borderId="8" xfId="0" applyFont="1" applyFill="1" applyBorder="1"/>
    <xf numFmtId="0" fontId="66" fillId="52" borderId="36" xfId="0" applyFont="1" applyFill="1" applyBorder="1"/>
    <xf numFmtId="3" fontId="66" fillId="0" borderId="0" xfId="0" applyNumberFormat="1" applyFont="1"/>
    <xf numFmtId="171" fontId="66" fillId="0" borderId="0" xfId="2" applyNumberFormat="1" applyFont="1"/>
    <xf numFmtId="9" fontId="66" fillId="0" borderId="0" xfId="0" applyNumberFormat="1" applyFont="1"/>
    <xf numFmtId="9" fontId="66" fillId="0" borderId="0" xfId="2" applyFont="1"/>
    <xf numFmtId="170" fontId="66" fillId="0" borderId="0" xfId="0" applyNumberFormat="1" applyFont="1"/>
    <xf numFmtId="9" fontId="66" fillId="0" borderId="0" xfId="2" applyFont="1" applyBorder="1"/>
    <xf numFmtId="0" fontId="66" fillId="42" borderId="0" xfId="0" applyFont="1" applyFill="1"/>
    <xf numFmtId="0" fontId="65" fillId="42" borderId="0" xfId="0" applyFont="1" applyFill="1"/>
    <xf numFmtId="0" fontId="66" fillId="42" borderId="0" xfId="0" applyFont="1" applyFill="1" applyAlignment="1">
      <alignment wrapText="1"/>
    </xf>
    <xf numFmtId="173" fontId="69" fillId="0" borderId="0" xfId="0" applyNumberFormat="1" applyFont="1"/>
    <xf numFmtId="0" fontId="69" fillId="33" borderId="0" xfId="0" applyFont="1" applyFill="1"/>
    <xf numFmtId="9" fontId="69" fillId="0" borderId="0" xfId="2" applyFont="1"/>
    <xf numFmtId="172" fontId="69" fillId="0" borderId="0" xfId="2" applyNumberFormat="1" applyFont="1"/>
    <xf numFmtId="0" fontId="67" fillId="4" borderId="0" xfId="0" applyFont="1" applyFill="1" applyAlignment="1">
      <alignment vertical="center"/>
    </xf>
    <xf numFmtId="0" fontId="66" fillId="52" borderId="0" xfId="0" applyFont="1" applyFill="1" applyAlignment="1">
      <alignment wrapText="1"/>
    </xf>
    <xf numFmtId="0" fontId="66" fillId="4" borderId="5" xfId="0" applyFont="1" applyFill="1" applyBorder="1" applyAlignment="1">
      <alignment horizontal="right"/>
    </xf>
    <xf numFmtId="0" fontId="66" fillId="4" borderId="86" xfId="1" applyNumberFormat="1" applyFont="1" applyFill="1" applyBorder="1"/>
    <xf numFmtId="0" fontId="66" fillId="52" borderId="0" xfId="0" applyFont="1" applyFill="1" applyAlignment="1">
      <alignment horizontal="center"/>
    </xf>
    <xf numFmtId="0" fontId="65" fillId="46" borderId="0" xfId="0" applyFont="1" applyFill="1" applyAlignment="1">
      <alignment horizontal="center"/>
    </xf>
    <xf numFmtId="0" fontId="65" fillId="46" borderId="6" xfId="0" applyFont="1" applyFill="1" applyBorder="1" applyAlignment="1">
      <alignment horizontal="center"/>
    </xf>
    <xf numFmtId="0" fontId="66" fillId="4" borderId="21" xfId="1" applyNumberFormat="1" applyFont="1" applyFill="1" applyBorder="1"/>
    <xf numFmtId="0" fontId="66" fillId="4" borderId="99" xfId="0" applyFont="1" applyFill="1" applyBorder="1" applyAlignment="1">
      <alignment horizontal="right"/>
    </xf>
    <xf numFmtId="0" fontId="66" fillId="4" borderId="103" xfId="1" applyNumberFormat="1" applyFont="1" applyFill="1" applyBorder="1"/>
    <xf numFmtId="0" fontId="66" fillId="52" borderId="100" xfId="0" applyFont="1" applyFill="1" applyBorder="1" applyAlignment="1">
      <alignment horizontal="center"/>
    </xf>
    <xf numFmtId="0" fontId="66" fillId="4" borderId="63" xfId="0" applyFont="1" applyFill="1" applyBorder="1" applyAlignment="1">
      <alignment horizontal="right"/>
    </xf>
    <xf numFmtId="0" fontId="66" fillId="4" borderId="87" xfId="1" applyNumberFormat="1" applyFont="1" applyFill="1" applyBorder="1"/>
    <xf numFmtId="0" fontId="66" fillId="52" borderId="64" xfId="0" applyFont="1" applyFill="1" applyBorder="1" applyAlignment="1">
      <alignment horizontal="center"/>
    </xf>
    <xf numFmtId="0" fontId="65" fillId="46" borderId="64" xfId="0" applyFont="1" applyFill="1" applyBorder="1" applyAlignment="1">
      <alignment horizontal="center"/>
    </xf>
    <xf numFmtId="0" fontId="65" fillId="46" borderId="65" xfId="0" applyFont="1" applyFill="1" applyBorder="1" applyAlignment="1">
      <alignment horizontal="center"/>
    </xf>
    <xf numFmtId="0" fontId="88" fillId="0" borderId="0" xfId="0" applyFont="1" applyAlignment="1">
      <alignment wrapText="1"/>
    </xf>
    <xf numFmtId="0" fontId="89" fillId="0" borderId="0" xfId="0" applyFont="1" applyAlignment="1">
      <alignment wrapText="1"/>
    </xf>
    <xf numFmtId="0" fontId="83" fillId="0" borderId="0" xfId="0" applyFont="1" applyAlignment="1">
      <alignment vertical="center" wrapText="1"/>
    </xf>
    <xf numFmtId="0" fontId="66" fillId="0" borderId="0" xfId="0" applyFont="1" applyAlignment="1">
      <alignment horizontal="left" wrapText="1"/>
    </xf>
    <xf numFmtId="0" fontId="66" fillId="0" borderId="0" xfId="0" applyFont="1" applyAlignment="1">
      <alignment horizontal="left" vertical="center" wrapText="1"/>
    </xf>
    <xf numFmtId="0" fontId="65" fillId="0" borderId="32" xfId="0" applyFont="1" applyBorder="1" applyAlignment="1">
      <alignment horizontal="left" wrapText="1"/>
    </xf>
    <xf numFmtId="0" fontId="66" fillId="0" borderId="34" xfId="0" applyFont="1" applyBorder="1" applyAlignment="1">
      <alignment horizontal="left" wrapText="1"/>
    </xf>
    <xf numFmtId="0" fontId="66" fillId="0" borderId="20" xfId="0" applyFont="1" applyBorder="1" applyAlignment="1">
      <alignment horizontal="left" wrapText="1"/>
    </xf>
    <xf numFmtId="9" fontId="66" fillId="4" borderId="20" xfId="2" applyFont="1" applyFill="1" applyBorder="1" applyAlignment="1" applyProtection="1">
      <alignment horizontal="left" wrapText="1"/>
    </xf>
    <xf numFmtId="0" fontId="66" fillId="4" borderId="35" xfId="0" applyFont="1" applyFill="1" applyBorder="1" applyAlignment="1">
      <alignment horizontal="left" wrapText="1"/>
    </xf>
    <xf numFmtId="0" fontId="66" fillId="0" borderId="1" xfId="0" applyFont="1" applyBorder="1" applyAlignment="1">
      <alignment horizontal="left" wrapText="1"/>
    </xf>
    <xf numFmtId="9" fontId="66" fillId="46" borderId="20" xfId="2" applyFont="1" applyFill="1" applyBorder="1" applyAlignment="1" applyProtection="1">
      <alignment horizontal="left" wrapText="1"/>
    </xf>
    <xf numFmtId="0" fontId="66" fillId="46" borderId="33" xfId="0" applyFont="1" applyFill="1" applyBorder="1" applyAlignment="1">
      <alignment horizontal="left" wrapText="1"/>
    </xf>
    <xf numFmtId="0" fontId="64" fillId="4" borderId="125" xfId="0" applyFont="1" applyFill="1" applyBorder="1" applyAlignment="1">
      <alignment wrapText="1"/>
    </xf>
    <xf numFmtId="0" fontId="66" fillId="4" borderId="51" xfId="0" applyFont="1" applyFill="1" applyBorder="1" applyAlignment="1">
      <alignment horizontal="left"/>
    </xf>
    <xf numFmtId="0" fontId="66" fillId="4" borderId="79" xfId="0" applyFont="1" applyFill="1" applyBorder="1" applyAlignment="1">
      <alignment horizontal="left" vertical="center" wrapText="1"/>
    </xf>
    <xf numFmtId="9" fontId="66" fillId="4" borderId="79" xfId="2" applyFont="1" applyFill="1" applyBorder="1" applyAlignment="1" applyProtection="1">
      <alignment horizontal="left"/>
    </xf>
    <xf numFmtId="0" fontId="66" fillId="4" borderId="37" xfId="0" applyFont="1" applyFill="1" applyBorder="1" applyAlignment="1">
      <alignment horizontal="left"/>
    </xf>
    <xf numFmtId="0" fontId="66" fillId="4" borderId="82" xfId="0" applyFont="1" applyFill="1" applyBorder="1" applyAlignment="1">
      <alignment horizontal="left"/>
    </xf>
    <xf numFmtId="0" fontId="66" fillId="46" borderId="6" xfId="0" applyFont="1" applyFill="1" applyBorder="1" applyAlignment="1">
      <alignment horizontal="left"/>
    </xf>
    <xf numFmtId="169" fontId="66" fillId="0" borderId="0" xfId="0" applyNumberFormat="1" applyFont="1" applyAlignment="1">
      <alignment horizontal="left"/>
    </xf>
    <xf numFmtId="0" fontId="66" fillId="52" borderId="37" xfId="0" applyFont="1" applyFill="1" applyBorder="1" applyAlignment="1">
      <alignment horizontal="left"/>
    </xf>
    <xf numFmtId="0" fontId="64" fillId="0" borderId="0" xfId="0" applyFont="1" applyAlignment="1">
      <alignment wrapText="1"/>
    </xf>
    <xf numFmtId="0" fontId="66" fillId="0" borderId="77" xfId="0" applyFont="1" applyBorder="1" applyAlignment="1">
      <alignment horizontal="left" wrapText="1"/>
    </xf>
    <xf numFmtId="9" fontId="66" fillId="4" borderId="77" xfId="2" applyFont="1" applyFill="1" applyBorder="1" applyAlignment="1" applyProtection="1">
      <alignment horizontal="left" wrapText="1"/>
    </xf>
    <xf numFmtId="0" fontId="66" fillId="4" borderId="34" xfId="0" applyFont="1" applyFill="1" applyBorder="1" applyAlignment="1">
      <alignment horizontal="left" wrapText="1"/>
    </xf>
    <xf numFmtId="0" fontId="66" fillId="4" borderId="78" xfId="0" applyFont="1" applyFill="1" applyBorder="1" applyAlignment="1">
      <alignment horizontal="left" wrapText="1"/>
    </xf>
    <xf numFmtId="0" fontId="64" fillId="0" borderId="79" xfId="0" applyFont="1" applyBorder="1" applyAlignment="1">
      <alignment horizontal="left" wrapText="1"/>
    </xf>
    <xf numFmtId="0" fontId="66" fillId="4" borderId="69" xfId="0" applyFont="1" applyFill="1" applyBorder="1" applyAlignment="1">
      <alignment horizontal="left" wrapText="1"/>
    </xf>
    <xf numFmtId="0" fontId="66" fillId="4" borderId="94" xfId="0" applyFont="1" applyFill="1" applyBorder="1" applyAlignment="1">
      <alignment horizontal="left" wrapText="1"/>
    </xf>
    <xf numFmtId="9" fontId="66" fillId="0" borderId="0" xfId="2" applyFont="1" applyProtection="1"/>
    <xf numFmtId="9" fontId="66" fillId="0" borderId="0" xfId="2" applyFont="1" applyAlignment="1" applyProtection="1">
      <alignment horizontal="left"/>
    </xf>
    <xf numFmtId="0" fontId="64" fillId="0" borderId="5" xfId="0" applyFont="1" applyBorder="1" applyAlignment="1">
      <alignment wrapText="1"/>
    </xf>
    <xf numFmtId="169" fontId="66" fillId="4" borderId="133" xfId="0" applyNumberFormat="1" applyFont="1" applyFill="1" applyBorder="1" applyAlignment="1">
      <alignment horizontal="left" wrapText="1"/>
    </xf>
    <xf numFmtId="169" fontId="66" fillId="4" borderId="34" xfId="0" applyNumberFormat="1" applyFont="1" applyFill="1" applyBorder="1" applyAlignment="1">
      <alignment horizontal="left" wrapText="1"/>
    </xf>
    <xf numFmtId="169" fontId="66" fillId="4" borderId="20" xfId="0" applyNumberFormat="1" applyFont="1" applyFill="1" applyBorder="1" applyAlignment="1">
      <alignment horizontal="left" wrapText="1"/>
    </xf>
    <xf numFmtId="0" fontId="64" fillId="0" borderId="32" xfId="0" applyFont="1" applyBorder="1" applyAlignment="1">
      <alignment horizontal="left" wrapText="1"/>
    </xf>
    <xf numFmtId="169" fontId="66" fillId="4" borderId="125" xfId="0" applyNumberFormat="1" applyFont="1" applyFill="1" applyBorder="1" applyAlignment="1">
      <alignment horizontal="left" wrapText="1"/>
    </xf>
    <xf numFmtId="9" fontId="66" fillId="4" borderId="23" xfId="2" applyFont="1" applyFill="1" applyBorder="1" applyAlignment="1" applyProtection="1">
      <alignment horizontal="left" wrapText="1"/>
    </xf>
    <xf numFmtId="169" fontId="66" fillId="4" borderId="33" xfId="0" applyNumberFormat="1" applyFont="1" applyFill="1" applyBorder="1" applyAlignment="1">
      <alignment horizontal="left" wrapText="1"/>
    </xf>
    <xf numFmtId="169" fontId="66" fillId="39" borderId="34" xfId="0" applyNumberFormat="1" applyFont="1" applyFill="1" applyBorder="1" applyAlignment="1">
      <alignment horizontal="left"/>
    </xf>
    <xf numFmtId="169" fontId="66" fillId="39" borderId="20" xfId="0" applyNumberFormat="1" applyFont="1" applyFill="1" applyBorder="1" applyAlignment="1">
      <alignment horizontal="left" vertical="center" wrapText="1"/>
    </xf>
    <xf numFmtId="9" fontId="66" fillId="39" borderId="125" xfId="2" applyFont="1" applyFill="1" applyBorder="1" applyAlignment="1" applyProtection="1">
      <alignment horizontal="left"/>
    </xf>
    <xf numFmtId="169" fontId="66" fillId="39" borderId="37" xfId="0" applyNumberFormat="1" applyFont="1" applyFill="1" applyBorder="1" applyAlignment="1">
      <alignment horizontal="left"/>
    </xf>
    <xf numFmtId="169" fontId="66" fillId="39" borderId="126" xfId="0" applyNumberFormat="1" applyFont="1" applyFill="1" applyBorder="1" applyAlignment="1">
      <alignment horizontal="left"/>
    </xf>
    <xf numFmtId="169" fontId="66" fillId="39" borderId="125" xfId="0" applyNumberFormat="1" applyFont="1" applyFill="1" applyBorder="1" applyAlignment="1">
      <alignment horizontal="left" vertical="center" wrapText="1"/>
    </xf>
    <xf numFmtId="0" fontId="66" fillId="52" borderId="62" xfId="0" applyFont="1" applyFill="1" applyBorder="1" applyAlignment="1">
      <alignment horizontal="left"/>
    </xf>
    <xf numFmtId="0" fontId="66" fillId="47" borderId="125" xfId="0" applyFont="1" applyFill="1" applyBorder="1" applyAlignment="1" applyProtection="1">
      <alignment horizontal="left" vertical="center" wrapText="1"/>
      <protection locked="0"/>
    </xf>
    <xf numFmtId="0" fontId="66" fillId="52" borderId="135" xfId="0" applyFont="1" applyFill="1" applyBorder="1" applyAlignment="1">
      <alignment horizontal="left"/>
    </xf>
    <xf numFmtId="0" fontId="66" fillId="4" borderId="20" xfId="0" applyFont="1" applyFill="1" applyBorder="1" applyAlignment="1">
      <alignment horizontal="left" wrapText="1"/>
    </xf>
    <xf numFmtId="0" fontId="64" fillId="0" borderId="126" xfId="0" applyFont="1" applyBorder="1" applyAlignment="1">
      <alignment horizontal="left" wrapText="1"/>
    </xf>
    <xf numFmtId="0" fontId="66" fillId="4" borderId="89" xfId="0" applyFont="1" applyFill="1" applyBorder="1" applyAlignment="1">
      <alignment horizontal="left" wrapText="1"/>
    </xf>
    <xf numFmtId="0" fontId="66" fillId="4" borderId="77" xfId="0" applyFont="1" applyFill="1" applyBorder="1" applyAlignment="1">
      <alignment horizontal="left" wrapText="1"/>
    </xf>
    <xf numFmtId="169" fontId="66" fillId="4" borderId="89" xfId="0" applyNumberFormat="1" applyFont="1" applyFill="1" applyBorder="1" applyAlignment="1">
      <alignment horizontal="left" wrapText="1"/>
    </xf>
    <xf numFmtId="0" fontId="64" fillId="0" borderId="48" xfId="0" applyFont="1" applyBorder="1" applyAlignment="1">
      <alignment wrapText="1"/>
    </xf>
    <xf numFmtId="0" fontId="66" fillId="4" borderId="25" xfId="0" applyFont="1" applyFill="1" applyBorder="1" applyAlignment="1">
      <alignment horizontal="left" wrapText="1"/>
    </xf>
    <xf numFmtId="0" fontId="66" fillId="4" borderId="55" xfId="0" applyFont="1" applyFill="1" applyBorder="1" applyAlignment="1">
      <alignment horizontal="left" wrapText="1"/>
    </xf>
    <xf numFmtId="0" fontId="66" fillId="4" borderId="26" xfId="0" applyFont="1" applyFill="1" applyBorder="1" applyAlignment="1">
      <alignment horizontal="left" wrapText="1"/>
    </xf>
    <xf numFmtId="0" fontId="64" fillId="4" borderId="32" xfId="0" applyFont="1" applyFill="1" applyBorder="1" applyAlignment="1">
      <alignment horizontal="left" wrapText="1"/>
    </xf>
    <xf numFmtId="0" fontId="66" fillId="4" borderId="33" xfId="0" applyFont="1" applyFill="1" applyBorder="1" applyAlignment="1">
      <alignment horizontal="left" wrapText="1"/>
    </xf>
    <xf numFmtId="0" fontId="66" fillId="0" borderId="5" xfId="0" applyFont="1" applyBorder="1"/>
    <xf numFmtId="0" fontId="66" fillId="39" borderId="126" xfId="0" applyFont="1" applyFill="1" applyBorder="1" applyAlignment="1">
      <alignment horizontal="left"/>
    </xf>
    <xf numFmtId="0" fontId="66" fillId="39" borderId="125" xfId="0" applyFont="1" applyFill="1" applyBorder="1" applyAlignment="1">
      <alignment horizontal="left" vertical="center" wrapText="1"/>
    </xf>
    <xf numFmtId="0" fontId="66" fillId="39" borderId="125" xfId="0" applyFont="1" applyFill="1" applyBorder="1" applyAlignment="1">
      <alignment horizontal="left"/>
    </xf>
    <xf numFmtId="0" fontId="66" fillId="39" borderId="37" xfId="0" applyFont="1" applyFill="1" applyBorder="1" applyAlignment="1">
      <alignment horizontal="left"/>
    </xf>
    <xf numFmtId="0" fontId="66" fillId="0" borderId="89" xfId="0" applyFont="1" applyBorder="1" applyAlignment="1">
      <alignment horizontal="left" wrapText="1"/>
    </xf>
    <xf numFmtId="0" fontId="64" fillId="0" borderId="20" xfId="0" applyFont="1" applyBorder="1" applyAlignment="1">
      <alignment horizontal="left" wrapText="1"/>
    </xf>
    <xf numFmtId="0" fontId="65" fillId="4" borderId="0" xfId="0" applyFont="1" applyFill="1" applyAlignment="1">
      <alignment horizontal="left" wrapText="1"/>
    </xf>
    <xf numFmtId="0" fontId="65" fillId="4" borderId="34" xfId="0" applyFont="1" applyFill="1" applyBorder="1" applyAlignment="1">
      <alignment horizontal="left" wrapText="1"/>
    </xf>
    <xf numFmtId="0" fontId="66" fillId="4" borderId="126" xfId="0" applyFont="1" applyFill="1" applyBorder="1" applyAlignment="1">
      <alignment horizontal="left" wrapText="1"/>
    </xf>
    <xf numFmtId="0" fontId="66" fillId="47" borderId="125" xfId="0" applyFont="1" applyFill="1" applyBorder="1" applyAlignment="1">
      <alignment horizontal="left"/>
    </xf>
    <xf numFmtId="9" fontId="66" fillId="47" borderId="125" xfId="2" applyFont="1" applyFill="1" applyBorder="1" applyAlignment="1" applyProtection="1">
      <alignment horizontal="left"/>
      <protection locked="0"/>
    </xf>
    <xf numFmtId="0" fontId="66" fillId="52" borderId="125" xfId="0" applyFont="1" applyFill="1" applyBorder="1" applyAlignment="1">
      <alignment horizontal="left"/>
    </xf>
    <xf numFmtId="0" fontId="66" fillId="52" borderId="127" xfId="0" applyFont="1" applyFill="1" applyBorder="1" applyAlignment="1">
      <alignment horizontal="left"/>
    </xf>
    <xf numFmtId="0" fontId="66" fillId="4" borderId="128" xfId="0" applyFont="1" applyFill="1" applyBorder="1" applyAlignment="1">
      <alignment horizontal="left" wrapText="1"/>
    </xf>
    <xf numFmtId="0" fontId="66" fillId="47" borderId="130" xfId="0" applyFont="1" applyFill="1" applyBorder="1" applyAlignment="1">
      <alignment horizontal="left"/>
    </xf>
    <xf numFmtId="0" fontId="66" fillId="47" borderId="130" xfId="0" applyFont="1" applyFill="1" applyBorder="1" applyAlignment="1" applyProtection="1">
      <alignment horizontal="left" vertical="center" wrapText="1"/>
      <protection locked="0"/>
    </xf>
    <xf numFmtId="9" fontId="66" fillId="47" borderId="130" xfId="2" applyFont="1" applyFill="1" applyBorder="1" applyAlignment="1" applyProtection="1">
      <alignment horizontal="left"/>
      <protection locked="0"/>
    </xf>
    <xf numFmtId="0" fontId="66" fillId="52" borderId="130" xfId="0" applyFont="1" applyFill="1" applyBorder="1" applyAlignment="1">
      <alignment horizontal="left"/>
    </xf>
    <xf numFmtId="0" fontId="66" fillId="52" borderId="129" xfId="0" applyFont="1" applyFill="1" applyBorder="1" applyAlignment="1">
      <alignment horizontal="left"/>
    </xf>
    <xf numFmtId="0" fontId="65" fillId="4" borderId="126" xfId="0" applyFont="1" applyFill="1" applyBorder="1" applyAlignment="1">
      <alignment horizontal="left" wrapText="1"/>
    </xf>
    <xf numFmtId="0" fontId="66" fillId="0" borderId="125" xfId="0" applyFont="1" applyBorder="1" applyAlignment="1">
      <alignment wrapText="1"/>
    </xf>
    <xf numFmtId="0" fontId="66" fillId="0" borderId="125" xfId="0" applyFont="1" applyBorder="1" applyAlignment="1">
      <alignment horizontal="left" wrapText="1"/>
    </xf>
    <xf numFmtId="0" fontId="66" fillId="4" borderId="125" xfId="0" applyFont="1" applyFill="1" applyBorder="1" applyAlignment="1">
      <alignment horizontal="left" wrapText="1"/>
    </xf>
    <xf numFmtId="0" fontId="66" fillId="46" borderId="127" xfId="0" applyFont="1" applyFill="1" applyBorder="1" applyAlignment="1">
      <alignment horizontal="left"/>
    </xf>
    <xf numFmtId="0" fontId="66" fillId="46" borderId="127" xfId="0" applyFont="1" applyFill="1" applyBorder="1"/>
    <xf numFmtId="0" fontId="65" fillId="50" borderId="0" xfId="0" applyFont="1" applyFill="1" applyAlignment="1">
      <alignment horizontal="left" wrapText="1"/>
    </xf>
    <xf numFmtId="0" fontId="66" fillId="4" borderId="0" xfId="0" applyFont="1" applyFill="1" applyAlignment="1">
      <alignment horizontal="left"/>
    </xf>
    <xf numFmtId="0" fontId="66" fillId="4" borderId="3" xfId="0" applyFont="1" applyFill="1" applyBorder="1" applyAlignment="1">
      <alignment horizontal="left"/>
    </xf>
    <xf numFmtId="169" fontId="66" fillId="4" borderId="3" xfId="0" applyNumberFormat="1" applyFont="1" applyFill="1" applyBorder="1" applyAlignment="1">
      <alignment horizontal="left"/>
    </xf>
    <xf numFmtId="169" fontId="66" fillId="4" borderId="0" xfId="0" applyNumberFormat="1" applyFont="1" applyFill="1" applyAlignment="1">
      <alignment horizontal="left"/>
    </xf>
    <xf numFmtId="168" fontId="66" fillId="4" borderId="0" xfId="0" applyNumberFormat="1" applyFont="1" applyFill="1"/>
    <xf numFmtId="0" fontId="66" fillId="4" borderId="1" xfId="0" applyFont="1" applyFill="1" applyBorder="1" applyAlignment="1">
      <alignment horizontal="left" wrapText="1"/>
    </xf>
    <xf numFmtId="0" fontId="65" fillId="4" borderId="126" xfId="0" applyFont="1" applyFill="1" applyBorder="1" applyAlignment="1">
      <alignment horizontal="left"/>
    </xf>
    <xf numFmtId="0" fontId="64" fillId="0" borderId="126" xfId="0" applyFont="1" applyBorder="1" applyAlignment="1">
      <alignment horizontal="left"/>
    </xf>
    <xf numFmtId="0" fontId="66" fillId="0" borderId="125" xfId="0" applyFont="1" applyBorder="1" applyAlignment="1">
      <alignment horizontal="left"/>
    </xf>
    <xf numFmtId="0" fontId="64" fillId="0" borderId="126" xfId="0" applyFont="1" applyBorder="1" applyAlignment="1">
      <alignment wrapText="1"/>
    </xf>
    <xf numFmtId="0" fontId="66" fillId="46" borderId="125" xfId="0" applyFont="1" applyFill="1" applyBorder="1" applyAlignment="1">
      <alignment horizontal="left"/>
    </xf>
    <xf numFmtId="0" fontId="66" fillId="0" borderId="126" xfId="0" applyFont="1" applyBorder="1" applyAlignment="1">
      <alignment wrapText="1"/>
    </xf>
    <xf numFmtId="0" fontId="66" fillId="4" borderId="125" xfId="0" applyFont="1" applyFill="1" applyBorder="1" applyAlignment="1">
      <alignment horizontal="left"/>
    </xf>
    <xf numFmtId="0" fontId="66" fillId="4" borderId="127" xfId="0" applyFont="1" applyFill="1" applyBorder="1" applyAlignment="1">
      <alignment horizontal="left"/>
    </xf>
    <xf numFmtId="0" fontId="64" fillId="4" borderId="126" xfId="0" applyFont="1" applyFill="1" applyBorder="1" applyAlignment="1">
      <alignment horizontal="left" wrapText="1"/>
    </xf>
    <xf numFmtId="0" fontId="66" fillId="0" borderId="127" xfId="0" applyFont="1" applyBorder="1" applyAlignment="1">
      <alignment horizontal="left"/>
    </xf>
    <xf numFmtId="0" fontId="64" fillId="4" borderId="126" xfId="0" applyFont="1" applyFill="1" applyBorder="1" applyAlignment="1">
      <alignment horizontal="left"/>
    </xf>
    <xf numFmtId="0" fontId="66" fillId="0" borderId="125" xfId="0" applyFont="1" applyBorder="1"/>
    <xf numFmtId="0" fontId="66" fillId="0" borderId="127" xfId="0" applyFont="1" applyBorder="1"/>
    <xf numFmtId="0" fontId="79" fillId="4" borderId="3" xfId="0" applyFont="1" applyFill="1" applyBorder="1" applyAlignment="1">
      <alignment wrapText="1"/>
    </xf>
    <xf numFmtId="0" fontId="90" fillId="4" borderId="3" xfId="0" applyFont="1" applyFill="1" applyBorder="1"/>
    <xf numFmtId="0" fontId="90" fillId="4" borderId="4" xfId="0" applyFont="1" applyFill="1" applyBorder="1"/>
    <xf numFmtId="0" fontId="66" fillId="33" borderId="0" xfId="0" applyFont="1" applyFill="1" applyAlignment="1">
      <alignment horizontal="right"/>
    </xf>
    <xf numFmtId="0" fontId="83" fillId="47" borderId="69" xfId="0" applyFont="1" applyFill="1" applyBorder="1" applyAlignment="1" applyProtection="1">
      <alignment horizontal="center"/>
      <protection locked="0"/>
    </xf>
    <xf numFmtId="0" fontId="66" fillId="47" borderId="82" xfId="0" applyFont="1" applyFill="1" applyBorder="1" applyProtection="1">
      <protection locked="0"/>
    </xf>
    <xf numFmtId="0" fontId="66" fillId="47" borderId="79" xfId="0" applyFont="1" applyFill="1" applyBorder="1" applyProtection="1">
      <protection locked="0"/>
    </xf>
    <xf numFmtId="0" fontId="66" fillId="52" borderId="79" xfId="0" applyFont="1" applyFill="1" applyBorder="1"/>
    <xf numFmtId="167" fontId="66" fillId="0" borderId="0" xfId="0" applyNumberFormat="1" applyFont="1"/>
    <xf numFmtId="0" fontId="66" fillId="47" borderId="106" xfId="0" applyFont="1" applyFill="1" applyBorder="1" applyAlignment="1" applyProtection="1">
      <alignment horizontal="center" vertical="center" wrapText="1"/>
      <protection locked="0"/>
    </xf>
    <xf numFmtId="10" fontId="66" fillId="47" borderId="106" xfId="0" applyNumberFormat="1" applyFont="1" applyFill="1" applyBorder="1" applyProtection="1">
      <protection locked="0"/>
    </xf>
    <xf numFmtId="0" fontId="66" fillId="40" borderId="0" xfId="0" applyFont="1" applyFill="1"/>
    <xf numFmtId="0" fontId="66" fillId="47" borderId="84" xfId="0" applyFont="1" applyFill="1" applyBorder="1" applyProtection="1">
      <protection locked="0"/>
    </xf>
    <xf numFmtId="0" fontId="66" fillId="47" borderId="80" xfId="0" applyFont="1" applyFill="1" applyBorder="1" applyProtection="1">
      <protection locked="0"/>
    </xf>
    <xf numFmtId="0" fontId="66" fillId="52" borderId="80" xfId="0" applyFont="1" applyFill="1" applyBorder="1"/>
    <xf numFmtId="0" fontId="66" fillId="52" borderId="8" xfId="1" applyNumberFormat="1" applyFont="1" applyFill="1" applyBorder="1" applyAlignment="1" applyProtection="1">
      <alignment horizontal="center" vertical="center" wrapText="1"/>
    </xf>
    <xf numFmtId="0" fontId="65" fillId="46" borderId="54" xfId="0" applyFont="1" applyFill="1" applyBorder="1" applyAlignment="1">
      <alignment wrapText="1"/>
    </xf>
    <xf numFmtId="1" fontId="66" fillId="0" borderId="6" xfId="0" applyNumberFormat="1" applyFont="1" applyBorder="1"/>
    <xf numFmtId="0" fontId="66" fillId="46" borderId="82" xfId="1" applyNumberFormat="1" applyFont="1" applyFill="1" applyBorder="1" applyAlignment="1" applyProtection="1">
      <alignment horizontal="center" vertical="center" wrapText="1"/>
    </xf>
    <xf numFmtId="0" fontId="64" fillId="0" borderId="2" xfId="0" applyFont="1" applyBorder="1" applyAlignment="1">
      <alignment wrapText="1"/>
    </xf>
    <xf numFmtId="0" fontId="92" fillId="4" borderId="5" xfId="0" applyFont="1" applyFill="1" applyBorder="1" applyAlignment="1">
      <alignment wrapText="1"/>
    </xf>
    <xf numFmtId="166" fontId="66" fillId="4" borderId="0" xfId="1" applyNumberFormat="1" applyFont="1" applyFill="1" applyBorder="1" applyAlignment="1" applyProtection="1">
      <alignment horizontal="center" vertical="center" wrapText="1"/>
    </xf>
    <xf numFmtId="169" fontId="66" fillId="0" borderId="0" xfId="1" applyNumberFormat="1" applyFont="1" applyFill="1" applyBorder="1" applyAlignment="1" applyProtection="1">
      <alignment horizontal="center" vertical="center" wrapText="1"/>
    </xf>
    <xf numFmtId="169" fontId="66" fillId="0" borderId="0" xfId="0" applyNumberFormat="1" applyFont="1"/>
    <xf numFmtId="169" fontId="66" fillId="0" borderId="0" xfId="0" applyNumberFormat="1" applyFont="1" applyAlignment="1">
      <alignment vertical="center"/>
    </xf>
    <xf numFmtId="169" fontId="66" fillId="0" borderId="6" xfId="1" applyNumberFormat="1" applyFont="1" applyFill="1" applyBorder="1" applyAlignment="1" applyProtection="1">
      <alignment horizontal="center" vertical="center" wrapText="1"/>
    </xf>
    <xf numFmtId="0" fontId="64" fillId="0" borderId="5" xfId="0" applyFont="1" applyBorder="1"/>
    <xf numFmtId="0" fontId="66" fillId="0" borderId="95" xfId="0" applyFont="1" applyBorder="1" applyAlignment="1">
      <alignment wrapText="1"/>
    </xf>
    <xf numFmtId="0" fontId="66" fillId="0" borderId="137" xfId="0" applyFont="1" applyBorder="1" applyAlignment="1">
      <alignment wrapText="1"/>
    </xf>
    <xf numFmtId="0" fontId="66" fillId="0" borderId="8" xfId="0" applyFont="1" applyBorder="1" applyAlignment="1">
      <alignment wrapText="1"/>
    </xf>
    <xf numFmtId="0" fontId="66" fillId="0" borderId="36" xfId="0" applyFont="1" applyBorder="1" applyAlignment="1">
      <alignment wrapText="1"/>
    </xf>
    <xf numFmtId="0" fontId="79" fillId="4" borderId="5" xfId="0" applyFont="1" applyFill="1" applyBorder="1" applyAlignment="1">
      <alignment horizontal="left" vertical="center" wrapText="1"/>
    </xf>
    <xf numFmtId="0" fontId="79" fillId="4" borderId="0" xfId="0" applyFont="1" applyFill="1" applyAlignment="1">
      <alignment horizontal="left" vertical="center" wrapText="1"/>
    </xf>
    <xf numFmtId="0" fontId="66" fillId="0" borderId="0" xfId="0" applyFont="1" applyAlignment="1">
      <alignment horizontal="right"/>
    </xf>
    <xf numFmtId="0" fontId="64" fillId="0" borderId="76" xfId="0" applyFont="1" applyBorder="1" applyAlignment="1">
      <alignment wrapText="1"/>
    </xf>
    <xf numFmtId="1" fontId="66" fillId="4" borderId="37" xfId="0" applyNumberFormat="1" applyFont="1" applyFill="1" applyBorder="1"/>
    <xf numFmtId="0" fontId="85" fillId="4" borderId="5" xfId="0" applyFont="1" applyFill="1" applyBorder="1" applyAlignment="1">
      <alignment vertical="center" wrapText="1"/>
    </xf>
    <xf numFmtId="0" fontId="66" fillId="4" borderId="0" xfId="0" applyFont="1" applyFill="1" applyAlignment="1">
      <alignment vertical="center" wrapText="1"/>
    </xf>
    <xf numFmtId="0" fontId="66" fillId="4" borderId="69" xfId="1" applyNumberFormat="1" applyFont="1" applyFill="1" applyBorder="1" applyAlignment="1" applyProtection="1">
      <alignment horizontal="center" vertical="center" wrapText="1"/>
    </xf>
    <xf numFmtId="0" fontId="66" fillId="4" borderId="62" xfId="1" applyNumberFormat="1" applyFont="1" applyFill="1" applyBorder="1" applyAlignment="1" applyProtection="1">
      <alignment horizontal="center" vertical="center" wrapText="1"/>
    </xf>
    <xf numFmtId="0" fontId="66" fillId="4" borderId="37" xfId="1" applyNumberFormat="1" applyFont="1" applyFill="1" applyBorder="1" applyAlignment="1" applyProtection="1">
      <alignment horizontal="center" vertical="center" wrapText="1"/>
    </xf>
    <xf numFmtId="0" fontId="66" fillId="0" borderId="73" xfId="0" applyFont="1" applyBorder="1" applyAlignment="1">
      <alignment wrapText="1"/>
    </xf>
    <xf numFmtId="0" fontId="66" fillId="52" borderId="20" xfId="1" applyNumberFormat="1" applyFont="1" applyFill="1" applyBorder="1" applyAlignment="1" applyProtection="1">
      <alignment horizontal="center" vertical="center" wrapText="1"/>
    </xf>
    <xf numFmtId="0" fontId="66" fillId="52" borderId="20" xfId="0" applyFont="1" applyFill="1" applyBorder="1"/>
    <xf numFmtId="0" fontId="66" fillId="52" borderId="35" xfId="0" applyFont="1" applyFill="1" applyBorder="1"/>
    <xf numFmtId="0" fontId="66" fillId="0" borderId="138" xfId="0" applyFont="1" applyBorder="1" applyAlignment="1">
      <alignment wrapText="1"/>
    </xf>
    <xf numFmtId="1" fontId="66" fillId="52" borderId="36" xfId="0" applyNumberFormat="1" applyFont="1" applyFill="1" applyBorder="1"/>
    <xf numFmtId="0" fontId="66" fillId="52" borderId="95" xfId="1" applyNumberFormat="1" applyFont="1" applyFill="1" applyBorder="1" applyAlignment="1" applyProtection="1">
      <alignment horizontal="center" vertical="center" wrapText="1"/>
    </xf>
    <xf numFmtId="0" fontId="64" fillId="4" borderId="76" xfId="0" applyFont="1" applyFill="1" applyBorder="1"/>
    <xf numFmtId="1" fontId="66" fillId="4" borderId="6" xfId="0" applyNumberFormat="1" applyFont="1" applyFill="1" applyBorder="1"/>
    <xf numFmtId="0" fontId="66" fillId="4" borderId="5" xfId="1" applyNumberFormat="1" applyFont="1" applyFill="1" applyBorder="1" applyAlignment="1" applyProtection="1">
      <alignment horizontal="center" vertical="center" wrapText="1"/>
    </xf>
    <xf numFmtId="0" fontId="66" fillId="0" borderId="6" xfId="0" applyFont="1" applyBorder="1"/>
    <xf numFmtId="0" fontId="66" fillId="4" borderId="56" xfId="0" applyFont="1" applyFill="1" applyBorder="1" applyAlignment="1">
      <alignment horizontal="left" wrapText="1"/>
    </xf>
    <xf numFmtId="0" fontId="66" fillId="4" borderId="57" xfId="0" applyFont="1" applyFill="1" applyBorder="1" applyAlignment="1">
      <alignment horizontal="left" wrapText="1"/>
    </xf>
    <xf numFmtId="0" fontId="64" fillId="4" borderId="0" xfId="0" applyFont="1" applyFill="1" applyAlignment="1">
      <alignment horizontal="left" wrapText="1"/>
    </xf>
    <xf numFmtId="0" fontId="83" fillId="4" borderId="5" xfId="0" applyFont="1" applyFill="1" applyBorder="1" applyAlignment="1">
      <alignment wrapText="1"/>
    </xf>
    <xf numFmtId="0" fontId="92" fillId="4" borderId="0" xfId="0" applyFont="1" applyFill="1" applyAlignment="1">
      <alignment horizontal="left" wrapText="1"/>
    </xf>
    <xf numFmtId="0" fontId="66" fillId="4" borderId="0" xfId="0" applyFont="1" applyFill="1" applyAlignment="1">
      <alignment vertical="center"/>
    </xf>
    <xf numFmtId="0" fontId="66" fillId="4" borderId="6" xfId="0" applyFont="1" applyFill="1" applyBorder="1" applyAlignment="1">
      <alignment vertical="center"/>
    </xf>
    <xf numFmtId="0" fontId="66" fillId="47" borderId="106" xfId="0" applyFont="1" applyFill="1" applyBorder="1"/>
    <xf numFmtId="1" fontId="66" fillId="52" borderId="83" xfId="0" applyNumberFormat="1" applyFont="1" applyFill="1" applyBorder="1"/>
    <xf numFmtId="0" fontId="66" fillId="52" borderId="0" xfId="0" applyFont="1" applyFill="1" applyAlignment="1">
      <alignment vertical="center"/>
    </xf>
    <xf numFmtId="0" fontId="66" fillId="47" borderId="8" xfId="0" applyFont="1" applyFill="1" applyBorder="1"/>
    <xf numFmtId="0" fontId="64" fillId="4" borderId="142" xfId="0" applyFont="1" applyFill="1" applyBorder="1" applyAlignment="1">
      <alignment wrapText="1"/>
    </xf>
    <xf numFmtId="0" fontId="66" fillId="4" borderId="143" xfId="0" applyFont="1" applyFill="1" applyBorder="1"/>
    <xf numFmtId="1" fontId="66" fillId="4" borderId="144" xfId="0" applyNumberFormat="1" applyFont="1" applyFill="1" applyBorder="1"/>
    <xf numFmtId="0" fontId="83" fillId="4" borderId="115" xfId="0" applyFont="1" applyFill="1" applyBorder="1" applyAlignment="1">
      <alignment wrapText="1"/>
    </xf>
    <xf numFmtId="0" fontId="83" fillId="0" borderId="5" xfId="0" applyFont="1" applyBorder="1" applyAlignment="1">
      <alignment wrapText="1"/>
    </xf>
    <xf numFmtId="0" fontId="66" fillId="4" borderId="100" xfId="0" applyFont="1" applyFill="1" applyBorder="1"/>
    <xf numFmtId="1" fontId="66" fillId="4" borderId="101" xfId="0" applyNumberFormat="1" applyFont="1" applyFill="1" applyBorder="1"/>
    <xf numFmtId="0" fontId="93" fillId="38" borderId="0" xfId="0" applyFont="1" applyFill="1" applyAlignment="1">
      <alignment horizontal="right"/>
    </xf>
    <xf numFmtId="0" fontId="66" fillId="38" borderId="0" xfId="0" applyFont="1" applyFill="1"/>
    <xf numFmtId="167" fontId="66" fillId="38" borderId="0" xfId="0" applyNumberFormat="1" applyFont="1" applyFill="1"/>
    <xf numFmtId="166" fontId="66" fillId="38" borderId="0" xfId="1" applyNumberFormat="1" applyFont="1" applyFill="1" applyBorder="1" applyAlignment="1" applyProtection="1">
      <alignment horizontal="center" vertical="center" wrapText="1"/>
    </xf>
    <xf numFmtId="166" fontId="66" fillId="0" borderId="0" xfId="1" applyNumberFormat="1" applyFont="1" applyFill="1" applyBorder="1" applyAlignment="1" applyProtection="1">
      <alignment horizontal="center" vertical="center" wrapText="1"/>
    </xf>
    <xf numFmtId="0" fontId="65" fillId="53" borderId="48" xfId="0" applyFont="1" applyFill="1" applyBorder="1" applyAlignment="1">
      <alignment wrapText="1"/>
    </xf>
    <xf numFmtId="0" fontId="65" fillId="53" borderId="96" xfId="0" applyFont="1" applyFill="1" applyBorder="1" applyAlignment="1">
      <alignment wrapText="1"/>
    </xf>
    <xf numFmtId="0" fontId="65" fillId="53" borderId="97" xfId="0" applyFont="1" applyFill="1" applyBorder="1" applyAlignment="1">
      <alignment wrapText="1"/>
    </xf>
    <xf numFmtId="0" fontId="66" fillId="0" borderId="2" xfId="0" applyFont="1" applyBorder="1"/>
    <xf numFmtId="0" fontId="66" fillId="40" borderId="3" xfId="0" applyFont="1" applyFill="1" applyBorder="1" applyAlignment="1">
      <alignment wrapText="1"/>
    </xf>
    <xf numFmtId="0" fontId="66" fillId="44" borderId="41" xfId="0" applyFont="1" applyFill="1" applyBorder="1" applyAlignment="1">
      <alignment wrapText="1"/>
    </xf>
    <xf numFmtId="0" fontId="66" fillId="43" borderId="40" xfId="0" applyFont="1" applyFill="1" applyBorder="1" applyAlignment="1">
      <alignment wrapText="1"/>
    </xf>
    <xf numFmtId="0" fontId="66" fillId="43" borderId="39" xfId="0" applyFont="1" applyFill="1" applyBorder="1" applyAlignment="1">
      <alignment wrapText="1"/>
    </xf>
    <xf numFmtId="0" fontId="66" fillId="43" borderId="41" xfId="0" applyFont="1" applyFill="1" applyBorder="1" applyAlignment="1">
      <alignment wrapText="1"/>
    </xf>
    <xf numFmtId="0" fontId="66" fillId="43" borderId="42" xfId="0" applyFont="1" applyFill="1" applyBorder="1" applyAlignment="1">
      <alignment wrapText="1"/>
    </xf>
    <xf numFmtId="0" fontId="66" fillId="52" borderId="5" xfId="0" applyFont="1" applyFill="1" applyBorder="1" applyAlignment="1">
      <alignment wrapText="1"/>
    </xf>
    <xf numFmtId="0" fontId="66" fillId="52" borderId="6" xfId="1" applyNumberFormat="1" applyFont="1" applyFill="1" applyBorder="1"/>
    <xf numFmtId="0" fontId="66" fillId="52" borderId="0" xfId="1" applyNumberFormat="1" applyFont="1" applyFill="1" applyBorder="1"/>
    <xf numFmtId="0" fontId="66" fillId="46" borderId="5" xfId="1" applyNumberFormat="1" applyFont="1" applyFill="1" applyBorder="1" applyAlignment="1" applyProtection="1">
      <alignment horizontal="center" vertical="center" wrapText="1"/>
    </xf>
    <xf numFmtId="0" fontId="66" fillId="34" borderId="86" xfId="1" applyNumberFormat="1" applyFont="1" applyFill="1" applyBorder="1"/>
    <xf numFmtId="0" fontId="66" fillId="41" borderId="0" xfId="0" applyFont="1" applyFill="1"/>
    <xf numFmtId="0" fontId="66" fillId="39" borderId="0" xfId="0" applyFont="1" applyFill="1"/>
    <xf numFmtId="0" fontId="66" fillId="39" borderId="6" xfId="0" applyFont="1" applyFill="1" applyBorder="1"/>
    <xf numFmtId="0" fontId="66" fillId="39" borderId="5" xfId="0" applyFont="1" applyFill="1" applyBorder="1"/>
    <xf numFmtId="0" fontId="66" fillId="52" borderId="5" xfId="0" applyFont="1" applyFill="1" applyBorder="1"/>
    <xf numFmtId="0" fontId="66" fillId="34" borderId="21" xfId="1" applyNumberFormat="1" applyFont="1" applyFill="1" applyBorder="1"/>
    <xf numFmtId="0" fontId="66" fillId="52" borderId="124" xfId="0" applyFont="1" applyFill="1" applyBorder="1"/>
    <xf numFmtId="0" fontId="66" fillId="52" borderId="116" xfId="0" applyFont="1" applyFill="1" applyBorder="1"/>
    <xf numFmtId="0" fontId="66" fillId="52" borderId="123" xfId="1" applyNumberFormat="1" applyFont="1" applyFill="1" applyBorder="1"/>
    <xf numFmtId="0" fontId="66" fillId="52" borderId="116" xfId="1" applyNumberFormat="1" applyFont="1" applyFill="1" applyBorder="1"/>
    <xf numFmtId="0" fontId="66" fillId="46" borderId="124" xfId="1" applyNumberFormat="1" applyFont="1" applyFill="1" applyBorder="1" applyAlignment="1" applyProtection="1">
      <alignment horizontal="center" vertical="center" wrapText="1"/>
    </xf>
    <xf numFmtId="0" fontId="66" fillId="46" borderId="123" xfId="0" applyFont="1" applyFill="1" applyBorder="1"/>
    <xf numFmtId="0" fontId="66" fillId="0" borderId="63" xfId="0" applyFont="1" applyBorder="1"/>
    <xf numFmtId="0" fontId="66" fillId="40" borderId="64" xfId="0" applyFont="1" applyFill="1" applyBorder="1"/>
    <xf numFmtId="0" fontId="66" fillId="34" borderId="87" xfId="1" applyNumberFormat="1" applyFont="1" applyFill="1" applyBorder="1"/>
    <xf numFmtId="0" fontId="66" fillId="41" borderId="64" xfId="0" applyFont="1" applyFill="1" applyBorder="1"/>
    <xf numFmtId="0" fontId="66" fillId="39" borderId="64" xfId="0" applyFont="1" applyFill="1" applyBorder="1"/>
    <xf numFmtId="0" fontId="66" fillId="39" borderId="65" xfId="0" applyFont="1" applyFill="1" applyBorder="1"/>
    <xf numFmtId="0" fontId="66" fillId="39" borderId="99" xfId="0" applyFont="1" applyFill="1" applyBorder="1"/>
    <xf numFmtId="0" fontId="66" fillId="39" borderId="100" xfId="0" applyFont="1" applyFill="1" applyBorder="1"/>
    <xf numFmtId="0" fontId="66" fillId="39" borderId="101" xfId="0" applyFont="1" applyFill="1" applyBorder="1"/>
    <xf numFmtId="0" fontId="66" fillId="39" borderId="115" xfId="0" applyFont="1" applyFill="1" applyBorder="1"/>
    <xf numFmtId="0" fontId="66" fillId="39" borderId="116" xfId="0" applyFont="1" applyFill="1" applyBorder="1"/>
    <xf numFmtId="0" fontId="66" fillId="39" borderId="117" xfId="0" applyFont="1" applyFill="1" applyBorder="1"/>
    <xf numFmtId="0" fontId="83" fillId="0" borderId="0" xfId="0" applyFont="1"/>
    <xf numFmtId="0" fontId="66" fillId="40" borderId="77" xfId="0" applyFont="1" applyFill="1" applyBorder="1" applyAlignment="1">
      <alignment wrapText="1"/>
    </xf>
    <xf numFmtId="0" fontId="66" fillId="52" borderId="5" xfId="1" applyNumberFormat="1" applyFont="1" applyFill="1" applyBorder="1"/>
    <xf numFmtId="0" fontId="66" fillId="40" borderId="79" xfId="0" applyFont="1" applyFill="1" applyBorder="1"/>
    <xf numFmtId="0" fontId="66" fillId="0" borderId="82" xfId="0" applyFont="1" applyBorder="1"/>
    <xf numFmtId="0" fontId="66" fillId="52" borderId="124" xfId="1" applyNumberFormat="1" applyFont="1" applyFill="1" applyBorder="1"/>
    <xf numFmtId="0" fontId="66" fillId="0" borderId="84" xfId="0" applyFont="1" applyBorder="1"/>
    <xf numFmtId="0" fontId="66" fillId="40" borderId="80" xfId="0" applyFont="1" applyFill="1" applyBorder="1"/>
    <xf numFmtId="0" fontId="66" fillId="42" borderId="0" xfId="0" applyFont="1" applyFill="1" applyAlignment="1">
      <alignment horizontal="center" wrapText="1"/>
    </xf>
    <xf numFmtId="0" fontId="66" fillId="40" borderId="81" xfId="0" applyFont="1" applyFill="1" applyBorder="1" applyAlignment="1">
      <alignment wrapText="1"/>
    </xf>
    <xf numFmtId="0" fontId="66" fillId="43" borderId="60" xfId="0" applyFont="1" applyFill="1" applyBorder="1" applyAlignment="1">
      <alignment wrapText="1"/>
    </xf>
    <xf numFmtId="0" fontId="66" fillId="43" borderId="118" xfId="0" applyFont="1" applyFill="1" applyBorder="1" applyAlignment="1">
      <alignment wrapText="1"/>
    </xf>
    <xf numFmtId="0" fontId="66" fillId="40" borderId="81" xfId="0" applyFont="1" applyFill="1" applyBorder="1"/>
    <xf numFmtId="0" fontId="66" fillId="41" borderId="82" xfId="0" applyFont="1" applyFill="1" applyBorder="1" applyAlignment="1">
      <alignment horizontal="left" wrapText="1"/>
    </xf>
    <xf numFmtId="0" fontId="66" fillId="39" borderId="79" xfId="0" applyFont="1" applyFill="1" applyBorder="1"/>
    <xf numFmtId="0" fontId="66" fillId="39" borderId="83" xfId="0" applyFont="1" applyFill="1" applyBorder="1"/>
    <xf numFmtId="0" fontId="66" fillId="39" borderId="82" xfId="0" applyFont="1" applyFill="1" applyBorder="1"/>
    <xf numFmtId="0" fontId="64" fillId="0" borderId="32" xfId="0" applyFont="1" applyBorder="1"/>
    <xf numFmtId="0" fontId="66" fillId="0" borderId="106" xfId="0" applyFont="1" applyBorder="1" applyAlignment="1">
      <alignment wrapText="1"/>
    </xf>
    <xf numFmtId="0" fontId="66" fillId="46" borderId="106" xfId="1" applyNumberFormat="1" applyFont="1" applyFill="1" applyBorder="1" applyAlignment="1" applyProtection="1">
      <alignment horizontal="center" vertical="center" wrapText="1"/>
    </xf>
    <xf numFmtId="0" fontId="66" fillId="46" borderId="83" xfId="0" applyFont="1" applyFill="1" applyBorder="1" applyAlignment="1">
      <alignment vertical="center"/>
    </xf>
    <xf numFmtId="0" fontId="66" fillId="46" borderId="8" xfId="1" applyNumberFormat="1" applyFont="1" applyFill="1" applyBorder="1" applyAlignment="1" applyProtection="1">
      <alignment horizontal="center" vertical="center" wrapText="1"/>
    </xf>
    <xf numFmtId="0" fontId="66" fillId="46" borderId="36" xfId="0" applyFont="1" applyFill="1" applyBorder="1" applyAlignment="1">
      <alignment vertical="center"/>
    </xf>
    <xf numFmtId="0" fontId="66" fillId="0" borderId="20" xfId="0" applyFont="1" applyBorder="1"/>
    <xf numFmtId="0" fontId="66" fillId="0" borderId="35" xfId="0" applyFont="1" applyBorder="1"/>
    <xf numFmtId="0" fontId="66" fillId="0" borderId="20" xfId="1" applyNumberFormat="1" applyFont="1" applyFill="1" applyBorder="1" applyAlignment="1" applyProtection="1">
      <alignment horizontal="center" vertical="center" wrapText="1"/>
    </xf>
    <xf numFmtId="0" fontId="66" fillId="0" borderId="35" xfId="0" applyFont="1" applyBorder="1" applyAlignment="1">
      <alignment vertical="center"/>
    </xf>
    <xf numFmtId="0" fontId="66" fillId="0" borderId="133" xfId="0" applyFont="1" applyBorder="1"/>
    <xf numFmtId="0" fontId="66" fillId="0" borderId="108" xfId="0" applyFont="1" applyBorder="1"/>
    <xf numFmtId="0" fontId="66" fillId="0" borderId="133" xfId="1" applyNumberFormat="1" applyFont="1" applyFill="1" applyBorder="1" applyAlignment="1" applyProtection="1">
      <alignment horizontal="center" vertical="center" wrapText="1"/>
    </xf>
    <xf numFmtId="0" fontId="66" fillId="0" borderId="108" xfId="0" applyFont="1" applyBorder="1" applyAlignment="1">
      <alignment vertical="center"/>
    </xf>
    <xf numFmtId="0" fontId="83" fillId="0" borderId="0" xfId="0" applyFont="1" applyAlignment="1">
      <alignment wrapText="1"/>
    </xf>
    <xf numFmtId="0" fontId="66" fillId="4" borderId="69" xfId="0" applyFont="1" applyFill="1" applyBorder="1" applyAlignment="1">
      <alignment horizontal="left"/>
    </xf>
    <xf numFmtId="0" fontId="66" fillId="4" borderId="94" xfId="0" applyFont="1" applyFill="1" applyBorder="1" applyAlignment="1">
      <alignment horizontal="left"/>
    </xf>
    <xf numFmtId="0" fontId="66" fillId="4" borderId="106" xfId="1" applyNumberFormat="1" applyFont="1" applyFill="1" applyBorder="1"/>
    <xf numFmtId="0" fontId="66" fillId="4" borderId="106" xfId="1" applyNumberFormat="1" applyFont="1" applyFill="1" applyBorder="1" applyAlignment="1" applyProtection="1">
      <alignment horizontal="center" vertical="center" wrapText="1"/>
    </xf>
    <xf numFmtId="0" fontId="66" fillId="4" borderId="83" xfId="0" applyFont="1" applyFill="1" applyBorder="1" applyAlignment="1">
      <alignment vertical="center"/>
    </xf>
    <xf numFmtId="0" fontId="66" fillId="52" borderId="106" xfId="1" applyNumberFormat="1" applyFont="1" applyFill="1" applyBorder="1"/>
    <xf numFmtId="0" fontId="66" fillId="52" borderId="8" xfId="1" applyNumberFormat="1" applyFont="1" applyFill="1" applyBorder="1"/>
    <xf numFmtId="0" fontId="66" fillId="0" borderId="20" xfId="1" applyNumberFormat="1" applyFont="1" applyFill="1" applyBorder="1"/>
    <xf numFmtId="0" fontId="65" fillId="0" borderId="0" xfId="0" applyFont="1" applyAlignment="1">
      <alignment horizontal="left"/>
    </xf>
    <xf numFmtId="0" fontId="66" fillId="0" borderId="133" xfId="1" applyNumberFormat="1" applyFont="1" applyFill="1" applyBorder="1"/>
    <xf numFmtId="0" fontId="66" fillId="0" borderId="0" xfId="0" applyFont="1" applyAlignment="1">
      <alignment horizontal="left" wrapText="1" indent="1"/>
    </xf>
    <xf numFmtId="0" fontId="66" fillId="52" borderId="63" xfId="0" applyFont="1" applyFill="1" applyBorder="1" applyAlignment="1">
      <alignment horizontal="left"/>
    </xf>
    <xf numFmtId="0" fontId="66" fillId="52" borderId="5" xfId="0" applyFont="1" applyFill="1" applyBorder="1" applyAlignment="1">
      <alignment horizontal="left" indent="1"/>
    </xf>
    <xf numFmtId="0" fontId="66" fillId="52" borderId="110" xfId="0" applyFont="1" applyFill="1" applyBorder="1" applyAlignment="1">
      <alignment horizontal="left" indent="1"/>
    </xf>
    <xf numFmtId="0" fontId="66" fillId="46" borderId="111" xfId="0" applyFont="1" applyFill="1" applyBorder="1"/>
    <xf numFmtId="0" fontId="66" fillId="46" borderId="112" xfId="0" applyFont="1" applyFill="1" applyBorder="1"/>
    <xf numFmtId="1" fontId="58" fillId="33" borderId="125" xfId="2" applyNumberFormat="1" applyFont="1" applyFill="1" applyBorder="1"/>
    <xf numFmtId="1" fontId="69" fillId="0" borderId="0" xfId="0" applyNumberFormat="1" applyFont="1"/>
    <xf numFmtId="0" fontId="59" fillId="42" borderId="0" xfId="0" applyFont="1" applyFill="1"/>
    <xf numFmtId="0" fontId="58" fillId="42" borderId="0" xfId="0" applyFont="1" applyFill="1"/>
    <xf numFmtId="9" fontId="66" fillId="33" borderId="0" xfId="0" applyNumberFormat="1" applyFont="1" applyFill="1"/>
    <xf numFmtId="0" fontId="66" fillId="0" borderId="153" xfId="0" applyFont="1" applyBorder="1"/>
    <xf numFmtId="0" fontId="60" fillId="0" borderId="125" xfId="0" applyFont="1" applyBorder="1"/>
    <xf numFmtId="3" fontId="66" fillId="33" borderId="0" xfId="0" applyNumberFormat="1" applyFont="1" applyFill="1"/>
    <xf numFmtId="10" fontId="58" fillId="33" borderId="125" xfId="0" applyNumberFormat="1" applyFont="1" applyFill="1" applyBorder="1"/>
    <xf numFmtId="10" fontId="58" fillId="33" borderId="125" xfId="2" applyNumberFormat="1" applyFont="1" applyFill="1" applyBorder="1"/>
    <xf numFmtId="9" fontId="65" fillId="0" borderId="0" xfId="2" applyFont="1"/>
    <xf numFmtId="9" fontId="66" fillId="33" borderId="0" xfId="2" applyFont="1" applyFill="1"/>
    <xf numFmtId="0" fontId="66" fillId="42" borderId="153" xfId="0" applyFont="1" applyFill="1" applyBorder="1"/>
    <xf numFmtId="10" fontId="58" fillId="42" borderId="125" xfId="2" applyNumberFormat="1" applyFont="1" applyFill="1" applyBorder="1"/>
    <xf numFmtId="10" fontId="58" fillId="42" borderId="125" xfId="0" applyNumberFormat="1" applyFont="1" applyFill="1" applyBorder="1"/>
    <xf numFmtId="172" fontId="69" fillId="33" borderId="0" xfId="0" applyNumberFormat="1" applyFont="1" applyFill="1"/>
    <xf numFmtId="9" fontId="69" fillId="33" borderId="0" xfId="2" applyFont="1" applyFill="1"/>
    <xf numFmtId="172" fontId="94" fillId="0" borderId="0" xfId="0" applyNumberFormat="1" applyFont="1"/>
    <xf numFmtId="2" fontId="66" fillId="0" borderId="0" xfId="2" applyNumberFormat="1" applyFont="1"/>
    <xf numFmtId="9" fontId="58" fillId="39" borderId="125" xfId="2" applyFont="1" applyFill="1" applyBorder="1"/>
    <xf numFmtId="0" fontId="58" fillId="55" borderId="0" xfId="0" applyFont="1" applyFill="1"/>
    <xf numFmtId="170" fontId="66" fillId="0" borderId="0" xfId="0" applyNumberFormat="1" applyFont="1" applyAlignment="1">
      <alignment horizontal="left"/>
    </xf>
    <xf numFmtId="170" fontId="95" fillId="0" borderId="0" xfId="0" applyNumberFormat="1" applyFont="1"/>
    <xf numFmtId="0" fontId="54" fillId="0" borderId="0" xfId="0" applyFont="1"/>
    <xf numFmtId="1" fontId="66" fillId="0" borderId="0" xfId="0" applyNumberFormat="1" applyFont="1"/>
    <xf numFmtId="0" fontId="96" fillId="0" borderId="0" xfId="0" applyFont="1"/>
    <xf numFmtId="174" fontId="66" fillId="47" borderId="23" xfId="0" applyNumberFormat="1" applyFont="1" applyFill="1" applyBorder="1" applyProtection="1">
      <protection locked="0"/>
    </xf>
    <xf numFmtId="174" fontId="66" fillId="47" borderId="20" xfId="0" applyNumberFormat="1" applyFont="1" applyFill="1" applyBorder="1" applyProtection="1">
      <protection locked="0"/>
    </xf>
    <xf numFmtId="174" fontId="66" fillId="52" borderId="20" xfId="0" applyNumberFormat="1" applyFont="1" applyFill="1" applyBorder="1"/>
    <xf numFmtId="174" fontId="66" fillId="52" borderId="35" xfId="0" applyNumberFormat="1" applyFont="1" applyFill="1" applyBorder="1"/>
    <xf numFmtId="174" fontId="66" fillId="0" borderId="0" xfId="0" applyNumberFormat="1" applyFont="1"/>
    <xf numFmtId="174" fontId="85" fillId="4" borderId="5" xfId="0" applyNumberFormat="1" applyFont="1" applyFill="1" applyBorder="1" applyAlignment="1">
      <alignment vertical="top" wrapText="1"/>
    </xf>
    <xf numFmtId="174" fontId="79" fillId="4" borderId="0" xfId="0" applyNumberFormat="1" applyFont="1" applyFill="1" applyAlignment="1">
      <alignment vertical="top" wrapText="1"/>
    </xf>
    <xf numFmtId="174" fontId="66" fillId="4" borderId="0" xfId="0" applyNumberFormat="1" applyFont="1" applyFill="1"/>
    <xf numFmtId="174" fontId="66" fillId="52" borderId="34" xfId="1" applyNumberFormat="1" applyFont="1" applyFill="1" applyBorder="1" applyAlignment="1" applyProtection="1">
      <alignment horizontal="center" vertical="center" wrapText="1"/>
    </xf>
    <xf numFmtId="174" fontId="66" fillId="47" borderId="125" xfId="0" applyNumberFormat="1" applyFont="1" applyFill="1" applyBorder="1" applyProtection="1">
      <protection locked="0"/>
    </xf>
    <xf numFmtId="174" fontId="66" fillId="52" borderId="125" xfId="0" applyNumberFormat="1" applyFont="1" applyFill="1" applyBorder="1"/>
    <xf numFmtId="174" fontId="66" fillId="52" borderId="127" xfId="0" applyNumberFormat="1" applyFont="1" applyFill="1" applyBorder="1"/>
    <xf numFmtId="174" fontId="79" fillId="4" borderId="5" xfId="0" applyNumberFormat="1" applyFont="1" applyFill="1" applyBorder="1" applyAlignment="1">
      <alignment vertical="top" wrapText="1"/>
    </xf>
    <xf numFmtId="174" fontId="66" fillId="52" borderId="126" xfId="1" applyNumberFormat="1" applyFont="1" applyFill="1" applyBorder="1" applyAlignment="1" applyProtection="1">
      <alignment horizontal="center" vertical="center" wrapText="1"/>
    </xf>
    <xf numFmtId="174" fontId="66" fillId="4" borderId="5" xfId="0" applyNumberFormat="1" applyFont="1" applyFill="1" applyBorder="1" applyAlignment="1">
      <alignment vertical="center" wrapText="1"/>
    </xf>
    <xf numFmtId="174" fontId="66" fillId="4" borderId="0" xfId="0" applyNumberFormat="1" applyFont="1" applyFill="1" applyAlignment="1">
      <alignment vertical="center" wrapText="1"/>
    </xf>
    <xf numFmtId="174" fontId="66" fillId="47" borderId="8" xfId="0" applyNumberFormat="1" applyFont="1" applyFill="1" applyBorder="1" applyProtection="1">
      <protection locked="0"/>
    </xf>
    <xf numFmtId="174" fontId="66" fillId="52" borderId="8" xfId="0" applyNumberFormat="1" applyFont="1" applyFill="1" applyBorder="1"/>
    <xf numFmtId="174" fontId="66" fillId="52" borderId="36" xfId="0" applyNumberFormat="1" applyFont="1" applyFill="1" applyBorder="1"/>
    <xf numFmtId="174" fontId="66" fillId="52" borderId="95" xfId="1" applyNumberFormat="1" applyFont="1" applyFill="1" applyBorder="1" applyAlignment="1" applyProtection="1">
      <alignment horizontal="center" vertical="center" wrapText="1"/>
    </xf>
    <xf numFmtId="174" fontId="66" fillId="4" borderId="5" xfId="0" applyNumberFormat="1" applyFont="1" applyFill="1" applyBorder="1"/>
    <xf numFmtId="2" fontId="66" fillId="52" borderId="82" xfId="1" applyNumberFormat="1" applyFont="1" applyFill="1" applyBorder="1" applyAlignment="1" applyProtection="1">
      <alignment horizontal="center" vertical="center" wrapText="1"/>
    </xf>
    <xf numFmtId="174" fontId="66" fillId="47" borderId="51" xfId="0" applyNumberFormat="1" applyFont="1" applyFill="1" applyBorder="1" applyProtection="1">
      <protection locked="0"/>
    </xf>
    <xf numFmtId="174" fontId="66" fillId="52" borderId="82" xfId="1" applyNumberFormat="1" applyFont="1" applyFill="1" applyBorder="1" applyAlignment="1" applyProtection="1">
      <alignment horizontal="center" vertical="center" wrapText="1"/>
    </xf>
    <xf numFmtId="174" fontId="66" fillId="4" borderId="6" xfId="0" applyNumberFormat="1" applyFont="1" applyFill="1" applyBorder="1"/>
    <xf numFmtId="174" fontId="66" fillId="0" borderId="5" xfId="0" applyNumberFormat="1" applyFont="1" applyBorder="1"/>
    <xf numFmtId="2" fontId="66" fillId="52" borderId="19" xfId="0" applyNumberFormat="1" applyFont="1" applyFill="1" applyBorder="1"/>
    <xf numFmtId="2" fontId="66" fillId="52" borderId="108" xfId="0" applyNumberFormat="1" applyFont="1" applyFill="1" applyBorder="1"/>
    <xf numFmtId="2" fontId="66" fillId="0" borderId="0" xfId="0" applyNumberFormat="1" applyFont="1"/>
    <xf numFmtId="9" fontId="66" fillId="0" borderId="0" xfId="2" applyFont="1" applyFill="1"/>
    <xf numFmtId="0" fontId="98" fillId="56" borderId="2" xfId="0" applyFont="1" applyFill="1" applyBorder="1" applyAlignment="1">
      <alignment vertical="center"/>
    </xf>
    <xf numFmtId="0" fontId="99" fillId="56" borderId="3" xfId="0" applyFont="1" applyFill="1" applyBorder="1"/>
    <xf numFmtId="0" fontId="99" fillId="56" borderId="4" xfId="0" applyFont="1" applyFill="1" applyBorder="1"/>
    <xf numFmtId="0" fontId="98" fillId="56" borderId="5" xfId="0" applyFont="1" applyFill="1" applyBorder="1" applyAlignment="1">
      <alignment vertical="center"/>
    </xf>
    <xf numFmtId="0" fontId="99" fillId="56" borderId="0" xfId="0" applyFont="1" applyFill="1"/>
    <xf numFmtId="0" fontId="99" fillId="56" borderId="6" xfId="0" applyFont="1" applyFill="1" applyBorder="1"/>
    <xf numFmtId="0" fontId="100" fillId="56" borderId="5" xfId="0" applyFont="1" applyFill="1" applyBorder="1" applyAlignment="1">
      <alignment vertical="center"/>
    </xf>
    <xf numFmtId="0" fontId="101" fillId="56" borderId="0" xfId="0" applyFont="1" applyFill="1" applyAlignment="1">
      <alignment vertical="center"/>
    </xf>
    <xf numFmtId="0" fontId="102" fillId="56" borderId="5" xfId="0" applyFont="1" applyFill="1" applyBorder="1" applyAlignment="1">
      <alignment vertical="center"/>
    </xf>
    <xf numFmtId="0" fontId="103" fillId="56" borderId="5" xfId="0" applyFont="1" applyFill="1" applyBorder="1" applyAlignment="1">
      <alignment vertical="center"/>
    </xf>
    <xf numFmtId="0" fontId="100" fillId="56" borderId="0" xfId="0" applyFont="1" applyFill="1" applyAlignment="1">
      <alignment vertical="center"/>
    </xf>
    <xf numFmtId="0" fontId="101" fillId="56" borderId="5" xfId="0" applyFont="1" applyFill="1" applyBorder="1" applyAlignment="1">
      <alignment vertical="center"/>
    </xf>
    <xf numFmtId="0" fontId="101" fillId="56" borderId="0" xfId="0" applyFont="1" applyFill="1"/>
    <xf numFmtId="0" fontId="99" fillId="56" borderId="5" xfId="0" applyFont="1" applyFill="1" applyBorder="1"/>
    <xf numFmtId="0" fontId="101" fillId="56" borderId="115" xfId="0" applyFont="1" applyFill="1" applyBorder="1" applyAlignment="1">
      <alignment vertical="center"/>
    </xf>
    <xf numFmtId="0" fontId="99" fillId="56" borderId="116" xfId="0" applyFont="1" applyFill="1" applyBorder="1"/>
    <xf numFmtId="0" fontId="99" fillId="56" borderId="117" xfId="0" applyFont="1" applyFill="1" applyBorder="1"/>
    <xf numFmtId="0" fontId="99" fillId="0" borderId="5" xfId="0" applyFont="1" applyBorder="1"/>
    <xf numFmtId="0" fontId="99" fillId="0" borderId="0" xfId="0" applyFont="1"/>
    <xf numFmtId="0" fontId="102" fillId="56" borderId="54" xfId="0" applyFont="1" applyFill="1" applyBorder="1" applyAlignment="1">
      <alignment horizontal="center" vertical="center"/>
    </xf>
    <xf numFmtId="0" fontId="102" fillId="48" borderId="54" xfId="0" applyFont="1" applyFill="1" applyBorder="1" applyAlignment="1">
      <alignment horizontal="center" vertical="center"/>
    </xf>
    <xf numFmtId="0" fontId="102" fillId="57" borderId="54" xfId="0" applyFont="1" applyFill="1" applyBorder="1" applyAlignment="1">
      <alignment horizontal="center" vertical="center"/>
    </xf>
    <xf numFmtId="0" fontId="60" fillId="58" borderId="22" xfId="0" applyFont="1" applyFill="1" applyBorder="1"/>
    <xf numFmtId="0" fontId="60" fillId="58" borderId="22" xfId="0" applyFont="1" applyFill="1" applyBorder="1" applyAlignment="1">
      <alignment wrapText="1"/>
    </xf>
    <xf numFmtId="0" fontId="57" fillId="59" borderId="0" xfId="0" applyFont="1" applyFill="1"/>
    <xf numFmtId="9" fontId="58" fillId="56" borderId="125" xfId="2" applyFont="1" applyFill="1" applyBorder="1"/>
    <xf numFmtId="0" fontId="29" fillId="56" borderId="26" xfId="0" applyFont="1" applyFill="1" applyBorder="1" applyAlignment="1" applyProtection="1">
      <alignment horizontal="center" vertical="top" wrapText="1"/>
      <protection locked="0"/>
    </xf>
    <xf numFmtId="0" fontId="29" fillId="56" borderId="59" xfId="0" applyFont="1" applyFill="1" applyBorder="1" applyAlignment="1" applyProtection="1">
      <alignment horizontal="center"/>
      <protection locked="0"/>
    </xf>
    <xf numFmtId="0" fontId="29" fillId="56" borderId="57" xfId="0" applyFont="1" applyFill="1" applyBorder="1" applyAlignment="1" applyProtection="1">
      <alignment horizontal="center"/>
      <protection locked="0"/>
    </xf>
    <xf numFmtId="0" fontId="29" fillId="56" borderId="54" xfId="0" applyFont="1" applyFill="1" applyBorder="1" applyAlignment="1" applyProtection="1">
      <alignment horizontal="center"/>
      <protection locked="0"/>
    </xf>
    <xf numFmtId="0" fontId="29" fillId="56" borderId="56" xfId="0" applyFont="1" applyFill="1" applyBorder="1" applyAlignment="1" applyProtection="1">
      <alignment horizontal="center"/>
      <protection locked="0"/>
    </xf>
    <xf numFmtId="0" fontId="29" fillId="56" borderId="74" xfId="0" applyFont="1" applyFill="1" applyBorder="1" applyAlignment="1" applyProtection="1">
      <alignment horizontal="center"/>
      <protection locked="0"/>
    </xf>
    <xf numFmtId="0" fontId="29" fillId="56" borderId="98" xfId="0" applyFont="1" applyFill="1" applyBorder="1" applyAlignment="1" applyProtection="1">
      <alignment horizontal="center"/>
      <protection locked="0"/>
    </xf>
    <xf numFmtId="0" fontId="29" fillId="56" borderId="119" xfId="0" applyFont="1" applyFill="1" applyBorder="1" applyAlignment="1" applyProtection="1">
      <alignment horizontal="center"/>
      <protection locked="0"/>
    </xf>
    <xf numFmtId="0" fontId="29" fillId="56" borderId="4" xfId="0" applyFont="1" applyFill="1" applyBorder="1" applyAlignment="1">
      <alignment horizontal="center" wrapText="1"/>
    </xf>
    <xf numFmtId="0" fontId="29" fillId="56" borderId="54" xfId="0" applyFont="1" applyFill="1" applyBorder="1" applyAlignment="1">
      <alignment horizontal="center"/>
    </xf>
    <xf numFmtId="0" fontId="37" fillId="59" borderId="54" xfId="0" applyFont="1" applyFill="1" applyBorder="1" applyAlignment="1" applyProtection="1">
      <alignment horizontal="left" wrapText="1"/>
      <protection locked="0"/>
    </xf>
    <xf numFmtId="0" fontId="65" fillId="59" borderId="0" xfId="0" applyFont="1" applyFill="1"/>
    <xf numFmtId="0" fontId="29" fillId="59" borderId="0" xfId="0" applyFont="1" applyFill="1"/>
    <xf numFmtId="0" fontId="37" fillId="59" borderId="0" xfId="0" applyFont="1" applyFill="1"/>
    <xf numFmtId="0" fontId="29" fillId="59" borderId="0" xfId="0" applyFont="1" applyFill="1" applyAlignment="1">
      <alignment horizontal="left"/>
    </xf>
    <xf numFmtId="0" fontId="29" fillId="59" borderId="0" xfId="0" applyFont="1" applyFill="1" applyAlignment="1">
      <alignment horizontal="left" indent="1"/>
    </xf>
    <xf numFmtId="0" fontId="37" fillId="59" borderId="46" xfId="0" applyFont="1" applyFill="1" applyBorder="1"/>
    <xf numFmtId="0" fontId="37" fillId="59" borderId="58" xfId="0" applyFont="1" applyFill="1" applyBorder="1"/>
    <xf numFmtId="0" fontId="37" fillId="59" borderId="48" xfId="0" applyFont="1" applyFill="1" applyBorder="1" applyAlignment="1">
      <alignment wrapText="1"/>
    </xf>
    <xf numFmtId="0" fontId="52" fillId="59" borderId="2" xfId="0" applyFont="1" applyFill="1" applyBorder="1" applyAlignment="1">
      <alignment horizontal="center"/>
    </xf>
    <xf numFmtId="0" fontId="29" fillId="59" borderId="76" xfId="0" applyFont="1" applyFill="1" applyBorder="1" applyAlignment="1">
      <alignment horizontal="center" vertical="center" wrapText="1"/>
    </xf>
    <xf numFmtId="0" fontId="52" fillId="59" borderId="48" xfId="0" applyFont="1" applyFill="1" applyBorder="1"/>
    <xf numFmtId="0" fontId="29" fillId="59" borderId="97" xfId="0" applyFont="1" applyFill="1" applyBorder="1"/>
    <xf numFmtId="0" fontId="29" fillId="59" borderId="97" xfId="0" applyFont="1" applyFill="1" applyBorder="1" applyAlignment="1">
      <alignment horizontal="center"/>
    </xf>
    <xf numFmtId="0" fontId="52" fillId="59" borderId="2" xfId="0" applyFont="1" applyFill="1" applyBorder="1"/>
    <xf numFmtId="0" fontId="52" fillId="59" borderId="4" xfId="0" applyFont="1" applyFill="1" applyBorder="1"/>
    <xf numFmtId="0" fontId="65" fillId="59" borderId="89" xfId="0" applyFont="1" applyFill="1" applyBorder="1"/>
    <xf numFmtId="0" fontId="67" fillId="59" borderId="0" xfId="39" applyFont="1" applyFill="1"/>
    <xf numFmtId="0" fontId="40" fillId="59" borderId="0" xfId="39" applyFont="1" applyFill="1"/>
    <xf numFmtId="10" fontId="66" fillId="56" borderId="127" xfId="2" applyNumberFormat="1" applyFont="1" applyFill="1" applyBorder="1" applyAlignment="1" applyProtection="1">
      <alignment horizontal="center"/>
      <protection locked="0"/>
    </xf>
    <xf numFmtId="10" fontId="66" fillId="56" borderId="129" xfId="2" applyNumberFormat="1" applyFont="1" applyFill="1" applyBorder="1" applyAlignment="1" applyProtection="1">
      <alignment horizontal="center"/>
      <protection locked="0"/>
    </xf>
    <xf numFmtId="0" fontId="65" fillId="59" borderId="90" xfId="0" applyFont="1" applyFill="1" applyBorder="1"/>
    <xf numFmtId="0" fontId="80" fillId="59" borderId="0" xfId="0" applyFont="1" applyFill="1"/>
    <xf numFmtId="0" fontId="79" fillId="59" borderId="2" xfId="0" applyFont="1" applyFill="1" applyBorder="1"/>
    <xf numFmtId="0" fontId="68" fillId="59" borderId="3" xfId="0" applyFont="1" applyFill="1" applyBorder="1"/>
    <xf numFmtId="0" fontId="68" fillId="59" borderId="4" xfId="0" applyFont="1" applyFill="1" applyBorder="1"/>
    <xf numFmtId="2" fontId="66" fillId="52" borderId="0" xfId="0" applyNumberFormat="1" applyFont="1" applyFill="1"/>
    <xf numFmtId="0" fontId="66" fillId="58" borderId="39" xfId="0" applyFont="1" applyFill="1" applyBorder="1" applyAlignment="1">
      <alignment wrapText="1"/>
    </xf>
    <xf numFmtId="0" fontId="66" fillId="58" borderId="41" xfId="0" applyFont="1" applyFill="1" applyBorder="1" applyAlignment="1">
      <alignment wrapText="1"/>
    </xf>
    <xf numFmtId="0" fontId="66" fillId="58" borderId="40" xfId="0" applyFont="1" applyFill="1" applyBorder="1" applyAlignment="1">
      <alignment wrapText="1"/>
    </xf>
    <xf numFmtId="0" fontId="66" fillId="59" borderId="0" xfId="0" applyFont="1" applyFill="1"/>
    <xf numFmtId="0" fontId="65" fillId="59" borderId="32" xfId="0" applyFont="1" applyFill="1" applyBorder="1" applyAlignment="1">
      <alignment horizontal="left"/>
    </xf>
    <xf numFmtId="0" fontId="65" fillId="59" borderId="30" xfId="0" applyFont="1" applyFill="1" applyBorder="1"/>
    <xf numFmtId="0" fontId="65" fillId="59" borderId="5" xfId="0" applyFont="1" applyFill="1" applyBorder="1" applyAlignment="1">
      <alignment horizontal="left"/>
    </xf>
    <xf numFmtId="0" fontId="65" fillId="59" borderId="58" xfId="0" applyFont="1" applyFill="1" applyBorder="1"/>
    <xf numFmtId="0" fontId="65" fillId="59" borderId="113" xfId="0" applyFont="1" applyFill="1" applyBorder="1"/>
    <xf numFmtId="2" fontId="65" fillId="59" borderId="30" xfId="0" applyNumberFormat="1" applyFont="1" applyFill="1" applyBorder="1"/>
    <xf numFmtId="2" fontId="66" fillId="59" borderId="0" xfId="0" applyNumberFormat="1" applyFont="1" applyFill="1"/>
    <xf numFmtId="2" fontId="65" fillId="59" borderId="113" xfId="0" applyNumberFormat="1" applyFont="1" applyFill="1" applyBorder="1"/>
    <xf numFmtId="0" fontId="35" fillId="56" borderId="61" xfId="0" applyFont="1" applyFill="1" applyBorder="1" applyAlignment="1" applyProtection="1">
      <alignment horizontal="center"/>
      <protection locked="0"/>
    </xf>
    <xf numFmtId="0" fontId="33" fillId="59" borderId="61" xfId="0" applyFont="1" applyFill="1" applyBorder="1"/>
    <xf numFmtId="0" fontId="37" fillId="59" borderId="2" xfId="0" applyFont="1" applyFill="1" applyBorder="1"/>
    <xf numFmtId="0" fontId="29" fillId="59" borderId="3" xfId="0" applyFont="1" applyFill="1" applyBorder="1"/>
    <xf numFmtId="0" fontId="29" fillId="59" borderId="4" xfId="0" applyFont="1" applyFill="1" applyBorder="1"/>
    <xf numFmtId="0" fontId="67" fillId="59" borderId="0" xfId="0" applyFont="1" applyFill="1"/>
    <xf numFmtId="0" fontId="67" fillId="59" borderId="0" xfId="0" applyFont="1" applyFill="1" applyAlignment="1">
      <alignment wrapText="1"/>
    </xf>
    <xf numFmtId="0" fontId="65" fillId="58" borderId="22" xfId="0" applyFont="1" applyFill="1" applyBorder="1" applyAlignment="1">
      <alignment wrapText="1"/>
    </xf>
    <xf numFmtId="0" fontId="66" fillId="58" borderId="71" xfId="0" applyFont="1" applyFill="1" applyBorder="1" applyAlignment="1">
      <alignment wrapText="1"/>
    </xf>
    <xf numFmtId="0" fontId="65" fillId="58" borderId="71" xfId="0" applyFont="1" applyFill="1" applyBorder="1" applyAlignment="1">
      <alignment wrapText="1"/>
    </xf>
    <xf numFmtId="0" fontId="65" fillId="58" borderId="71" xfId="0" applyFont="1" applyFill="1" applyBorder="1" applyAlignment="1">
      <alignment horizontal="center" wrapText="1"/>
    </xf>
    <xf numFmtId="0" fontId="66" fillId="58" borderId="71" xfId="0" applyFont="1" applyFill="1" applyBorder="1" applyAlignment="1">
      <alignment horizontal="center" wrapText="1"/>
    </xf>
    <xf numFmtId="0" fontId="65" fillId="58" borderId="88" xfId="0" applyFont="1" applyFill="1" applyBorder="1" applyAlignment="1">
      <alignment horizontal="center" wrapText="1"/>
    </xf>
    <xf numFmtId="0" fontId="79" fillId="59" borderId="7" xfId="0" applyFont="1" applyFill="1" applyBorder="1"/>
    <xf numFmtId="0" fontId="66" fillId="59" borderId="38" xfId="1" applyNumberFormat="1" applyFont="1" applyFill="1" applyBorder="1" applyAlignment="1" applyProtection="1">
      <alignment horizontal="center" vertical="center" wrapText="1"/>
    </xf>
    <xf numFmtId="0" fontId="66" fillId="59" borderId="38" xfId="0" applyFont="1" applyFill="1" applyBorder="1" applyAlignment="1">
      <alignment wrapText="1"/>
    </xf>
    <xf numFmtId="0" fontId="66" fillId="59" borderId="38" xfId="0" applyFont="1" applyFill="1" applyBorder="1"/>
    <xf numFmtId="0" fontId="66" fillId="59" borderId="38" xfId="0" applyFont="1" applyFill="1" applyBorder="1" applyAlignment="1">
      <alignment horizontal="center" vertical="center" wrapText="1"/>
    </xf>
    <xf numFmtId="0" fontId="66" fillId="59" borderId="24" xfId="1" applyNumberFormat="1" applyFont="1" applyFill="1" applyBorder="1" applyAlignment="1" applyProtection="1">
      <alignment horizontal="center" vertical="center" wrapText="1"/>
    </xf>
    <xf numFmtId="0" fontId="66" fillId="59" borderId="66" xfId="0" applyFont="1" applyFill="1" applyBorder="1" applyAlignment="1">
      <alignment wrapText="1"/>
    </xf>
    <xf numFmtId="0" fontId="66" fillId="59" borderId="67" xfId="0" applyFont="1" applyFill="1" applyBorder="1" applyAlignment="1">
      <alignment wrapText="1"/>
    </xf>
    <xf numFmtId="0" fontId="66" fillId="59" borderId="70" xfId="0" applyFont="1" applyFill="1" applyBorder="1" applyAlignment="1">
      <alignment wrapText="1"/>
    </xf>
    <xf numFmtId="0" fontId="66" fillId="59" borderId="75" xfId="0" applyFont="1" applyFill="1" applyBorder="1" applyAlignment="1">
      <alignment wrapText="1"/>
    </xf>
    <xf numFmtId="0" fontId="66" fillId="59" borderId="84" xfId="1" applyNumberFormat="1" applyFont="1" applyFill="1" applyBorder="1" applyAlignment="1" applyProtection="1">
      <alignment horizontal="center" vertical="center" wrapText="1"/>
    </xf>
    <xf numFmtId="0" fontId="66" fillId="59" borderId="80" xfId="1" applyNumberFormat="1" applyFont="1" applyFill="1" applyBorder="1" applyAlignment="1" applyProtection="1">
      <alignment horizontal="right" vertical="center" wrapText="1"/>
    </xf>
    <xf numFmtId="0" fontId="66" fillId="59" borderId="53" xfId="1" applyNumberFormat="1" applyFont="1" applyFill="1" applyBorder="1" applyAlignment="1" applyProtection="1">
      <alignment horizontal="right" vertical="center" wrapText="1"/>
    </xf>
    <xf numFmtId="0" fontId="66" fillId="59" borderId="85" xfId="1" applyNumberFormat="1" applyFont="1" applyFill="1" applyBorder="1" applyAlignment="1" applyProtection="1">
      <alignment horizontal="right" vertical="center" wrapText="1"/>
    </xf>
    <xf numFmtId="0" fontId="83" fillId="56" borderId="34" xfId="0" applyFont="1" applyFill="1" applyBorder="1" applyAlignment="1" applyProtection="1">
      <alignment horizontal="right" vertical="center"/>
      <protection locked="0"/>
    </xf>
    <xf numFmtId="0" fontId="66" fillId="56" borderId="47" xfId="1" applyNumberFormat="1" applyFont="1" applyFill="1" applyBorder="1" applyAlignment="1" applyProtection="1">
      <alignment horizontal="center" vertical="center" wrapText="1"/>
      <protection locked="0"/>
    </xf>
    <xf numFmtId="0" fontId="66" fillId="56" borderId="20" xfId="0" applyFont="1" applyFill="1" applyBorder="1" applyAlignment="1" applyProtection="1">
      <alignment horizontal="center" vertical="center" wrapText="1"/>
      <protection locked="0"/>
    </xf>
    <xf numFmtId="0" fontId="66" fillId="56" borderId="35" xfId="1" applyNumberFormat="1" applyFont="1" applyFill="1" applyBorder="1" applyAlignment="1" applyProtection="1">
      <alignment horizontal="center" vertical="center" wrapText="1"/>
    </xf>
    <xf numFmtId="9" fontId="66" fillId="56" borderId="68" xfId="2" applyFont="1" applyFill="1" applyBorder="1" applyAlignment="1" applyProtection="1">
      <alignment horizontal="center" vertical="center" wrapText="1"/>
      <protection locked="0"/>
    </xf>
    <xf numFmtId="9" fontId="66" fillId="56" borderId="61" xfId="2" applyFont="1" applyFill="1" applyBorder="1" applyAlignment="1" applyProtection="1">
      <alignment horizontal="center" vertical="center" wrapText="1"/>
      <protection locked="0"/>
    </xf>
    <xf numFmtId="0" fontId="83" fillId="56" borderId="27" xfId="0" applyFont="1" applyFill="1" applyBorder="1" applyAlignment="1" applyProtection="1">
      <alignment horizontal="right" vertical="center"/>
      <protection locked="0"/>
    </xf>
    <xf numFmtId="0" fontId="66" fillId="56" borderId="18" xfId="0" applyFont="1" applyFill="1" applyBorder="1" applyAlignment="1" applyProtection="1">
      <alignment horizontal="center" vertical="center" wrapText="1"/>
      <protection locked="0"/>
    </xf>
    <xf numFmtId="0" fontId="66" fillId="56" borderId="28" xfId="1" applyNumberFormat="1" applyFont="1" applyFill="1" applyBorder="1" applyAlignment="1" applyProtection="1">
      <alignment horizontal="center" vertical="center" wrapText="1"/>
    </xf>
    <xf numFmtId="0" fontId="66" fillId="56" borderId="61" xfId="0" applyFont="1" applyFill="1" applyBorder="1" applyAlignment="1" applyProtection="1">
      <alignment horizontal="center" vertical="center" wrapText="1"/>
      <protection locked="0"/>
    </xf>
    <xf numFmtId="0" fontId="83" fillId="56" borderId="27" xfId="0" applyFont="1" applyFill="1" applyBorder="1" applyAlignment="1" applyProtection="1">
      <alignment horizontal="right"/>
      <protection locked="0"/>
    </xf>
    <xf numFmtId="172" fontId="66" fillId="56" borderId="47" xfId="1" applyNumberFormat="1" applyFont="1" applyFill="1" applyBorder="1" applyAlignment="1" applyProtection="1">
      <alignment horizontal="center" vertical="center" wrapText="1"/>
      <protection locked="0"/>
    </xf>
    <xf numFmtId="2" fontId="66" fillId="56" borderId="28" xfId="1" applyNumberFormat="1" applyFont="1" applyFill="1" applyBorder="1" applyAlignment="1" applyProtection="1">
      <alignment horizontal="center" vertical="center" wrapText="1"/>
    </xf>
    <xf numFmtId="0" fontId="66" fillId="56" borderId="18" xfId="0" applyFont="1" applyFill="1" applyBorder="1" applyAlignment="1" applyProtection="1">
      <alignment wrapText="1"/>
      <protection locked="0"/>
    </xf>
    <xf numFmtId="0" fontId="66" fillId="56" borderId="18" xfId="1" applyNumberFormat="1" applyFont="1" applyFill="1" applyBorder="1" applyAlignment="1" applyProtection="1">
      <alignment horizontal="center" vertical="center" wrapText="1"/>
      <protection locked="0"/>
    </xf>
    <xf numFmtId="0" fontId="33" fillId="59" borderId="0" xfId="0" applyFont="1" applyFill="1" applyAlignment="1">
      <alignment vertical="center"/>
    </xf>
    <xf numFmtId="0" fontId="40" fillId="59" borderId="0" xfId="0" applyFont="1" applyFill="1"/>
    <xf numFmtId="0" fontId="37" fillId="58" borderId="39" xfId="0" applyFont="1" applyFill="1" applyBorder="1" applyAlignment="1">
      <alignment wrapText="1"/>
    </xf>
    <xf numFmtId="0" fontId="29" fillId="58" borderId="71" xfId="0" applyFont="1" applyFill="1" applyBorder="1" applyAlignment="1">
      <alignment wrapText="1"/>
    </xf>
    <xf numFmtId="0" fontId="37" fillId="58" borderId="71" xfId="0" applyFont="1" applyFill="1" applyBorder="1" applyAlignment="1">
      <alignment wrapText="1"/>
    </xf>
    <xf numFmtId="0" fontId="37" fillId="58" borderId="71" xfId="0" applyFont="1" applyFill="1" applyBorder="1" applyAlignment="1">
      <alignment horizontal="center" wrapText="1"/>
    </xf>
    <xf numFmtId="0" fontId="37" fillId="58" borderId="88" xfId="0" applyFont="1" applyFill="1" applyBorder="1" applyAlignment="1">
      <alignment horizontal="center" wrapText="1"/>
    </xf>
    <xf numFmtId="0" fontId="33" fillId="59" borderId="124" xfId="0" applyFont="1" applyFill="1" applyBorder="1"/>
    <xf numFmtId="0" fontId="33" fillId="59" borderId="130" xfId="0" applyFont="1" applyFill="1" applyBorder="1"/>
    <xf numFmtId="0" fontId="33" fillId="59" borderId="129" xfId="0" applyFont="1" applyFill="1" applyBorder="1"/>
    <xf numFmtId="0" fontId="29" fillId="59" borderId="131" xfId="1" applyNumberFormat="1" applyFont="1" applyFill="1" applyBorder="1" applyAlignment="1" applyProtection="1">
      <alignment horizontal="center" vertical="center" wrapText="1"/>
    </xf>
    <xf numFmtId="0" fontId="29" fillId="59" borderId="129" xfId="1" applyNumberFormat="1" applyFont="1" applyFill="1" applyBorder="1" applyAlignment="1" applyProtection="1">
      <alignment horizontal="center" vertical="center" wrapText="1"/>
    </xf>
    <xf numFmtId="9" fontId="29" fillId="56" borderId="125" xfId="2" applyFont="1" applyFill="1" applyBorder="1" applyProtection="1">
      <protection locked="0"/>
    </xf>
    <xf numFmtId="0" fontId="65" fillId="58" borderId="109" xfId="0" applyFont="1" applyFill="1" applyBorder="1" applyAlignment="1">
      <alignment wrapText="1"/>
    </xf>
    <xf numFmtId="0" fontId="65" fillId="58" borderId="114" xfId="0" applyFont="1" applyFill="1" applyBorder="1" applyAlignment="1">
      <alignment wrapText="1"/>
    </xf>
    <xf numFmtId="0" fontId="66" fillId="58" borderId="114" xfId="0" applyFont="1" applyFill="1" applyBorder="1" applyAlignment="1">
      <alignment wrapText="1"/>
    </xf>
    <xf numFmtId="0" fontId="65" fillId="58" borderId="42" xfId="0" applyFont="1" applyFill="1" applyBorder="1" applyAlignment="1">
      <alignment wrapText="1"/>
    </xf>
    <xf numFmtId="0" fontId="65" fillId="59" borderId="34" xfId="0" applyFont="1" applyFill="1" applyBorder="1" applyAlignment="1">
      <alignment horizontal="left"/>
    </xf>
    <xf numFmtId="0" fontId="65" fillId="59" borderId="1" xfId="0" applyFont="1" applyFill="1" applyBorder="1"/>
    <xf numFmtId="0" fontId="65" fillId="59" borderId="35" xfId="0" applyFont="1" applyFill="1" applyBorder="1"/>
    <xf numFmtId="170" fontId="65" fillId="59" borderId="1" xfId="0" applyNumberFormat="1" applyFont="1" applyFill="1" applyBorder="1"/>
    <xf numFmtId="170" fontId="65" fillId="59" borderId="35" xfId="0" applyNumberFormat="1" applyFont="1" applyFill="1" applyBorder="1"/>
    <xf numFmtId="0" fontId="65" fillId="59" borderId="107" xfId="0" applyFont="1" applyFill="1" applyBorder="1" applyAlignment="1">
      <alignment horizontal="left"/>
    </xf>
    <xf numFmtId="0" fontId="66" fillId="59" borderId="19" xfId="0" applyFont="1" applyFill="1" applyBorder="1"/>
    <xf numFmtId="170" fontId="66" fillId="59" borderId="19" xfId="0" applyNumberFormat="1" applyFont="1" applyFill="1" applyBorder="1"/>
    <xf numFmtId="170" fontId="66" fillId="59" borderId="108" xfId="0" applyNumberFormat="1" applyFont="1" applyFill="1" applyBorder="1"/>
    <xf numFmtId="0" fontId="66" fillId="59" borderId="19" xfId="0" applyFont="1" applyFill="1" applyBorder="1" applyProtection="1">
      <protection locked="0"/>
    </xf>
    <xf numFmtId="1" fontId="66" fillId="59" borderId="19" xfId="0" applyNumberFormat="1" applyFont="1" applyFill="1" applyBorder="1"/>
    <xf numFmtId="1" fontId="66" fillId="59" borderId="108" xfId="0" applyNumberFormat="1" applyFont="1" applyFill="1" applyBorder="1"/>
    <xf numFmtId="0" fontId="65" fillId="59" borderId="84" xfId="0" applyFont="1" applyFill="1" applyBorder="1"/>
    <xf numFmtId="0" fontId="65" fillId="59" borderId="80" xfId="0" applyFont="1" applyFill="1" applyBorder="1"/>
    <xf numFmtId="170" fontId="65" fillId="59" borderId="80" xfId="0" applyNumberFormat="1" applyFont="1" applyFill="1" applyBorder="1"/>
    <xf numFmtId="170" fontId="65" fillId="59" borderId="85" xfId="0" applyNumberFormat="1" applyFont="1" applyFill="1" applyBorder="1"/>
    <xf numFmtId="0" fontId="66" fillId="56" borderId="19" xfId="0" applyFont="1" applyFill="1" applyBorder="1" applyProtection="1">
      <protection locked="0"/>
    </xf>
    <xf numFmtId="0" fontId="65" fillId="59" borderId="0" xfId="0" applyFont="1" applyFill="1" applyAlignment="1">
      <alignment horizontal="center"/>
    </xf>
    <xf numFmtId="0" fontId="65" fillId="59" borderId="6" xfId="0" applyFont="1" applyFill="1" applyBorder="1" applyAlignment="1">
      <alignment horizontal="center"/>
    </xf>
    <xf numFmtId="0" fontId="65" fillId="59" borderId="100" xfId="0" applyFont="1" applyFill="1" applyBorder="1" applyAlignment="1">
      <alignment horizontal="center"/>
    </xf>
    <xf numFmtId="0" fontId="65" fillId="59" borderId="101" xfId="0" applyFont="1" applyFill="1" applyBorder="1" applyAlignment="1">
      <alignment horizontal="center"/>
    </xf>
    <xf numFmtId="0" fontId="65" fillId="58" borderId="39" xfId="0" applyFont="1" applyFill="1" applyBorder="1" applyAlignment="1">
      <alignment horizontal="left"/>
    </xf>
    <xf numFmtId="0" fontId="66" fillId="59" borderId="0" xfId="0" applyFont="1" applyFill="1" applyAlignment="1">
      <alignment wrapText="1"/>
    </xf>
    <xf numFmtId="2" fontId="66" fillId="52" borderId="0" xfId="0" applyNumberFormat="1" applyFont="1" applyFill="1" applyAlignment="1">
      <alignment horizontal="center"/>
    </xf>
    <xf numFmtId="2" fontId="65" fillId="59" borderId="0" xfId="0" applyNumberFormat="1" applyFont="1" applyFill="1" applyAlignment="1">
      <alignment horizontal="center"/>
    </xf>
    <xf numFmtId="2" fontId="65" fillId="59" borderId="6" xfId="0" applyNumberFormat="1" applyFont="1" applyFill="1" applyBorder="1" applyAlignment="1">
      <alignment horizontal="center"/>
    </xf>
    <xf numFmtId="0" fontId="65" fillId="59" borderId="48" xfId="0" applyFont="1" applyFill="1" applyBorder="1" applyAlignment="1">
      <alignment horizontal="left" vertical="center"/>
    </xf>
    <xf numFmtId="0" fontId="65" fillId="59" borderId="96" xfId="0" applyFont="1" applyFill="1" applyBorder="1" applyAlignment="1">
      <alignment horizontal="left"/>
    </xf>
    <xf numFmtId="0" fontId="65" fillId="59" borderId="97" xfId="0" applyFont="1" applyFill="1" applyBorder="1" applyAlignment="1">
      <alignment horizontal="left"/>
    </xf>
    <xf numFmtId="0" fontId="66" fillId="59" borderId="74" xfId="0" applyFont="1" applyFill="1" applyBorder="1" applyAlignment="1">
      <alignment horizontal="left" wrapText="1"/>
    </xf>
    <xf numFmtId="0" fontId="66" fillId="59" borderId="6" xfId="0" applyFont="1" applyFill="1" applyBorder="1" applyAlignment="1">
      <alignment horizontal="left" wrapText="1"/>
    </xf>
    <xf numFmtId="0" fontId="66" fillId="59" borderId="6" xfId="0" applyFont="1" applyFill="1" applyBorder="1" applyAlignment="1">
      <alignment horizontal="left"/>
    </xf>
    <xf numFmtId="0" fontId="66" fillId="59" borderId="48" xfId="0" applyFont="1" applyFill="1" applyBorder="1" applyAlignment="1">
      <alignment horizontal="left" wrapText="1"/>
    </xf>
    <xf numFmtId="0" fontId="66" fillId="59" borderId="96" xfId="0" applyFont="1" applyFill="1" applyBorder="1" applyAlignment="1">
      <alignment horizontal="left"/>
    </xf>
    <xf numFmtId="0" fontId="66" fillId="59" borderId="96" xfId="0" applyFont="1" applyFill="1" applyBorder="1" applyAlignment="1">
      <alignment horizontal="left" vertical="center" wrapText="1"/>
    </xf>
    <xf numFmtId="9" fontId="66" fillId="59" borderId="96" xfId="2" applyFont="1" applyFill="1" applyBorder="1" applyAlignment="1" applyProtection="1">
      <alignment horizontal="left"/>
    </xf>
    <xf numFmtId="0" fontId="66" fillId="59" borderId="97" xfId="0" applyFont="1" applyFill="1" applyBorder="1" applyAlignment="1">
      <alignment horizontal="left"/>
    </xf>
    <xf numFmtId="0" fontId="66" fillId="56" borderId="82" xfId="0" applyFont="1" applyFill="1" applyBorder="1" applyAlignment="1" applyProtection="1">
      <alignment horizontal="left"/>
      <protection locked="0"/>
    </xf>
    <xf numFmtId="0" fontId="66" fillId="56" borderId="79" xfId="0" applyFont="1" applyFill="1" applyBorder="1" applyAlignment="1" applyProtection="1">
      <alignment horizontal="left" vertical="center" wrapText="1"/>
      <protection locked="0"/>
    </xf>
    <xf numFmtId="9" fontId="66" fillId="56" borderId="79" xfId="2" applyFont="1" applyFill="1" applyBorder="1" applyAlignment="1" applyProtection="1">
      <alignment horizontal="left"/>
      <protection locked="0"/>
    </xf>
    <xf numFmtId="0" fontId="66" fillId="56" borderId="95" xfId="0" applyFont="1" applyFill="1" applyBorder="1" applyAlignment="1" applyProtection="1">
      <alignment horizontal="left"/>
      <protection locked="0"/>
    </xf>
    <xf numFmtId="2" fontId="66" fillId="56" borderId="82" xfId="0" applyNumberFormat="1" applyFont="1" applyFill="1" applyBorder="1" applyAlignment="1" applyProtection="1">
      <alignment horizontal="left"/>
      <protection locked="0"/>
    </xf>
    <xf numFmtId="2" fontId="66" fillId="52" borderId="37" xfId="0" applyNumberFormat="1" applyFont="1" applyFill="1" applyBorder="1" applyAlignment="1">
      <alignment horizontal="left"/>
    </xf>
    <xf numFmtId="2" fontId="66" fillId="56" borderId="95" xfId="0" applyNumberFormat="1" applyFont="1" applyFill="1" applyBorder="1" applyAlignment="1" applyProtection="1">
      <alignment horizontal="left"/>
      <protection locked="0"/>
    </xf>
    <xf numFmtId="2" fontId="66" fillId="59" borderId="96" xfId="0" applyNumberFormat="1" applyFont="1" applyFill="1" applyBorder="1" applyAlignment="1">
      <alignment horizontal="left"/>
    </xf>
    <xf numFmtId="2" fontId="66" fillId="52" borderId="62" xfId="0" applyNumberFormat="1" applyFont="1" applyFill="1" applyBorder="1" applyAlignment="1">
      <alignment horizontal="left"/>
    </xf>
    <xf numFmtId="2" fontId="66" fillId="52" borderId="134" xfId="0" applyNumberFormat="1" applyFont="1" applyFill="1" applyBorder="1" applyAlignment="1">
      <alignment horizontal="left"/>
    </xf>
    <xf numFmtId="2" fontId="66" fillId="52" borderId="135" xfId="0" applyNumberFormat="1" applyFont="1" applyFill="1" applyBorder="1" applyAlignment="1">
      <alignment horizontal="left"/>
    </xf>
    <xf numFmtId="0" fontId="66" fillId="56" borderId="126" xfId="0" applyFont="1" applyFill="1" applyBorder="1" applyAlignment="1" applyProtection="1">
      <alignment horizontal="left"/>
      <protection locked="0"/>
    </xf>
    <xf numFmtId="2" fontId="66" fillId="56" borderId="126" xfId="0" applyNumberFormat="1" applyFont="1" applyFill="1" applyBorder="1" applyAlignment="1" applyProtection="1">
      <alignment horizontal="left"/>
      <protection locked="0"/>
    </xf>
    <xf numFmtId="2" fontId="66" fillId="56" borderId="126" xfId="0" quotePrefix="1" applyNumberFormat="1" applyFont="1" applyFill="1" applyBorder="1" applyAlignment="1" applyProtection="1">
      <alignment horizontal="left"/>
      <protection locked="0"/>
    </xf>
    <xf numFmtId="0" fontId="66" fillId="56" borderId="125" xfId="0" applyFont="1" applyFill="1" applyBorder="1" applyAlignment="1" applyProtection="1">
      <alignment horizontal="left" vertical="center" wrapText="1"/>
      <protection locked="0"/>
    </xf>
    <xf numFmtId="0" fontId="66" fillId="56" borderId="8" xfId="0" applyFont="1" applyFill="1" applyBorder="1" applyAlignment="1" applyProtection="1">
      <alignment horizontal="left" vertical="center" wrapText="1"/>
      <protection locked="0"/>
    </xf>
    <xf numFmtId="2" fontId="66" fillId="52" borderId="125" xfId="0" applyNumberFormat="1" applyFont="1" applyFill="1" applyBorder="1" applyAlignment="1">
      <alignment horizontal="left"/>
    </xf>
    <xf numFmtId="169" fontId="66" fillId="59" borderId="97" xfId="0" applyNumberFormat="1" applyFont="1" applyFill="1" applyBorder="1" applyAlignment="1">
      <alignment horizontal="left"/>
    </xf>
    <xf numFmtId="169" fontId="65" fillId="59" borderId="73" xfId="0" applyNumberFormat="1" applyFont="1" applyFill="1" applyBorder="1" applyAlignment="1">
      <alignment wrapText="1"/>
    </xf>
    <xf numFmtId="169" fontId="66" fillId="59" borderId="6" xfId="0" applyNumberFormat="1" applyFont="1" applyFill="1" applyBorder="1" applyAlignment="1">
      <alignment horizontal="left"/>
    </xf>
    <xf numFmtId="169" fontId="65" fillId="59" borderId="76" xfId="0" applyNumberFormat="1" applyFont="1" applyFill="1" applyBorder="1" applyAlignment="1">
      <alignment wrapText="1"/>
    </xf>
    <xf numFmtId="0" fontId="66" fillId="59" borderId="123" xfId="0" applyFont="1" applyFill="1" applyBorder="1" applyAlignment="1">
      <alignment horizontal="left"/>
    </xf>
    <xf numFmtId="0" fontId="65" fillId="59" borderId="48" xfId="0" applyFont="1" applyFill="1" applyBorder="1" applyAlignment="1">
      <alignment horizontal="left"/>
    </xf>
    <xf numFmtId="169" fontId="65" fillId="59" borderId="48" xfId="0" applyNumberFormat="1" applyFont="1" applyFill="1" applyBorder="1"/>
    <xf numFmtId="169" fontId="65" fillId="59" borderId="96" xfId="0" applyNumberFormat="1" applyFont="1" applyFill="1" applyBorder="1"/>
    <xf numFmtId="9" fontId="65" fillId="59" borderId="96" xfId="2" applyFont="1" applyFill="1" applyBorder="1" applyAlignment="1" applyProtection="1"/>
    <xf numFmtId="0" fontId="66" fillId="59" borderId="54" xfId="0" applyFont="1" applyFill="1" applyBorder="1" applyAlignment="1">
      <alignment wrapText="1"/>
    </xf>
    <xf numFmtId="0" fontId="66" fillId="59" borderId="74" xfId="0" applyFont="1" applyFill="1" applyBorder="1" applyAlignment="1">
      <alignment wrapText="1"/>
    </xf>
    <xf numFmtId="0" fontId="66" fillId="59" borderId="56" xfId="0" applyFont="1" applyFill="1" applyBorder="1"/>
    <xf numFmtId="0" fontId="66" fillId="59" borderId="59" xfId="0" applyFont="1" applyFill="1" applyBorder="1" applyAlignment="1">
      <alignment wrapText="1"/>
    </xf>
    <xf numFmtId="0" fontId="66" fillId="59" borderId="98" xfId="0" applyFont="1" applyFill="1" applyBorder="1"/>
    <xf numFmtId="0" fontId="66" fillId="59" borderId="97" xfId="0" applyFont="1" applyFill="1" applyBorder="1"/>
    <xf numFmtId="0" fontId="65" fillId="59" borderId="48" xfId="0" applyFont="1" applyFill="1" applyBorder="1" applyAlignment="1">
      <alignment horizontal="left" wrapText="1"/>
    </xf>
    <xf numFmtId="0" fontId="65" fillId="59" borderId="96" xfId="0" applyFont="1" applyFill="1" applyBorder="1" applyAlignment="1">
      <alignment horizontal="center"/>
    </xf>
    <xf numFmtId="0" fontId="65" fillId="59" borderId="97" xfId="0" applyFont="1" applyFill="1" applyBorder="1" applyAlignment="1">
      <alignment horizontal="center"/>
    </xf>
    <xf numFmtId="0" fontId="66" fillId="59" borderId="33" xfId="0" applyFont="1" applyFill="1" applyBorder="1" applyAlignment="1">
      <alignment horizontal="left" wrapText="1"/>
    </xf>
    <xf numFmtId="0" fontId="65" fillId="59" borderId="124" xfId="0" applyFont="1" applyFill="1" applyBorder="1" applyAlignment="1">
      <alignment horizontal="left" wrapText="1"/>
    </xf>
    <xf numFmtId="0" fontId="66" fillId="59" borderId="116" xfId="0" applyFont="1" applyFill="1" applyBorder="1" applyAlignment="1">
      <alignment horizontal="left"/>
    </xf>
    <xf numFmtId="0" fontId="66" fillId="59" borderId="127" xfId="0" applyFont="1" applyFill="1" applyBorder="1" applyAlignment="1">
      <alignment horizontal="left" wrapText="1"/>
    </xf>
    <xf numFmtId="0" fontId="65" fillId="59" borderId="128" xfId="0" applyFont="1" applyFill="1" applyBorder="1" applyAlignment="1">
      <alignment horizontal="left" wrapText="1"/>
    </xf>
    <xf numFmtId="0" fontId="66" fillId="59" borderId="130" xfId="0" applyFont="1" applyFill="1" applyBorder="1" applyAlignment="1">
      <alignment horizontal="left"/>
    </xf>
    <xf numFmtId="0" fontId="66" fillId="59" borderId="129" xfId="0" applyFont="1" applyFill="1" applyBorder="1" applyAlignment="1">
      <alignment horizontal="left"/>
    </xf>
    <xf numFmtId="0" fontId="66" fillId="59" borderId="90" xfId="0" applyFont="1" applyFill="1" applyBorder="1"/>
    <xf numFmtId="0" fontId="66" fillId="59" borderId="127" xfId="0" applyFont="1" applyFill="1" applyBorder="1" applyAlignment="1">
      <alignment wrapText="1"/>
    </xf>
    <xf numFmtId="0" fontId="65" fillId="60" borderId="128" xfId="0" applyFont="1" applyFill="1" applyBorder="1" applyAlignment="1">
      <alignment horizontal="left" wrapText="1"/>
    </xf>
    <xf numFmtId="0" fontId="66" fillId="59" borderId="129" xfId="0" applyFont="1" applyFill="1" applyBorder="1"/>
    <xf numFmtId="0" fontId="65" fillId="59" borderId="93" xfId="0" applyFont="1" applyFill="1" applyBorder="1" applyAlignment="1">
      <alignment horizontal="left" wrapText="1"/>
    </xf>
    <xf numFmtId="2" fontId="66" fillId="59" borderId="91" xfId="0" applyNumberFormat="1" applyFont="1" applyFill="1" applyBorder="1" applyAlignment="1">
      <alignment horizontal="left"/>
    </xf>
    <xf numFmtId="2" fontId="66" fillId="59" borderId="92" xfId="0" applyNumberFormat="1" applyFont="1" applyFill="1" applyBorder="1" applyAlignment="1">
      <alignment horizontal="left"/>
    </xf>
    <xf numFmtId="0" fontId="66" fillId="59" borderId="54" xfId="0" applyFont="1" applyFill="1" applyBorder="1"/>
    <xf numFmtId="0" fontId="65" fillId="59" borderId="89" xfId="0" applyFont="1" applyFill="1" applyBorder="1" applyAlignment="1">
      <alignment horizontal="left"/>
    </xf>
    <xf numFmtId="0" fontId="65" fillId="59" borderId="77" xfId="0" applyFont="1" applyFill="1" applyBorder="1" applyAlignment="1">
      <alignment horizontal="left"/>
    </xf>
    <xf numFmtId="0" fontId="65" fillId="59" borderId="77" xfId="0" applyFont="1" applyFill="1" applyBorder="1" applyAlignment="1">
      <alignment horizontal="left" wrapText="1"/>
    </xf>
    <xf numFmtId="0" fontId="66" fillId="59" borderId="125" xfId="0" applyFont="1" applyFill="1" applyBorder="1" applyAlignment="1">
      <alignment horizontal="left" wrapText="1"/>
    </xf>
    <xf numFmtId="0" fontId="66" fillId="59" borderId="125" xfId="0" applyFont="1" applyFill="1" applyBorder="1" applyAlignment="1">
      <alignment horizontal="left"/>
    </xf>
    <xf numFmtId="0" fontId="66" fillId="59" borderId="127" xfId="0" applyFont="1" applyFill="1" applyBorder="1" applyAlignment="1">
      <alignment horizontal="left"/>
    </xf>
    <xf numFmtId="2" fontId="66" fillId="59" borderId="125" xfId="0" applyNumberFormat="1" applyFont="1" applyFill="1" applyBorder="1" applyAlignment="1">
      <alignment horizontal="left"/>
    </xf>
    <xf numFmtId="0" fontId="66" fillId="59" borderId="126" xfId="0" applyFont="1" applyFill="1" applyBorder="1" applyAlignment="1">
      <alignment horizontal="left" wrapText="1"/>
    </xf>
    <xf numFmtId="0" fontId="67" fillId="59" borderId="2" xfId="0" applyFont="1" applyFill="1" applyBorder="1"/>
    <xf numFmtId="0" fontId="65" fillId="59" borderId="46" xfId="0" applyFont="1" applyFill="1" applyBorder="1" applyAlignment="1">
      <alignment wrapText="1"/>
    </xf>
    <xf numFmtId="0" fontId="66" fillId="58" borderId="42" xfId="0" applyFont="1" applyFill="1" applyBorder="1" applyAlignment="1">
      <alignment wrapText="1"/>
    </xf>
    <xf numFmtId="0" fontId="66" fillId="59" borderId="2" xfId="0" applyFont="1" applyFill="1" applyBorder="1"/>
    <xf numFmtId="0" fontId="65" fillId="58" borderId="39" xfId="0" applyFont="1" applyFill="1" applyBorder="1" applyAlignment="1">
      <alignment wrapText="1"/>
    </xf>
    <xf numFmtId="169" fontId="66" fillId="58" borderId="40" xfId="0" applyNumberFormat="1" applyFont="1" applyFill="1" applyBorder="1" applyAlignment="1">
      <alignment wrapText="1"/>
    </xf>
    <xf numFmtId="169" fontId="66" fillId="59" borderId="3" xfId="0" applyNumberFormat="1" applyFont="1" applyFill="1" applyBorder="1"/>
    <xf numFmtId="169" fontId="66" fillId="58" borderId="40" xfId="0" applyNumberFormat="1" applyFont="1" applyFill="1" applyBorder="1" applyAlignment="1">
      <alignment horizontal="left" wrapText="1"/>
    </xf>
    <xf numFmtId="169" fontId="66" fillId="58" borderId="42" xfId="0" applyNumberFormat="1" applyFont="1" applyFill="1" applyBorder="1" applyAlignment="1">
      <alignment wrapText="1"/>
    </xf>
    <xf numFmtId="0" fontId="65" fillId="59" borderId="54" xfId="0" applyFont="1" applyFill="1" applyBorder="1" applyAlignment="1">
      <alignment wrapText="1"/>
    </xf>
    <xf numFmtId="0" fontId="66" fillId="59" borderId="25" xfId="1" applyNumberFormat="1" applyFont="1" applyFill="1" applyBorder="1" applyAlignment="1" applyProtection="1">
      <alignment horizontal="center" vertical="center" wrapText="1"/>
    </xf>
    <xf numFmtId="0" fontId="66" fillId="59" borderId="96" xfId="0" applyFont="1" applyFill="1" applyBorder="1"/>
    <xf numFmtId="0" fontId="66" fillId="59" borderId="55" xfId="1" applyNumberFormat="1" applyFont="1" applyFill="1" applyBorder="1" applyAlignment="1" applyProtection="1">
      <alignment horizontal="center" vertical="center" wrapText="1"/>
    </xf>
    <xf numFmtId="0" fontId="66" fillId="59" borderId="55" xfId="0" applyFont="1" applyFill="1" applyBorder="1" applyAlignment="1">
      <alignment vertical="center"/>
    </xf>
    <xf numFmtId="0" fontId="66" fillId="59" borderId="26" xfId="1" applyNumberFormat="1" applyFont="1" applyFill="1" applyBorder="1" applyAlignment="1" applyProtection="1">
      <alignment horizontal="center" vertical="center" wrapText="1"/>
    </xf>
    <xf numFmtId="0" fontId="66" fillId="59" borderId="3" xfId="0" applyFont="1" applyFill="1" applyBorder="1"/>
    <xf numFmtId="174" fontId="66" fillId="59" borderId="55" xfId="0" applyNumberFormat="1" applyFont="1" applyFill="1" applyBorder="1"/>
    <xf numFmtId="174" fontId="66" fillId="59" borderId="26" xfId="0" applyNumberFormat="1" applyFont="1" applyFill="1" applyBorder="1"/>
    <xf numFmtId="174" fontId="66" fillId="59" borderId="25" xfId="1" applyNumberFormat="1" applyFont="1" applyFill="1" applyBorder="1" applyAlignment="1" applyProtection="1">
      <alignment horizontal="center" vertical="center" wrapText="1"/>
    </xf>
    <xf numFmtId="0" fontId="65" fillId="59" borderId="48" xfId="0" applyFont="1" applyFill="1" applyBorder="1" applyAlignment="1">
      <alignment wrapText="1"/>
    </xf>
    <xf numFmtId="0" fontId="66" fillId="59" borderId="55" xfId="0" applyFont="1" applyFill="1" applyBorder="1"/>
    <xf numFmtId="0" fontId="66" fillId="59" borderId="26" xfId="0" applyFont="1" applyFill="1" applyBorder="1"/>
    <xf numFmtId="1" fontId="66" fillId="59" borderId="26" xfId="0" applyNumberFormat="1" applyFont="1" applyFill="1" applyBorder="1"/>
    <xf numFmtId="0" fontId="65" fillId="59" borderId="2" xfId="0" applyFont="1" applyFill="1" applyBorder="1" applyAlignment="1">
      <alignment wrapText="1"/>
    </xf>
    <xf numFmtId="0" fontId="66" fillId="59" borderId="140" xfId="0" applyFont="1" applyFill="1" applyBorder="1"/>
    <xf numFmtId="1" fontId="66" fillId="59" borderId="141" xfId="0" applyNumberFormat="1" applyFont="1" applyFill="1" applyBorder="1"/>
    <xf numFmtId="0" fontId="66" fillId="59" borderId="96" xfId="0" applyFont="1" applyFill="1" applyBorder="1" applyAlignment="1">
      <alignment vertical="center"/>
    </xf>
    <xf numFmtId="0" fontId="65" fillId="59" borderId="124" xfId="0" applyFont="1" applyFill="1" applyBorder="1" applyAlignment="1">
      <alignment wrapText="1"/>
    </xf>
    <xf numFmtId="0" fontId="66" fillId="59" borderId="67" xfId="0" applyFont="1" applyFill="1" applyBorder="1"/>
    <xf numFmtId="1" fontId="66" fillId="59" borderId="139" xfId="0" applyNumberFormat="1" applyFont="1" applyFill="1" applyBorder="1"/>
    <xf numFmtId="0" fontId="64" fillId="59" borderId="75" xfId="0" applyFont="1" applyFill="1" applyBorder="1" applyAlignment="1">
      <alignment wrapText="1"/>
    </xf>
    <xf numFmtId="0" fontId="66" fillId="59" borderId="66" xfId="0" applyFont="1" applyFill="1" applyBorder="1" applyAlignment="1">
      <alignment vertical="center"/>
    </xf>
    <xf numFmtId="0" fontId="64" fillId="59" borderId="54" xfId="0" applyFont="1" applyFill="1" applyBorder="1" applyAlignment="1">
      <alignment wrapText="1"/>
    </xf>
    <xf numFmtId="174" fontId="66" fillId="56" borderId="23" xfId="0" applyNumberFormat="1" applyFont="1" applyFill="1" applyBorder="1" applyProtection="1">
      <protection locked="0"/>
    </xf>
    <xf numFmtId="174" fontId="97" fillId="56" borderId="23" xfId="0" applyNumberFormat="1" applyFont="1" applyFill="1" applyBorder="1" applyProtection="1">
      <protection locked="0"/>
    </xf>
    <xf numFmtId="174" fontId="66" fillId="56" borderId="51" xfId="0" applyNumberFormat="1" applyFont="1" applyFill="1" applyBorder="1" applyProtection="1">
      <protection locked="0"/>
    </xf>
    <xf numFmtId="0" fontId="65" fillId="58" borderId="48" xfId="0" applyFont="1" applyFill="1" applyBorder="1" applyAlignment="1">
      <alignment wrapText="1"/>
    </xf>
    <xf numFmtId="0" fontId="65" fillId="58" borderId="96" xfId="0" applyFont="1" applyFill="1" applyBorder="1" applyAlignment="1">
      <alignment wrapText="1"/>
    </xf>
    <xf numFmtId="0" fontId="65" fillId="58" borderId="97" xfId="0" applyFont="1" applyFill="1" applyBorder="1" applyAlignment="1">
      <alignment wrapText="1"/>
    </xf>
    <xf numFmtId="0" fontId="66" fillId="59" borderId="5" xfId="1" applyNumberFormat="1" applyFont="1" applyFill="1" applyBorder="1" applyAlignment="1" applyProtection="1">
      <alignment horizontal="center" vertical="center" wrapText="1"/>
    </xf>
    <xf numFmtId="0" fontId="66" fillId="59" borderId="6" xfId="0" applyFont="1" applyFill="1" applyBorder="1"/>
    <xf numFmtId="0" fontId="66" fillId="59" borderId="124" xfId="1" applyNumberFormat="1" applyFont="1" applyFill="1" applyBorder="1" applyAlignment="1" applyProtection="1">
      <alignment horizontal="center" vertical="center" wrapText="1"/>
    </xf>
    <xf numFmtId="0" fontId="66" fillId="59" borderId="123" xfId="0" applyFont="1" applyFill="1" applyBorder="1"/>
    <xf numFmtId="2" fontId="66" fillId="52" borderId="0" xfId="1" applyNumberFormat="1" applyFont="1" applyFill="1" applyBorder="1"/>
    <xf numFmtId="2" fontId="66" fillId="59" borderId="5" xfId="1" applyNumberFormat="1" applyFont="1" applyFill="1" applyBorder="1" applyAlignment="1" applyProtection="1">
      <alignment horizontal="center" vertical="center" wrapText="1"/>
    </xf>
    <xf numFmtId="2" fontId="66" fillId="59" borderId="6" xfId="0" applyNumberFormat="1" applyFont="1" applyFill="1" applyBorder="1"/>
    <xf numFmtId="0" fontId="65" fillId="59" borderId="0" xfId="0" applyFont="1" applyFill="1" applyAlignment="1">
      <alignment wrapText="1"/>
    </xf>
    <xf numFmtId="0" fontId="65" fillId="58" borderId="88" xfId="0" applyFont="1" applyFill="1" applyBorder="1" applyAlignment="1">
      <alignment wrapText="1"/>
    </xf>
    <xf numFmtId="0" fontId="66" fillId="59" borderId="106" xfId="1" applyNumberFormat="1" applyFont="1" applyFill="1" applyBorder="1" applyAlignment="1" applyProtection="1">
      <alignment horizontal="center" vertical="center" wrapText="1"/>
    </xf>
    <xf numFmtId="0" fontId="66" fillId="59" borderId="83" xfId="0" applyFont="1" applyFill="1" applyBorder="1" applyAlignment="1">
      <alignment vertical="center"/>
    </xf>
    <xf numFmtId="0" fontId="66" fillId="59" borderId="8" xfId="1" applyNumberFormat="1" applyFont="1" applyFill="1" applyBorder="1" applyAlignment="1" applyProtection="1">
      <alignment horizontal="center" vertical="center" wrapText="1"/>
    </xf>
    <xf numFmtId="0" fontId="66" fillId="59" borderId="36" xfId="0" applyFont="1" applyFill="1" applyBorder="1" applyAlignment="1">
      <alignment vertical="center"/>
    </xf>
    <xf numFmtId="0" fontId="66" fillId="59" borderId="26" xfId="0" applyFont="1" applyFill="1" applyBorder="1" applyAlignment="1">
      <alignment vertical="center"/>
    </xf>
    <xf numFmtId="0" fontId="64" fillId="59" borderId="48" xfId="0" applyFont="1" applyFill="1" applyBorder="1" applyAlignment="1">
      <alignment wrapText="1"/>
    </xf>
    <xf numFmtId="0" fontId="66" fillId="59" borderId="55" xfId="1" applyNumberFormat="1" applyFont="1" applyFill="1" applyBorder="1"/>
    <xf numFmtId="0" fontId="83" fillId="59" borderId="48" xfId="0" applyFont="1" applyFill="1" applyBorder="1"/>
    <xf numFmtId="0" fontId="83" fillId="59" borderId="48" xfId="0" applyFont="1" applyFill="1" applyBorder="1" applyAlignment="1">
      <alignment wrapText="1"/>
    </xf>
    <xf numFmtId="2" fontId="66" fillId="59" borderId="106" xfId="1" applyNumberFormat="1" applyFont="1" applyFill="1" applyBorder="1" applyAlignment="1" applyProtection="1">
      <alignment horizontal="center" vertical="center" wrapText="1"/>
    </xf>
    <xf numFmtId="2" fontId="66" fillId="59" borderId="83" xfId="0" applyNumberFormat="1" applyFont="1" applyFill="1" applyBorder="1" applyAlignment="1">
      <alignment vertical="center"/>
    </xf>
    <xf numFmtId="2" fontId="66" fillId="52" borderId="8" xfId="0" applyNumberFormat="1" applyFont="1" applyFill="1" applyBorder="1"/>
    <xf numFmtId="2" fontId="66" fillId="52" borderId="36" xfId="0" applyNumberFormat="1" applyFont="1" applyFill="1" applyBorder="1"/>
    <xf numFmtId="2" fontId="66" fillId="59" borderId="8" xfId="1" applyNumberFormat="1" applyFont="1" applyFill="1" applyBorder="1" applyAlignment="1" applyProtection="1">
      <alignment horizontal="center" vertical="center" wrapText="1"/>
    </xf>
    <xf numFmtId="2" fontId="66" fillId="59" borderId="36" xfId="0" applyNumberFormat="1" applyFont="1" applyFill="1" applyBorder="1" applyAlignment="1">
      <alignment vertical="center"/>
    </xf>
    <xf numFmtId="2" fontId="66" fillId="59" borderId="55" xfId="0" applyNumberFormat="1" applyFont="1" applyFill="1" applyBorder="1"/>
    <xf numFmtId="2" fontId="66" fillId="59" borderId="26" xfId="0" applyNumberFormat="1" applyFont="1" applyFill="1" applyBorder="1"/>
    <xf numFmtId="2" fontId="66" fillId="59" borderId="55" xfId="1" applyNumberFormat="1" applyFont="1" applyFill="1" applyBorder="1" applyAlignment="1" applyProtection="1">
      <alignment horizontal="center" vertical="center" wrapText="1"/>
    </xf>
    <xf numFmtId="2" fontId="66" fillId="59" borderId="26" xfId="0" applyNumberFormat="1" applyFont="1" applyFill="1" applyBorder="1" applyAlignment="1">
      <alignment vertical="center"/>
    </xf>
    <xf numFmtId="2" fontId="66" fillId="59" borderId="55" xfId="1" applyNumberFormat="1" applyFont="1" applyFill="1" applyBorder="1"/>
    <xf numFmtId="2" fontId="66" fillId="59" borderId="26" xfId="1" applyNumberFormat="1" applyFont="1" applyFill="1" applyBorder="1"/>
    <xf numFmtId="2" fontId="66" fillId="59" borderId="83" xfId="0" applyNumberFormat="1" applyFont="1" applyFill="1" applyBorder="1"/>
    <xf numFmtId="2" fontId="66" fillId="46" borderId="106" xfId="1" applyNumberFormat="1" applyFont="1" applyFill="1" applyBorder="1" applyAlignment="1" applyProtection="1">
      <alignment horizontal="center" vertical="center" wrapText="1"/>
    </xf>
    <xf numFmtId="2" fontId="66" fillId="46" borderId="83" xfId="0" applyNumberFormat="1" applyFont="1" applyFill="1" applyBorder="1"/>
    <xf numFmtId="2" fontId="66" fillId="46" borderId="8" xfId="1" applyNumberFormat="1" applyFont="1" applyFill="1" applyBorder="1" applyAlignment="1" applyProtection="1">
      <alignment horizontal="center" vertical="center" wrapText="1"/>
    </xf>
    <xf numFmtId="2" fontId="66" fillId="46" borderId="36" xfId="0" applyNumberFormat="1" applyFont="1" applyFill="1" applyBorder="1"/>
    <xf numFmtId="2" fontId="66" fillId="52" borderId="106" xfId="1" applyNumberFormat="1" applyFont="1" applyFill="1" applyBorder="1"/>
    <xf numFmtId="2" fontId="66" fillId="52" borderId="8" xfId="1" applyNumberFormat="1" applyFont="1" applyFill="1" applyBorder="1"/>
    <xf numFmtId="2" fontId="66" fillId="59" borderId="64" xfId="0" applyNumberFormat="1" applyFont="1" applyFill="1" applyBorder="1"/>
    <xf numFmtId="2" fontId="66" fillId="59" borderId="65" xfId="0" applyNumberFormat="1" applyFont="1" applyFill="1" applyBorder="1"/>
    <xf numFmtId="172" fontId="66" fillId="59" borderId="0" xfId="0" applyNumberFormat="1" applyFont="1" applyFill="1"/>
    <xf numFmtId="0" fontId="66" fillId="58" borderId="48" xfId="0" applyFont="1" applyFill="1" applyBorder="1" applyAlignment="1">
      <alignment wrapText="1"/>
    </xf>
    <xf numFmtId="0" fontId="66" fillId="58" borderId="96" xfId="0" applyFont="1" applyFill="1" applyBorder="1" applyAlignment="1">
      <alignment wrapText="1"/>
    </xf>
    <xf numFmtId="2" fontId="66" fillId="33" borderId="0" xfId="0" applyNumberFormat="1" applyFont="1" applyFill="1"/>
    <xf numFmtId="173" fontId="66" fillId="52" borderId="125" xfId="1" applyNumberFormat="1" applyFont="1" applyFill="1" applyBorder="1" applyAlignment="1" applyProtection="1">
      <alignment horizontal="center" vertical="center" wrapText="1"/>
    </xf>
    <xf numFmtId="173" fontId="66" fillId="52" borderId="125" xfId="0" applyNumberFormat="1" applyFont="1" applyFill="1" applyBorder="1"/>
    <xf numFmtId="173" fontId="66" fillId="52" borderId="127" xfId="0" applyNumberFormat="1" applyFont="1" applyFill="1" applyBorder="1"/>
    <xf numFmtId="173" fontId="66" fillId="52" borderId="8" xfId="1" applyNumberFormat="1" applyFont="1" applyFill="1" applyBorder="1" applyAlignment="1" applyProtection="1">
      <alignment horizontal="center" vertical="center" wrapText="1"/>
    </xf>
    <xf numFmtId="173" fontId="66" fillId="52" borderId="8" xfId="0" applyNumberFormat="1" applyFont="1" applyFill="1" applyBorder="1"/>
    <xf numFmtId="173" fontId="66" fillId="52" borderId="36" xfId="0" applyNumberFormat="1" applyFont="1" applyFill="1" applyBorder="1"/>
    <xf numFmtId="173" fontId="66" fillId="59" borderId="55" xfId="1" applyNumberFormat="1" applyFont="1" applyFill="1" applyBorder="1" applyAlignment="1" applyProtection="1">
      <alignment horizontal="center" vertical="center" wrapText="1"/>
    </xf>
    <xf numFmtId="173" fontId="66" fillId="59" borderId="26" xfId="1" applyNumberFormat="1" applyFont="1" applyFill="1" applyBorder="1" applyAlignment="1" applyProtection="1">
      <alignment horizontal="center" vertical="center" wrapText="1"/>
    </xf>
    <xf numFmtId="0" fontId="58" fillId="56" borderId="125" xfId="0" applyFont="1" applyFill="1" applyBorder="1"/>
    <xf numFmtId="173" fontId="66" fillId="59" borderId="6" xfId="0" applyNumberFormat="1" applyFont="1" applyFill="1" applyBorder="1" applyAlignment="1">
      <alignment horizontal="left"/>
    </xf>
    <xf numFmtId="173" fontId="66" fillId="56" borderId="125" xfId="0" applyNumberFormat="1" applyFont="1" applyFill="1" applyBorder="1" applyAlignment="1" applyProtection="1">
      <alignment horizontal="left"/>
      <protection locked="0"/>
    </xf>
    <xf numFmtId="173" fontId="66" fillId="56" borderId="8" xfId="0" applyNumberFormat="1" applyFont="1" applyFill="1" applyBorder="1" applyAlignment="1" applyProtection="1">
      <alignment horizontal="left"/>
      <protection locked="0"/>
    </xf>
    <xf numFmtId="173" fontId="66" fillId="59" borderId="96" xfId="0" applyNumberFormat="1" applyFont="1" applyFill="1" applyBorder="1" applyAlignment="1">
      <alignment horizontal="left"/>
    </xf>
    <xf numFmtId="173" fontId="66" fillId="56" borderId="126" xfId="0" applyNumberFormat="1" applyFont="1" applyFill="1" applyBorder="1" applyAlignment="1" applyProtection="1">
      <alignment horizontal="left"/>
      <protection locked="0"/>
    </xf>
    <xf numFmtId="175" fontId="66" fillId="59" borderId="55" xfId="0" applyNumberFormat="1" applyFont="1" applyFill="1" applyBorder="1"/>
    <xf numFmtId="0" fontId="66" fillId="52" borderId="124" xfId="0" applyFont="1" applyFill="1" applyBorder="1" applyAlignment="1">
      <alignment wrapText="1"/>
    </xf>
    <xf numFmtId="0" fontId="58" fillId="0" borderId="0" xfId="0" quotePrefix="1" applyFont="1"/>
    <xf numFmtId="0" fontId="60" fillId="0" borderId="0" xfId="0" applyFont="1" applyAlignment="1">
      <alignment wrapText="1"/>
    </xf>
    <xf numFmtId="0" fontId="60" fillId="0" borderId="0" xfId="0" applyFont="1" applyAlignment="1">
      <alignment horizontal="left" wrapText="1"/>
    </xf>
    <xf numFmtId="1" fontId="66" fillId="33" borderId="0" xfId="0" applyNumberFormat="1" applyFont="1" applyFill="1"/>
    <xf numFmtId="2" fontId="104" fillId="52" borderId="0" xfId="1" applyNumberFormat="1" applyFont="1" applyFill="1" applyBorder="1"/>
    <xf numFmtId="0" fontId="64" fillId="59" borderId="48" xfId="0" applyFont="1" applyFill="1" applyBorder="1" applyAlignment="1">
      <alignment horizontal="left" wrapText="1"/>
    </xf>
    <xf numFmtId="0" fontId="64" fillId="59" borderId="96" xfId="0" applyFont="1" applyFill="1" applyBorder="1" applyAlignment="1">
      <alignment horizontal="left" wrapText="1"/>
    </xf>
    <xf numFmtId="1" fontId="58" fillId="56" borderId="125" xfId="2" applyNumberFormat="1" applyFont="1" applyFill="1" applyBorder="1"/>
    <xf numFmtId="2" fontId="66" fillId="0" borderId="21" xfId="0" applyNumberFormat="1" applyFont="1" applyBorder="1" applyAlignment="1">
      <alignment horizontal="right"/>
    </xf>
    <xf numFmtId="2" fontId="66" fillId="0" borderId="23" xfId="0" applyNumberFormat="1" applyFont="1" applyBorder="1" applyAlignment="1">
      <alignment horizontal="right"/>
    </xf>
    <xf numFmtId="0" fontId="66" fillId="61" borderId="0" xfId="0" applyFont="1" applyFill="1"/>
    <xf numFmtId="0" fontId="66" fillId="58" borderId="3" xfId="0" applyFont="1" applyFill="1" applyBorder="1" applyAlignment="1">
      <alignment wrapText="1"/>
    </xf>
    <xf numFmtId="0" fontId="66" fillId="58" borderId="4" xfId="0" applyFont="1" applyFill="1" applyBorder="1" applyAlignment="1">
      <alignment wrapText="1"/>
    </xf>
    <xf numFmtId="0" fontId="66" fillId="52" borderId="5" xfId="0" applyFont="1" applyFill="1" applyBorder="1" applyAlignment="1">
      <alignment vertical="top" wrapText="1"/>
    </xf>
    <xf numFmtId="0" fontId="66" fillId="52" borderId="124" xfId="0" applyFont="1" applyFill="1" applyBorder="1" applyAlignment="1">
      <alignment vertical="top" wrapText="1"/>
    </xf>
    <xf numFmtId="172" fontId="66" fillId="59" borderId="2" xfId="0" applyNumberFormat="1" applyFont="1" applyFill="1" applyBorder="1"/>
    <xf numFmtId="172" fontId="66" fillId="59" borderId="4" xfId="0" applyNumberFormat="1" applyFont="1" applyFill="1" applyBorder="1"/>
    <xf numFmtId="172" fontId="66" fillId="59" borderId="5" xfId="0" applyNumberFormat="1" applyFont="1" applyFill="1" applyBorder="1"/>
    <xf numFmtId="172" fontId="66" fillId="59" borderId="6" xfId="0" applyNumberFormat="1" applyFont="1" applyFill="1" applyBorder="1"/>
    <xf numFmtId="172" fontId="66" fillId="59" borderId="124" xfId="0" applyNumberFormat="1" applyFont="1" applyFill="1" applyBorder="1"/>
    <xf numFmtId="172" fontId="66" fillId="59" borderId="123" xfId="0" applyNumberFormat="1" applyFont="1" applyFill="1" applyBorder="1"/>
    <xf numFmtId="173" fontId="66" fillId="59" borderId="6" xfId="0" applyNumberFormat="1" applyFont="1" applyFill="1" applyBorder="1" applyAlignment="1">
      <alignment vertical="top"/>
    </xf>
    <xf numFmtId="0" fontId="66" fillId="58" borderId="48" xfId="0" applyFont="1" applyFill="1" applyBorder="1" applyAlignment="1">
      <alignment vertical="top" wrapText="1"/>
    </xf>
    <xf numFmtId="0" fontId="66" fillId="58" borderId="96" xfId="0" applyFont="1" applyFill="1" applyBorder="1" applyAlignment="1">
      <alignment vertical="top" wrapText="1"/>
    </xf>
    <xf numFmtId="0" fontId="66" fillId="58" borderId="97" xfId="0" applyFont="1" applyFill="1" applyBorder="1" applyAlignment="1">
      <alignment vertical="top" wrapText="1"/>
    </xf>
    <xf numFmtId="172" fontId="66" fillId="59" borderId="6" xfId="0" applyNumberFormat="1" applyFont="1" applyFill="1" applyBorder="1" applyAlignment="1">
      <alignment vertical="top"/>
    </xf>
    <xf numFmtId="0" fontId="66" fillId="59" borderId="6" xfId="0" applyFont="1" applyFill="1" applyBorder="1" applyAlignment="1">
      <alignment vertical="top"/>
    </xf>
    <xf numFmtId="0" fontId="66" fillId="59" borderId="116" xfId="0" applyFont="1" applyFill="1" applyBorder="1" applyAlignment="1">
      <alignment vertical="top"/>
    </xf>
    <xf numFmtId="0" fontId="66" fillId="0" borderId="2" xfId="0" applyFont="1" applyBorder="1" applyAlignment="1">
      <alignment wrapText="1"/>
    </xf>
    <xf numFmtId="0" fontId="66" fillId="0" borderId="124" xfId="0" applyFont="1" applyBorder="1" applyAlignment="1">
      <alignment wrapText="1"/>
    </xf>
    <xf numFmtId="172" fontId="66" fillId="59" borderId="0" xfId="0" applyNumberFormat="1" applyFont="1" applyFill="1" applyAlignment="1">
      <alignment vertical="top"/>
    </xf>
    <xf numFmtId="0" fontId="66" fillId="59" borderId="0" xfId="0" applyFont="1" applyFill="1" applyAlignment="1">
      <alignment vertical="top"/>
    </xf>
    <xf numFmtId="0" fontId="66" fillId="59" borderId="123" xfId="0" applyFont="1" applyFill="1" applyBorder="1" applyAlignment="1">
      <alignment vertical="top"/>
    </xf>
    <xf numFmtId="0" fontId="66" fillId="0" borderId="0" xfId="0" applyFont="1" applyAlignment="1">
      <alignment vertical="top" wrapText="1"/>
    </xf>
    <xf numFmtId="172" fontId="66" fillId="59" borderId="76" xfId="0" applyNumberFormat="1" applyFont="1" applyFill="1" applyBorder="1"/>
    <xf numFmtId="172" fontId="66" fillId="59" borderId="73" xfId="0" applyNumberFormat="1" applyFont="1" applyFill="1" applyBorder="1"/>
    <xf numFmtId="172" fontId="66" fillId="59" borderId="138" xfId="0" applyNumberFormat="1" applyFont="1" applyFill="1" applyBorder="1"/>
    <xf numFmtId="0" fontId="106" fillId="4" borderId="0" xfId="0" applyFont="1" applyFill="1"/>
    <xf numFmtId="10" fontId="58" fillId="39" borderId="125" xfId="2" applyNumberFormat="1" applyFont="1" applyFill="1" applyBorder="1"/>
    <xf numFmtId="172" fontId="66" fillId="59" borderId="3" xfId="0" applyNumberFormat="1" applyFont="1" applyFill="1" applyBorder="1"/>
    <xf numFmtId="172" fontId="66" fillId="59" borderId="116" xfId="0" applyNumberFormat="1" applyFont="1" applyFill="1" applyBorder="1"/>
    <xf numFmtId="0" fontId="49" fillId="4" borderId="0" xfId="0" applyFont="1" applyFill="1" applyAlignment="1">
      <alignment horizontal="center" vertical="center"/>
    </xf>
    <xf numFmtId="0" fontId="51" fillId="4" borderId="0" xfId="0" applyFont="1" applyFill="1" applyAlignment="1">
      <alignment horizontal="center" vertical="center"/>
    </xf>
    <xf numFmtId="0" fontId="47" fillId="4" borderId="0" xfId="0" applyFont="1" applyFill="1" applyAlignment="1">
      <alignment horizontal="center" vertical="center" wrapText="1"/>
    </xf>
    <xf numFmtId="0" fontId="68" fillId="0" borderId="116" xfId="0" applyFont="1" applyBorder="1" applyAlignment="1">
      <alignment horizontal="left" vertical="top" wrapText="1"/>
    </xf>
    <xf numFmtId="0" fontId="37" fillId="4" borderId="5" xfId="0" applyFont="1" applyFill="1" applyBorder="1" applyAlignment="1">
      <alignment horizontal="left" vertical="top" wrapText="1"/>
    </xf>
    <xf numFmtId="0" fontId="37" fillId="4" borderId="0" xfId="0" applyFont="1" applyFill="1" applyAlignment="1">
      <alignment horizontal="left" vertical="top" wrapText="1"/>
    </xf>
    <xf numFmtId="0" fontId="37" fillId="4" borderId="6" xfId="0" applyFont="1" applyFill="1" applyBorder="1" applyAlignment="1">
      <alignment horizontal="left" vertical="top" wrapText="1"/>
    </xf>
    <xf numFmtId="0" fontId="38" fillId="0" borderId="122" xfId="0" applyFont="1" applyBorder="1" applyAlignment="1">
      <alignment horizontal="left" vertical="center" wrapText="1"/>
    </xf>
    <xf numFmtId="0" fontId="38" fillId="0" borderId="123" xfId="0" applyFont="1" applyBorder="1" applyAlignment="1">
      <alignment horizontal="left" vertical="center" wrapText="1"/>
    </xf>
    <xf numFmtId="0" fontId="52" fillId="59" borderId="2" xfId="0" applyFont="1" applyFill="1" applyBorder="1" applyAlignment="1">
      <alignment horizontal="left" vertical="center" wrapText="1"/>
    </xf>
    <xf numFmtId="0" fontId="52" fillId="59" borderId="3" xfId="0" applyFont="1" applyFill="1" applyBorder="1" applyAlignment="1">
      <alignment horizontal="left" vertical="center" wrapText="1"/>
    </xf>
    <xf numFmtId="0" fontId="52" fillId="59" borderId="4" xfId="0" applyFont="1" applyFill="1" applyBorder="1" applyAlignment="1">
      <alignment horizontal="left" vertical="center" wrapText="1"/>
    </xf>
    <xf numFmtId="0" fontId="52" fillId="59" borderId="5" xfId="0" applyFont="1" applyFill="1" applyBorder="1" applyAlignment="1">
      <alignment horizontal="left" vertical="center" wrapText="1"/>
    </xf>
    <xf numFmtId="0" fontId="52" fillId="59" borderId="0" xfId="0" applyFont="1" applyFill="1" applyAlignment="1">
      <alignment horizontal="left" vertical="center" wrapText="1"/>
    </xf>
    <xf numFmtId="0" fontId="52" fillId="59" borderId="6" xfId="0" applyFont="1" applyFill="1" applyBorder="1" applyAlignment="1">
      <alignment horizontal="left" vertical="center" wrapText="1"/>
    </xf>
    <xf numFmtId="0" fontId="29" fillId="37" borderId="4" xfId="0" applyFont="1" applyFill="1" applyBorder="1" applyAlignment="1">
      <alignment horizontal="center" vertical="center" wrapText="1"/>
    </xf>
    <xf numFmtId="0" fontId="29" fillId="37" borderId="121" xfId="0" applyFont="1" applyFill="1" applyBorder="1" applyAlignment="1">
      <alignment horizontal="center" vertical="center" wrapText="1"/>
    </xf>
    <xf numFmtId="0" fontId="52" fillId="59" borderId="2" xfId="0" applyFont="1" applyFill="1" applyBorder="1" applyAlignment="1">
      <alignment horizontal="left" vertical="center"/>
    </xf>
    <xf numFmtId="0" fontId="52" fillId="59" borderId="120" xfId="0" applyFont="1" applyFill="1" applyBorder="1" applyAlignment="1">
      <alignment horizontal="left" vertical="center"/>
    </xf>
    <xf numFmtId="0" fontId="37" fillId="4" borderId="2" xfId="343" applyFont="1" applyFill="1" applyBorder="1" applyAlignment="1">
      <alignment vertical="top" wrapText="1"/>
    </xf>
    <xf numFmtId="0" fontId="37" fillId="4" borderId="3" xfId="343" applyFont="1" applyFill="1" applyBorder="1" applyAlignment="1">
      <alignment vertical="top" wrapText="1"/>
    </xf>
    <xf numFmtId="0" fontId="37" fillId="4" borderId="4" xfId="343" applyFont="1" applyFill="1" applyBorder="1" applyAlignment="1">
      <alignment vertical="top" wrapText="1"/>
    </xf>
    <xf numFmtId="0" fontId="29" fillId="4" borderId="5" xfId="0" applyFont="1" applyFill="1" applyBorder="1" applyAlignment="1">
      <alignment horizontal="left" wrapText="1"/>
    </xf>
    <xf numFmtId="0" fontId="29" fillId="4" borderId="0" xfId="0" applyFont="1" applyFill="1" applyAlignment="1">
      <alignment horizontal="left" wrapText="1"/>
    </xf>
    <xf numFmtId="0" fontId="29" fillId="4" borderId="6" xfId="0" applyFont="1" applyFill="1" applyBorder="1" applyAlignment="1">
      <alignment horizontal="left" wrapText="1"/>
    </xf>
    <xf numFmtId="0" fontId="65" fillId="59" borderId="78" xfId="0" applyFont="1" applyFill="1" applyBorder="1" applyAlignment="1">
      <alignment horizontal="center"/>
    </xf>
    <xf numFmtId="0" fontId="65" fillId="59" borderId="119" xfId="0" applyFont="1" applyFill="1" applyBorder="1" applyAlignment="1">
      <alignment horizontal="center"/>
    </xf>
    <xf numFmtId="0" fontId="65" fillId="46" borderId="105" xfId="0" applyFont="1" applyFill="1" applyBorder="1" applyAlignment="1">
      <alignment horizontal="center"/>
    </xf>
    <xf numFmtId="0" fontId="65" fillId="46" borderId="96" xfId="0" applyFont="1" applyFill="1" applyBorder="1" applyAlignment="1">
      <alignment horizontal="center"/>
    </xf>
    <xf numFmtId="0" fontId="65" fillId="46" borderId="97" xfId="0" applyFont="1" applyFill="1" applyBorder="1" applyAlignment="1">
      <alignment horizontal="center"/>
    </xf>
    <xf numFmtId="0" fontId="65" fillId="46" borderId="105" xfId="0" applyFont="1" applyFill="1" applyBorder="1" applyAlignment="1">
      <alignment horizontal="center" wrapText="1"/>
    </xf>
    <xf numFmtId="0" fontId="65" fillId="46" borderId="97" xfId="0" applyFont="1" applyFill="1" applyBorder="1" applyAlignment="1">
      <alignment horizontal="center" wrapText="1"/>
    </xf>
    <xf numFmtId="0" fontId="29" fillId="0" borderId="5" xfId="39" applyFont="1" applyBorder="1" applyAlignment="1">
      <alignment horizontal="left" vertical="center" wrapText="1"/>
    </xf>
    <xf numFmtId="0" fontId="29" fillId="0" borderId="0" xfId="39" applyFont="1" applyAlignment="1">
      <alignment horizontal="left" vertical="center" wrapText="1"/>
    </xf>
    <xf numFmtId="0" fontId="29" fillId="0" borderId="6" xfId="39" applyFont="1" applyBorder="1" applyAlignment="1">
      <alignment horizontal="left" vertical="center" wrapText="1"/>
    </xf>
    <xf numFmtId="0" fontId="29" fillId="0" borderId="63" xfId="39" applyFont="1" applyBorder="1" applyAlignment="1">
      <alignment horizontal="left" vertical="center" wrapText="1"/>
    </xf>
    <xf numFmtId="0" fontId="29" fillId="0" borderId="64" xfId="39" applyFont="1" applyBorder="1" applyAlignment="1">
      <alignment horizontal="left" vertical="center" wrapText="1"/>
    </xf>
    <xf numFmtId="0" fontId="29" fillId="0" borderId="65" xfId="39" applyFont="1" applyBorder="1" applyAlignment="1">
      <alignment horizontal="left" vertical="center" wrapText="1"/>
    </xf>
    <xf numFmtId="0" fontId="34" fillId="0" borderId="48" xfId="39" applyFont="1" applyBorder="1" applyAlignment="1">
      <alignment horizontal="left" vertical="top" wrapText="1"/>
    </xf>
    <xf numFmtId="0" fontId="34" fillId="0" borderId="96" xfId="39" applyFont="1" applyBorder="1" applyAlignment="1">
      <alignment horizontal="left" vertical="top" wrapText="1"/>
    </xf>
    <xf numFmtId="0" fontId="34" fillId="0" borderId="97" xfId="39" applyFont="1" applyBorder="1" applyAlignment="1">
      <alignment horizontal="left" vertical="top" wrapText="1"/>
    </xf>
    <xf numFmtId="0" fontId="29" fillId="4" borderId="5" xfId="0" applyFont="1" applyFill="1" applyBorder="1" applyAlignment="1">
      <alignment horizontal="left" vertical="center" wrapText="1"/>
    </xf>
    <xf numFmtId="0" fontId="29" fillId="4" borderId="0" xfId="0" applyFont="1" applyFill="1" applyAlignment="1">
      <alignment horizontal="left" vertical="center" wrapText="1"/>
    </xf>
    <xf numFmtId="0" fontId="29" fillId="4" borderId="6" xfId="0" applyFont="1" applyFill="1" applyBorder="1" applyAlignment="1">
      <alignment horizontal="left" vertical="center" wrapText="1"/>
    </xf>
    <xf numFmtId="0" fontId="29" fillId="4" borderId="5" xfId="0" applyFont="1" applyFill="1" applyBorder="1" applyAlignment="1">
      <alignment horizontal="center"/>
    </xf>
    <xf numFmtId="0" fontId="29" fillId="4" borderId="0" xfId="0" applyFont="1" applyFill="1" applyAlignment="1">
      <alignment horizontal="center"/>
    </xf>
    <xf numFmtId="0" fontId="29" fillId="4" borderId="6" xfId="0" applyFont="1" applyFill="1" applyBorder="1" applyAlignment="1">
      <alignment horizontal="center"/>
    </xf>
    <xf numFmtId="0" fontId="66" fillId="4" borderId="5" xfId="0" applyFont="1" applyFill="1" applyBorder="1" applyAlignment="1">
      <alignment horizontal="left" wrapText="1"/>
    </xf>
    <xf numFmtId="0" fontId="66" fillId="4" borderId="0" xfId="0" applyFont="1" applyFill="1" applyAlignment="1">
      <alignment horizontal="left" wrapText="1"/>
    </xf>
    <xf numFmtId="0" fontId="66" fillId="4" borderId="6" xfId="0" applyFont="1" applyFill="1" applyBorder="1" applyAlignment="1">
      <alignment horizontal="left" wrapText="1"/>
    </xf>
    <xf numFmtId="0" fontId="66" fillId="4" borderId="5" xfId="0" applyFont="1" applyFill="1" applyBorder="1" applyAlignment="1">
      <alignment horizontal="left" vertical="top" wrapText="1"/>
    </xf>
    <xf numFmtId="0" fontId="66" fillId="4" borderId="0" xfId="0" applyFont="1" applyFill="1" applyAlignment="1">
      <alignment horizontal="left" vertical="top" wrapText="1"/>
    </xf>
    <xf numFmtId="0" fontId="66" fillId="4" borderId="6" xfId="0" applyFont="1" applyFill="1" applyBorder="1" applyAlignment="1">
      <alignment horizontal="left" vertical="top" wrapText="1"/>
    </xf>
    <xf numFmtId="0" fontId="66" fillId="0" borderId="0" xfId="0" applyFont="1" applyAlignment="1">
      <alignment horizontal="left" wrapText="1"/>
    </xf>
    <xf numFmtId="0" fontId="66" fillId="0" borderId="0" xfId="0" applyFont="1" applyAlignment="1">
      <alignment horizontal="left" vertical="top" wrapText="1"/>
    </xf>
    <xf numFmtId="0" fontId="65" fillId="53" borderId="39" xfId="0" applyFont="1" applyFill="1" applyBorder="1" applyAlignment="1">
      <alignment horizontal="left" wrapText="1"/>
    </xf>
    <xf numFmtId="0" fontId="65" fillId="53" borderId="71" xfId="0" applyFont="1" applyFill="1" applyBorder="1" applyAlignment="1">
      <alignment horizontal="left" wrapText="1"/>
    </xf>
    <xf numFmtId="0" fontId="83" fillId="0" borderId="48" xfId="0" applyFont="1" applyBorder="1" applyAlignment="1">
      <alignment vertical="center" wrapText="1"/>
    </xf>
    <xf numFmtId="0" fontId="66" fillId="0" borderId="96" xfId="0" applyFont="1" applyBorder="1" applyAlignment="1">
      <alignment vertical="center" wrapText="1"/>
    </xf>
    <xf numFmtId="0" fontId="66" fillId="0" borderId="97" xfId="0" applyFont="1" applyBorder="1" applyAlignment="1">
      <alignment vertical="center" wrapText="1"/>
    </xf>
    <xf numFmtId="0" fontId="65" fillId="59" borderId="77" xfId="0" applyFont="1" applyFill="1" applyBorder="1" applyAlignment="1">
      <alignment horizontal="left" wrapText="1"/>
    </xf>
    <xf numFmtId="0" fontId="65" fillId="59" borderId="90" xfId="0" applyFont="1" applyFill="1" applyBorder="1" applyAlignment="1">
      <alignment horizontal="left" wrapText="1"/>
    </xf>
    <xf numFmtId="0" fontId="65" fillId="59" borderId="104" xfId="0" applyFont="1" applyFill="1" applyBorder="1" applyAlignment="1">
      <alignment horizontal="left" vertical="center"/>
    </xf>
    <xf numFmtId="0" fontId="65" fillId="59" borderId="55" xfId="0" applyFont="1" applyFill="1" applyBorder="1" applyAlignment="1">
      <alignment horizontal="left" vertical="center"/>
    </xf>
    <xf numFmtId="0" fontId="65" fillId="59" borderId="105" xfId="0" applyFont="1" applyFill="1" applyBorder="1" applyAlignment="1">
      <alignment horizontal="left" vertical="center"/>
    </xf>
    <xf numFmtId="0" fontId="66" fillId="59" borderId="2" xfId="0" applyFont="1" applyFill="1" applyBorder="1" applyAlignment="1">
      <alignment horizontal="left" vertical="center" wrapText="1"/>
    </xf>
    <xf numFmtId="0" fontId="66" fillId="59" borderId="3" xfId="0" applyFont="1" applyFill="1" applyBorder="1" applyAlignment="1">
      <alignment horizontal="left" vertical="center" wrapText="1"/>
    </xf>
    <xf numFmtId="0" fontId="66" fillId="59" borderId="4" xfId="0" applyFont="1" applyFill="1" applyBorder="1" applyAlignment="1">
      <alignment horizontal="left" vertical="center" wrapText="1"/>
    </xf>
    <xf numFmtId="0" fontId="66" fillId="59" borderId="115" xfId="0" applyFont="1" applyFill="1" applyBorder="1" applyAlignment="1">
      <alignment horizontal="left" vertical="center" wrapText="1"/>
    </xf>
    <xf numFmtId="0" fontId="66" fillId="59" borderId="116" xfId="0" applyFont="1" applyFill="1" applyBorder="1" applyAlignment="1">
      <alignment horizontal="left" vertical="center" wrapText="1"/>
    </xf>
    <xf numFmtId="0" fontId="66" fillId="59" borderId="117" xfId="0" applyFont="1" applyFill="1" applyBorder="1" applyAlignment="1">
      <alignment horizontal="left" vertical="center" wrapText="1"/>
    </xf>
    <xf numFmtId="0" fontId="65" fillId="59" borderId="104" xfId="0" applyFont="1" applyFill="1" applyBorder="1" applyAlignment="1">
      <alignment horizontal="center" vertical="center"/>
    </xf>
    <xf numFmtId="0" fontId="65" fillId="59" borderId="55" xfId="0" applyFont="1" applyFill="1" applyBorder="1" applyAlignment="1">
      <alignment horizontal="center" vertical="center"/>
    </xf>
    <xf numFmtId="0" fontId="65" fillId="59" borderId="105" xfId="0" applyFont="1" applyFill="1" applyBorder="1" applyAlignment="1">
      <alignment horizontal="center" vertical="center"/>
    </xf>
    <xf numFmtId="0" fontId="65" fillId="59" borderId="96" xfId="0" applyFont="1" applyFill="1" applyBorder="1" applyAlignment="1">
      <alignment horizontal="center" wrapText="1"/>
    </xf>
    <xf numFmtId="0" fontId="65" fillId="59" borderId="97" xfId="0" applyFont="1" applyFill="1" applyBorder="1" applyAlignment="1">
      <alignment horizontal="center" wrapText="1"/>
    </xf>
    <xf numFmtId="0" fontId="65" fillId="59" borderId="136" xfId="0" applyFont="1" applyFill="1" applyBorder="1" applyAlignment="1">
      <alignment horizontal="center"/>
    </xf>
    <xf numFmtId="0" fontId="65" fillId="59" borderId="132" xfId="0" applyFont="1" applyFill="1" applyBorder="1" applyAlignment="1">
      <alignment horizontal="center"/>
    </xf>
    <xf numFmtId="0" fontId="65" fillId="59" borderId="96" xfId="0" applyFont="1" applyFill="1" applyBorder="1" applyAlignment="1">
      <alignment horizontal="center" vertical="center"/>
    </xf>
    <xf numFmtId="0" fontId="65" fillId="59" borderId="97" xfId="0" applyFont="1" applyFill="1" applyBorder="1" applyAlignment="1">
      <alignment horizontal="center" vertical="center"/>
    </xf>
    <xf numFmtId="0" fontId="65" fillId="59" borderId="48" xfId="0" applyFont="1" applyFill="1" applyBorder="1" applyAlignment="1">
      <alignment horizontal="center"/>
    </xf>
    <xf numFmtId="0" fontId="65" fillId="59" borderId="96" xfId="0" applyFont="1" applyFill="1" applyBorder="1" applyAlignment="1">
      <alignment horizontal="center"/>
    </xf>
    <xf numFmtId="0" fontId="65" fillId="59" borderId="97" xfId="0" applyFont="1" applyFill="1" applyBorder="1" applyAlignment="1">
      <alignment horizontal="center"/>
    </xf>
    <xf numFmtId="168" fontId="64" fillId="4" borderId="5" xfId="0" applyNumberFormat="1" applyFont="1" applyFill="1" applyBorder="1" applyAlignment="1">
      <alignment horizontal="left" vertical="top" wrapText="1"/>
    </xf>
    <xf numFmtId="168" fontId="64" fillId="4" borderId="0" xfId="0" applyNumberFormat="1" applyFont="1" applyFill="1" applyAlignment="1">
      <alignment horizontal="left" vertical="top" wrapText="1"/>
    </xf>
    <xf numFmtId="168" fontId="64" fillId="4" borderId="6" xfId="0" applyNumberFormat="1" applyFont="1" applyFill="1" applyBorder="1" applyAlignment="1">
      <alignment horizontal="left" vertical="top" wrapText="1"/>
    </xf>
    <xf numFmtId="0" fontId="68" fillId="4" borderId="5" xfId="0" applyFont="1" applyFill="1" applyBorder="1" applyAlignment="1">
      <alignment horizontal="left" vertical="center" wrapText="1"/>
    </xf>
    <xf numFmtId="0" fontId="68" fillId="4" borderId="0" xfId="0" applyFont="1" applyFill="1" applyAlignment="1">
      <alignment horizontal="left" vertical="center" wrapText="1"/>
    </xf>
    <xf numFmtId="0" fontId="57" fillId="59" borderId="3" xfId="0" applyFont="1" applyFill="1" applyBorder="1" applyAlignment="1">
      <alignment horizontal="left" wrapText="1"/>
    </xf>
    <xf numFmtId="0" fontId="57" fillId="59" borderId="4" xfId="0" applyFont="1" applyFill="1" applyBorder="1" applyAlignment="1">
      <alignment horizontal="left" wrapText="1"/>
    </xf>
    <xf numFmtId="0" fontId="68" fillId="0" borderId="123" xfId="0" applyFont="1" applyBorder="1" applyAlignment="1">
      <alignment horizontal="left" vertical="top" wrapText="1"/>
    </xf>
    <xf numFmtId="0" fontId="64" fillId="59" borderId="48" xfId="0" applyFont="1" applyFill="1" applyBorder="1" applyAlignment="1">
      <alignment horizontal="left" wrapText="1"/>
    </xf>
    <xf numFmtId="0" fontId="64" fillId="59" borderId="96" xfId="0" applyFont="1" applyFill="1" applyBorder="1" applyAlignment="1">
      <alignment horizontal="left" wrapText="1"/>
    </xf>
    <xf numFmtId="0" fontId="64" fillId="59" borderId="97" xfId="0" applyFont="1" applyFill="1" applyBorder="1" applyAlignment="1">
      <alignment horizontal="left" wrapText="1"/>
    </xf>
    <xf numFmtId="0" fontId="68" fillId="4" borderId="2" xfId="0" applyFont="1" applyFill="1" applyBorder="1" applyAlignment="1">
      <alignment horizontal="left" vertical="top" wrapText="1"/>
    </xf>
    <xf numFmtId="0" fontId="68" fillId="4" borderId="3" xfId="0" applyFont="1" applyFill="1" applyBorder="1" applyAlignment="1">
      <alignment horizontal="left" vertical="top" wrapText="1"/>
    </xf>
    <xf numFmtId="0" fontId="68" fillId="0" borderId="116" xfId="0" applyFont="1" applyBorder="1" applyAlignment="1">
      <alignment horizontal="left" wrapText="1"/>
    </xf>
    <xf numFmtId="0" fontId="91" fillId="0" borderId="116" xfId="0" applyFont="1" applyBorder="1" applyAlignment="1">
      <alignment horizontal="left" wrapText="1"/>
    </xf>
    <xf numFmtId="0" fontId="91" fillId="0" borderId="117" xfId="0" applyFont="1" applyBorder="1" applyAlignment="1">
      <alignment horizontal="left" wrapText="1"/>
    </xf>
  </cellXfs>
  <cellStyles count="490">
    <cellStyle name="20% - Accent1 2" xfId="40" xr:uid="{00000000-0005-0000-0000-000000000000}"/>
    <cellStyle name="20% - Accent2 2" xfId="41" xr:uid="{00000000-0005-0000-0000-000001000000}"/>
    <cellStyle name="20% - Accent3 2" xfId="42" xr:uid="{00000000-0005-0000-0000-000002000000}"/>
    <cellStyle name="20% - Accent4 2" xfId="43" xr:uid="{00000000-0005-0000-0000-000003000000}"/>
    <cellStyle name="20% - Accent5 2" xfId="44" xr:uid="{00000000-0005-0000-0000-000004000000}"/>
    <cellStyle name="20% - Accent6 2" xfId="45" xr:uid="{00000000-0005-0000-0000-000005000000}"/>
    <cellStyle name="40% - Accent1 2" xfId="46" xr:uid="{00000000-0005-0000-0000-000006000000}"/>
    <cellStyle name="40% - Accent2 2" xfId="47" xr:uid="{00000000-0005-0000-0000-000007000000}"/>
    <cellStyle name="40% - Accent3 2" xfId="48" xr:uid="{00000000-0005-0000-0000-000008000000}"/>
    <cellStyle name="40% - Accent4 2" xfId="49" xr:uid="{00000000-0005-0000-0000-000009000000}"/>
    <cellStyle name="40% - Accent5 2" xfId="50" xr:uid="{00000000-0005-0000-0000-00000A000000}"/>
    <cellStyle name="40% - Accent6 2" xfId="51" xr:uid="{00000000-0005-0000-0000-00000B000000}"/>
    <cellStyle name="60% - Accent1 2" xfId="52" xr:uid="{00000000-0005-0000-0000-00000C000000}"/>
    <cellStyle name="60% - Accent2 2" xfId="53" xr:uid="{00000000-0005-0000-0000-00000D000000}"/>
    <cellStyle name="60% - Accent3 2" xfId="54" xr:uid="{00000000-0005-0000-0000-00000E000000}"/>
    <cellStyle name="60% - Accent4 2" xfId="55" xr:uid="{00000000-0005-0000-0000-00000F000000}"/>
    <cellStyle name="60% - Accent5 2" xfId="56" xr:uid="{00000000-0005-0000-0000-000010000000}"/>
    <cellStyle name="60% - Accent6 2" xfId="57" xr:uid="{00000000-0005-0000-0000-000011000000}"/>
    <cellStyle name="Accent1 2" xfId="58" xr:uid="{00000000-0005-0000-0000-000012000000}"/>
    <cellStyle name="Accent2 2" xfId="59" xr:uid="{00000000-0005-0000-0000-000013000000}"/>
    <cellStyle name="Accent3 2" xfId="60" xr:uid="{00000000-0005-0000-0000-000014000000}"/>
    <cellStyle name="Accent4 2" xfId="61" xr:uid="{00000000-0005-0000-0000-000015000000}"/>
    <cellStyle name="Accent5 2" xfId="62" xr:uid="{00000000-0005-0000-0000-000016000000}"/>
    <cellStyle name="Accent6 2" xfId="63" xr:uid="{00000000-0005-0000-0000-000017000000}"/>
    <cellStyle name="Bad 2" xfId="64" xr:uid="{00000000-0005-0000-0000-000018000000}"/>
    <cellStyle name="Calculation 2" xfId="65" xr:uid="{00000000-0005-0000-0000-000019000000}"/>
    <cellStyle name="Calculation 3" xfId="285" xr:uid="{00000000-0005-0000-0000-00001A000000}"/>
    <cellStyle name="Check Cell 2" xfId="66" xr:uid="{00000000-0005-0000-0000-00001B000000}"/>
    <cellStyle name="Comma 2" xfId="67" xr:uid="{00000000-0005-0000-0000-00001C000000}"/>
    <cellStyle name="Comma 2 2" xfId="68" xr:uid="{00000000-0005-0000-0000-00001D000000}"/>
    <cellStyle name="Comma 3" xfId="69" xr:uid="{00000000-0005-0000-0000-00001E000000}"/>
    <cellStyle name="Currency" xfId="1" builtinId="4"/>
    <cellStyle name="Currency 2" xfId="70" xr:uid="{00000000-0005-0000-0000-000020000000}"/>
    <cellStyle name="Data_Total" xfId="71" xr:uid="{00000000-0005-0000-0000-000021000000}"/>
    <cellStyle name="Explanatory Text 2" xfId="72" xr:uid="{00000000-0005-0000-0000-000022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Good 2" xfId="73" xr:uid="{00000000-0005-0000-0000-000027010000}"/>
    <cellStyle name="Heading 1 2" xfId="74" xr:uid="{00000000-0005-0000-0000-000028010000}"/>
    <cellStyle name="Heading 2 2" xfId="75" xr:uid="{00000000-0005-0000-0000-000029010000}"/>
    <cellStyle name="Heading 3 2" xfId="76" xr:uid="{00000000-0005-0000-0000-00002A010000}"/>
    <cellStyle name="Heading 4 2" xfId="77" xr:uid="{00000000-0005-0000-0000-00002B010000}"/>
    <cellStyle name="Headings" xfId="78" xr:uid="{00000000-0005-0000-0000-00002C010000}"/>
    <cellStyle name="Headings 2" xfId="79" xr:uid="{00000000-0005-0000-0000-00002D010000}"/>
    <cellStyle name="Headings_Crime impact of employment" xfId="80" xr:uid="{00000000-0005-0000-0000-00002E010000}"/>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cellStyle name="Input 2" xfId="81" xr:uid="{00000000-0005-0000-0000-0000C3010000}"/>
    <cellStyle name="Linked Cell 2" xfId="82" xr:uid="{00000000-0005-0000-0000-0000C4010000}"/>
    <cellStyle name="Neutral 2" xfId="83" xr:uid="{00000000-0005-0000-0000-0000C5010000}"/>
    <cellStyle name="Neutral 3" xfId="284" xr:uid="{00000000-0005-0000-0000-0000C6010000}"/>
    <cellStyle name="Normal" xfId="0" builtinId="0"/>
    <cellStyle name="Normal 10" xfId="343" xr:uid="{00000000-0005-0000-0000-0000C8010000}"/>
    <cellStyle name="Normal 10 2" xfId="489" xr:uid="{B231DF06-4004-41C5-9463-7BD1DFE26C97}"/>
    <cellStyle name="Normal 2" xfId="39" xr:uid="{00000000-0005-0000-0000-0000C9010000}"/>
    <cellStyle name="Normal 2 2" xfId="84" xr:uid="{00000000-0005-0000-0000-0000CA010000}"/>
    <cellStyle name="Normal 2 24" xfId="488" xr:uid="{FD285E59-3100-4DCB-9D33-47A59CC365A4}"/>
    <cellStyle name="Normal 2 3" xfId="85" xr:uid="{00000000-0005-0000-0000-0000CB010000}"/>
    <cellStyle name="Normal 2_Adult disposal data by FIM metrics" xfId="86" xr:uid="{00000000-0005-0000-0000-0000CC010000}"/>
    <cellStyle name="Normal 3" xfId="87" xr:uid="{00000000-0005-0000-0000-0000CD010000}"/>
    <cellStyle name="Normal 4" xfId="88" xr:uid="{00000000-0005-0000-0000-0000CE010000}"/>
    <cellStyle name="Normal 5" xfId="89" xr:uid="{00000000-0005-0000-0000-0000CF010000}"/>
    <cellStyle name="Normal 6" xfId="90" xr:uid="{00000000-0005-0000-0000-0000D0010000}"/>
    <cellStyle name="Normal 7" xfId="91" xr:uid="{00000000-0005-0000-0000-0000D1010000}"/>
    <cellStyle name="Normal 8" xfId="92" xr:uid="{00000000-0005-0000-0000-0000D2010000}"/>
    <cellStyle name="Normal 9" xfId="342" xr:uid="{00000000-0005-0000-0000-0000D3010000}"/>
    <cellStyle name="Note 2" xfId="93" xr:uid="{00000000-0005-0000-0000-0000D4010000}"/>
    <cellStyle name="Output 2" xfId="94" xr:uid="{00000000-0005-0000-0000-0000D5010000}"/>
    <cellStyle name="Percent" xfId="2" builtinId="5"/>
    <cellStyle name="Percent 2" xfId="95" xr:uid="{00000000-0005-0000-0000-0000D7010000}"/>
    <cellStyle name="Percent 2 2" xfId="96" xr:uid="{00000000-0005-0000-0000-0000D8010000}"/>
    <cellStyle name="Percent 3" xfId="97" xr:uid="{00000000-0005-0000-0000-0000D9010000}"/>
    <cellStyle name="Percent 4" xfId="98" xr:uid="{00000000-0005-0000-0000-0000DA010000}"/>
    <cellStyle name="Percent 5" xfId="99" xr:uid="{00000000-0005-0000-0000-0000DB010000}"/>
    <cellStyle name="Row_CategoryHeadings" xfId="100" xr:uid="{00000000-0005-0000-0000-0000DC010000}"/>
    <cellStyle name="Source" xfId="101" xr:uid="{00000000-0005-0000-0000-0000DD010000}"/>
    <cellStyle name="Source 2" xfId="102" xr:uid="{00000000-0005-0000-0000-0000DE010000}"/>
    <cellStyle name="Source_Crime impact of employment" xfId="103" xr:uid="{00000000-0005-0000-0000-0000DF010000}"/>
    <cellStyle name="Style 1" xfId="104" xr:uid="{00000000-0005-0000-0000-0000E0010000}"/>
    <cellStyle name="Table_Name" xfId="105" xr:uid="{00000000-0005-0000-0000-0000E1010000}"/>
    <cellStyle name="Title 2" xfId="106" xr:uid="{00000000-0005-0000-0000-0000E2010000}"/>
    <cellStyle name="Total 2" xfId="107" xr:uid="{00000000-0005-0000-0000-0000E3010000}"/>
    <cellStyle name="Warning Text 2" xfId="108" xr:uid="{00000000-0005-0000-0000-0000E4010000}"/>
    <cellStyle name="Warnings" xfId="109" xr:uid="{00000000-0005-0000-0000-0000E5010000}"/>
    <cellStyle name="Warnings 2" xfId="110" xr:uid="{00000000-0005-0000-0000-0000E6010000}"/>
    <cellStyle name="Warnings_Crime impact of employment" xfId="111" xr:uid="{00000000-0005-0000-0000-0000E7010000}"/>
  </cellStyles>
  <dxfs count="24">
    <dxf>
      <fill>
        <patternFill>
          <bgColor theme="6" tint="0.39994506668294322"/>
        </patternFill>
      </fill>
    </dxf>
    <dxf>
      <fill>
        <patternFill>
          <bgColor theme="5" tint="0.39994506668294322"/>
        </patternFill>
      </fill>
    </dxf>
    <dxf>
      <fill>
        <patternFill>
          <bgColor theme="5" tint="0.39994506668294322"/>
        </patternFill>
      </fill>
    </dxf>
    <dxf>
      <fill>
        <patternFill>
          <bgColor theme="6"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s>
  <tableStyles count="0" defaultTableStyle="TableStyleMedium9" defaultPivotStyle="PivotStyleMedium4"/>
  <colors>
    <mruColors>
      <color rgb="FF286165"/>
      <color rgb="FFE6E6E6"/>
      <color rgb="FFB2CCE5"/>
      <color rgb="FFE0EBF5"/>
      <color rgb="FF445D69"/>
      <color rgb="FFFDFFA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0996596753751"/>
          <c:y val="2.911373505916692E-2"/>
          <c:w val="0.54384834701741824"/>
          <c:h val="0.85336387670780101"/>
        </c:manualLayout>
      </c:layout>
      <c:barChart>
        <c:barDir val="bar"/>
        <c:grouping val="stacked"/>
        <c:varyColors val="0"/>
        <c:ser>
          <c:idx val="1"/>
          <c:order val="0"/>
          <c:spPr>
            <a:noFill/>
            <a:ln>
              <a:noFill/>
            </a:ln>
            <a:effectLst/>
          </c:spPr>
          <c:invertIfNegative val="0"/>
          <c:cat>
            <c:strRef>
              <c:f>'Cost-benefit'!$C$23:$C$33</c:f>
              <c:strCache>
                <c:ptCount val="11"/>
                <c:pt idx="0">
                  <c:v>Inclusion of direct benefits for victims (20%) </c:v>
                </c:pt>
                <c:pt idx="1">
                  <c:v>Rate of attrition (+/-10%) </c:v>
                </c:pt>
                <c:pt idx="2">
                  <c:v>Reoffending rate (+/- 10%)</c:v>
                </c:pt>
                <c:pt idx="3">
                  <c:v>Cost of reoffending (+/-10 %)</c:v>
                </c:pt>
                <c:pt idx="4">
                  <c:v>No cost for the assessment stage (assume that it includes a restorative conversation, which displaces victims support)</c:v>
                </c:pt>
                <c:pt idx="5">
                  <c:v>Treatment effect (CI) (SMD: -0.141; -0.245)</c:v>
                </c:pt>
                <c:pt idx="6">
                  <c:v>Costs of delivering a direct RJ intervention (+/- 50%)</c:v>
                </c:pt>
                <c:pt idx="7">
                  <c:v>Cost of delivering RJ total (+100%)</c:v>
                </c:pt>
                <c:pt idx="8">
                  <c:v>Inclusion of benefits for indirect RJ (RR 0.37 vs direct RJ)  </c:v>
                </c:pt>
                <c:pt idx="9">
                  <c:v>Multiplier 2 (+/-50%)</c:v>
                </c:pt>
                <c:pt idx="10">
                  <c:v>Cost of the RJ pathway (+/-50%)</c:v>
                </c:pt>
              </c:strCache>
            </c:strRef>
          </c:cat>
          <c:val>
            <c:numRef>
              <c:f>'Cost-benefit'!$D$23:$D$33</c:f>
              <c:numCache>
                <c:formatCode>"£"#,##0.00</c:formatCode>
                <c:ptCount val="11"/>
                <c:pt idx="0">
                  <c:v>14.372994396694315</c:v>
                </c:pt>
                <c:pt idx="1">
                  <c:v>12.90947241146821</c:v>
                </c:pt>
                <c:pt idx="2">
                  <c:v>12.935694957024884</c:v>
                </c:pt>
                <c:pt idx="3">
                  <c:v>12.935694957024884</c:v>
                </c:pt>
                <c:pt idx="4">
                  <c:v>14.372994396694315</c:v>
                </c:pt>
                <c:pt idx="5">
                  <c:v>10.981395185225608</c:v>
                </c:pt>
                <c:pt idx="6">
                  <c:v>11.642659987920728</c:v>
                </c:pt>
                <c:pt idx="7">
                  <c:v>7.1864971983471575</c:v>
                </c:pt>
                <c:pt idx="8">
                  <c:v>14.372994396694315</c:v>
                </c:pt>
                <c:pt idx="9">
                  <c:v>7.1864971983471584</c:v>
                </c:pt>
                <c:pt idx="10">
                  <c:v>9.5819962644628749</c:v>
                </c:pt>
              </c:numCache>
            </c:numRef>
          </c:val>
          <c:extLst>
            <c:ext xmlns:c16="http://schemas.microsoft.com/office/drawing/2014/chart" uri="{C3380CC4-5D6E-409C-BE32-E72D297353CC}">
              <c16:uniqueId val="{00000001-9B71-4B09-9925-329C2B263F2B}"/>
            </c:ext>
          </c:extLst>
        </c:ser>
        <c:ser>
          <c:idx val="0"/>
          <c:order val="1"/>
          <c:spPr>
            <a:solidFill>
              <a:schemeClr val="tx1"/>
            </a:solidFill>
            <a:ln>
              <a:noFill/>
            </a:ln>
            <a:effectLst/>
          </c:spPr>
          <c:invertIfNegative val="0"/>
          <c:cat>
            <c:strRef>
              <c:f>'Cost-benefit'!$C$23:$C$33</c:f>
              <c:strCache>
                <c:ptCount val="11"/>
                <c:pt idx="0">
                  <c:v>Inclusion of direct benefits for victims (20%) </c:v>
                </c:pt>
                <c:pt idx="1">
                  <c:v>Rate of attrition (+/-10%) </c:v>
                </c:pt>
                <c:pt idx="2">
                  <c:v>Reoffending rate (+/- 10%)</c:v>
                </c:pt>
                <c:pt idx="3">
                  <c:v>Cost of reoffending (+/-10 %)</c:v>
                </c:pt>
                <c:pt idx="4">
                  <c:v>No cost for the assessment stage (assume that it includes a restorative conversation, which displaces victims support)</c:v>
                </c:pt>
                <c:pt idx="5">
                  <c:v>Treatment effect (CI) (SMD: -0.141; -0.245)</c:v>
                </c:pt>
                <c:pt idx="6">
                  <c:v>Costs of delivering a direct RJ intervention (+/- 50%)</c:v>
                </c:pt>
                <c:pt idx="7">
                  <c:v>Cost of delivering RJ total (+100%)</c:v>
                </c:pt>
                <c:pt idx="8">
                  <c:v>Inclusion of benefits for indirect RJ (RR 0.37 vs direct RJ)  </c:v>
                </c:pt>
                <c:pt idx="9">
                  <c:v>Multiplier 2 (+/-50%)</c:v>
                </c:pt>
                <c:pt idx="10">
                  <c:v>Cost of the RJ pathway (+/-50%)</c:v>
                </c:pt>
              </c:strCache>
            </c:strRef>
          </c:cat>
          <c:val>
            <c:numRef>
              <c:f>'Cost-benefit'!$E$23:$E$33</c:f>
              <c:numCache>
                <c:formatCode>"£"#,##0.00</c:formatCode>
                <c:ptCount val="11"/>
                <c:pt idx="0">
                  <c:v>0.20880800288159662</c:v>
                </c:pt>
                <c:pt idx="1">
                  <c:v>2.8098125456184189</c:v>
                </c:pt>
                <c:pt idx="2">
                  <c:v>2.8745988793388637</c:v>
                </c:pt>
                <c:pt idx="3">
                  <c:v>2.8745988793388637</c:v>
                </c:pt>
                <c:pt idx="4">
                  <c:v>4.2164434189348601</c:v>
                </c:pt>
                <c:pt idx="5">
                  <c:v>6.4779332368022935</c:v>
                </c:pt>
                <c:pt idx="6">
                  <c:v>7.1335713428264054</c:v>
                </c:pt>
                <c:pt idx="7">
                  <c:v>7.1864971983471575</c:v>
                </c:pt>
                <c:pt idx="8">
                  <c:v>11.836856353148578</c:v>
                </c:pt>
                <c:pt idx="9">
                  <c:v>14.37299439669432</c:v>
                </c:pt>
                <c:pt idx="10">
                  <c:v>19.163992528925753</c:v>
                </c:pt>
              </c:numCache>
            </c:numRef>
          </c:val>
          <c:extLst>
            <c:ext xmlns:c16="http://schemas.microsoft.com/office/drawing/2014/chart" uri="{C3380CC4-5D6E-409C-BE32-E72D297353CC}">
              <c16:uniqueId val="{00000000-9B71-4B09-9925-329C2B263F2B}"/>
            </c:ext>
          </c:extLst>
        </c:ser>
        <c:dLbls>
          <c:showLegendKey val="0"/>
          <c:showVal val="0"/>
          <c:showCatName val="0"/>
          <c:showSerName val="0"/>
          <c:showPercent val="0"/>
          <c:showBubbleSize val="0"/>
        </c:dLbls>
        <c:gapWidth val="71"/>
        <c:overlap val="100"/>
        <c:axId val="938594120"/>
        <c:axId val="938596088"/>
      </c:barChart>
      <c:catAx>
        <c:axId val="938594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Arial" panose="020B0604020202020204" pitchFamily="34" charset="0"/>
              </a:defRPr>
            </a:pPr>
            <a:endParaRPr lang="en-US"/>
          </a:p>
        </c:txPr>
        <c:crossAx val="938596088"/>
        <c:crosses val="autoZero"/>
        <c:auto val="1"/>
        <c:lblAlgn val="ctr"/>
        <c:lblOffset val="100"/>
        <c:noMultiLvlLbl val="0"/>
      </c:catAx>
      <c:valAx>
        <c:axId val="9385960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j-lt"/>
                    <a:ea typeface="+mn-ea"/>
                    <a:cs typeface="Arial" panose="020B0604020202020204" pitchFamily="34" charset="0"/>
                  </a:defRPr>
                </a:pPr>
                <a:r>
                  <a:rPr lang="en-GB">
                    <a:solidFill>
                      <a:sysClr val="windowText" lastClr="000000"/>
                    </a:solidFill>
                    <a:latin typeface="+mj-lt"/>
                    <a:cs typeface="Arial" panose="020B0604020202020204" pitchFamily="34" charset="0"/>
                  </a:rPr>
                  <a:t>Cost-social</a:t>
                </a:r>
                <a:r>
                  <a:rPr lang="en-GB" baseline="0">
                    <a:solidFill>
                      <a:sysClr val="windowText" lastClr="000000"/>
                    </a:solidFill>
                    <a:latin typeface="+mj-lt"/>
                    <a:cs typeface="Arial" panose="020B0604020202020204" pitchFamily="34" charset="0"/>
                  </a:rPr>
                  <a:t> benefit ratio</a:t>
                </a:r>
                <a:endParaRPr lang="en-GB">
                  <a:solidFill>
                    <a:sysClr val="windowText" lastClr="000000"/>
                  </a:solidFill>
                  <a:latin typeface="+mj-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85941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74E-4E0D-83BB-3793CDE570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74E-4E0D-83BB-3793CDE570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74E-4E0D-83BB-3793CDE570E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748-489C-958A-E417172652D4}"/>
              </c:ext>
            </c:extLst>
          </c:dPt>
          <c:dLbls>
            <c:dLbl>
              <c:idx val="2"/>
              <c:layout>
                <c:manualLayout>
                  <c:x val="9.5097330118962802E-3"/>
                  <c:y val="2.088566595806844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74E-4E0D-83BB-3793CDE570E6}"/>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'Cost-benefit'!$C$5:$C$8</c:f>
              <c:strCache>
                <c:ptCount val="4"/>
                <c:pt idx="0">
                  <c:v>CJS</c:v>
                </c:pt>
                <c:pt idx="1">
                  <c:v>Society</c:v>
                </c:pt>
                <c:pt idx="2">
                  <c:v>HealthSystem</c:v>
                </c:pt>
                <c:pt idx="3">
                  <c:v>Victim</c:v>
                </c:pt>
              </c:strCache>
            </c:strRef>
          </c:cat>
          <c:val>
            <c:numRef>
              <c:f>'Cost-benefit'!$G$5:$G$8</c:f>
              <c:numCache>
                <c:formatCode>"£"#,##0.00</c:formatCode>
                <c:ptCount val="4"/>
                <c:pt idx="0">
                  <c:v>1203.9660856534467</c:v>
                </c:pt>
                <c:pt idx="1">
                  <c:v>2635.6690336596726</c:v>
                </c:pt>
                <c:pt idx="2">
                  <c:v>252.78789887061015</c:v>
                </c:pt>
                <c:pt idx="3">
                  <c:v>0</c:v>
                </c:pt>
              </c:numCache>
            </c:numRef>
          </c:val>
          <c:extLst>
            <c:ext xmlns:c16="http://schemas.microsoft.com/office/drawing/2014/chart" uri="{C3380CC4-5D6E-409C-BE32-E72D297353CC}">
              <c16:uniqueId val="{00000000-911D-451E-884E-B09883D432B2}"/>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Reoffending_inputs!$D$427</c:f>
              <c:strCache>
                <c:ptCount val="1"/>
                <c:pt idx="0">
                  <c:v>Relative risk</c:v>
                </c:pt>
              </c:strCache>
            </c:strRef>
          </c:tx>
          <c:spPr>
            <a:ln w="28575" cap="rnd">
              <a:solidFill>
                <a:schemeClr val="accent1"/>
              </a:solidFill>
              <a:round/>
            </a:ln>
            <a:effectLst/>
          </c:spPr>
          <c:marker>
            <c:symbol val="none"/>
          </c:marker>
          <c:cat>
            <c:numRef>
              <c:f>Reoffending_inputs!$A$428:$A$466</c:f>
              <c:numCache>
                <c:formatCode>General</c:formatCode>
                <c:ptCount val="39"/>
                <c:pt idx="0">
                  <c:v>12</c:v>
                </c:pt>
                <c:pt idx="1">
                  <c:v>13</c:v>
                </c:pt>
                <c:pt idx="2">
                  <c:v>14</c:v>
                </c:pt>
                <c:pt idx="3">
                  <c:v>15</c:v>
                </c:pt>
                <c:pt idx="4">
                  <c:v>16</c:v>
                </c:pt>
                <c:pt idx="5">
                  <c:v>17</c:v>
                </c:pt>
                <c:pt idx="6">
                  <c:v>18</c:v>
                </c:pt>
                <c:pt idx="7">
                  <c:v>19</c:v>
                </c:pt>
                <c:pt idx="8">
                  <c:v>20</c:v>
                </c:pt>
                <c:pt idx="9">
                  <c:v>21</c:v>
                </c:pt>
                <c:pt idx="10">
                  <c:v>22</c:v>
                </c:pt>
                <c:pt idx="11">
                  <c:v>23</c:v>
                </c:pt>
                <c:pt idx="12">
                  <c:v>24</c:v>
                </c:pt>
                <c:pt idx="13">
                  <c:v>25</c:v>
                </c:pt>
                <c:pt idx="14">
                  <c:v>26</c:v>
                </c:pt>
                <c:pt idx="15">
                  <c:v>27</c:v>
                </c:pt>
                <c:pt idx="16">
                  <c:v>28</c:v>
                </c:pt>
                <c:pt idx="17">
                  <c:v>29</c:v>
                </c:pt>
                <c:pt idx="18">
                  <c:v>30</c:v>
                </c:pt>
                <c:pt idx="19">
                  <c:v>31</c:v>
                </c:pt>
                <c:pt idx="20">
                  <c:v>32</c:v>
                </c:pt>
                <c:pt idx="21">
                  <c:v>33</c:v>
                </c:pt>
                <c:pt idx="22">
                  <c:v>34</c:v>
                </c:pt>
                <c:pt idx="23">
                  <c:v>35</c:v>
                </c:pt>
                <c:pt idx="24">
                  <c:v>36</c:v>
                </c:pt>
                <c:pt idx="25">
                  <c:v>37</c:v>
                </c:pt>
                <c:pt idx="26">
                  <c:v>38</c:v>
                </c:pt>
                <c:pt idx="27">
                  <c:v>39</c:v>
                </c:pt>
                <c:pt idx="28">
                  <c:v>40</c:v>
                </c:pt>
                <c:pt idx="29">
                  <c:v>41</c:v>
                </c:pt>
                <c:pt idx="30">
                  <c:v>42</c:v>
                </c:pt>
                <c:pt idx="31">
                  <c:v>43</c:v>
                </c:pt>
                <c:pt idx="32">
                  <c:v>44</c:v>
                </c:pt>
                <c:pt idx="33">
                  <c:v>45</c:v>
                </c:pt>
                <c:pt idx="34">
                  <c:v>46</c:v>
                </c:pt>
                <c:pt idx="35">
                  <c:v>47</c:v>
                </c:pt>
                <c:pt idx="36">
                  <c:v>48</c:v>
                </c:pt>
                <c:pt idx="37">
                  <c:v>49</c:v>
                </c:pt>
                <c:pt idx="38">
                  <c:v>50</c:v>
                </c:pt>
              </c:numCache>
            </c:numRef>
          </c:cat>
          <c:val>
            <c:numRef>
              <c:f>Reoffending_inputs!$D$428:$D$466</c:f>
              <c:numCache>
                <c:formatCode>0.000</c:formatCode>
                <c:ptCount val="39"/>
                <c:pt idx="0">
                  <c:v>1.4559902200488999</c:v>
                </c:pt>
                <c:pt idx="1">
                  <c:v>2.7178484107579459</c:v>
                </c:pt>
                <c:pt idx="2">
                  <c:v>4.7562347188264056</c:v>
                </c:pt>
                <c:pt idx="3">
                  <c:v>4.4759803921568624</c:v>
                </c:pt>
                <c:pt idx="4">
                  <c:v>5.7409313725490199</c:v>
                </c:pt>
                <c:pt idx="5">
                  <c:v>6.7304668304668294</c:v>
                </c:pt>
                <c:pt idx="6">
                  <c:v>6.2735802469135802</c:v>
                </c:pt>
                <c:pt idx="7">
                  <c:v>5.1099009900990096</c:v>
                </c:pt>
                <c:pt idx="8">
                  <c:v>4.9255583126550873</c:v>
                </c:pt>
                <c:pt idx="9">
                  <c:v>2.2657568238213397</c:v>
                </c:pt>
                <c:pt idx="10">
                  <c:v>3.97</c:v>
                </c:pt>
                <c:pt idx="11">
                  <c:v>1.1939849624060148</c:v>
                </c:pt>
                <c:pt idx="12">
                  <c:v>1.9949748743718594</c:v>
                </c:pt>
                <c:pt idx="13">
                  <c:v>1.9949748743718594</c:v>
                </c:pt>
                <c:pt idx="14">
                  <c:v>1.5959798994974874</c:v>
                </c:pt>
                <c:pt idx="15">
                  <c:v>1.7999999999999998</c:v>
                </c:pt>
                <c:pt idx="16">
                  <c:v>1.5</c:v>
                </c:pt>
                <c:pt idx="17">
                  <c:v>1.9</c:v>
                </c:pt>
                <c:pt idx="18">
                  <c:v>1.2999999999999998</c:v>
                </c:pt>
                <c:pt idx="19">
                  <c:v>1</c:v>
                </c:pt>
                <c:pt idx="20">
                  <c:v>1.0025252525252524</c:v>
                </c:pt>
                <c:pt idx="21">
                  <c:v>0.90227272727272723</c:v>
                </c:pt>
                <c:pt idx="22">
                  <c:v>1.3032828282828284</c:v>
                </c:pt>
                <c:pt idx="23">
                  <c:v>1.4035353535353534</c:v>
                </c:pt>
                <c:pt idx="24">
                  <c:v>0.70176767676767671</c:v>
                </c:pt>
                <c:pt idx="25">
                  <c:v>1.2030303030303031</c:v>
                </c:pt>
                <c:pt idx="26">
                  <c:v>0.70532994923857872</c:v>
                </c:pt>
                <c:pt idx="27">
                  <c:v>0.30228426395939084</c:v>
                </c:pt>
                <c:pt idx="28">
                  <c:v>0.80609137055837554</c:v>
                </c:pt>
                <c:pt idx="29">
                  <c:v>0.80814249363867685</c:v>
                </c:pt>
                <c:pt idx="30">
                  <c:v>0.70892857142857135</c:v>
                </c:pt>
                <c:pt idx="31">
                  <c:v>1.3165816326530613</c:v>
                </c:pt>
                <c:pt idx="32">
                  <c:v>0.91147959183673466</c:v>
                </c:pt>
                <c:pt idx="33">
                  <c:v>1.1168797953964194</c:v>
                </c:pt>
                <c:pt idx="34">
                  <c:v>1.1197435897435897</c:v>
                </c:pt>
                <c:pt idx="35">
                  <c:v>0.30616966580976862</c:v>
                </c:pt>
                <c:pt idx="36">
                  <c:v>0</c:v>
                </c:pt>
                <c:pt idx="37">
                  <c:v>0.10258397932816538</c:v>
                </c:pt>
                <c:pt idx="38">
                  <c:v>0.71994818652849735</c:v>
                </c:pt>
              </c:numCache>
            </c:numRef>
          </c:val>
          <c:smooth val="0"/>
          <c:extLst>
            <c:ext xmlns:c16="http://schemas.microsoft.com/office/drawing/2014/chart" uri="{C3380CC4-5D6E-409C-BE32-E72D297353CC}">
              <c16:uniqueId val="{00000000-5407-451B-AF5A-BC0BBF5C22D9}"/>
            </c:ext>
          </c:extLst>
        </c:ser>
        <c:ser>
          <c:idx val="2"/>
          <c:order val="1"/>
          <c:tx>
            <c:strRef>
              <c:f>Reoffending_inputs!$F$427</c:f>
              <c:strCache>
                <c:ptCount val="1"/>
                <c:pt idx="0">
                  <c:v>Relative risk (5 year moving average, anchored)</c:v>
                </c:pt>
              </c:strCache>
            </c:strRef>
          </c:tx>
          <c:spPr>
            <a:ln w="28575" cap="rnd">
              <a:solidFill>
                <a:schemeClr val="accent3"/>
              </a:solidFill>
              <a:round/>
            </a:ln>
            <a:effectLst/>
          </c:spPr>
          <c:marker>
            <c:symbol val="none"/>
          </c:marker>
          <c:cat>
            <c:numRef>
              <c:f>Reoffending_inputs!$A$428:$A$466</c:f>
              <c:numCache>
                <c:formatCode>General</c:formatCode>
                <c:ptCount val="39"/>
                <c:pt idx="0">
                  <c:v>12</c:v>
                </c:pt>
                <c:pt idx="1">
                  <c:v>13</c:v>
                </c:pt>
                <c:pt idx="2">
                  <c:v>14</c:v>
                </c:pt>
                <c:pt idx="3">
                  <c:v>15</c:v>
                </c:pt>
                <c:pt idx="4">
                  <c:v>16</c:v>
                </c:pt>
                <c:pt idx="5">
                  <c:v>17</c:v>
                </c:pt>
                <c:pt idx="6">
                  <c:v>18</c:v>
                </c:pt>
                <c:pt idx="7">
                  <c:v>19</c:v>
                </c:pt>
                <c:pt idx="8">
                  <c:v>20</c:v>
                </c:pt>
                <c:pt idx="9">
                  <c:v>21</c:v>
                </c:pt>
                <c:pt idx="10">
                  <c:v>22</c:v>
                </c:pt>
                <c:pt idx="11">
                  <c:v>23</c:v>
                </c:pt>
                <c:pt idx="12">
                  <c:v>24</c:v>
                </c:pt>
                <c:pt idx="13">
                  <c:v>25</c:v>
                </c:pt>
                <c:pt idx="14">
                  <c:v>26</c:v>
                </c:pt>
                <c:pt idx="15">
                  <c:v>27</c:v>
                </c:pt>
                <c:pt idx="16">
                  <c:v>28</c:v>
                </c:pt>
                <c:pt idx="17">
                  <c:v>29</c:v>
                </c:pt>
                <c:pt idx="18">
                  <c:v>30</c:v>
                </c:pt>
                <c:pt idx="19">
                  <c:v>31</c:v>
                </c:pt>
                <c:pt idx="20">
                  <c:v>32</c:v>
                </c:pt>
                <c:pt idx="21">
                  <c:v>33</c:v>
                </c:pt>
                <c:pt idx="22">
                  <c:v>34</c:v>
                </c:pt>
                <c:pt idx="23">
                  <c:v>35</c:v>
                </c:pt>
                <c:pt idx="24">
                  <c:v>36</c:v>
                </c:pt>
                <c:pt idx="25">
                  <c:v>37</c:v>
                </c:pt>
                <c:pt idx="26">
                  <c:v>38</c:v>
                </c:pt>
                <c:pt idx="27">
                  <c:v>39</c:v>
                </c:pt>
                <c:pt idx="28">
                  <c:v>40</c:v>
                </c:pt>
                <c:pt idx="29">
                  <c:v>41</c:v>
                </c:pt>
                <c:pt idx="30">
                  <c:v>42</c:v>
                </c:pt>
                <c:pt idx="31">
                  <c:v>43</c:v>
                </c:pt>
                <c:pt idx="32">
                  <c:v>44</c:v>
                </c:pt>
                <c:pt idx="33">
                  <c:v>45</c:v>
                </c:pt>
                <c:pt idx="34">
                  <c:v>46</c:v>
                </c:pt>
                <c:pt idx="35">
                  <c:v>47</c:v>
                </c:pt>
                <c:pt idx="36">
                  <c:v>48</c:v>
                </c:pt>
                <c:pt idx="37">
                  <c:v>49</c:v>
                </c:pt>
                <c:pt idx="38">
                  <c:v>50</c:v>
                </c:pt>
              </c:numCache>
            </c:numRef>
          </c:cat>
          <c:val>
            <c:numRef>
              <c:f>Reoffending_inputs!$F$428:$F$466</c:f>
              <c:numCache>
                <c:formatCode>0.000</c:formatCode>
                <c:ptCount val="39"/>
                <c:pt idx="0">
                  <c:v>1.1924966435147142</c:v>
                </c:pt>
                <c:pt idx="1">
                  <c:v>2.4379931378523043</c:v>
                </c:pt>
                <c:pt idx="2">
                  <c:v>3.1363830838793363</c:v>
                </c:pt>
                <c:pt idx="3">
                  <c:v>4.000371806826803</c:v>
                </c:pt>
                <c:pt idx="4">
                  <c:v>4.5828205377958335</c:v>
                </c:pt>
                <c:pt idx="5">
                  <c:v>4.6407530480022254</c:v>
                </c:pt>
                <c:pt idx="6">
                  <c:v>4.7143964219494015</c:v>
                </c:pt>
                <c:pt idx="7">
                  <c:v>4.14514342451562</c:v>
                </c:pt>
                <c:pt idx="8">
                  <c:v>3.6929635424619027</c:v>
                </c:pt>
                <c:pt idx="9">
                  <c:v>2.8608974689706947</c:v>
                </c:pt>
                <c:pt idx="10">
                  <c:v>2.3506551765909838</c:v>
                </c:pt>
                <c:pt idx="11">
                  <c:v>1.87060924419795</c:v>
                </c:pt>
                <c:pt idx="12">
                  <c:v>1.7608960437709613</c:v>
                </c:pt>
                <c:pt idx="13">
                  <c:v>1.4054379258805789</c:v>
                </c:pt>
                <c:pt idx="14">
                  <c:v>1.45556489791252</c:v>
                </c:pt>
                <c:pt idx="15">
                  <c:v>1.4400074831239964</c:v>
                </c:pt>
                <c:pt idx="16">
                  <c:v>1.3261667177667031</c:v>
                </c:pt>
                <c:pt idx="17">
                  <c:v>1.2285418821096172</c:v>
                </c:pt>
                <c:pt idx="18">
                  <c:v>1.097911065149948</c:v>
                </c:pt>
                <c:pt idx="19">
                  <c:v>1</c:v>
                </c:pt>
                <c:pt idx="20">
                  <c:v>0.90225439503619431</c:v>
                </c:pt>
                <c:pt idx="21">
                  <c:v>0.91921406411582218</c:v>
                </c:pt>
                <c:pt idx="22">
                  <c:v>0.87036194415718715</c:v>
                </c:pt>
                <c:pt idx="23">
                  <c:v>0.903205791106515</c:v>
                </c:pt>
                <c:pt idx="24">
                  <c:v>0.87094546428065234</c:v>
                </c:pt>
                <c:pt idx="25">
                  <c:v>0.70697630958692681</c:v>
                </c:pt>
                <c:pt idx="26">
                  <c:v>0.60911164888004665</c:v>
                </c:pt>
                <c:pt idx="27">
                  <c:v>0.62653643791041513</c:v>
                </c:pt>
                <c:pt idx="28">
                  <c:v>0.54559981507100019</c:v>
                </c:pt>
                <c:pt idx="29">
                  <c:v>0.64572625421562702</c:v>
                </c:pt>
                <c:pt idx="30">
                  <c:v>0.74551585084000249</c:v>
                </c:pt>
                <c:pt idx="31">
                  <c:v>0.79642473035845762</c:v>
                </c:pt>
                <c:pt idx="32">
                  <c:v>0.84746672996861094</c:v>
                </c:pt>
                <c:pt idx="33">
                  <c:v>0.78149257210923317</c:v>
                </c:pt>
                <c:pt idx="34">
                  <c:v>0.56582914851849375</c:v>
                </c:pt>
                <c:pt idx="35">
                  <c:v>0.43332753008896174</c:v>
                </c:pt>
                <c:pt idx="36">
                  <c:v>0.36830791597864254</c:v>
                </c:pt>
                <c:pt idx="37">
                  <c:v>0.2245589366971654</c:v>
                </c:pt>
                <c:pt idx="38">
                  <c:v>0.58965766673275066</c:v>
                </c:pt>
              </c:numCache>
            </c:numRef>
          </c:val>
          <c:smooth val="0"/>
          <c:extLst>
            <c:ext xmlns:c16="http://schemas.microsoft.com/office/drawing/2014/chart" uri="{C3380CC4-5D6E-409C-BE32-E72D297353CC}">
              <c16:uniqueId val="{00000000-24FD-48CC-8325-604C8EA77C8C}"/>
            </c:ext>
          </c:extLst>
        </c:ser>
        <c:dLbls>
          <c:showLegendKey val="0"/>
          <c:showVal val="0"/>
          <c:showCatName val="0"/>
          <c:showSerName val="0"/>
          <c:showPercent val="0"/>
          <c:showBubbleSize val="0"/>
        </c:dLbls>
        <c:smooth val="0"/>
        <c:axId val="813837688"/>
        <c:axId val="813835064"/>
      </c:lineChart>
      <c:catAx>
        <c:axId val="813837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835064"/>
        <c:crosses val="autoZero"/>
        <c:auto val="1"/>
        <c:lblAlgn val="ctr"/>
        <c:lblOffset val="100"/>
        <c:noMultiLvlLbl val="0"/>
      </c:catAx>
      <c:valAx>
        <c:axId val="813835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837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Reoffending_inputs!$B$427</c:f>
              <c:strCache>
                <c:ptCount val="1"/>
                <c:pt idx="0">
                  <c:v>Offending</c:v>
                </c:pt>
              </c:strCache>
            </c:strRef>
          </c:tx>
          <c:spPr>
            <a:ln w="28575" cap="rnd">
              <a:solidFill>
                <a:schemeClr val="accent1"/>
              </a:solidFill>
              <a:round/>
            </a:ln>
            <a:effectLst/>
          </c:spPr>
          <c:marker>
            <c:symbol val="none"/>
          </c:marker>
          <c:cat>
            <c:numRef>
              <c:f>Reoffending_inputs!$A$428:$A$466</c:f>
              <c:numCache>
                <c:formatCode>General</c:formatCode>
                <c:ptCount val="39"/>
                <c:pt idx="0">
                  <c:v>12</c:v>
                </c:pt>
                <c:pt idx="1">
                  <c:v>13</c:v>
                </c:pt>
                <c:pt idx="2">
                  <c:v>14</c:v>
                </c:pt>
                <c:pt idx="3">
                  <c:v>15</c:v>
                </c:pt>
                <c:pt idx="4">
                  <c:v>16</c:v>
                </c:pt>
                <c:pt idx="5">
                  <c:v>17</c:v>
                </c:pt>
                <c:pt idx="6">
                  <c:v>18</c:v>
                </c:pt>
                <c:pt idx="7">
                  <c:v>19</c:v>
                </c:pt>
                <c:pt idx="8">
                  <c:v>20</c:v>
                </c:pt>
                <c:pt idx="9">
                  <c:v>21</c:v>
                </c:pt>
                <c:pt idx="10">
                  <c:v>22</c:v>
                </c:pt>
                <c:pt idx="11">
                  <c:v>23</c:v>
                </c:pt>
                <c:pt idx="12">
                  <c:v>24</c:v>
                </c:pt>
                <c:pt idx="13">
                  <c:v>25</c:v>
                </c:pt>
                <c:pt idx="14">
                  <c:v>26</c:v>
                </c:pt>
                <c:pt idx="15">
                  <c:v>27</c:v>
                </c:pt>
                <c:pt idx="16">
                  <c:v>28</c:v>
                </c:pt>
                <c:pt idx="17">
                  <c:v>29</c:v>
                </c:pt>
                <c:pt idx="18">
                  <c:v>30</c:v>
                </c:pt>
                <c:pt idx="19">
                  <c:v>31</c:v>
                </c:pt>
                <c:pt idx="20">
                  <c:v>32</c:v>
                </c:pt>
                <c:pt idx="21">
                  <c:v>33</c:v>
                </c:pt>
                <c:pt idx="22">
                  <c:v>34</c:v>
                </c:pt>
                <c:pt idx="23">
                  <c:v>35</c:v>
                </c:pt>
                <c:pt idx="24">
                  <c:v>36</c:v>
                </c:pt>
                <c:pt idx="25">
                  <c:v>37</c:v>
                </c:pt>
                <c:pt idx="26">
                  <c:v>38</c:v>
                </c:pt>
                <c:pt idx="27">
                  <c:v>39</c:v>
                </c:pt>
                <c:pt idx="28">
                  <c:v>40</c:v>
                </c:pt>
                <c:pt idx="29">
                  <c:v>41</c:v>
                </c:pt>
                <c:pt idx="30">
                  <c:v>42</c:v>
                </c:pt>
                <c:pt idx="31">
                  <c:v>43</c:v>
                </c:pt>
                <c:pt idx="32">
                  <c:v>44</c:v>
                </c:pt>
                <c:pt idx="33">
                  <c:v>45</c:v>
                </c:pt>
                <c:pt idx="34">
                  <c:v>46</c:v>
                </c:pt>
                <c:pt idx="35">
                  <c:v>47</c:v>
                </c:pt>
                <c:pt idx="36">
                  <c:v>48</c:v>
                </c:pt>
                <c:pt idx="37">
                  <c:v>49</c:v>
                </c:pt>
                <c:pt idx="38">
                  <c:v>50</c:v>
                </c:pt>
              </c:numCache>
            </c:numRef>
          </c:cat>
          <c:val>
            <c:numRef>
              <c:f>Reoffending_inputs!$B$428:$B$466</c:f>
              <c:numCache>
                <c:formatCode>0.000</c:formatCode>
                <c:ptCount val="39"/>
                <c:pt idx="0">
                  <c:v>3.6674816625916873E-2</c:v>
                </c:pt>
                <c:pt idx="1">
                  <c:v>6.8459657701711488E-2</c:v>
                </c:pt>
                <c:pt idx="2">
                  <c:v>0.11980440097799511</c:v>
                </c:pt>
                <c:pt idx="3">
                  <c:v>0.11274509803921569</c:v>
                </c:pt>
                <c:pt idx="4">
                  <c:v>0.14460784313725492</c:v>
                </c:pt>
                <c:pt idx="5">
                  <c:v>0.16953316953316952</c:v>
                </c:pt>
                <c:pt idx="6">
                  <c:v>0.15802469135802469</c:v>
                </c:pt>
                <c:pt idx="7">
                  <c:v>0.12871287128712872</c:v>
                </c:pt>
                <c:pt idx="8">
                  <c:v>0.12406947890818859</c:v>
                </c:pt>
                <c:pt idx="9">
                  <c:v>5.7071960297766747E-2</c:v>
                </c:pt>
                <c:pt idx="10">
                  <c:v>0.1</c:v>
                </c:pt>
                <c:pt idx="11">
                  <c:v>3.007518796992481E-2</c:v>
                </c:pt>
                <c:pt idx="12">
                  <c:v>5.0251256281407038E-2</c:v>
                </c:pt>
                <c:pt idx="13">
                  <c:v>5.0251256281407038E-2</c:v>
                </c:pt>
                <c:pt idx="14">
                  <c:v>4.0201005025125629E-2</c:v>
                </c:pt>
                <c:pt idx="15">
                  <c:v>4.534005037783375E-2</c:v>
                </c:pt>
                <c:pt idx="16">
                  <c:v>3.7783375314861464E-2</c:v>
                </c:pt>
                <c:pt idx="17">
                  <c:v>4.7858942065491183E-2</c:v>
                </c:pt>
                <c:pt idx="18">
                  <c:v>3.2745591939546598E-2</c:v>
                </c:pt>
                <c:pt idx="19">
                  <c:v>2.5188916876574308E-2</c:v>
                </c:pt>
                <c:pt idx="20">
                  <c:v>2.5252525252525252E-2</c:v>
                </c:pt>
                <c:pt idx="21">
                  <c:v>2.2727272727272728E-2</c:v>
                </c:pt>
                <c:pt idx="22">
                  <c:v>3.2828282828282832E-2</c:v>
                </c:pt>
                <c:pt idx="23">
                  <c:v>3.5353535353535352E-2</c:v>
                </c:pt>
                <c:pt idx="24">
                  <c:v>1.7676767676767676E-2</c:v>
                </c:pt>
                <c:pt idx="25">
                  <c:v>3.0303030303030304E-2</c:v>
                </c:pt>
                <c:pt idx="26">
                  <c:v>1.7766497461928935E-2</c:v>
                </c:pt>
                <c:pt idx="27">
                  <c:v>7.6142131979695434E-3</c:v>
                </c:pt>
                <c:pt idx="28">
                  <c:v>2.030456852791878E-2</c:v>
                </c:pt>
                <c:pt idx="29">
                  <c:v>2.0356234096692113E-2</c:v>
                </c:pt>
                <c:pt idx="30">
                  <c:v>1.7857142857142856E-2</c:v>
                </c:pt>
                <c:pt idx="31">
                  <c:v>3.3163265306122451E-2</c:v>
                </c:pt>
                <c:pt idx="32">
                  <c:v>2.2959183673469389E-2</c:v>
                </c:pt>
                <c:pt idx="33">
                  <c:v>2.8132992327365727E-2</c:v>
                </c:pt>
                <c:pt idx="34">
                  <c:v>2.8205128205128206E-2</c:v>
                </c:pt>
                <c:pt idx="35">
                  <c:v>7.7120822622107968E-3</c:v>
                </c:pt>
                <c:pt idx="36">
                  <c:v>0</c:v>
                </c:pt>
                <c:pt idx="37">
                  <c:v>2.5839793281653748E-3</c:v>
                </c:pt>
                <c:pt idx="38">
                  <c:v>1.8134715025906734E-2</c:v>
                </c:pt>
              </c:numCache>
            </c:numRef>
          </c:val>
          <c:smooth val="0"/>
          <c:extLst>
            <c:ext xmlns:c16="http://schemas.microsoft.com/office/drawing/2014/chart" uri="{C3380CC4-5D6E-409C-BE32-E72D297353CC}">
              <c16:uniqueId val="{00000000-BD34-4B0B-BD2F-8A53B341C416}"/>
            </c:ext>
          </c:extLst>
        </c:ser>
        <c:ser>
          <c:idx val="1"/>
          <c:order val="1"/>
          <c:tx>
            <c:strRef>
              <c:f>Reoffending_inputs!$C$427</c:f>
              <c:strCache>
                <c:ptCount val="1"/>
                <c:pt idx="0">
                  <c:v>Offending (5 year average)</c:v>
                </c:pt>
              </c:strCache>
            </c:strRef>
          </c:tx>
          <c:spPr>
            <a:ln w="28575" cap="rnd">
              <a:solidFill>
                <a:schemeClr val="accent2"/>
              </a:solidFill>
              <a:round/>
            </a:ln>
            <a:effectLst/>
          </c:spPr>
          <c:marker>
            <c:symbol val="none"/>
          </c:marker>
          <c:cat>
            <c:numRef>
              <c:f>Reoffending_inputs!$A$428:$A$466</c:f>
              <c:numCache>
                <c:formatCode>General</c:formatCode>
                <c:ptCount val="39"/>
                <c:pt idx="0">
                  <c:v>12</c:v>
                </c:pt>
                <c:pt idx="1">
                  <c:v>13</c:v>
                </c:pt>
                <c:pt idx="2">
                  <c:v>14</c:v>
                </c:pt>
                <c:pt idx="3">
                  <c:v>15</c:v>
                </c:pt>
                <c:pt idx="4">
                  <c:v>16</c:v>
                </c:pt>
                <c:pt idx="5">
                  <c:v>17</c:v>
                </c:pt>
                <c:pt idx="6">
                  <c:v>18</c:v>
                </c:pt>
                <c:pt idx="7">
                  <c:v>19</c:v>
                </c:pt>
                <c:pt idx="8">
                  <c:v>20</c:v>
                </c:pt>
                <c:pt idx="9">
                  <c:v>21</c:v>
                </c:pt>
                <c:pt idx="10">
                  <c:v>22</c:v>
                </c:pt>
                <c:pt idx="11">
                  <c:v>23</c:v>
                </c:pt>
                <c:pt idx="12">
                  <c:v>24</c:v>
                </c:pt>
                <c:pt idx="13">
                  <c:v>25</c:v>
                </c:pt>
                <c:pt idx="14">
                  <c:v>26</c:v>
                </c:pt>
                <c:pt idx="15">
                  <c:v>27</c:v>
                </c:pt>
                <c:pt idx="16">
                  <c:v>28</c:v>
                </c:pt>
                <c:pt idx="17">
                  <c:v>29</c:v>
                </c:pt>
                <c:pt idx="18">
                  <c:v>30</c:v>
                </c:pt>
                <c:pt idx="19">
                  <c:v>31</c:v>
                </c:pt>
                <c:pt idx="20">
                  <c:v>32</c:v>
                </c:pt>
                <c:pt idx="21">
                  <c:v>33</c:v>
                </c:pt>
                <c:pt idx="22">
                  <c:v>34</c:v>
                </c:pt>
                <c:pt idx="23">
                  <c:v>35</c:v>
                </c:pt>
                <c:pt idx="24">
                  <c:v>36</c:v>
                </c:pt>
                <c:pt idx="25">
                  <c:v>37</c:v>
                </c:pt>
                <c:pt idx="26">
                  <c:v>38</c:v>
                </c:pt>
                <c:pt idx="27">
                  <c:v>39</c:v>
                </c:pt>
                <c:pt idx="28">
                  <c:v>40</c:v>
                </c:pt>
                <c:pt idx="29">
                  <c:v>41</c:v>
                </c:pt>
                <c:pt idx="30">
                  <c:v>42</c:v>
                </c:pt>
                <c:pt idx="31">
                  <c:v>43</c:v>
                </c:pt>
                <c:pt idx="32">
                  <c:v>44</c:v>
                </c:pt>
                <c:pt idx="33">
                  <c:v>45</c:v>
                </c:pt>
                <c:pt idx="34">
                  <c:v>46</c:v>
                </c:pt>
                <c:pt idx="35">
                  <c:v>47</c:v>
                </c:pt>
                <c:pt idx="36">
                  <c:v>48</c:v>
                </c:pt>
                <c:pt idx="37">
                  <c:v>49</c:v>
                </c:pt>
                <c:pt idx="38">
                  <c:v>50</c:v>
                </c:pt>
              </c:numCache>
            </c:numRef>
          </c:cat>
          <c:val>
            <c:numRef>
              <c:f>Reoffending_inputs!$C$428:$C$466</c:f>
              <c:numCache>
                <c:formatCode>0.000</c:formatCode>
                <c:ptCount val="39"/>
                <c:pt idx="0">
                  <c:v>3.6674816625916873E-2</c:v>
                </c:pt>
                <c:pt idx="1">
                  <c:v>7.4979625101874489E-2</c:v>
                </c:pt>
                <c:pt idx="2">
                  <c:v>9.6458363296418811E-2</c:v>
                </c:pt>
                <c:pt idx="3">
                  <c:v>0.12303003387786934</c:v>
                </c:pt>
                <c:pt idx="4">
                  <c:v>0.14094304060913199</c:v>
                </c:pt>
                <c:pt idx="5">
                  <c:v>0.1427247346709587</c:v>
                </c:pt>
                <c:pt idx="6">
                  <c:v>0.14498961084475331</c:v>
                </c:pt>
                <c:pt idx="7">
                  <c:v>0.12748243427685563</c:v>
                </c:pt>
                <c:pt idx="8">
                  <c:v>0.11357580037022175</c:v>
                </c:pt>
                <c:pt idx="9">
                  <c:v>8.7985899692601774E-2</c:v>
                </c:pt>
                <c:pt idx="10">
                  <c:v>7.2293576691457445E-2</c:v>
                </c:pt>
                <c:pt idx="11">
                  <c:v>5.7529932166101125E-2</c:v>
                </c:pt>
                <c:pt idx="12">
                  <c:v>5.4155741111572897E-2</c:v>
                </c:pt>
                <c:pt idx="13">
                  <c:v>4.3223751187139656E-2</c:v>
                </c:pt>
                <c:pt idx="14">
                  <c:v>4.4765388656126982E-2</c:v>
                </c:pt>
                <c:pt idx="15">
                  <c:v>4.4286925812943814E-2</c:v>
                </c:pt>
                <c:pt idx="16">
                  <c:v>4.0785792944571728E-2</c:v>
                </c:pt>
                <c:pt idx="17">
                  <c:v>3.7783375314861464E-2</c:v>
                </c:pt>
                <c:pt idx="18">
                  <c:v>3.3765870289799757E-2</c:v>
                </c:pt>
                <c:pt idx="19">
                  <c:v>3.0754649772282018E-2</c:v>
                </c:pt>
                <c:pt idx="20">
                  <c:v>2.7748517924840344E-2</c:v>
                </c:pt>
                <c:pt idx="21">
                  <c:v>2.8270106607638096E-2</c:v>
                </c:pt>
                <c:pt idx="22">
                  <c:v>2.6767676767676767E-2</c:v>
                </c:pt>
                <c:pt idx="23">
                  <c:v>2.777777777777778E-2</c:v>
                </c:pt>
                <c:pt idx="24">
                  <c:v>2.6785622724709017E-2</c:v>
                </c:pt>
                <c:pt idx="25">
                  <c:v>2.174280879864636E-2</c:v>
                </c:pt>
                <c:pt idx="26">
                  <c:v>1.8733015433523049E-2</c:v>
                </c:pt>
                <c:pt idx="27">
                  <c:v>1.9268908717507936E-2</c:v>
                </c:pt>
                <c:pt idx="28">
                  <c:v>1.6779731228330447E-2</c:v>
                </c:pt>
                <c:pt idx="29">
                  <c:v>1.9859084797169153E-2</c:v>
                </c:pt>
                <c:pt idx="30">
                  <c:v>2.2928078892269117E-2</c:v>
                </c:pt>
                <c:pt idx="31">
                  <c:v>2.4493763652158506E-2</c:v>
                </c:pt>
                <c:pt idx="32">
                  <c:v>2.6063542473845725E-2</c:v>
                </c:pt>
                <c:pt idx="33">
                  <c:v>2.4034530354859314E-2</c:v>
                </c:pt>
                <c:pt idx="34">
                  <c:v>1.7401877293634821E-2</c:v>
                </c:pt>
                <c:pt idx="35">
                  <c:v>1.3326836424574018E-2</c:v>
                </c:pt>
                <c:pt idx="36">
                  <c:v>1.1327180964282224E-2</c:v>
                </c:pt>
                <c:pt idx="37">
                  <c:v>6.9062314513573695E-3</c:v>
                </c:pt>
                <c:pt idx="38">
                  <c:v>1.8134715025906734E-2</c:v>
                </c:pt>
              </c:numCache>
            </c:numRef>
          </c:val>
          <c:smooth val="0"/>
          <c:extLst>
            <c:ext xmlns:c16="http://schemas.microsoft.com/office/drawing/2014/chart" uri="{C3380CC4-5D6E-409C-BE32-E72D297353CC}">
              <c16:uniqueId val="{00000001-BD34-4B0B-BD2F-8A53B341C416}"/>
            </c:ext>
          </c:extLst>
        </c:ser>
        <c:dLbls>
          <c:showLegendKey val="0"/>
          <c:showVal val="0"/>
          <c:showCatName val="0"/>
          <c:showSerName val="0"/>
          <c:showPercent val="0"/>
          <c:showBubbleSize val="0"/>
        </c:dLbls>
        <c:smooth val="0"/>
        <c:axId val="816904176"/>
        <c:axId val="816904504"/>
      </c:lineChart>
      <c:catAx>
        <c:axId val="81690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904504"/>
        <c:crosses val="autoZero"/>
        <c:auto val="1"/>
        <c:lblAlgn val="ctr"/>
        <c:lblOffset val="100"/>
        <c:noMultiLvlLbl val="0"/>
      </c:catAx>
      <c:valAx>
        <c:axId val="816904504"/>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90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11</xdr:col>
      <xdr:colOff>486336</xdr:colOff>
      <xdr:row>11</xdr:row>
      <xdr:rowOff>12103</xdr:rowOff>
    </xdr:from>
    <xdr:to>
      <xdr:col>15</xdr:col>
      <xdr:colOff>12335</xdr:colOff>
      <xdr:row>17</xdr:row>
      <xdr:rowOff>92291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882218" y="2934597"/>
          <a:ext cx="2474491" cy="12711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186633</xdr:colOff>
      <xdr:row>20</xdr:row>
      <xdr:rowOff>1540</xdr:rowOff>
    </xdr:from>
    <xdr:to>
      <xdr:col>15</xdr:col>
      <xdr:colOff>18024</xdr:colOff>
      <xdr:row>33</xdr:row>
      <xdr:rowOff>474</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5253933" y="4109990"/>
          <a:ext cx="8270541" cy="4145484"/>
          <a:chOff x="846070" y="8495034"/>
          <a:chExt cx="9334381" cy="4635136"/>
        </a:xfrm>
      </xdr:grpSpPr>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846070" y="8495034"/>
          <a:ext cx="9334381" cy="4635136"/>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a:extLst>
              <a:ext uri="{FF2B5EF4-FFF2-40B4-BE49-F238E27FC236}">
                <a16:creationId xmlns:a16="http://schemas.microsoft.com/office/drawing/2014/main" id="{00000000-0008-0000-0200-000004000000}"/>
              </a:ext>
            </a:extLst>
          </xdr:cNvPr>
          <xdr:cNvCxnSpPr/>
        </xdr:nvCxnSpPr>
        <xdr:spPr>
          <a:xfrm>
            <a:off x="6553442" y="8608958"/>
            <a:ext cx="0" cy="4076239"/>
          </a:xfrm>
          <a:prstGeom prst="line">
            <a:avLst/>
          </a:prstGeom>
          <a:ln w="19050">
            <a:solidFill>
              <a:sysClr val="windowText" lastClr="000000"/>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409333</xdr:colOff>
      <xdr:row>2</xdr:row>
      <xdr:rowOff>0</xdr:rowOff>
    </xdr:from>
    <xdr:to>
      <xdr:col>15</xdr:col>
      <xdr:colOff>245715</xdr:colOff>
      <xdr:row>17</xdr:row>
      <xdr:rowOff>48923</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50800</xdr:colOff>
          <xdr:row>1</xdr:row>
          <xdr:rowOff>114300</xdr:rowOff>
        </xdr:from>
        <xdr:to>
          <xdr:col>2</xdr:col>
          <xdr:colOff>381000</xdr:colOff>
          <xdr:row>3</xdr:row>
          <xdr:rowOff>330200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500-0000040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1400" b="1" i="0" u="none" strike="noStrike" baseline="0">
                  <a:solidFill>
                    <a:srgbClr val="000000"/>
                  </a:solidFill>
                  <a:latin typeface="Lucida Grande"/>
                </a:rPr>
                <a:t>Apply changes</a:t>
              </a:r>
            </a:p>
          </xdr:txBody>
        </xdr:sp>
        <xdr:clientData fPrintsWithSheet="0"/>
      </xdr:twoCellAnchor>
    </mc:Choice>
    <mc:Fallback/>
  </mc:AlternateContent>
  <xdr:oneCellAnchor>
    <xdr:from>
      <xdr:col>4</xdr:col>
      <xdr:colOff>59265</xdr:colOff>
      <xdr:row>3</xdr:row>
      <xdr:rowOff>76201</xdr:rowOff>
    </xdr:from>
    <xdr:ext cx="5875868" cy="1210732"/>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9050865" y="685801"/>
          <a:ext cx="5875868" cy="12107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GB" sz="1400" b="1">
              <a:solidFill>
                <a:sysClr val="windowText" lastClr="000000"/>
              </a:solidFill>
              <a:effectLst/>
              <a:latin typeface="+mj-lt"/>
              <a:ea typeface="+mn-ea"/>
              <a:cs typeface="Times New Roman" panose="02020603050405020304" pitchFamily="18" charset="0"/>
            </a:rPr>
            <a:t>On this page you specify the number of items to be calculated (on subsequent pages) under each cost/benefit category. Please note that the actual cost, saving and benefit data should be input in the "Costs", "Savings and benefits as a result of intervention" page.</a:t>
          </a:r>
        </a:p>
        <a:p>
          <a:pPr algn="l"/>
          <a:endParaRPr lang="en-GB" sz="1400" b="1">
            <a:solidFill>
              <a:sysClr val="windowText" lastClr="000000"/>
            </a:solidFill>
            <a:effectLst/>
            <a:latin typeface="+mj-lt"/>
            <a:ea typeface="+mn-ea"/>
            <a:cs typeface="Times New Roman" panose="02020603050405020304" pitchFamily="18" charset="0"/>
          </a:endParaRPr>
        </a:p>
        <a:p>
          <a:pPr algn="l"/>
          <a:endParaRPr lang="en-GB" sz="1400" b="1">
            <a:solidFill>
              <a:sysClr val="windowText" lastClr="000000"/>
            </a:solidFill>
            <a:effectLst/>
            <a:latin typeface="+mj-lt"/>
            <a:ea typeface="+mn-ea"/>
            <a:cs typeface="Times New Roman" panose="02020603050405020304" pitchFamily="18" charset="0"/>
          </a:endParaRPr>
        </a:p>
        <a:p>
          <a:pPr algn="l"/>
          <a:endParaRPr lang="en-GB" sz="1400" b="1">
            <a:solidFill>
              <a:sysClr val="windowText" lastClr="000000"/>
            </a:solidFill>
            <a:effectLst/>
            <a:latin typeface="+mj-lt"/>
            <a:ea typeface="+mn-ea"/>
            <a:cs typeface="Times New Roman" panose="02020603050405020304" pitchFamily="18" charset="0"/>
          </a:endParaRPr>
        </a:p>
        <a:p>
          <a:pPr algn="l"/>
          <a:endParaRPr lang="en-GB" sz="1400" b="1">
            <a:solidFill>
              <a:sysClr val="windowText" lastClr="000000"/>
            </a:solidFill>
            <a:latin typeface="+mj-lt"/>
          </a:endParaRPr>
        </a:p>
      </xdr:txBody>
    </xdr:sp>
    <xdr:clientData/>
  </xdr:oneCellAnchor>
  <xdr:oneCellAnchor>
    <xdr:from>
      <xdr:col>4</xdr:col>
      <xdr:colOff>59266</xdr:colOff>
      <xdr:row>8</xdr:row>
      <xdr:rowOff>8466</xdr:rowOff>
    </xdr:from>
    <xdr:ext cx="5875868" cy="3826933"/>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9050866" y="1981199"/>
          <a:ext cx="5875868" cy="3826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GB" sz="1200" b="1">
              <a:solidFill>
                <a:sysClr val="windowText" lastClr="000000"/>
              </a:solidFill>
              <a:effectLst/>
              <a:latin typeface="+mj-lt"/>
              <a:ea typeface="+mn-ea"/>
              <a:cs typeface="Times New Roman" panose="02020603050405020304" pitchFamily="18" charset="0"/>
            </a:rPr>
            <a:t>Instructions:</a:t>
          </a:r>
        </a:p>
        <a:p>
          <a:pPr algn="l"/>
          <a:endParaRPr lang="en-GB" sz="1200" b="1">
            <a:solidFill>
              <a:sysClr val="windowText" lastClr="000000"/>
            </a:solidFill>
            <a:effectLst/>
            <a:latin typeface="+mj-lt"/>
            <a:ea typeface="+mn-ea"/>
            <a:cs typeface="Times New Roman" panose="02020603050405020304" pitchFamily="18" charset="0"/>
          </a:endParaRPr>
        </a:p>
        <a:p>
          <a:pPr algn="l"/>
          <a:r>
            <a:rPr lang="en-GB" sz="1200" b="0">
              <a:solidFill>
                <a:sysClr val="windowText" lastClr="000000"/>
              </a:solidFill>
              <a:effectLst/>
              <a:latin typeface="+mj-lt"/>
              <a:ea typeface="+mn-ea"/>
              <a:cs typeface="Times New Roman" panose="02020603050405020304" pitchFamily="18" charset="0"/>
            </a:rPr>
            <a:t>1. Specify the time frame of implementation.</a:t>
          </a:r>
        </a:p>
        <a:p>
          <a:pPr algn="l"/>
          <a:endParaRPr lang="en-GB" sz="1200" b="0">
            <a:solidFill>
              <a:sysClr val="windowText" lastClr="000000"/>
            </a:solidFill>
            <a:effectLst/>
            <a:latin typeface="+mj-lt"/>
            <a:ea typeface="+mn-ea"/>
            <a:cs typeface="Times New Roman" panose="02020603050405020304" pitchFamily="18" charset="0"/>
          </a:endParaRPr>
        </a:p>
        <a:p>
          <a:pPr algn="l"/>
          <a:r>
            <a:rPr lang="en-GB" sz="1200" b="0">
              <a:solidFill>
                <a:sysClr val="windowText" lastClr="000000"/>
              </a:solidFill>
              <a:effectLst/>
              <a:latin typeface="+mj-lt"/>
              <a:ea typeface="+mn-ea"/>
              <a:cs typeface="Times New Roman" panose="02020603050405020304" pitchFamily="18" charset="0"/>
            </a:rPr>
            <a:t>2. For the cost category and item, specify how many items for each category will be included in the calculation. You can input up to 10 items under each category.</a:t>
          </a:r>
        </a:p>
        <a:p>
          <a:pPr algn="l"/>
          <a:r>
            <a:rPr lang="en-GB" sz="1200" b="0">
              <a:solidFill>
                <a:sysClr val="windowText" lastClr="000000"/>
              </a:solidFill>
              <a:effectLst/>
              <a:latin typeface="+mj-lt"/>
              <a:ea typeface="+mn-ea"/>
              <a:cs typeface="Times New Roman" panose="02020603050405020304" pitchFamily="18" charset="0"/>
            </a:rPr>
            <a:t>			</a:t>
          </a:r>
        </a:p>
        <a:p>
          <a:pPr algn="l"/>
          <a:r>
            <a:rPr lang="en-GB" sz="1200" b="0">
              <a:solidFill>
                <a:sysClr val="windowText" lastClr="000000"/>
              </a:solidFill>
              <a:effectLst/>
              <a:latin typeface="+mj-lt"/>
              <a:ea typeface="+mn-ea"/>
              <a:cs typeface="Times New Roman" panose="02020603050405020304" pitchFamily="18" charset="0"/>
            </a:rPr>
            <a:t>3. For the effectiveness and benefit category and items select the type of offences prevented. These will be included in the effectiveness and benefit analysis. You do this by answering 'yes' or 'no' to each item.	</a:t>
          </a:r>
        </a:p>
        <a:p>
          <a:pPr algn="l"/>
          <a:endParaRPr lang="en-GB" sz="1200" b="0">
            <a:solidFill>
              <a:sysClr val="windowText" lastClr="000000"/>
            </a:solidFill>
            <a:effectLst/>
            <a:latin typeface="+mj-lt"/>
            <a:ea typeface="+mn-ea"/>
            <a:cs typeface="Times New Roman" panose="02020603050405020304" pitchFamily="18" charset="0"/>
          </a:endParaRPr>
        </a:p>
        <a:p>
          <a:pPr algn="l"/>
          <a:r>
            <a:rPr lang="en-GB" sz="1200" b="0">
              <a:solidFill>
                <a:sysClr val="windowText" lastClr="000000"/>
              </a:solidFill>
              <a:effectLst/>
              <a:latin typeface="+mj-lt"/>
              <a:ea typeface="+mn-ea"/>
              <a:cs typeface="Times New Roman" panose="02020603050405020304" pitchFamily="18" charset="0"/>
            </a:rPr>
            <a:t>4. For other positive outcomes/benefits of the intervention, please select how many other benefits will be included in the benefit analysis. Similar to inputting data for costs, you can only input a maximum of 10 benefit items.</a:t>
          </a:r>
        </a:p>
        <a:p>
          <a:pPr algn="l"/>
          <a:endParaRPr lang="en-GB" sz="1200" b="0">
            <a:solidFill>
              <a:sysClr val="windowText" lastClr="000000"/>
            </a:solidFill>
            <a:effectLst/>
            <a:latin typeface="+mj-lt"/>
            <a:ea typeface="+mn-ea"/>
            <a:cs typeface="Times New Roman" panose="02020603050405020304" pitchFamily="18" charset="0"/>
          </a:endParaRPr>
        </a:p>
        <a:p>
          <a:pPr algn="l"/>
          <a:r>
            <a:rPr lang="en-GB" sz="1200" b="0">
              <a:solidFill>
                <a:sysClr val="windowText" lastClr="000000"/>
              </a:solidFill>
              <a:effectLst/>
              <a:latin typeface="+mj-lt"/>
              <a:ea typeface="+mn-ea"/>
              <a:cs typeface="Times New Roman" panose="02020603050405020304" pitchFamily="18" charset="0"/>
            </a:rPr>
            <a:t>5. Apply change when ready by clicking the button "Apply changes", which can be found at the top of the page. You only press the button when the screen has been completed, but you can also make further changes at a later stage as long as you come back to this page and press “Apply changes” once again.</a:t>
          </a:r>
          <a:endParaRPr lang="en-GB" sz="1200" b="1">
            <a:solidFill>
              <a:sysClr val="windowText" lastClr="000000"/>
            </a:solidFill>
            <a:effectLst/>
            <a:latin typeface="+mj-lt"/>
            <a:ea typeface="+mn-ea"/>
            <a:cs typeface="Times New Roman" panose="02020603050405020304" pitchFamily="18" charset="0"/>
          </a:endParaRPr>
        </a:p>
        <a:p>
          <a:pPr algn="l"/>
          <a:endParaRPr lang="en-GB" sz="1200" b="1">
            <a:solidFill>
              <a:sysClr val="windowText" lastClr="000000"/>
            </a:solidFill>
            <a:latin typeface="+mj-lt"/>
          </a:endParaRPr>
        </a:p>
      </xdr:txBody>
    </xdr:sp>
    <xdr:clientData/>
  </xdr:oneCellAnchor>
  <xdr:oneCellAnchor>
    <xdr:from>
      <xdr:col>4</xdr:col>
      <xdr:colOff>25399</xdr:colOff>
      <xdr:row>24</xdr:row>
      <xdr:rowOff>160865</xdr:rowOff>
    </xdr:from>
    <xdr:ext cx="5875868" cy="6144685"/>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9007474" y="6361640"/>
          <a:ext cx="5875868" cy="6144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GB" sz="1200" b="1">
              <a:solidFill>
                <a:schemeClr val="tx1"/>
              </a:solidFill>
              <a:effectLst/>
              <a:latin typeface="Times New Roman" panose="02020603050405020304" pitchFamily="18" charset="0"/>
              <a:ea typeface="+mn-ea"/>
              <a:cs typeface="Times New Roman" panose="02020603050405020304" pitchFamily="18" charset="0"/>
            </a:rPr>
            <a:t>Definitions:</a:t>
          </a:r>
        </a:p>
        <a:p>
          <a:pPr algn="l"/>
          <a:r>
            <a:rPr lang="en-GB" sz="1200" b="1">
              <a:solidFill>
                <a:schemeClr val="tx1"/>
              </a:solidFill>
              <a:effectLst/>
              <a:latin typeface="Times New Roman" panose="02020603050405020304" pitchFamily="18" charset="0"/>
              <a:ea typeface="+mn-ea"/>
              <a:cs typeface="Times New Roman" panose="02020603050405020304" pitchFamily="18" charset="0"/>
            </a:rPr>
            <a:t>				</a:t>
          </a:r>
        </a:p>
        <a:p>
          <a:pPr algn="l"/>
          <a:r>
            <a:rPr lang="en-GB" sz="1200" b="1">
              <a:solidFill>
                <a:schemeClr val="tx1"/>
              </a:solidFill>
              <a:effectLst/>
              <a:latin typeface="Times New Roman" panose="02020603050405020304" pitchFamily="18" charset="0"/>
              <a:ea typeface="+mn-ea"/>
              <a:cs typeface="Times New Roman" panose="02020603050405020304" pitchFamily="18" charset="0"/>
            </a:rPr>
            <a:t>Cost</a:t>
          </a:r>
          <a:r>
            <a:rPr lang="en-GB" sz="1200" b="0">
              <a:solidFill>
                <a:schemeClr val="tx1"/>
              </a:solidFill>
              <a:effectLst/>
              <a:latin typeface="Times New Roman" panose="02020603050405020304" pitchFamily="18" charset="0"/>
              <a:ea typeface="+mn-ea"/>
              <a:cs typeface="Times New Roman" panose="02020603050405020304" pitchFamily="18" charset="0"/>
            </a:rPr>
            <a:t> is the amount that has to be paid or has been set aside in order to implement or maintain a new or ongoing intervention. In addition, cost could theoretically include indirect costs (which are considered losses) to business or others that are a direct result of the intervention (e.g. a loss of revenue). This example could also be described as an unintended consequence of the intervention.	</a:t>
          </a:r>
        </a:p>
        <a:p>
          <a:pPr algn="l"/>
          <a:r>
            <a:rPr lang="en-GB" sz="1200" b="0">
              <a:solidFill>
                <a:schemeClr val="tx1"/>
              </a:solidFill>
              <a:effectLst/>
              <a:latin typeface="Times New Roman" panose="02020603050405020304" pitchFamily="18" charset="0"/>
              <a:ea typeface="+mn-ea"/>
              <a:cs typeface="Times New Roman" panose="02020603050405020304" pitchFamily="18" charset="0"/>
            </a:rPr>
            <a:t>	</a:t>
          </a:r>
        </a:p>
        <a:p>
          <a:pPr algn="l"/>
          <a:r>
            <a:rPr lang="en-GB" sz="1200" b="1">
              <a:solidFill>
                <a:schemeClr val="tx1"/>
              </a:solidFill>
              <a:effectLst/>
              <a:latin typeface="Times New Roman" panose="02020603050405020304" pitchFamily="18" charset="0"/>
              <a:ea typeface="+mn-ea"/>
              <a:cs typeface="Times New Roman" panose="02020603050405020304" pitchFamily="18" charset="0"/>
            </a:rPr>
            <a:t>Direct costs </a:t>
          </a:r>
          <a:r>
            <a:rPr lang="en-GB" sz="1200" b="0">
              <a:solidFill>
                <a:schemeClr val="tx1"/>
              </a:solidFill>
              <a:effectLst/>
              <a:latin typeface="Times New Roman" panose="02020603050405020304" pitchFamily="18" charset="0"/>
              <a:ea typeface="+mn-ea"/>
              <a:cs typeface="Times New Roman" panose="02020603050405020304" pitchFamily="18" charset="0"/>
            </a:rPr>
            <a:t>are costs that are directly related to inputs by service providers or departments that are responsible for implementing the intervention (e.g. communities for children, local council).</a:t>
          </a:r>
        </a:p>
        <a:p>
          <a:pPr algn="l"/>
          <a:endParaRPr lang="en-GB" sz="1200" b="0">
            <a:solidFill>
              <a:schemeClr val="tx1"/>
            </a:solidFill>
            <a:effectLst/>
            <a:latin typeface="Times New Roman" panose="02020603050405020304" pitchFamily="18" charset="0"/>
            <a:ea typeface="+mn-ea"/>
            <a:cs typeface="Times New Roman" panose="02020603050405020304" pitchFamily="18" charset="0"/>
          </a:endParaRPr>
        </a:p>
        <a:p>
          <a:pPr algn="l"/>
          <a:r>
            <a:rPr lang="en-GB" sz="1200" b="1">
              <a:solidFill>
                <a:schemeClr val="tx1"/>
              </a:solidFill>
              <a:effectLst/>
              <a:latin typeface="Times New Roman" panose="02020603050405020304" pitchFamily="18" charset="0"/>
              <a:ea typeface="+mn-ea"/>
              <a:cs typeface="Times New Roman" panose="02020603050405020304" pitchFamily="18" charset="0"/>
            </a:rPr>
            <a:t>Capital costs </a:t>
          </a:r>
          <a:r>
            <a:rPr lang="en-GB" sz="1200" b="0">
              <a:solidFill>
                <a:schemeClr val="tx1"/>
              </a:solidFill>
              <a:effectLst/>
              <a:latin typeface="Times New Roman" panose="02020603050405020304" pitchFamily="18" charset="0"/>
              <a:ea typeface="+mn-ea"/>
              <a:cs typeface="Times New Roman" panose="02020603050405020304" pitchFamily="18" charset="0"/>
            </a:rPr>
            <a:t>are one-time or one-off expenditures on purchases of equipment or any capital assets (e.g. buildings).</a:t>
          </a:r>
        </a:p>
        <a:p>
          <a:pPr algn="l"/>
          <a:endParaRPr lang="en-GB" sz="1200" b="0">
            <a:solidFill>
              <a:schemeClr val="tx1"/>
            </a:solidFill>
            <a:effectLst/>
            <a:latin typeface="Times New Roman" panose="02020603050405020304" pitchFamily="18" charset="0"/>
            <a:ea typeface="+mn-ea"/>
            <a:cs typeface="Times New Roman" panose="02020603050405020304" pitchFamily="18" charset="0"/>
          </a:endParaRPr>
        </a:p>
        <a:p>
          <a:pPr algn="l"/>
          <a:r>
            <a:rPr lang="en-GB" sz="1200" b="1">
              <a:solidFill>
                <a:schemeClr val="tx1"/>
              </a:solidFill>
              <a:effectLst/>
              <a:latin typeface="Times New Roman" panose="02020603050405020304" pitchFamily="18" charset="0"/>
              <a:ea typeface="+mn-ea"/>
              <a:cs typeface="Times New Roman" panose="02020603050405020304" pitchFamily="18" charset="0"/>
            </a:rPr>
            <a:t>Operating costs </a:t>
          </a:r>
          <a:r>
            <a:rPr lang="en-GB" sz="1200" b="0">
              <a:solidFill>
                <a:schemeClr val="tx1"/>
              </a:solidFill>
              <a:effectLst/>
              <a:latin typeface="Times New Roman" panose="02020603050405020304" pitchFamily="18" charset="0"/>
              <a:ea typeface="+mn-ea"/>
              <a:cs typeface="Times New Roman" panose="02020603050405020304" pitchFamily="18" charset="0"/>
            </a:rPr>
            <a:t>are recurring expenses that are related to the operation of the intervention. Note, these costs are variable in nature. </a:t>
          </a:r>
        </a:p>
        <a:p>
          <a:pPr algn="l"/>
          <a:endParaRPr lang="en-GB" sz="1200" b="0">
            <a:solidFill>
              <a:schemeClr val="tx1"/>
            </a:solidFill>
            <a:effectLst/>
            <a:latin typeface="Times New Roman" panose="02020603050405020304" pitchFamily="18" charset="0"/>
            <a:ea typeface="+mn-ea"/>
            <a:cs typeface="Times New Roman" panose="02020603050405020304" pitchFamily="18" charset="0"/>
          </a:endParaRPr>
        </a:p>
        <a:p>
          <a:pPr algn="l"/>
          <a:r>
            <a:rPr lang="en-GB" sz="1200" b="1">
              <a:solidFill>
                <a:schemeClr val="tx1"/>
              </a:solidFill>
              <a:effectLst/>
              <a:latin typeface="Times New Roman" panose="02020603050405020304" pitchFamily="18" charset="0"/>
              <a:ea typeface="+mn-ea"/>
              <a:cs typeface="Times New Roman" panose="02020603050405020304" pitchFamily="18" charset="0"/>
            </a:rPr>
            <a:t>Indirect costs </a:t>
          </a:r>
          <a:r>
            <a:rPr lang="en-GB" sz="1200" b="0">
              <a:solidFill>
                <a:schemeClr val="tx1"/>
              </a:solidFill>
              <a:effectLst/>
              <a:latin typeface="Times New Roman" panose="02020603050405020304" pitchFamily="18" charset="0"/>
              <a:ea typeface="+mn-ea"/>
              <a:cs typeface="Times New Roman" panose="02020603050405020304" pitchFamily="18" charset="0"/>
            </a:rPr>
            <a:t>are expenditures not directly incurred by the service providers or departments who are responsible for implementing the intervention. This may include financial losses to external parties (e.g. local businesses) affected by the policy or intervention.</a:t>
          </a:r>
        </a:p>
        <a:p>
          <a:pPr algn="l"/>
          <a:r>
            <a:rPr lang="en-GB" sz="1200" b="0">
              <a:solidFill>
                <a:schemeClr val="tx1"/>
              </a:solidFill>
              <a:effectLst/>
              <a:latin typeface="Times New Roman" panose="02020603050405020304" pitchFamily="18" charset="0"/>
              <a:ea typeface="+mn-ea"/>
              <a:cs typeface="Times New Roman" panose="02020603050405020304" pitchFamily="18" charset="0"/>
            </a:rPr>
            <a:t>			</a:t>
          </a:r>
        </a:p>
        <a:p>
          <a:pPr algn="l"/>
          <a:r>
            <a:rPr lang="en-GB" sz="1200" b="1">
              <a:solidFill>
                <a:schemeClr val="tx1"/>
              </a:solidFill>
              <a:effectLst/>
              <a:latin typeface="Times New Roman" panose="02020603050405020304" pitchFamily="18" charset="0"/>
              <a:ea typeface="+mn-ea"/>
              <a:cs typeface="Times New Roman" panose="02020603050405020304" pitchFamily="18" charset="0"/>
            </a:rPr>
            <a:t>Intangible costs </a:t>
          </a:r>
          <a:r>
            <a:rPr lang="en-GB" sz="1200" b="0">
              <a:solidFill>
                <a:schemeClr val="tx1"/>
              </a:solidFill>
              <a:effectLst/>
              <a:latin typeface="Times New Roman" panose="02020603050405020304" pitchFamily="18" charset="0"/>
              <a:ea typeface="+mn-ea"/>
              <a:cs typeface="Times New Roman" panose="02020603050405020304" pitchFamily="18" charset="0"/>
            </a:rPr>
            <a:t>include costs for which a monetary value cannot be easily attached. For example, volunteer time and decreased quality of life of citizens affected by the intervention. </a:t>
          </a:r>
        </a:p>
        <a:p>
          <a:pPr algn="l"/>
          <a:endParaRPr lang="en-GB" sz="1200" b="0">
            <a:solidFill>
              <a:schemeClr val="tx1"/>
            </a:solidFill>
            <a:effectLst/>
            <a:latin typeface="Times New Roman" panose="02020603050405020304" pitchFamily="18" charset="0"/>
            <a:ea typeface="+mn-ea"/>
            <a:cs typeface="Times New Roman" panose="02020603050405020304" pitchFamily="18" charset="0"/>
          </a:endParaRPr>
        </a:p>
        <a:p>
          <a:pPr algn="l"/>
          <a:r>
            <a:rPr lang="en-GB" sz="1200" b="1">
              <a:solidFill>
                <a:schemeClr val="tx1"/>
              </a:solidFill>
              <a:effectLst/>
              <a:latin typeface="Times New Roman" panose="02020603050405020304" pitchFamily="18" charset="0"/>
              <a:ea typeface="+mn-ea"/>
              <a:cs typeface="Times New Roman" panose="02020603050405020304" pitchFamily="18" charset="0"/>
            </a:rPr>
            <a:t>Benefits - Avoided Crime or Other. </a:t>
          </a:r>
          <a:r>
            <a:rPr lang="en-GB" sz="1200" b="0">
              <a:solidFill>
                <a:schemeClr val="tx1"/>
              </a:solidFill>
              <a:effectLst/>
              <a:latin typeface="Times New Roman" panose="02020603050405020304" pitchFamily="18" charset="0"/>
              <a:ea typeface="+mn-ea"/>
              <a:cs typeface="Times New Roman" panose="02020603050405020304" pitchFamily="18" charset="0"/>
            </a:rPr>
            <a:t>An intervention could result in a number of crimes being prevented. Using estimates of the costs of crime (based un</a:t>
          </a:r>
          <a:r>
            <a:rPr lang="en-GB" sz="1200" b="0" baseline="0">
              <a:solidFill>
                <a:schemeClr val="tx1"/>
              </a:solidFill>
              <a:effectLst/>
              <a:latin typeface="Times New Roman" panose="02020603050405020304" pitchFamily="18" charset="0"/>
              <a:ea typeface="+mn-ea"/>
              <a:cs typeface="Times New Roman" panose="02020603050405020304" pitchFamily="18" charset="0"/>
            </a:rPr>
            <a:t> estimates derived from Home Office U.K.)</a:t>
          </a:r>
          <a:r>
            <a:rPr lang="en-GB" sz="1200" b="0">
              <a:solidFill>
                <a:schemeClr val="tx1"/>
              </a:solidFill>
              <a:effectLst/>
              <a:latin typeface="Times New Roman" panose="02020603050405020304" pitchFamily="18" charset="0"/>
              <a:ea typeface="+mn-ea"/>
              <a:cs typeface="Times New Roman" panose="02020603050405020304" pitchFamily="18" charset="0"/>
            </a:rPr>
            <a:t>, or your own estimates, a monetary value can be calculated for the amount saved for each crime prevented. For example, each domestic violnce incident prevented will save costs associated with victimisation (e.g. emotional and or physical harm)</a:t>
          </a:r>
          <a:r>
            <a:rPr lang="en-GB" sz="1200" b="0" baseline="0">
              <a:solidFill>
                <a:schemeClr val="tx1"/>
              </a:solidFill>
              <a:effectLst/>
              <a:latin typeface="Times New Roman" panose="02020603050405020304" pitchFamily="18" charset="0"/>
              <a:ea typeface="+mn-ea"/>
              <a:cs typeface="Times New Roman" panose="02020603050405020304" pitchFamily="18" charset="0"/>
            </a:rPr>
            <a:t> and criminal justice costs</a:t>
          </a:r>
          <a:r>
            <a:rPr lang="en-GB" sz="1200" b="0">
              <a:solidFill>
                <a:schemeClr val="tx1"/>
              </a:solidFill>
              <a:effectLst/>
              <a:latin typeface="Times New Roman" panose="02020603050405020304" pitchFamily="18" charset="0"/>
              <a:ea typeface="+mn-ea"/>
              <a:cs typeface="Times New Roman" panose="02020603050405020304" pitchFamily="18" charset="0"/>
            </a:rPr>
            <a:t>.The cost of each crime becomes a benefit, to society, if the crime is avoided or prevented.</a:t>
          </a:r>
          <a:r>
            <a:rPr lang="en-GB" sz="1200" b="0" baseline="0">
              <a:solidFill>
                <a:schemeClr val="tx1"/>
              </a:solidFill>
              <a:effectLst/>
              <a:latin typeface="Times New Roman" panose="02020603050405020304" pitchFamily="18" charset="0"/>
              <a:ea typeface="+mn-ea"/>
              <a:cs typeface="Times New Roman" panose="02020603050405020304" pitchFamily="18" charset="0"/>
            </a:rPr>
            <a:t> </a:t>
          </a:r>
          <a:r>
            <a:rPr lang="en-GB" sz="1200" b="0">
              <a:solidFill>
                <a:schemeClr val="tx1"/>
              </a:solidFill>
              <a:effectLst/>
              <a:latin typeface="Times New Roman" panose="02020603050405020304" pitchFamily="18" charset="0"/>
              <a:ea typeface="+mn-ea"/>
              <a:cs typeface="Times New Roman" panose="02020603050405020304" pitchFamily="18" charset="0"/>
            </a:rPr>
            <a:t>It should be noted that this tool is not intended to estimate the number of crimes prevented, these estimates need to be produced elsewhere. 					</a:t>
          </a:r>
          <a:endParaRPr lang="en-GB" sz="1200" b="0"/>
        </a:p>
      </xdr:txBody>
    </xdr:sp>
    <xdr:clientData/>
  </xdr:oneCellAnchor>
  <xdr:oneCellAnchor>
    <xdr:from>
      <xdr:col>0</xdr:col>
      <xdr:colOff>8467</xdr:colOff>
      <xdr:row>37</xdr:row>
      <xdr:rowOff>304799</xdr:rowOff>
    </xdr:from>
    <xdr:ext cx="6451599" cy="855133"/>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8467" y="9169399"/>
          <a:ext cx="6451599" cy="8551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GB" sz="1600" b="1">
              <a:solidFill>
                <a:schemeClr val="tx1"/>
              </a:solidFill>
              <a:effectLst/>
              <a:latin typeface="Times New Roman" panose="02020603050405020304" pitchFamily="18" charset="0"/>
              <a:ea typeface="+mn-ea"/>
              <a:cs typeface="Times New Roman" panose="02020603050405020304" pitchFamily="18" charset="0"/>
            </a:rPr>
            <a:t>BENEFITS - OTHER</a:t>
          </a:r>
          <a:endParaRPr lang="en-GB" sz="1200" b="1">
            <a:solidFill>
              <a:schemeClr val="tx1"/>
            </a:solidFill>
            <a:effectLst/>
            <a:latin typeface="Times New Roman" panose="02020603050405020304" pitchFamily="18" charset="0"/>
            <a:ea typeface="+mn-ea"/>
            <a:cs typeface="Times New Roman" panose="02020603050405020304" pitchFamily="18" charset="0"/>
          </a:endParaRPr>
        </a:p>
      </xdr:txBody>
    </xdr:sp>
    <xdr:clientData/>
  </xdr:oneCellAnchor>
  <xdr:oneCellAnchor>
    <xdr:from>
      <xdr:col>0</xdr:col>
      <xdr:colOff>8457</xdr:colOff>
      <xdr:row>6</xdr:row>
      <xdr:rowOff>42333</xdr:rowOff>
    </xdr:from>
    <xdr:ext cx="5875868" cy="855133"/>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8457" y="1716889"/>
          <a:ext cx="5875868" cy="8551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GB" sz="1600" b="1">
              <a:solidFill>
                <a:sysClr val="windowText" lastClr="000000"/>
              </a:solidFill>
              <a:effectLst/>
              <a:latin typeface="+mj-lt"/>
              <a:ea typeface="+mn-ea"/>
              <a:cs typeface="Times New Roman" panose="02020603050405020304" pitchFamily="18" charset="0"/>
            </a:rPr>
            <a:t>COSTS OF INTERVENTION</a:t>
          </a:r>
        </a:p>
        <a:p>
          <a:pPr algn="l"/>
          <a:endParaRPr lang="en-GB" sz="1200" b="1">
            <a:solidFill>
              <a:sysClr val="windowText" lastClr="000000"/>
            </a:solidFill>
            <a:effectLst/>
            <a:latin typeface="+mj-lt"/>
            <a:ea typeface="+mn-ea"/>
            <a:cs typeface="Times New Roman" panose="02020603050405020304" pitchFamily="18" charset="0"/>
          </a:endParaRPr>
        </a:p>
      </xdr:txBody>
    </xdr:sp>
    <xdr:clientData/>
  </xdr:oneCellAnchor>
  <xdr:oneCellAnchor>
    <xdr:from>
      <xdr:col>0</xdr:col>
      <xdr:colOff>0</xdr:colOff>
      <xdr:row>39</xdr:row>
      <xdr:rowOff>287867</xdr:rowOff>
    </xdr:from>
    <xdr:ext cx="6925732" cy="855133"/>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0" y="10837334"/>
          <a:ext cx="6925732" cy="8551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GB" sz="1600" b="1">
              <a:solidFill>
                <a:sysClr val="windowText" lastClr="000000"/>
              </a:solidFill>
              <a:effectLst/>
              <a:latin typeface="+mj-lt"/>
              <a:ea typeface="+mn-ea"/>
              <a:cs typeface="Times New Roman" panose="02020603050405020304" pitchFamily="18" charset="0"/>
            </a:rPr>
            <a:t>BENEFITS - AVOIDED CRIME </a:t>
          </a:r>
        </a:p>
        <a:p>
          <a:pPr algn="l"/>
          <a:endParaRPr lang="en-GB" sz="1200" b="1">
            <a:solidFill>
              <a:sysClr val="windowText" lastClr="000000"/>
            </a:solidFill>
            <a:effectLst/>
            <a:latin typeface="+mj-lt"/>
            <a:ea typeface="+mn-ea"/>
            <a:cs typeface="Times New Roman" panose="02020603050405020304" pitchFamily="18" charset="0"/>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5</xdr:col>
      <xdr:colOff>238125</xdr:colOff>
      <xdr:row>5</xdr:row>
      <xdr:rowOff>209550</xdr:rowOff>
    </xdr:from>
    <xdr:to>
      <xdr:col>5</xdr:col>
      <xdr:colOff>752475</xdr:colOff>
      <xdr:row>5</xdr:row>
      <xdr:rowOff>533400</xdr:rowOff>
    </xdr:to>
    <xdr:sp macro="" textlink="">
      <xdr:nvSpPr>
        <xdr:cNvPr id="2" name="AutoShape 2">
          <a:extLst>
            <a:ext uri="{FF2B5EF4-FFF2-40B4-BE49-F238E27FC236}">
              <a16:creationId xmlns:a16="http://schemas.microsoft.com/office/drawing/2014/main" id="{00000000-0008-0000-1300-000002000000}"/>
            </a:ext>
          </a:extLst>
        </xdr:cNvPr>
        <xdr:cNvSpPr>
          <a:spLocks noChangeArrowheads="1"/>
        </xdr:cNvSpPr>
      </xdr:nvSpPr>
      <xdr:spPr bwMode="auto">
        <a:xfrm>
          <a:off x="5962650" y="2019300"/>
          <a:ext cx="514350" cy="323850"/>
        </a:xfrm>
        <a:prstGeom prst="rightArrow">
          <a:avLst>
            <a:gd name="adj1" fmla="val 50000"/>
            <a:gd name="adj2" fmla="val 39706"/>
          </a:avLst>
        </a:prstGeom>
        <a:solidFill>
          <a:srgbClr val="3366FF"/>
        </a:solidFill>
        <a:ln w="9525">
          <a:solidFill>
            <a:srgbClr val="000000"/>
          </a:solidFill>
          <a:miter lim="800000"/>
          <a:headEnd/>
          <a:tailEnd/>
        </a:ln>
      </xdr:spPr>
    </xdr:sp>
    <xdr:clientData/>
  </xdr:twoCellAnchor>
  <xdr:twoCellAnchor>
    <xdr:from>
      <xdr:col>5</xdr:col>
      <xdr:colOff>238125</xdr:colOff>
      <xdr:row>4</xdr:row>
      <xdr:rowOff>171450</xdr:rowOff>
    </xdr:from>
    <xdr:to>
      <xdr:col>5</xdr:col>
      <xdr:colOff>752475</xdr:colOff>
      <xdr:row>4</xdr:row>
      <xdr:rowOff>495300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5962650" y="1276350"/>
          <a:ext cx="514350" cy="323850"/>
        </a:xfrm>
        <a:prstGeom prst="rightArrow">
          <a:avLst>
            <a:gd name="adj1" fmla="val 50000"/>
            <a:gd name="adj2" fmla="val 39706"/>
          </a:avLst>
        </a:prstGeom>
        <a:solidFill>
          <a:srgbClr val="3366FF"/>
        </a:solidFill>
        <a:ln w="9525">
          <a:solidFill>
            <a:srgbClr val="000000"/>
          </a:solidFill>
          <a:miter lim="800000"/>
          <a:headEnd/>
          <a:tailEnd/>
        </a:ln>
      </xdr:spPr>
    </xdr:sp>
    <xdr:clientData/>
  </xdr:twoCellAnchor>
  <xdr:twoCellAnchor>
    <xdr:from>
      <xdr:col>5</xdr:col>
      <xdr:colOff>238125</xdr:colOff>
      <xdr:row>6</xdr:row>
      <xdr:rowOff>209550</xdr:rowOff>
    </xdr:from>
    <xdr:to>
      <xdr:col>5</xdr:col>
      <xdr:colOff>752475</xdr:colOff>
      <xdr:row>6</xdr:row>
      <xdr:rowOff>533400</xdr:rowOff>
    </xdr:to>
    <xdr:sp macro="" textlink="">
      <xdr:nvSpPr>
        <xdr:cNvPr id="4" name="AutoShape 4">
          <a:extLst>
            <a:ext uri="{FF2B5EF4-FFF2-40B4-BE49-F238E27FC236}">
              <a16:creationId xmlns:a16="http://schemas.microsoft.com/office/drawing/2014/main" id="{00000000-0008-0000-1300-000004000000}"/>
            </a:ext>
          </a:extLst>
        </xdr:cNvPr>
        <xdr:cNvSpPr>
          <a:spLocks noChangeArrowheads="1"/>
        </xdr:cNvSpPr>
      </xdr:nvSpPr>
      <xdr:spPr bwMode="auto">
        <a:xfrm>
          <a:off x="5962650" y="2724150"/>
          <a:ext cx="514350" cy="323850"/>
        </a:xfrm>
        <a:prstGeom prst="rightArrow">
          <a:avLst>
            <a:gd name="adj1" fmla="val 50000"/>
            <a:gd name="adj2" fmla="val 39706"/>
          </a:avLst>
        </a:prstGeom>
        <a:solidFill>
          <a:srgbClr val="3366FF"/>
        </a:solidFill>
        <a:ln w="9525">
          <a:solidFill>
            <a:srgbClr val="000000"/>
          </a:solidFill>
          <a:miter lim="800000"/>
          <a:headEnd/>
          <a:tailEnd/>
        </a:ln>
      </xdr:spPr>
    </xdr:sp>
    <xdr:clientData/>
  </xdr:twoCellAnchor>
  <xdr:twoCellAnchor>
    <xdr:from>
      <xdr:col>5</xdr:col>
      <xdr:colOff>238125</xdr:colOff>
      <xdr:row>7</xdr:row>
      <xdr:rowOff>219075</xdr:rowOff>
    </xdr:from>
    <xdr:to>
      <xdr:col>5</xdr:col>
      <xdr:colOff>752475</xdr:colOff>
      <xdr:row>7</xdr:row>
      <xdr:rowOff>542925</xdr:rowOff>
    </xdr:to>
    <xdr:sp macro="" textlink="">
      <xdr:nvSpPr>
        <xdr:cNvPr id="5" name="AutoShape 5">
          <a:extLst>
            <a:ext uri="{FF2B5EF4-FFF2-40B4-BE49-F238E27FC236}">
              <a16:creationId xmlns:a16="http://schemas.microsoft.com/office/drawing/2014/main" id="{00000000-0008-0000-1300-000005000000}"/>
            </a:ext>
          </a:extLst>
        </xdr:cNvPr>
        <xdr:cNvSpPr>
          <a:spLocks noChangeArrowheads="1"/>
        </xdr:cNvSpPr>
      </xdr:nvSpPr>
      <xdr:spPr bwMode="auto">
        <a:xfrm>
          <a:off x="5962650" y="3438525"/>
          <a:ext cx="514350" cy="323850"/>
        </a:xfrm>
        <a:prstGeom prst="rightArrow">
          <a:avLst>
            <a:gd name="adj1" fmla="val 50000"/>
            <a:gd name="adj2" fmla="val 39706"/>
          </a:avLst>
        </a:prstGeom>
        <a:solidFill>
          <a:srgbClr val="3366FF"/>
        </a:solidFill>
        <a:ln w="9525">
          <a:solidFill>
            <a:srgbClr val="000000"/>
          </a:solidFill>
          <a:miter lim="800000"/>
          <a:headEnd/>
          <a:tailEnd/>
        </a:ln>
      </xdr:spPr>
    </xdr:sp>
    <xdr:clientData/>
  </xdr:twoCellAnchor>
  <xdr:twoCellAnchor>
    <xdr:from>
      <xdr:col>5</xdr:col>
      <xdr:colOff>238125</xdr:colOff>
      <xdr:row>8</xdr:row>
      <xdr:rowOff>209550</xdr:rowOff>
    </xdr:from>
    <xdr:to>
      <xdr:col>5</xdr:col>
      <xdr:colOff>752475</xdr:colOff>
      <xdr:row>8</xdr:row>
      <xdr:rowOff>533400</xdr:rowOff>
    </xdr:to>
    <xdr:sp macro="" textlink="">
      <xdr:nvSpPr>
        <xdr:cNvPr id="6" name="AutoShape 6">
          <a:extLst>
            <a:ext uri="{FF2B5EF4-FFF2-40B4-BE49-F238E27FC236}">
              <a16:creationId xmlns:a16="http://schemas.microsoft.com/office/drawing/2014/main" id="{00000000-0008-0000-1300-000006000000}"/>
            </a:ext>
          </a:extLst>
        </xdr:cNvPr>
        <xdr:cNvSpPr>
          <a:spLocks noChangeArrowheads="1"/>
        </xdr:cNvSpPr>
      </xdr:nvSpPr>
      <xdr:spPr bwMode="auto">
        <a:xfrm>
          <a:off x="5962650" y="4133850"/>
          <a:ext cx="514350" cy="323850"/>
        </a:xfrm>
        <a:prstGeom prst="rightArrow">
          <a:avLst>
            <a:gd name="adj1" fmla="val 50000"/>
            <a:gd name="adj2" fmla="val 39706"/>
          </a:avLst>
        </a:prstGeom>
        <a:solidFill>
          <a:srgbClr val="3366FF"/>
        </a:solidFill>
        <a:ln w="9525">
          <a:solidFill>
            <a:srgbClr val="000000"/>
          </a:solidFill>
          <a:miter lim="800000"/>
          <a:headEnd/>
          <a:tailEnd/>
        </a:ln>
      </xdr:spPr>
    </xdr:sp>
    <xdr:clientData/>
  </xdr:twoCellAnchor>
  <xdr:twoCellAnchor>
    <xdr:from>
      <xdr:col>5</xdr:col>
      <xdr:colOff>238125</xdr:colOff>
      <xdr:row>9</xdr:row>
      <xdr:rowOff>200025</xdr:rowOff>
    </xdr:from>
    <xdr:to>
      <xdr:col>5</xdr:col>
      <xdr:colOff>752475</xdr:colOff>
      <xdr:row>9</xdr:row>
      <xdr:rowOff>523875</xdr:rowOff>
    </xdr:to>
    <xdr:sp macro="" textlink="">
      <xdr:nvSpPr>
        <xdr:cNvPr id="7" name="AutoShape 7">
          <a:extLst>
            <a:ext uri="{FF2B5EF4-FFF2-40B4-BE49-F238E27FC236}">
              <a16:creationId xmlns:a16="http://schemas.microsoft.com/office/drawing/2014/main" id="{00000000-0008-0000-1300-000007000000}"/>
            </a:ext>
          </a:extLst>
        </xdr:cNvPr>
        <xdr:cNvSpPr>
          <a:spLocks noChangeArrowheads="1"/>
        </xdr:cNvSpPr>
      </xdr:nvSpPr>
      <xdr:spPr bwMode="auto">
        <a:xfrm>
          <a:off x="5962650" y="4829175"/>
          <a:ext cx="514350" cy="323850"/>
        </a:xfrm>
        <a:prstGeom prst="rightArrow">
          <a:avLst>
            <a:gd name="adj1" fmla="val 50000"/>
            <a:gd name="adj2" fmla="val 39706"/>
          </a:avLst>
        </a:prstGeom>
        <a:solidFill>
          <a:srgbClr val="3366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485775</xdr:colOff>
      <xdr:row>13</xdr:row>
      <xdr:rowOff>133350</xdr:rowOff>
    </xdr:from>
    <xdr:to>
      <xdr:col>7</xdr:col>
      <xdr:colOff>739140</xdr:colOff>
      <xdr:row>15</xdr:row>
      <xdr:rowOff>134544</xdr:rowOff>
    </xdr:to>
    <xdr:pic>
      <xdr:nvPicPr>
        <xdr:cNvPr id="2" name="Picture 1" descr="D_n=1/(1+r)^n">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1725" y="4352925"/>
          <a:ext cx="1162050" cy="48125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637073</xdr:colOff>
      <xdr:row>425</xdr:row>
      <xdr:rowOff>64869</xdr:rowOff>
    </xdr:from>
    <xdr:to>
      <xdr:col>8</xdr:col>
      <xdr:colOff>1096350</xdr:colOff>
      <xdr:row>439</xdr:row>
      <xdr:rowOff>49105</xdr:rowOff>
    </xdr:to>
    <xdr:graphicFrame macro="">
      <xdr:nvGraphicFramePr>
        <xdr:cNvPr id="2" name="Chart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666713</xdr:colOff>
      <xdr:row>441</xdr:row>
      <xdr:rowOff>107</xdr:rowOff>
    </xdr:from>
    <xdr:to>
      <xdr:col>8</xdr:col>
      <xdr:colOff>1138859</xdr:colOff>
      <xdr:row>454</xdr:row>
      <xdr:rowOff>177367</xdr:rowOff>
    </xdr:to>
    <xdr:graphicFrame macro="">
      <xdr:nvGraphicFramePr>
        <xdr:cNvPr id="3" name="Chart 2">
          <a:extLst>
            <a:ext uri="{FF2B5EF4-FFF2-40B4-BE49-F238E27FC236}">
              <a16:creationId xmlns:a16="http://schemas.microsoft.com/office/drawing/2014/main" id="{00000000-0008-0000-1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excel">
  <a:themeElements>
    <a:clrScheme name="Why me? colours">
      <a:dk1>
        <a:srgbClr val="286165"/>
      </a:dk1>
      <a:lt1>
        <a:sysClr val="window" lastClr="FFFFFF"/>
      </a:lt1>
      <a:dk2>
        <a:srgbClr val="21686D"/>
      </a:dk2>
      <a:lt2>
        <a:srgbClr val="D4E7E7"/>
      </a:lt2>
      <a:accent1>
        <a:srgbClr val="A5D7D5"/>
      </a:accent1>
      <a:accent2>
        <a:srgbClr val="5C8788"/>
      </a:accent2>
      <a:accent3>
        <a:srgbClr val="2C9289"/>
      </a:accent3>
      <a:accent4>
        <a:srgbClr val="2D72AB"/>
      </a:accent4>
      <a:accent5>
        <a:srgbClr val="5B8AC8"/>
      </a:accent5>
      <a:accent6>
        <a:srgbClr val="88A6D6"/>
      </a:accent6>
      <a:hlink>
        <a:srgbClr val="A7BBE1"/>
      </a:hlink>
      <a:folHlink>
        <a:srgbClr val="D8E0F2"/>
      </a:folHlink>
    </a:clrScheme>
    <a:fontScheme name="Custom 1">
      <a:majorFont>
        <a:latin typeface="Roboto"/>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Why me theme" id="{0E22B0E7-0F9A-4338-AB36-6F14F18C9212}" vid="{13D22C1E-C7E0-446B-BB37-79D61E23E049}"/>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gdp-deflators-at-market-prices-and-money-gdp-march-2022-quarterly-national-accoun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9A8D3-343F-48FA-9E69-BE9852DF776A}">
  <sheetPr codeName="Sheet34">
    <tabColor theme="1"/>
  </sheetPr>
  <dimension ref="A1:P20"/>
  <sheetViews>
    <sheetView showGridLines="0" showRowColHeaders="0" tabSelected="1" workbookViewId="0">
      <selection activeCell="H24" sqref="H24"/>
    </sheetView>
  </sheetViews>
  <sheetFormatPr defaultRowHeight="15.5"/>
  <sheetData>
    <row r="1" spans="1:16" ht="16" thickBot="1"/>
    <row r="2" spans="1:16">
      <c r="B2" s="47"/>
      <c r="C2" s="48"/>
      <c r="D2" s="48"/>
      <c r="E2" s="48"/>
      <c r="F2" s="48"/>
      <c r="G2" s="48"/>
      <c r="H2" s="48"/>
      <c r="I2" s="48"/>
      <c r="J2" s="48"/>
      <c r="K2" s="48"/>
      <c r="L2" s="48"/>
      <c r="M2" s="48"/>
      <c r="N2" s="48"/>
      <c r="O2" s="48"/>
      <c r="P2" s="49"/>
    </row>
    <row r="3" spans="1:16">
      <c r="B3" s="50"/>
      <c r="C3" s="9"/>
      <c r="D3" s="9"/>
      <c r="E3" s="9"/>
      <c r="F3" s="9"/>
      <c r="G3" s="9"/>
      <c r="H3" s="9"/>
      <c r="I3" s="9"/>
      <c r="J3" s="9"/>
      <c r="K3" s="9"/>
      <c r="L3" s="9"/>
      <c r="M3" s="9"/>
      <c r="N3" s="9"/>
      <c r="O3" s="9"/>
      <c r="P3" s="51"/>
    </row>
    <row r="4" spans="1:16">
      <c r="A4" s="2"/>
      <c r="B4" s="50"/>
      <c r="C4" s="9"/>
      <c r="D4" s="9"/>
      <c r="E4" s="9"/>
      <c r="F4" s="9"/>
      <c r="G4" s="9"/>
      <c r="H4" s="9"/>
      <c r="I4" s="9"/>
      <c r="J4" s="9"/>
      <c r="K4" s="9"/>
      <c r="L4" s="9"/>
      <c r="M4" s="9"/>
      <c r="N4" s="9"/>
      <c r="O4" s="9"/>
      <c r="P4" s="51"/>
    </row>
    <row r="5" spans="1:16" ht="35.5">
      <c r="B5" s="50"/>
      <c r="C5" s="9"/>
      <c r="D5" s="1104" t="s">
        <v>761</v>
      </c>
      <c r="E5" s="1104"/>
      <c r="F5" s="1104"/>
      <c r="G5" s="1104"/>
      <c r="H5" s="1104"/>
      <c r="I5" s="1104"/>
      <c r="J5" s="1104"/>
      <c r="K5" s="1104"/>
      <c r="L5" s="1104"/>
      <c r="M5" s="1104"/>
      <c r="N5" s="1104"/>
      <c r="O5" s="9"/>
      <c r="P5" s="51"/>
    </row>
    <row r="6" spans="1:16" ht="53.4" customHeight="1">
      <c r="B6" s="50"/>
      <c r="C6" s="9"/>
      <c r="D6" s="56"/>
      <c r="E6" s="56"/>
      <c r="F6" s="56"/>
      <c r="G6" s="56"/>
      <c r="H6" s="1105" t="s">
        <v>762</v>
      </c>
      <c r="I6" s="1105"/>
      <c r="J6" s="1105"/>
      <c r="K6" s="56"/>
      <c r="L6" s="56"/>
      <c r="M6" s="56"/>
      <c r="N6" s="56"/>
      <c r="O6" s="9"/>
      <c r="P6" s="51"/>
    </row>
    <row r="7" spans="1:16">
      <c r="B7" s="50"/>
      <c r="C7" s="9"/>
      <c r="D7" s="9"/>
      <c r="E7" s="9"/>
      <c r="F7" s="9"/>
      <c r="G7" s="9"/>
      <c r="H7" s="9"/>
      <c r="I7" s="9"/>
      <c r="J7" s="9"/>
      <c r="K7" s="9"/>
      <c r="L7" s="9"/>
      <c r="M7" s="9"/>
      <c r="N7" s="9"/>
      <c r="O7" s="9"/>
      <c r="P7" s="51"/>
    </row>
    <row r="8" spans="1:16">
      <c r="B8" s="50"/>
      <c r="C8" s="1106" t="s">
        <v>905</v>
      </c>
      <c r="D8" s="1106"/>
      <c r="E8" s="1106"/>
      <c r="F8" s="1106"/>
      <c r="G8" s="1106"/>
      <c r="H8" s="1106"/>
      <c r="I8" s="1106"/>
      <c r="J8" s="1106"/>
      <c r="K8" s="1106"/>
      <c r="L8" s="1106"/>
      <c r="M8" s="1106"/>
      <c r="N8" s="1106"/>
      <c r="O8" s="1106"/>
      <c r="P8" s="51"/>
    </row>
    <row r="9" spans="1:16">
      <c r="B9" s="50"/>
      <c r="C9" s="1106"/>
      <c r="D9" s="1106"/>
      <c r="E9" s="1106"/>
      <c r="F9" s="1106"/>
      <c r="G9" s="1106"/>
      <c r="H9" s="1106"/>
      <c r="I9" s="1106"/>
      <c r="J9" s="1106"/>
      <c r="K9" s="1106"/>
      <c r="L9" s="1106"/>
      <c r="M9" s="1106"/>
      <c r="N9" s="1106"/>
      <c r="O9" s="1106"/>
      <c r="P9" s="51"/>
    </row>
    <row r="10" spans="1:16">
      <c r="B10" s="50"/>
      <c r="C10" s="1106"/>
      <c r="D10" s="1106"/>
      <c r="E10" s="1106"/>
      <c r="F10" s="1106"/>
      <c r="G10" s="1106"/>
      <c r="H10" s="1106"/>
      <c r="I10" s="1106"/>
      <c r="J10" s="1106"/>
      <c r="K10" s="1106"/>
      <c r="L10" s="1106"/>
      <c r="M10" s="1106"/>
      <c r="N10" s="1106"/>
      <c r="O10" s="1106"/>
      <c r="P10" s="51"/>
    </row>
    <row r="11" spans="1:16">
      <c r="B11" s="50"/>
      <c r="C11" s="9"/>
      <c r="D11" s="9"/>
      <c r="E11" s="9"/>
      <c r="F11" s="9"/>
      <c r="G11" s="9"/>
      <c r="H11" s="9"/>
      <c r="I11" s="9"/>
      <c r="J11" s="9"/>
      <c r="K11" s="9"/>
      <c r="L11" s="9"/>
      <c r="M11" s="9"/>
      <c r="N11" s="9"/>
      <c r="O11" s="9"/>
      <c r="P11" s="51"/>
    </row>
    <row r="12" spans="1:16">
      <c r="B12" s="50"/>
      <c r="C12" s="9"/>
      <c r="D12" s="9"/>
      <c r="E12" s="9"/>
      <c r="F12" s="9"/>
      <c r="G12" s="9"/>
      <c r="H12" s="9"/>
      <c r="I12" s="9"/>
      <c r="J12" s="9"/>
      <c r="K12" s="9"/>
      <c r="L12" s="9"/>
      <c r="M12" s="9"/>
      <c r="N12" s="9"/>
      <c r="O12" s="9"/>
      <c r="P12" s="51"/>
    </row>
    <row r="13" spans="1:16">
      <c r="B13" s="50"/>
      <c r="C13" s="9"/>
      <c r="D13" s="9"/>
      <c r="E13" s="9"/>
      <c r="F13" s="9"/>
      <c r="G13" s="9"/>
      <c r="H13" s="9"/>
      <c r="I13" s="9" t="s">
        <v>763</v>
      </c>
      <c r="J13" s="9"/>
      <c r="K13" s="9"/>
      <c r="L13" s="9"/>
      <c r="M13" s="9"/>
      <c r="N13" s="9"/>
      <c r="O13" s="9"/>
      <c r="P13" s="51"/>
    </row>
    <row r="14" spans="1:16">
      <c r="B14" s="50"/>
      <c r="C14" s="9"/>
      <c r="D14" s="9"/>
      <c r="E14" s="9"/>
      <c r="F14" s="9"/>
      <c r="G14" s="9"/>
      <c r="H14" s="9"/>
      <c r="I14" s="9"/>
      <c r="J14" s="9"/>
      <c r="K14" s="9"/>
      <c r="L14" s="9"/>
      <c r="M14" s="9"/>
      <c r="N14" s="9"/>
      <c r="O14" s="9"/>
      <c r="P14" s="51"/>
    </row>
    <row r="15" spans="1:16">
      <c r="B15" s="50"/>
      <c r="C15" s="9"/>
      <c r="D15" s="9"/>
      <c r="E15" s="9"/>
      <c r="F15" s="9"/>
      <c r="G15" s="9"/>
      <c r="H15" s="9"/>
      <c r="I15" s="9"/>
      <c r="J15" s="9"/>
      <c r="K15" s="9"/>
      <c r="L15" s="9"/>
      <c r="M15" s="9"/>
      <c r="N15" s="9"/>
      <c r="O15" s="9"/>
      <c r="P15" s="51"/>
    </row>
    <row r="16" spans="1:16">
      <c r="B16" s="50"/>
      <c r="C16" s="55" t="s">
        <v>901</v>
      </c>
      <c r="D16" s="9"/>
      <c r="E16" s="9"/>
      <c r="F16" s="9"/>
      <c r="G16" s="9"/>
      <c r="H16" s="9"/>
      <c r="I16" s="9"/>
      <c r="J16" s="9"/>
      <c r="K16" s="9"/>
      <c r="L16" s="9"/>
      <c r="M16" s="9"/>
      <c r="N16" s="9"/>
      <c r="O16" s="9"/>
      <c r="P16" s="51"/>
    </row>
    <row r="17" spans="2:16">
      <c r="B17" s="50"/>
      <c r="C17" s="55" t="s">
        <v>904</v>
      </c>
      <c r="D17" s="9"/>
      <c r="E17" s="9"/>
      <c r="F17" s="9"/>
      <c r="G17" s="9"/>
      <c r="H17" s="9"/>
      <c r="I17" s="9"/>
      <c r="J17" s="9"/>
      <c r="K17" s="9"/>
      <c r="L17" s="9"/>
      <c r="M17" s="9"/>
      <c r="N17" s="9"/>
      <c r="O17" s="9"/>
      <c r="P17" s="51"/>
    </row>
    <row r="18" spans="2:16">
      <c r="B18" s="50"/>
      <c r="D18" s="9"/>
      <c r="E18" s="9"/>
      <c r="F18" s="9"/>
      <c r="G18" s="9"/>
      <c r="H18" s="9"/>
      <c r="I18" s="9"/>
      <c r="J18" s="9"/>
      <c r="K18" s="9"/>
      <c r="L18" s="9"/>
      <c r="M18" s="9"/>
      <c r="N18" s="9"/>
      <c r="O18" s="9"/>
      <c r="P18" s="51"/>
    </row>
    <row r="19" spans="2:16">
      <c r="B19" s="50"/>
      <c r="C19" s="1100" t="s">
        <v>848</v>
      </c>
      <c r="D19" s="9"/>
      <c r="E19" s="9"/>
      <c r="F19" s="9"/>
      <c r="G19" s="9"/>
      <c r="H19" s="9"/>
      <c r="I19" s="9"/>
      <c r="J19" s="9"/>
      <c r="K19" s="9"/>
      <c r="L19" s="9"/>
      <c r="M19" s="9"/>
      <c r="N19" s="9"/>
      <c r="O19" s="9"/>
      <c r="P19" s="51"/>
    </row>
    <row r="20" spans="2:16" ht="16" thickBot="1">
      <c r="B20" s="52"/>
      <c r="C20" s="53"/>
      <c r="D20" s="53"/>
      <c r="E20" s="53"/>
      <c r="F20" s="53"/>
      <c r="G20" s="53"/>
      <c r="H20" s="53"/>
      <c r="I20" s="53"/>
      <c r="J20" s="53"/>
      <c r="K20" s="53"/>
      <c r="L20" s="53"/>
      <c r="M20" s="53"/>
      <c r="N20" s="53"/>
      <c r="O20" s="53"/>
      <c r="P20" s="54"/>
    </row>
  </sheetData>
  <mergeCells count="3">
    <mergeCell ref="D5:N5"/>
    <mergeCell ref="H6:J6"/>
    <mergeCell ref="C8:O1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70C0"/>
  </sheetPr>
  <dimension ref="A1:AV76"/>
  <sheetViews>
    <sheetView workbookViewId="0"/>
  </sheetViews>
  <sheetFormatPr defaultColWidth="10.921875" defaultRowHeight="15.5"/>
  <cols>
    <col min="1" max="1" width="10.921875" style="169"/>
    <col min="2" max="4" width="10.921875" style="168"/>
    <col min="5" max="5" width="13.15234375" style="193" customWidth="1"/>
    <col min="6" max="6" width="15.3828125" style="168" bestFit="1" customWidth="1"/>
    <col min="7" max="7" width="10.921875" style="168"/>
    <col min="8" max="8" width="10.921875" style="193"/>
    <col min="9" max="10" width="10.921875" style="168"/>
    <col min="11" max="11" width="10.921875" style="193"/>
    <col min="12" max="13" width="10.921875" style="168"/>
    <col min="14" max="14" width="10.921875" style="193"/>
    <col min="15" max="16" width="10.921875" style="168"/>
    <col min="17" max="17" width="10.921875" style="193"/>
    <col min="18" max="19" width="10.921875" style="168"/>
    <col min="20" max="20" width="10.921875" style="193"/>
    <col min="21" max="22" width="10.921875" style="168"/>
    <col min="23" max="23" width="10.921875" style="193"/>
    <col min="24" max="24" width="14.4609375" style="168" customWidth="1"/>
    <col min="25" max="25" width="10.921875" style="168"/>
    <col min="26" max="26" width="10.921875" style="193"/>
    <col min="27" max="28" width="10.921875" style="168"/>
    <col min="29" max="29" width="10.921875" style="193"/>
    <col min="30" max="31" width="10.921875" style="168"/>
    <col min="32" max="32" width="10.921875" style="193"/>
    <col min="33" max="34" width="10.921875" style="168"/>
    <col min="35" max="35" width="10.921875" style="193"/>
    <col min="36" max="37" width="10.921875" style="168"/>
    <col min="38" max="38" width="10.921875" style="193"/>
    <col min="39" max="40" width="10.921875" style="168"/>
    <col min="41" max="41" width="10.921875" style="193"/>
    <col min="42" max="43" width="10.921875" style="168"/>
    <col min="44" max="44" width="10.921875" style="193"/>
    <col min="45" max="46" width="10.921875" style="168"/>
    <col min="47" max="47" width="10.921875" style="193"/>
    <col min="48" max="48" width="10.921875" style="168"/>
    <col min="49" max="16384" width="10.921875" style="169"/>
  </cols>
  <sheetData>
    <row r="1" spans="1:48" s="182" customFormat="1" ht="37.5" customHeight="1">
      <c r="A1" s="179" t="s">
        <v>372</v>
      </c>
      <c r="B1" s="180"/>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row>
    <row r="2" spans="1:48" s="182" customFormat="1" ht="37.5" customHeight="1">
      <c r="A2" s="183" t="s">
        <v>574</v>
      </c>
      <c r="B2" s="180"/>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row>
    <row r="3" spans="1:48" s="173" customFormat="1" ht="77.5">
      <c r="A3" s="173" t="s">
        <v>539</v>
      </c>
      <c r="B3" s="172" t="s">
        <v>342</v>
      </c>
      <c r="C3" s="184" t="s">
        <v>290</v>
      </c>
      <c r="D3" s="184" t="s">
        <v>540</v>
      </c>
      <c r="E3" s="185" t="s">
        <v>541</v>
      </c>
      <c r="F3" s="184" t="s">
        <v>542</v>
      </c>
      <c r="G3" s="184" t="s">
        <v>540</v>
      </c>
      <c r="H3" s="185" t="s">
        <v>541</v>
      </c>
      <c r="I3" s="184" t="s">
        <v>543</v>
      </c>
      <c r="J3" s="184" t="s">
        <v>540</v>
      </c>
      <c r="K3" s="185" t="s">
        <v>541</v>
      </c>
      <c r="L3" s="184" t="s">
        <v>544</v>
      </c>
      <c r="M3" s="184" t="s">
        <v>540</v>
      </c>
      <c r="N3" s="185" t="s">
        <v>541</v>
      </c>
      <c r="O3" s="184" t="s">
        <v>545</v>
      </c>
      <c r="P3" s="184" t="s">
        <v>540</v>
      </c>
      <c r="Q3" s="185" t="s">
        <v>541</v>
      </c>
      <c r="R3" s="184" t="s">
        <v>292</v>
      </c>
      <c r="S3" s="184" t="s">
        <v>540</v>
      </c>
      <c r="T3" s="185" t="s">
        <v>541</v>
      </c>
      <c r="U3" s="184" t="s">
        <v>546</v>
      </c>
      <c r="V3" s="184" t="s">
        <v>540</v>
      </c>
      <c r="W3" s="185" t="s">
        <v>541</v>
      </c>
      <c r="X3" s="184" t="s">
        <v>547</v>
      </c>
      <c r="Y3" s="184" t="s">
        <v>540</v>
      </c>
      <c r="Z3" s="185" t="s">
        <v>541</v>
      </c>
      <c r="AA3" s="184" t="s">
        <v>548</v>
      </c>
      <c r="AB3" s="184" t="s">
        <v>540</v>
      </c>
      <c r="AC3" s="185" t="s">
        <v>541</v>
      </c>
      <c r="AD3" s="184" t="s">
        <v>549</v>
      </c>
      <c r="AE3" s="184" t="s">
        <v>540</v>
      </c>
      <c r="AF3" s="185" t="s">
        <v>541</v>
      </c>
      <c r="AG3" s="184" t="s">
        <v>550</v>
      </c>
      <c r="AH3" s="184" t="s">
        <v>540</v>
      </c>
      <c r="AI3" s="185" t="s">
        <v>541</v>
      </c>
      <c r="AJ3" s="184" t="s">
        <v>551</v>
      </c>
      <c r="AK3" s="184" t="s">
        <v>540</v>
      </c>
      <c r="AL3" s="185" t="s">
        <v>541</v>
      </c>
      <c r="AM3" s="184" t="s">
        <v>424</v>
      </c>
      <c r="AN3" s="184" t="s">
        <v>540</v>
      </c>
      <c r="AO3" s="185" t="s">
        <v>541</v>
      </c>
      <c r="AP3" s="184" t="s">
        <v>552</v>
      </c>
      <c r="AQ3" s="184" t="s">
        <v>540</v>
      </c>
      <c r="AR3" s="185" t="s">
        <v>541</v>
      </c>
      <c r="AS3" s="184" t="s">
        <v>425</v>
      </c>
    </row>
    <row r="4" spans="1:48">
      <c r="B4" s="168">
        <v>2015</v>
      </c>
      <c r="C4" s="186">
        <f>Cost_of_crime_Raw_data!B5</f>
        <v>61060</v>
      </c>
      <c r="D4" s="187">
        <f>C4*$A4/100</f>
        <v>0</v>
      </c>
      <c r="E4" s="188">
        <f>C4+D4</f>
        <v>61060</v>
      </c>
      <c r="F4" s="186">
        <f>Cost_of_crime_Raw_data!B6</f>
        <v>330</v>
      </c>
      <c r="G4" s="187">
        <f>F4*$A4/100</f>
        <v>0</v>
      </c>
      <c r="H4" s="188">
        <f>F4+G4</f>
        <v>330</v>
      </c>
      <c r="I4" s="186">
        <f>Cost_of_crime_Raw_data!B7</f>
        <v>110</v>
      </c>
      <c r="J4" s="187">
        <f>I4*$A4/100</f>
        <v>0</v>
      </c>
      <c r="K4" s="188">
        <f>I4+J4</f>
        <v>110</v>
      </c>
      <c r="L4" s="186">
        <f>Cost_of_crime_Raw_data!B8</f>
        <v>970</v>
      </c>
      <c r="M4" s="187">
        <f>L4*$A4/100</f>
        <v>0</v>
      </c>
      <c r="N4" s="188">
        <f>L4+M4</f>
        <v>970</v>
      </c>
      <c r="O4" s="186">
        <f>Cost_of_crime_Raw_data!B9</f>
        <v>150</v>
      </c>
      <c r="P4" s="187">
        <f>O4*$A4/100</f>
        <v>0</v>
      </c>
      <c r="Q4" s="188">
        <f>O4+P4</f>
        <v>150</v>
      </c>
      <c r="R4" s="186">
        <f>Cost_of_crime_Raw_data!B10</f>
        <v>190</v>
      </c>
      <c r="S4" s="187">
        <f>R4*$A4/100</f>
        <v>0</v>
      </c>
      <c r="T4" s="188">
        <f>R4+S4</f>
        <v>190</v>
      </c>
      <c r="U4" s="186">
        <f>Cost_of_crime_Raw_data!B11</f>
        <v>320</v>
      </c>
      <c r="V4" s="187">
        <f>U4*$A4/100</f>
        <v>0</v>
      </c>
      <c r="W4" s="188">
        <f>U4+V4</f>
        <v>320</v>
      </c>
      <c r="X4" s="186">
        <f>Cost_of_crime_Raw_data!B12</f>
        <v>1010</v>
      </c>
      <c r="Y4" s="187">
        <f>X4*$A4/100</f>
        <v>0</v>
      </c>
      <c r="Z4" s="188">
        <f>X4+Y4</f>
        <v>1010</v>
      </c>
      <c r="AA4" s="186">
        <f>Cost_of_crime_Raw_data!B13</f>
        <v>110</v>
      </c>
      <c r="AB4" s="187">
        <f>AA4*$A4/100</f>
        <v>0</v>
      </c>
      <c r="AC4" s="188">
        <f>AA4+AB4</f>
        <v>110</v>
      </c>
      <c r="AD4" s="186">
        <f>Cost_of_crime_Raw_data!B14</f>
        <v>20</v>
      </c>
      <c r="AE4" s="187">
        <f>AD4*$A4/100</f>
        <v>0</v>
      </c>
      <c r="AF4" s="188">
        <f>AD4+AE4</f>
        <v>20</v>
      </c>
      <c r="AG4" s="186">
        <f>Cost_of_crime_Raw_data!B15</f>
        <v>110</v>
      </c>
      <c r="AH4" s="187">
        <f>AG4*$A4/100</f>
        <v>0</v>
      </c>
      <c r="AI4" s="188">
        <f>AG4+AH4</f>
        <v>110</v>
      </c>
      <c r="AJ4" s="186">
        <f>Cost_of_crime_Raw_data!B16</f>
        <v>20</v>
      </c>
      <c r="AK4" s="187">
        <f>AJ4*$A4/100</f>
        <v>0</v>
      </c>
      <c r="AL4" s="188">
        <f>AJ4+AK4</f>
        <v>20</v>
      </c>
      <c r="AM4" s="186">
        <f>Cost_of_crime_Raw_data!B17</f>
        <v>170</v>
      </c>
      <c r="AN4" s="187">
        <f>AM4*$A4/100</f>
        <v>0</v>
      </c>
      <c r="AO4" s="188">
        <f>AM4+AN4</f>
        <v>170</v>
      </c>
      <c r="AP4" s="186">
        <f>Cost_of_crime_Raw_data!B18</f>
        <v>290</v>
      </c>
      <c r="AQ4" s="187">
        <f>AP4*$A4/100</f>
        <v>0</v>
      </c>
      <c r="AR4" s="188">
        <f>AP4+AQ4</f>
        <v>290</v>
      </c>
      <c r="AS4" s="186">
        <f>SUM(C4,I4,L4,O4,R4,U4,X4,AD4,AG4,AJ4,AM4,AP4)</f>
        <v>64420</v>
      </c>
      <c r="AT4" s="169"/>
      <c r="AU4" s="169"/>
      <c r="AV4" s="169"/>
    </row>
    <row r="5" spans="1:48">
      <c r="A5" s="169">
        <f>VLOOKUP(B5,Misc_inputs!$A$3:$B$33,2,0)</f>
        <v>1.8963035451147277</v>
      </c>
      <c r="B5" s="168">
        <v>2016</v>
      </c>
      <c r="C5" s="187">
        <f>E4</f>
        <v>61060</v>
      </c>
      <c r="D5" s="187">
        <f t="shared" ref="D5:D9" si="0">C5*$A5/100</f>
        <v>1157.8829446470527</v>
      </c>
      <c r="E5" s="188">
        <f t="shared" ref="E5:E9" si="1">C5+D5</f>
        <v>62217.882944647055</v>
      </c>
      <c r="F5" s="187">
        <f>H4</f>
        <v>330</v>
      </c>
      <c r="G5" s="187">
        <f t="shared" ref="G5:G7" si="2">F5*$A5/100</f>
        <v>6.2578016988786009</v>
      </c>
      <c r="H5" s="188">
        <f t="shared" ref="H5:H9" si="3">F5+G5</f>
        <v>336.25780169887861</v>
      </c>
      <c r="I5" s="187">
        <f>K4</f>
        <v>110</v>
      </c>
      <c r="J5" s="187">
        <f t="shared" ref="J5:J7" si="4">I5*$A5/100</f>
        <v>2.0859338996262005</v>
      </c>
      <c r="K5" s="188">
        <f t="shared" ref="K5:K9" si="5">I5+J5</f>
        <v>112.0859338996262</v>
      </c>
      <c r="L5" s="187">
        <f>N4</f>
        <v>970</v>
      </c>
      <c r="M5" s="187">
        <f t="shared" ref="M5:M7" si="6">L5*$A5/100</f>
        <v>18.394144387612858</v>
      </c>
      <c r="N5" s="188">
        <f t="shared" ref="N5:N9" si="7">L5+M5</f>
        <v>988.39414438761287</v>
      </c>
      <c r="O5" s="187">
        <f>Q4</f>
        <v>150</v>
      </c>
      <c r="P5" s="187">
        <f t="shared" ref="P5:P7" si="8">O5*$A5/100</f>
        <v>2.8444553176720917</v>
      </c>
      <c r="Q5" s="188">
        <f t="shared" ref="Q5:Q9" si="9">O5+P5</f>
        <v>152.8444553176721</v>
      </c>
      <c r="R5" s="187">
        <f>T4</f>
        <v>190</v>
      </c>
      <c r="S5" s="187">
        <f t="shared" ref="S5:S7" si="10">R5*$A5/100</f>
        <v>3.6029767357179825</v>
      </c>
      <c r="T5" s="188">
        <f t="shared" ref="T5:T9" si="11">R5+S5</f>
        <v>193.60297673571799</v>
      </c>
      <c r="U5" s="187">
        <f>W4</f>
        <v>320</v>
      </c>
      <c r="V5" s="187">
        <f t="shared" ref="V5:V7" si="12">U5*$A5/100</f>
        <v>6.068171344367129</v>
      </c>
      <c r="W5" s="188">
        <f t="shared" ref="W5:W9" si="13">U5+V5</f>
        <v>326.0681713443671</v>
      </c>
      <c r="X5" s="187">
        <f>Z4</f>
        <v>1010</v>
      </c>
      <c r="Y5" s="187">
        <f t="shared" ref="Y5:Y7" si="14">X5*$A5/100</f>
        <v>19.152665805658749</v>
      </c>
      <c r="Z5" s="188">
        <f t="shared" ref="Z5:Z9" si="15">X5+Y5</f>
        <v>1029.1526658056587</v>
      </c>
      <c r="AA5" s="187">
        <f>AC4</f>
        <v>110</v>
      </c>
      <c r="AB5" s="187">
        <f t="shared" ref="AB5:AB7" si="16">AA5*$A5/100</f>
        <v>2.0859338996262005</v>
      </c>
      <c r="AC5" s="188">
        <f t="shared" ref="AC5:AC9" si="17">AA5+AB5</f>
        <v>112.0859338996262</v>
      </c>
      <c r="AD5" s="187">
        <f>AF4</f>
        <v>20</v>
      </c>
      <c r="AE5" s="187">
        <f t="shared" ref="AE5:AE7" si="18">AD5*$A5/100</f>
        <v>0.37926070902294556</v>
      </c>
      <c r="AF5" s="188">
        <f t="shared" ref="AF5:AF9" si="19">AD5+AE5</f>
        <v>20.379260709022944</v>
      </c>
      <c r="AG5" s="187">
        <f>AI4</f>
        <v>110</v>
      </c>
      <c r="AH5" s="187">
        <f t="shared" ref="AH5:AH7" si="20">AG5*$A5/100</f>
        <v>2.0859338996262005</v>
      </c>
      <c r="AI5" s="188">
        <f t="shared" ref="AI5:AI9" si="21">AG5+AH5</f>
        <v>112.0859338996262</v>
      </c>
      <c r="AJ5" s="187">
        <f>AL4</f>
        <v>20</v>
      </c>
      <c r="AK5" s="187">
        <f t="shared" ref="AK5:AK7" si="22">AJ5*$A5/100</f>
        <v>0.37926070902294556</v>
      </c>
      <c r="AL5" s="188">
        <f t="shared" ref="AL5:AL9" si="23">AJ5+AK5</f>
        <v>20.379260709022944</v>
      </c>
      <c r="AM5" s="187">
        <f>AO4</f>
        <v>170</v>
      </c>
      <c r="AN5" s="187">
        <f t="shared" ref="AN5:AN7" si="24">AM5*$A5/100</f>
        <v>3.2237160266950373</v>
      </c>
      <c r="AO5" s="188">
        <f t="shared" ref="AO5:AO9" si="25">AM5+AN5</f>
        <v>173.22371602669503</v>
      </c>
      <c r="AP5" s="187">
        <f>AR4</f>
        <v>290</v>
      </c>
      <c r="AQ5" s="187">
        <f t="shared" ref="AQ5:AQ7" si="26">AP5*$A5/100</f>
        <v>5.4992802808327097</v>
      </c>
      <c r="AR5" s="188">
        <f t="shared" ref="AR5:AR9" si="27">AP5+AQ5</f>
        <v>295.49928028083269</v>
      </c>
      <c r="AS5" s="186">
        <f t="shared" ref="AS5:AS9" si="28">SUM(C5,I5,L5,O5,R5,U5,X5,AD5,AG5,AJ5,AM5,AP5)</f>
        <v>64420</v>
      </c>
      <c r="AT5" s="187"/>
      <c r="AU5" s="169"/>
      <c r="AV5" s="169"/>
    </row>
    <row r="6" spans="1:48">
      <c r="A6" s="169">
        <f>VLOOKUP(B6,Misc_inputs!$A$3:$B$33,2,0)</f>
        <v>1.8209228570152332</v>
      </c>
      <c r="B6" s="168">
        <v>2017</v>
      </c>
      <c r="C6" s="187">
        <f t="shared" ref="C6:C9" si="29">E5</f>
        <v>62217.882944647055</v>
      </c>
      <c r="D6" s="187">
        <f t="shared" si="0"/>
        <v>1132.9396516900606</v>
      </c>
      <c r="E6" s="188">
        <f t="shared" si="1"/>
        <v>63350.822596337115</v>
      </c>
      <c r="F6" s="187">
        <f t="shared" ref="F6:F9" si="30">H5</f>
        <v>336.25780169887861</v>
      </c>
      <c r="G6" s="187">
        <f t="shared" si="2"/>
        <v>6.1229951696318379</v>
      </c>
      <c r="H6" s="188">
        <f t="shared" si="3"/>
        <v>342.38079686851046</v>
      </c>
      <c r="I6" s="187">
        <f t="shared" ref="I6:I9" si="31">K5</f>
        <v>112.0859338996262</v>
      </c>
      <c r="J6" s="187">
        <f t="shared" si="4"/>
        <v>2.040998389877279</v>
      </c>
      <c r="K6" s="188">
        <f t="shared" si="5"/>
        <v>114.12693228950347</v>
      </c>
      <c r="L6" s="187">
        <f t="shared" ref="L6:L9" si="32">N5</f>
        <v>988.39414438761287</v>
      </c>
      <c r="M6" s="187">
        <f t="shared" si="6"/>
        <v>17.997894892554189</v>
      </c>
      <c r="N6" s="188">
        <f t="shared" si="7"/>
        <v>1006.3920392801671</v>
      </c>
      <c r="O6" s="187">
        <f t="shared" ref="O6:O9" si="33">Q5</f>
        <v>152.8444553176721</v>
      </c>
      <c r="P6" s="187">
        <f t="shared" si="8"/>
        <v>2.7831796225599263</v>
      </c>
      <c r="Q6" s="188">
        <f t="shared" si="9"/>
        <v>155.62763494023201</v>
      </c>
      <c r="R6" s="187">
        <f t="shared" ref="R6:R9" si="34">T5</f>
        <v>193.60297673571799</v>
      </c>
      <c r="S6" s="187">
        <f t="shared" si="10"/>
        <v>3.5253608552425733</v>
      </c>
      <c r="T6" s="188">
        <f t="shared" si="11"/>
        <v>197.12833759096057</v>
      </c>
      <c r="U6" s="187">
        <f t="shared" ref="U6:U9" si="35">W5</f>
        <v>326.0681713443671</v>
      </c>
      <c r="V6" s="187">
        <f t="shared" si="12"/>
        <v>5.9374498614611753</v>
      </c>
      <c r="W6" s="188">
        <f t="shared" si="13"/>
        <v>332.00562120582828</v>
      </c>
      <c r="X6" s="187">
        <f t="shared" ref="X6:X9" si="36">Z5</f>
        <v>1029.1526658056587</v>
      </c>
      <c r="Y6" s="187">
        <f t="shared" si="14"/>
        <v>18.740076125236836</v>
      </c>
      <c r="Z6" s="188">
        <f t="shared" si="15"/>
        <v>1047.8927419308955</v>
      </c>
      <c r="AA6" s="187">
        <f t="shared" ref="AA6:AA9" si="37">AC5</f>
        <v>112.0859338996262</v>
      </c>
      <c r="AB6" s="187">
        <f t="shared" si="16"/>
        <v>2.040998389877279</v>
      </c>
      <c r="AC6" s="188">
        <f t="shared" si="17"/>
        <v>114.12693228950347</v>
      </c>
      <c r="AD6" s="187">
        <f t="shared" ref="AD6:AD9" si="38">AF5</f>
        <v>20.379260709022944</v>
      </c>
      <c r="AE6" s="187">
        <f t="shared" si="18"/>
        <v>0.37109061634132345</v>
      </c>
      <c r="AF6" s="188">
        <f t="shared" si="19"/>
        <v>20.750351325364267</v>
      </c>
      <c r="AG6" s="187">
        <f t="shared" ref="AG6:AG9" si="39">AI5</f>
        <v>112.0859338996262</v>
      </c>
      <c r="AH6" s="187">
        <f t="shared" si="20"/>
        <v>2.040998389877279</v>
      </c>
      <c r="AI6" s="188">
        <f t="shared" si="21"/>
        <v>114.12693228950347</v>
      </c>
      <c r="AJ6" s="187">
        <f t="shared" ref="AJ6:AJ9" si="40">AL5</f>
        <v>20.379260709022944</v>
      </c>
      <c r="AK6" s="187">
        <f t="shared" si="22"/>
        <v>0.37109061634132345</v>
      </c>
      <c r="AL6" s="188">
        <f t="shared" si="23"/>
        <v>20.750351325364267</v>
      </c>
      <c r="AM6" s="187">
        <f t="shared" ref="AM6:AM9" si="41">AO5</f>
        <v>173.22371602669503</v>
      </c>
      <c r="AN6" s="187">
        <f t="shared" si="24"/>
        <v>3.1542702389012494</v>
      </c>
      <c r="AO6" s="188">
        <f t="shared" si="25"/>
        <v>176.37798626559629</v>
      </c>
      <c r="AP6" s="187">
        <f t="shared" ref="AP6:AP9" si="42">AR5</f>
        <v>295.49928028083269</v>
      </c>
      <c r="AQ6" s="187">
        <f t="shared" si="26"/>
        <v>5.3808139369491901</v>
      </c>
      <c r="AR6" s="188">
        <f t="shared" si="27"/>
        <v>300.8800942177819</v>
      </c>
      <c r="AS6" s="186">
        <f t="shared" si="28"/>
        <v>65641.598743762908</v>
      </c>
      <c r="AT6" s="187"/>
      <c r="AU6" s="169"/>
      <c r="AV6" s="169"/>
    </row>
    <row r="7" spans="1:48">
      <c r="A7" s="169">
        <f>VLOOKUP(B7,Misc_inputs!$A$3:$B$33,2,0)</f>
        <v>1.9988242855231282</v>
      </c>
      <c r="B7" s="168">
        <v>2018</v>
      </c>
      <c r="C7" s="187">
        <f t="shared" si="29"/>
        <v>63350.822596337115</v>
      </c>
      <c r="D7" s="187">
        <f t="shared" si="0"/>
        <v>1266.2716271342597</v>
      </c>
      <c r="E7" s="188">
        <f t="shared" si="1"/>
        <v>64617.094223471373</v>
      </c>
      <c r="F7" s="187">
        <f t="shared" si="30"/>
        <v>342.38079686851046</v>
      </c>
      <c r="G7" s="187">
        <f t="shared" si="2"/>
        <v>6.8435905167753965</v>
      </c>
      <c r="H7" s="188">
        <f t="shared" si="3"/>
        <v>349.22438738528587</v>
      </c>
      <c r="I7" s="187">
        <f t="shared" si="31"/>
        <v>114.12693228950347</v>
      </c>
      <c r="J7" s="187">
        <f t="shared" si="4"/>
        <v>2.281196838925132</v>
      </c>
      <c r="K7" s="188">
        <f t="shared" si="5"/>
        <v>116.4081291284286</v>
      </c>
      <c r="L7" s="187">
        <f t="shared" si="32"/>
        <v>1006.3920392801671</v>
      </c>
      <c r="M7" s="187">
        <f t="shared" si="6"/>
        <v>20.116008488703439</v>
      </c>
      <c r="N7" s="188">
        <f t="shared" si="7"/>
        <v>1026.5080477688705</v>
      </c>
      <c r="O7" s="187">
        <f t="shared" si="33"/>
        <v>155.62763494023201</v>
      </c>
      <c r="P7" s="187">
        <f t="shared" si="8"/>
        <v>3.1107229621706347</v>
      </c>
      <c r="Q7" s="188">
        <f t="shared" si="9"/>
        <v>158.73835790240264</v>
      </c>
      <c r="R7" s="187">
        <f t="shared" si="34"/>
        <v>197.12833759096057</v>
      </c>
      <c r="S7" s="187">
        <f t="shared" si="10"/>
        <v>3.9402490854161378</v>
      </c>
      <c r="T7" s="188">
        <f t="shared" si="11"/>
        <v>201.0685866763767</v>
      </c>
      <c r="U7" s="187">
        <f t="shared" si="35"/>
        <v>332.00562120582828</v>
      </c>
      <c r="V7" s="187">
        <f t="shared" si="12"/>
        <v>6.6362089859640205</v>
      </c>
      <c r="W7" s="188">
        <f t="shared" si="13"/>
        <v>338.64183019179228</v>
      </c>
      <c r="X7" s="187">
        <f t="shared" si="36"/>
        <v>1047.8927419308955</v>
      </c>
      <c r="Y7" s="187">
        <f t="shared" si="14"/>
        <v>20.945534611948936</v>
      </c>
      <c r="Z7" s="188">
        <f t="shared" si="15"/>
        <v>1068.8382765428444</v>
      </c>
      <c r="AA7" s="187">
        <f t="shared" si="37"/>
        <v>114.12693228950347</v>
      </c>
      <c r="AB7" s="187">
        <f t="shared" si="16"/>
        <v>2.281196838925132</v>
      </c>
      <c r="AC7" s="188">
        <f t="shared" si="17"/>
        <v>116.4081291284286</v>
      </c>
      <c r="AD7" s="187">
        <f t="shared" si="38"/>
        <v>20.750351325364267</v>
      </c>
      <c r="AE7" s="187">
        <f t="shared" si="18"/>
        <v>0.41476306162275128</v>
      </c>
      <c r="AF7" s="188">
        <f t="shared" si="19"/>
        <v>21.165114386987018</v>
      </c>
      <c r="AG7" s="187">
        <f t="shared" si="39"/>
        <v>114.12693228950347</v>
      </c>
      <c r="AH7" s="187">
        <f t="shared" si="20"/>
        <v>2.281196838925132</v>
      </c>
      <c r="AI7" s="188">
        <f t="shared" si="21"/>
        <v>116.4081291284286</v>
      </c>
      <c r="AJ7" s="187">
        <f t="shared" si="40"/>
        <v>20.750351325364267</v>
      </c>
      <c r="AK7" s="187">
        <f t="shared" si="22"/>
        <v>0.41476306162275128</v>
      </c>
      <c r="AL7" s="188">
        <f t="shared" si="23"/>
        <v>21.165114386987018</v>
      </c>
      <c r="AM7" s="187">
        <f t="shared" si="41"/>
        <v>176.37798626559629</v>
      </c>
      <c r="AN7" s="187">
        <f t="shared" si="24"/>
        <v>3.5254860237933858</v>
      </c>
      <c r="AO7" s="188">
        <f t="shared" si="25"/>
        <v>179.90347228938967</v>
      </c>
      <c r="AP7" s="187">
        <f t="shared" si="42"/>
        <v>300.8800942177819</v>
      </c>
      <c r="AQ7" s="187">
        <f t="shared" si="26"/>
        <v>6.0140643935298943</v>
      </c>
      <c r="AR7" s="188">
        <f t="shared" si="27"/>
        <v>306.89415861131181</v>
      </c>
      <c r="AS7" s="186">
        <f t="shared" si="28"/>
        <v>66836.881618998304</v>
      </c>
      <c r="AT7" s="187"/>
      <c r="AU7" s="169"/>
      <c r="AV7" s="169"/>
    </row>
    <row r="8" spans="1:48">
      <c r="A8" s="169">
        <f>VLOOKUP(B8,Misc_inputs!$A$3:$B$33,2,0)</f>
        <v>2.0163202370724722</v>
      </c>
      <c r="B8" s="168">
        <v>2019</v>
      </c>
      <c r="C8" s="187">
        <f t="shared" si="29"/>
        <v>64617.094223471373</v>
      </c>
      <c r="D8" s="187">
        <f>C8*$A8/100</f>
        <v>1302.8875474360407</v>
      </c>
      <c r="E8" s="188">
        <f t="shared" si="1"/>
        <v>65919.981770907412</v>
      </c>
      <c r="F8" s="187">
        <f t="shared" si="30"/>
        <v>349.22438738528587</v>
      </c>
      <c r="G8" s="187">
        <f>F8*$A8/100</f>
        <v>7.0414819956418846</v>
      </c>
      <c r="H8" s="188">
        <f t="shared" si="3"/>
        <v>356.26586938092777</v>
      </c>
      <c r="I8" s="187">
        <f t="shared" si="31"/>
        <v>116.4081291284286</v>
      </c>
      <c r="J8" s="187">
        <f>I8*$A8/100</f>
        <v>2.3471606652139609</v>
      </c>
      <c r="K8" s="188">
        <f t="shared" si="5"/>
        <v>118.75528979364256</v>
      </c>
      <c r="L8" s="187">
        <f t="shared" si="32"/>
        <v>1026.5080477688705</v>
      </c>
      <c r="M8" s="187">
        <f>L8*$A8/100</f>
        <v>20.697689502341294</v>
      </c>
      <c r="N8" s="188">
        <f t="shared" si="7"/>
        <v>1047.2057372712118</v>
      </c>
      <c r="O8" s="187">
        <f t="shared" si="33"/>
        <v>158.73835790240264</v>
      </c>
      <c r="P8" s="187">
        <f>O8*$A8/100</f>
        <v>3.200673634382674</v>
      </c>
      <c r="Q8" s="188">
        <f t="shared" si="9"/>
        <v>161.93903153678531</v>
      </c>
      <c r="R8" s="187">
        <f t="shared" si="34"/>
        <v>201.0685866763767</v>
      </c>
      <c r="S8" s="187">
        <f>R8*$A8/100</f>
        <v>4.054186603551388</v>
      </c>
      <c r="T8" s="188">
        <f t="shared" si="11"/>
        <v>205.12277327992808</v>
      </c>
      <c r="U8" s="187">
        <f t="shared" si="35"/>
        <v>338.64183019179228</v>
      </c>
      <c r="V8" s="187">
        <f>U8*$A8/100</f>
        <v>6.8281037533497049</v>
      </c>
      <c r="W8" s="188">
        <f t="shared" si="13"/>
        <v>345.46993394514197</v>
      </c>
      <c r="X8" s="187">
        <f t="shared" si="36"/>
        <v>1068.8382765428444</v>
      </c>
      <c r="Y8" s="187">
        <f>X8*$A8/100</f>
        <v>21.551202471510006</v>
      </c>
      <c r="Z8" s="188">
        <f t="shared" si="15"/>
        <v>1090.3894790143543</v>
      </c>
      <c r="AA8" s="187">
        <f t="shared" si="37"/>
        <v>116.4081291284286</v>
      </c>
      <c r="AB8" s="187">
        <f>AA8*$A8/100</f>
        <v>2.3471606652139609</v>
      </c>
      <c r="AC8" s="188">
        <f t="shared" si="17"/>
        <v>118.75528979364256</v>
      </c>
      <c r="AD8" s="187">
        <f t="shared" si="38"/>
        <v>21.165114386987018</v>
      </c>
      <c r="AE8" s="187">
        <f>AD8*$A8/100</f>
        <v>0.42675648458435655</v>
      </c>
      <c r="AF8" s="188">
        <f t="shared" si="19"/>
        <v>21.591870871571373</v>
      </c>
      <c r="AG8" s="187">
        <f t="shared" si="39"/>
        <v>116.4081291284286</v>
      </c>
      <c r="AH8" s="187">
        <f>AG8*$A8/100</f>
        <v>2.3471606652139609</v>
      </c>
      <c r="AI8" s="188">
        <f t="shared" si="21"/>
        <v>118.75528979364256</v>
      </c>
      <c r="AJ8" s="187">
        <f t="shared" si="40"/>
        <v>21.165114386987018</v>
      </c>
      <c r="AK8" s="187">
        <f>AJ8*$A8/100</f>
        <v>0.42675648458435655</v>
      </c>
      <c r="AL8" s="188">
        <f t="shared" si="23"/>
        <v>21.591870871571373</v>
      </c>
      <c r="AM8" s="187">
        <f t="shared" si="41"/>
        <v>179.90347228938967</v>
      </c>
      <c r="AN8" s="187">
        <f>AM8*$A8/100</f>
        <v>3.6274301189670313</v>
      </c>
      <c r="AO8" s="188">
        <f t="shared" si="25"/>
        <v>183.5309024083567</v>
      </c>
      <c r="AP8" s="187">
        <f t="shared" si="42"/>
        <v>306.89415861131181</v>
      </c>
      <c r="AQ8" s="187">
        <f>AP8*$A8/100</f>
        <v>6.187969026473171</v>
      </c>
      <c r="AR8" s="188">
        <f t="shared" si="27"/>
        <v>313.08212763778499</v>
      </c>
      <c r="AS8" s="186">
        <f t="shared" si="28"/>
        <v>68172.833440485163</v>
      </c>
      <c r="AT8" s="187"/>
      <c r="AU8" s="169"/>
      <c r="AV8" s="169"/>
    </row>
    <row r="9" spans="1:48">
      <c r="A9" s="169">
        <f>VLOOKUP(B9,Misc_inputs!$A$3:$B$33,2,0)</f>
        <v>5.3200852056836103</v>
      </c>
      <c r="B9" s="168">
        <v>2020</v>
      </c>
      <c r="C9" s="187">
        <f t="shared" si="29"/>
        <v>65919.981770907412</v>
      </c>
      <c r="D9" s="187">
        <f t="shared" si="0"/>
        <v>3506.9991977833783</v>
      </c>
      <c r="E9" s="188">
        <f t="shared" si="1"/>
        <v>69426.980968690797</v>
      </c>
      <c r="F9" s="187">
        <f t="shared" si="30"/>
        <v>356.26586938092777</v>
      </c>
      <c r="G9" s="187">
        <f t="shared" ref="G9" si="43">F9*$A9/100</f>
        <v>18.953647809834834</v>
      </c>
      <c r="H9" s="188">
        <f t="shared" si="3"/>
        <v>375.21951719076259</v>
      </c>
      <c r="I9" s="187">
        <f t="shared" si="31"/>
        <v>118.75528979364256</v>
      </c>
      <c r="J9" s="187">
        <f t="shared" ref="J9" si="44">I9*$A9/100</f>
        <v>6.3178826032782762</v>
      </c>
      <c r="K9" s="188">
        <f t="shared" si="5"/>
        <v>125.07317239692084</v>
      </c>
      <c r="L9" s="187">
        <f t="shared" si="32"/>
        <v>1047.2057372712118</v>
      </c>
      <c r="M9" s="187">
        <f t="shared" ref="M9" si="45">L9*$A9/100</f>
        <v>55.71223750163572</v>
      </c>
      <c r="N9" s="188">
        <f t="shared" si="7"/>
        <v>1102.9179747728474</v>
      </c>
      <c r="O9" s="187">
        <f t="shared" si="33"/>
        <v>161.93903153678531</v>
      </c>
      <c r="P9" s="187">
        <f t="shared" ref="P9" si="46">O9*$A9/100</f>
        <v>8.615294459015832</v>
      </c>
      <c r="Q9" s="188">
        <f t="shared" si="9"/>
        <v>170.55432599580115</v>
      </c>
      <c r="R9" s="187">
        <f t="shared" si="34"/>
        <v>205.12277327992808</v>
      </c>
      <c r="S9" s="187">
        <f t="shared" ref="S9" si="47">R9*$A9/100</f>
        <v>10.912706314753388</v>
      </c>
      <c r="T9" s="188">
        <f t="shared" si="11"/>
        <v>216.03547959468148</v>
      </c>
      <c r="U9" s="187">
        <f t="shared" si="35"/>
        <v>345.46993394514197</v>
      </c>
      <c r="V9" s="187">
        <f t="shared" ref="V9" si="48">U9*$A9/100</f>
        <v>18.379294845900439</v>
      </c>
      <c r="W9" s="188">
        <f t="shared" si="13"/>
        <v>363.84922879104244</v>
      </c>
      <c r="X9" s="187">
        <f t="shared" si="36"/>
        <v>1090.3894790143543</v>
      </c>
      <c r="Y9" s="187">
        <f t="shared" ref="Y9" si="49">X9*$A9/100</f>
        <v>58.009649357373256</v>
      </c>
      <c r="Z9" s="188">
        <f t="shared" si="15"/>
        <v>1148.3991283717276</v>
      </c>
      <c r="AA9" s="187">
        <f t="shared" si="37"/>
        <v>118.75528979364256</v>
      </c>
      <c r="AB9" s="187">
        <f t="shared" ref="AB9" si="50">AA9*$A9/100</f>
        <v>6.3178826032782762</v>
      </c>
      <c r="AC9" s="188">
        <f t="shared" si="17"/>
        <v>125.07317239692084</v>
      </c>
      <c r="AD9" s="187">
        <f t="shared" si="38"/>
        <v>21.591870871571373</v>
      </c>
      <c r="AE9" s="187">
        <f t="shared" ref="AE9" si="51">AD9*$A9/100</f>
        <v>1.1487059278687775</v>
      </c>
      <c r="AF9" s="188">
        <f t="shared" si="19"/>
        <v>22.740576799440152</v>
      </c>
      <c r="AG9" s="187">
        <f t="shared" si="39"/>
        <v>118.75528979364256</v>
      </c>
      <c r="AH9" s="187">
        <f t="shared" ref="AH9" si="52">AG9*$A9/100</f>
        <v>6.3178826032782762</v>
      </c>
      <c r="AI9" s="188">
        <f t="shared" si="21"/>
        <v>125.07317239692084</v>
      </c>
      <c r="AJ9" s="187">
        <f t="shared" si="40"/>
        <v>21.591870871571373</v>
      </c>
      <c r="AK9" s="187">
        <f t="shared" ref="AK9" si="53">AJ9*$A9/100</f>
        <v>1.1487059278687775</v>
      </c>
      <c r="AL9" s="188">
        <f t="shared" si="23"/>
        <v>22.740576799440152</v>
      </c>
      <c r="AM9" s="187">
        <f t="shared" si="41"/>
        <v>183.5309024083567</v>
      </c>
      <c r="AN9" s="187">
        <f t="shared" ref="AN9" si="54">AM9*$A9/100</f>
        <v>9.7640003868846108</v>
      </c>
      <c r="AO9" s="188">
        <f t="shared" si="25"/>
        <v>193.29490279524131</v>
      </c>
      <c r="AP9" s="187">
        <f t="shared" si="42"/>
        <v>313.08212763778499</v>
      </c>
      <c r="AQ9" s="187">
        <f t="shared" ref="AQ9" si="55">AP9*$A9/100</f>
        <v>16.656235954097276</v>
      </c>
      <c r="AR9" s="188">
        <f t="shared" si="27"/>
        <v>329.73836359188226</v>
      </c>
      <c r="AS9" s="186">
        <f t="shared" si="28"/>
        <v>69547.416077331407</v>
      </c>
      <c r="AT9" s="187"/>
      <c r="AU9" s="169"/>
      <c r="AV9" s="169"/>
    </row>
    <row r="10" spans="1:48">
      <c r="A10" s="169">
        <f>VLOOKUP(B10,Misc_inputs!$A$3:$B$33,2,0)</f>
        <v>7.6258108678813302E-2</v>
      </c>
      <c r="B10" s="168">
        <v>2021</v>
      </c>
      <c r="C10" s="187">
        <f t="shared" ref="C10:C19" si="56">E9</f>
        <v>69426.980968690797</v>
      </c>
      <c r="D10" s="187">
        <f t="shared" ref="D10:D19" si="57">C10*$A10/100</f>
        <v>52.943702599523256</v>
      </c>
      <c r="E10" s="188">
        <f t="shared" ref="E10:E19" si="58">C10+D10</f>
        <v>69479.924671290326</v>
      </c>
      <c r="F10" s="187">
        <f t="shared" ref="F10:F19" si="59">H9</f>
        <v>375.21951719076259</v>
      </c>
      <c r="G10" s="187">
        <f t="shared" ref="G10:G19" si="60">F10*$A10/100</f>
        <v>0.28613530720345026</v>
      </c>
      <c r="H10" s="188">
        <f t="shared" ref="H10:H19" si="61">F10+G10</f>
        <v>375.50565249796603</v>
      </c>
      <c r="I10" s="187">
        <f t="shared" ref="I10:I19" si="62">K9</f>
        <v>125.07317239692084</v>
      </c>
      <c r="J10" s="187">
        <f t="shared" ref="J10:J19" si="63">I10*$A10/100</f>
        <v>9.5378435734483416E-2</v>
      </c>
      <c r="K10" s="188">
        <f t="shared" ref="K10:K19" si="64">I10+J10</f>
        <v>125.16855083265533</v>
      </c>
      <c r="L10" s="187">
        <f t="shared" ref="L10:L19" si="65">N9</f>
        <v>1102.9179747728474</v>
      </c>
      <c r="M10" s="187">
        <f t="shared" ref="M10:M19" si="66">L10*$A10/100</f>
        <v>0.84106438784044468</v>
      </c>
      <c r="N10" s="188">
        <f t="shared" ref="N10:N19" si="67">L10+M10</f>
        <v>1103.7590391606877</v>
      </c>
      <c r="O10" s="187">
        <f t="shared" ref="O10:O19" si="68">Q9</f>
        <v>170.55432599580115</v>
      </c>
      <c r="P10" s="187">
        <f t="shared" ref="P10:P19" si="69">O10*$A10/100</f>
        <v>0.13006150327429558</v>
      </c>
      <c r="Q10" s="188">
        <f t="shared" ref="Q10:Q19" si="70">O10+P10</f>
        <v>170.68438749907546</v>
      </c>
      <c r="R10" s="187">
        <f t="shared" ref="R10:R19" si="71">T9</f>
        <v>216.03547959468148</v>
      </c>
      <c r="S10" s="187">
        <f t="shared" ref="S10:S19" si="72">R10*$A10/100</f>
        <v>0.16474457081410773</v>
      </c>
      <c r="T10" s="188">
        <f t="shared" ref="T10:T19" si="73">R10+S10</f>
        <v>216.20022416549557</v>
      </c>
      <c r="U10" s="187">
        <f t="shared" ref="U10:U19" si="74">W9</f>
        <v>363.84922879104244</v>
      </c>
      <c r="V10" s="187">
        <f t="shared" ref="V10:V19" si="75">U10*$A10/100</f>
        <v>0.27746454031849721</v>
      </c>
      <c r="W10" s="188">
        <f t="shared" ref="W10:W19" si="76">U10+V10</f>
        <v>364.12669333136091</v>
      </c>
      <c r="X10" s="187">
        <f t="shared" ref="X10:X19" si="77">Z9</f>
        <v>1148.3991283717276</v>
      </c>
      <c r="Y10" s="187">
        <f t="shared" ref="Y10:Y19" si="78">X10*$A10/100</f>
        <v>0.87574745538025667</v>
      </c>
      <c r="Z10" s="188">
        <f t="shared" ref="Z10:Z19" si="79">X10+Y10</f>
        <v>1149.2748758271077</v>
      </c>
      <c r="AA10" s="187">
        <f t="shared" ref="AA10:AA19" si="80">AC9</f>
        <v>125.07317239692084</v>
      </c>
      <c r="AB10" s="187">
        <f t="shared" ref="AB10:AB19" si="81">AA10*$A10/100</f>
        <v>9.5378435734483416E-2</v>
      </c>
      <c r="AC10" s="188">
        <f t="shared" ref="AC10:AC19" si="82">AA10+AB10</f>
        <v>125.16855083265533</v>
      </c>
      <c r="AD10" s="187">
        <f t="shared" ref="AD10:AD19" si="83">AF9</f>
        <v>22.740576799440152</v>
      </c>
      <c r="AE10" s="187">
        <f t="shared" ref="AE10:AE19" si="84">AD10*$A10/100</f>
        <v>1.7341533769906076E-2</v>
      </c>
      <c r="AF10" s="188">
        <f t="shared" ref="AF10:AF19" si="85">AD10+AE10</f>
        <v>22.757918333210057</v>
      </c>
      <c r="AG10" s="187">
        <f t="shared" ref="AG10:AG19" si="86">AI9</f>
        <v>125.07317239692084</v>
      </c>
      <c r="AH10" s="187">
        <f t="shared" ref="AH10:AH19" si="87">AG10*$A10/100</f>
        <v>9.5378435734483416E-2</v>
      </c>
      <c r="AI10" s="188">
        <f t="shared" ref="AI10:AI19" si="88">AG10+AH10</f>
        <v>125.16855083265533</v>
      </c>
      <c r="AJ10" s="187">
        <f t="shared" ref="AJ10:AJ19" si="89">AL9</f>
        <v>22.740576799440152</v>
      </c>
      <c r="AK10" s="187">
        <f t="shared" ref="AK10:AK19" si="90">AJ10*$A10/100</f>
        <v>1.7341533769906076E-2</v>
      </c>
      <c r="AL10" s="188">
        <f t="shared" ref="AL10:AL19" si="91">AJ10+AK10</f>
        <v>22.757918333210057</v>
      </c>
      <c r="AM10" s="187">
        <f t="shared" ref="AM10:AM19" si="92">AO9</f>
        <v>193.29490279524131</v>
      </c>
      <c r="AN10" s="187">
        <f t="shared" ref="AN10:AN19" si="93">AM10*$A10/100</f>
        <v>0.14740303704420166</v>
      </c>
      <c r="AO10" s="188">
        <f t="shared" ref="AO10:AO19" si="94">AM10+AN10</f>
        <v>193.44230583228551</v>
      </c>
      <c r="AP10" s="187">
        <f t="shared" ref="AP10:AP19" si="95">AR9</f>
        <v>329.73836359188226</v>
      </c>
      <c r="AQ10" s="187">
        <f t="shared" ref="AQ10:AQ19" si="96">AP10*$A10/100</f>
        <v>0.25145223966363811</v>
      </c>
      <c r="AR10" s="188">
        <f t="shared" ref="AR10:AR19" si="97">AP10+AQ10</f>
        <v>329.98981583154591</v>
      </c>
      <c r="AS10" s="186">
        <f t="shared" ref="AS10:AS19" si="98">SUM(C10,I10,L10,O10,R10,U10,X10,AD10,AG10,AJ10,AM10,AP10)</f>
        <v>73247.397870996749</v>
      </c>
      <c r="AT10" s="169"/>
      <c r="AU10" s="169"/>
      <c r="AV10" s="169"/>
    </row>
    <row r="11" spans="1:48">
      <c r="A11" s="169">
        <f>VLOOKUP(B11,Misc_inputs!$A$3:$B$33,2,0)</f>
        <v>2.8492930312000952</v>
      </c>
      <c r="B11" s="168">
        <v>2022</v>
      </c>
      <c r="C11" s="187">
        <f t="shared" si="56"/>
        <v>69479.924671290326</v>
      </c>
      <c r="D11" s="187">
        <f t="shared" si="57"/>
        <v>1979.6866517421511</v>
      </c>
      <c r="E11" s="188">
        <f t="shared" si="58"/>
        <v>71459.61132303247</v>
      </c>
      <c r="F11" s="187">
        <f t="shared" si="59"/>
        <v>375.50565249796603</v>
      </c>
      <c r="G11" s="187">
        <f t="shared" si="60"/>
        <v>10.699256388386994</v>
      </c>
      <c r="H11" s="188">
        <f t="shared" si="61"/>
        <v>386.204908886353</v>
      </c>
      <c r="I11" s="187">
        <f t="shared" si="62"/>
        <v>125.16855083265533</v>
      </c>
      <c r="J11" s="187">
        <f t="shared" si="63"/>
        <v>3.566418796128997</v>
      </c>
      <c r="K11" s="188">
        <f t="shared" si="64"/>
        <v>128.73496962878431</v>
      </c>
      <c r="L11" s="187">
        <f t="shared" si="65"/>
        <v>1103.7590391606877</v>
      </c>
      <c r="M11" s="187">
        <f t="shared" si="66"/>
        <v>31.449329384046607</v>
      </c>
      <c r="N11" s="188">
        <f t="shared" si="67"/>
        <v>1135.2083685447344</v>
      </c>
      <c r="O11" s="187">
        <f t="shared" si="68"/>
        <v>170.68438749907546</v>
      </c>
      <c r="P11" s="187">
        <f t="shared" si="69"/>
        <v>4.8632983583577234</v>
      </c>
      <c r="Q11" s="188">
        <f t="shared" si="70"/>
        <v>175.54768585743318</v>
      </c>
      <c r="R11" s="187">
        <f t="shared" si="71"/>
        <v>216.20022416549557</v>
      </c>
      <c r="S11" s="187">
        <f t="shared" si="72"/>
        <v>6.1601779205864498</v>
      </c>
      <c r="T11" s="188">
        <f t="shared" si="73"/>
        <v>222.36040208608202</v>
      </c>
      <c r="U11" s="187">
        <f t="shared" si="74"/>
        <v>364.12669333136091</v>
      </c>
      <c r="V11" s="187">
        <f t="shared" si="75"/>
        <v>10.375036497829807</v>
      </c>
      <c r="W11" s="188">
        <f t="shared" si="76"/>
        <v>374.50172982919071</v>
      </c>
      <c r="X11" s="187">
        <f t="shared" si="77"/>
        <v>1149.2748758271077</v>
      </c>
      <c r="Y11" s="187">
        <f t="shared" si="78"/>
        <v>32.746208946275331</v>
      </c>
      <c r="Z11" s="188">
        <f t="shared" si="79"/>
        <v>1182.0210847733831</v>
      </c>
      <c r="AA11" s="187">
        <f t="shared" si="80"/>
        <v>125.16855083265533</v>
      </c>
      <c r="AB11" s="187">
        <f t="shared" si="81"/>
        <v>3.566418796128997</v>
      </c>
      <c r="AC11" s="188">
        <f t="shared" si="82"/>
        <v>128.73496962878431</v>
      </c>
      <c r="AD11" s="187">
        <f t="shared" si="83"/>
        <v>22.757918333210057</v>
      </c>
      <c r="AE11" s="187">
        <f t="shared" si="84"/>
        <v>0.64843978111436296</v>
      </c>
      <c r="AF11" s="188">
        <f t="shared" si="85"/>
        <v>23.406358114324419</v>
      </c>
      <c r="AG11" s="187">
        <f t="shared" si="86"/>
        <v>125.16855083265533</v>
      </c>
      <c r="AH11" s="187">
        <f t="shared" si="87"/>
        <v>3.566418796128997</v>
      </c>
      <c r="AI11" s="188">
        <f t="shared" si="88"/>
        <v>128.73496962878431</v>
      </c>
      <c r="AJ11" s="187">
        <f t="shared" si="89"/>
        <v>22.757918333210057</v>
      </c>
      <c r="AK11" s="187">
        <f t="shared" si="90"/>
        <v>0.64843978111436296</v>
      </c>
      <c r="AL11" s="188">
        <f t="shared" si="91"/>
        <v>23.406358114324419</v>
      </c>
      <c r="AM11" s="187">
        <f t="shared" si="92"/>
        <v>193.44230583228551</v>
      </c>
      <c r="AN11" s="187">
        <f t="shared" si="93"/>
        <v>5.5117381394720857</v>
      </c>
      <c r="AO11" s="188">
        <f t="shared" si="94"/>
        <v>198.95404397175759</v>
      </c>
      <c r="AP11" s="187">
        <f t="shared" si="95"/>
        <v>329.98981583154591</v>
      </c>
      <c r="AQ11" s="187">
        <f t="shared" si="96"/>
        <v>9.4023768261582674</v>
      </c>
      <c r="AR11" s="188">
        <f t="shared" si="97"/>
        <v>339.39219265770419</v>
      </c>
      <c r="AS11" s="186">
        <f t="shared" si="98"/>
        <v>73303.254951269613</v>
      </c>
      <c r="AT11" s="169"/>
      <c r="AU11" s="169"/>
      <c r="AV11" s="169"/>
    </row>
    <row r="12" spans="1:48">
      <c r="A12" s="169">
        <f>VLOOKUP(B12,Misc_inputs!$A$3:$B$33,2,0)</f>
        <v>3.143440902459993</v>
      </c>
      <c r="B12" s="168">
        <v>2023</v>
      </c>
      <c r="C12" s="187">
        <f t="shared" si="56"/>
        <v>71459.61132303247</v>
      </c>
      <c r="D12" s="187">
        <f t="shared" si="57"/>
        <v>2246.2906510671355</v>
      </c>
      <c r="E12" s="188">
        <f t="shared" si="58"/>
        <v>73705.901974099601</v>
      </c>
      <c r="F12" s="187">
        <f t="shared" si="59"/>
        <v>386.204908886353</v>
      </c>
      <c r="G12" s="187">
        <f t="shared" si="60"/>
        <v>12.140123073241968</v>
      </c>
      <c r="H12" s="188">
        <f t="shared" si="61"/>
        <v>398.34503195959496</v>
      </c>
      <c r="I12" s="187">
        <f t="shared" si="62"/>
        <v>128.73496962878431</v>
      </c>
      <c r="J12" s="187">
        <f t="shared" si="63"/>
        <v>4.0467076910806554</v>
      </c>
      <c r="K12" s="188">
        <f t="shared" si="64"/>
        <v>132.78167731986497</v>
      </c>
      <c r="L12" s="187">
        <f t="shared" si="65"/>
        <v>1135.2083685447344</v>
      </c>
      <c r="M12" s="187">
        <f t="shared" si="66"/>
        <v>35.684604184983961</v>
      </c>
      <c r="N12" s="188">
        <f t="shared" si="67"/>
        <v>1170.8929727297184</v>
      </c>
      <c r="O12" s="187">
        <f t="shared" si="68"/>
        <v>175.54768585743318</v>
      </c>
      <c r="P12" s="187">
        <f t="shared" si="69"/>
        <v>5.5182377605645305</v>
      </c>
      <c r="Q12" s="188">
        <f t="shared" si="70"/>
        <v>181.0659236179977</v>
      </c>
      <c r="R12" s="187">
        <f t="shared" si="71"/>
        <v>222.36040208608202</v>
      </c>
      <c r="S12" s="187">
        <f t="shared" si="72"/>
        <v>6.9897678300484047</v>
      </c>
      <c r="T12" s="188">
        <f t="shared" si="73"/>
        <v>229.35016991613043</v>
      </c>
      <c r="U12" s="187">
        <f t="shared" si="74"/>
        <v>374.50172982919071</v>
      </c>
      <c r="V12" s="187">
        <f t="shared" si="75"/>
        <v>11.772240555870997</v>
      </c>
      <c r="W12" s="188">
        <f t="shared" si="76"/>
        <v>386.27397038506172</v>
      </c>
      <c r="X12" s="187">
        <f t="shared" si="77"/>
        <v>1182.0210847733831</v>
      </c>
      <c r="Y12" s="187">
        <f t="shared" si="78"/>
        <v>37.156134254467837</v>
      </c>
      <c r="Z12" s="188">
        <f t="shared" si="79"/>
        <v>1219.1772190278509</v>
      </c>
      <c r="AA12" s="187">
        <f t="shared" si="80"/>
        <v>128.73496962878431</v>
      </c>
      <c r="AB12" s="187">
        <f t="shared" si="81"/>
        <v>4.0467076910806554</v>
      </c>
      <c r="AC12" s="188">
        <f t="shared" si="82"/>
        <v>132.78167731986497</v>
      </c>
      <c r="AD12" s="187">
        <f t="shared" si="83"/>
        <v>23.406358114324419</v>
      </c>
      <c r="AE12" s="187">
        <f t="shared" si="84"/>
        <v>0.73576503474193733</v>
      </c>
      <c r="AF12" s="188">
        <f t="shared" si="85"/>
        <v>24.142123149066357</v>
      </c>
      <c r="AG12" s="187">
        <f t="shared" si="86"/>
        <v>128.73496962878431</v>
      </c>
      <c r="AH12" s="187">
        <f t="shared" si="87"/>
        <v>4.0467076910806554</v>
      </c>
      <c r="AI12" s="188">
        <f t="shared" si="88"/>
        <v>132.78167731986497</v>
      </c>
      <c r="AJ12" s="187">
        <f t="shared" si="89"/>
        <v>23.406358114324419</v>
      </c>
      <c r="AK12" s="187">
        <f t="shared" si="90"/>
        <v>0.73576503474193733</v>
      </c>
      <c r="AL12" s="188">
        <f t="shared" si="91"/>
        <v>24.142123149066357</v>
      </c>
      <c r="AM12" s="187">
        <f t="shared" si="92"/>
        <v>198.95404397175759</v>
      </c>
      <c r="AN12" s="187">
        <f t="shared" si="93"/>
        <v>6.2540027953064676</v>
      </c>
      <c r="AO12" s="188">
        <f t="shared" si="94"/>
        <v>205.20804676706405</v>
      </c>
      <c r="AP12" s="187">
        <f t="shared" si="95"/>
        <v>339.39219265770419</v>
      </c>
      <c r="AQ12" s="187">
        <f t="shared" si="96"/>
        <v>10.668593003758094</v>
      </c>
      <c r="AR12" s="188">
        <f t="shared" si="97"/>
        <v>350.06078566146226</v>
      </c>
      <c r="AS12" s="186">
        <f t="shared" si="98"/>
        <v>75391.879486238977</v>
      </c>
      <c r="AT12" s="169"/>
      <c r="AU12" s="169"/>
      <c r="AV12" s="169"/>
    </row>
    <row r="13" spans="1:48">
      <c r="A13" s="169">
        <f>VLOOKUP(B13,Misc_inputs!$A$3:$B$33,2,0)</f>
        <v>1.8594732384912049</v>
      </c>
      <c r="B13" s="168">
        <v>2024</v>
      </c>
      <c r="C13" s="187">
        <f t="shared" si="56"/>
        <v>73705.901974099601</v>
      </c>
      <c r="D13" s="187">
        <f t="shared" si="57"/>
        <v>1370.5415223969428</v>
      </c>
      <c r="E13" s="188">
        <f t="shared" si="58"/>
        <v>75076.443496496548</v>
      </c>
      <c r="F13" s="187">
        <f t="shared" si="59"/>
        <v>398.34503195959496</v>
      </c>
      <c r="G13" s="187">
        <f t="shared" si="60"/>
        <v>7.4071192661479062</v>
      </c>
      <c r="H13" s="188">
        <f t="shared" si="61"/>
        <v>405.75215122574286</v>
      </c>
      <c r="I13" s="187">
        <f t="shared" si="62"/>
        <v>132.78167731986497</v>
      </c>
      <c r="J13" s="187">
        <f t="shared" si="63"/>
        <v>2.4690397553826351</v>
      </c>
      <c r="K13" s="188">
        <f t="shared" si="64"/>
        <v>135.25071707524759</v>
      </c>
      <c r="L13" s="187">
        <f t="shared" si="65"/>
        <v>1170.8929727297184</v>
      </c>
      <c r="M13" s="187">
        <f t="shared" si="66"/>
        <v>21.772441479283234</v>
      </c>
      <c r="N13" s="188">
        <f t="shared" si="67"/>
        <v>1192.6654142090017</v>
      </c>
      <c r="O13" s="187">
        <f t="shared" si="68"/>
        <v>181.0659236179977</v>
      </c>
      <c r="P13" s="187">
        <f t="shared" si="69"/>
        <v>3.3668723937035936</v>
      </c>
      <c r="Q13" s="188">
        <f t="shared" si="70"/>
        <v>184.4327960117013</v>
      </c>
      <c r="R13" s="187">
        <f t="shared" si="71"/>
        <v>229.35016991613043</v>
      </c>
      <c r="S13" s="187">
        <f t="shared" si="72"/>
        <v>4.2647050320245521</v>
      </c>
      <c r="T13" s="188">
        <f t="shared" si="73"/>
        <v>233.61487494815498</v>
      </c>
      <c r="U13" s="187">
        <f t="shared" si="74"/>
        <v>386.27397038506172</v>
      </c>
      <c r="V13" s="187">
        <f t="shared" si="75"/>
        <v>7.1826611065676653</v>
      </c>
      <c r="W13" s="188">
        <f t="shared" si="76"/>
        <v>393.45663149162937</v>
      </c>
      <c r="X13" s="187">
        <f t="shared" si="77"/>
        <v>1219.1772190278509</v>
      </c>
      <c r="Y13" s="187">
        <f t="shared" si="78"/>
        <v>22.67027411760419</v>
      </c>
      <c r="Z13" s="188">
        <f t="shared" si="79"/>
        <v>1241.847493145455</v>
      </c>
      <c r="AA13" s="187">
        <f t="shared" si="80"/>
        <v>132.78167731986497</v>
      </c>
      <c r="AB13" s="187">
        <f t="shared" si="81"/>
        <v>2.4690397553826351</v>
      </c>
      <c r="AC13" s="188">
        <f t="shared" si="82"/>
        <v>135.25071707524759</v>
      </c>
      <c r="AD13" s="187">
        <f t="shared" si="83"/>
        <v>24.142123149066357</v>
      </c>
      <c r="AE13" s="187">
        <f t="shared" si="84"/>
        <v>0.44891631916047908</v>
      </c>
      <c r="AF13" s="188">
        <f t="shared" si="85"/>
        <v>24.591039468226835</v>
      </c>
      <c r="AG13" s="187">
        <f t="shared" si="86"/>
        <v>132.78167731986497</v>
      </c>
      <c r="AH13" s="187">
        <f t="shared" si="87"/>
        <v>2.4690397553826351</v>
      </c>
      <c r="AI13" s="188">
        <f t="shared" si="88"/>
        <v>135.25071707524759</v>
      </c>
      <c r="AJ13" s="187">
        <f t="shared" si="89"/>
        <v>24.142123149066357</v>
      </c>
      <c r="AK13" s="187">
        <f t="shared" si="90"/>
        <v>0.44891631916047908</v>
      </c>
      <c r="AL13" s="188">
        <f t="shared" si="91"/>
        <v>24.591039468226835</v>
      </c>
      <c r="AM13" s="187">
        <f t="shared" si="92"/>
        <v>205.20804676706405</v>
      </c>
      <c r="AN13" s="187">
        <f t="shared" si="93"/>
        <v>3.8157887128640722</v>
      </c>
      <c r="AO13" s="188">
        <f t="shared" si="94"/>
        <v>209.02383547992812</v>
      </c>
      <c r="AP13" s="187">
        <f t="shared" si="95"/>
        <v>350.06078566146226</v>
      </c>
      <c r="AQ13" s="187">
        <f t="shared" si="96"/>
        <v>6.5092866278269481</v>
      </c>
      <c r="AR13" s="188">
        <f t="shared" si="97"/>
        <v>356.57007228928921</v>
      </c>
      <c r="AS13" s="186">
        <f t="shared" si="98"/>
        <v>77761.778663142773</v>
      </c>
      <c r="AT13" s="169"/>
      <c r="AU13" s="169"/>
      <c r="AV13" s="169"/>
    </row>
    <row r="14" spans="1:48">
      <c r="A14" s="169">
        <f>VLOOKUP(B14,Misc_inputs!$A$3:$B$33,2,0)</f>
        <v>1.892198034308179</v>
      </c>
      <c r="B14" s="168">
        <v>2025</v>
      </c>
      <c r="C14" s="187">
        <f t="shared" si="56"/>
        <v>75076.443496496548</v>
      </c>
      <c r="D14" s="187">
        <f t="shared" si="57"/>
        <v>1420.5949880691985</v>
      </c>
      <c r="E14" s="188">
        <f t="shared" si="58"/>
        <v>76497.038484565739</v>
      </c>
      <c r="F14" s="187">
        <f t="shared" si="59"/>
        <v>405.75215122574286</v>
      </c>
      <c r="G14" s="187">
        <f t="shared" si="60"/>
        <v>7.6776342296566567</v>
      </c>
      <c r="H14" s="188">
        <f t="shared" si="61"/>
        <v>413.4297854553995</v>
      </c>
      <c r="I14" s="187">
        <f t="shared" si="62"/>
        <v>135.25071707524759</v>
      </c>
      <c r="J14" s="187">
        <f t="shared" si="63"/>
        <v>2.5592114098855516</v>
      </c>
      <c r="K14" s="188">
        <f t="shared" si="64"/>
        <v>137.80992848513316</v>
      </c>
      <c r="L14" s="187">
        <f t="shared" si="65"/>
        <v>1192.6654142090017</v>
      </c>
      <c r="M14" s="187">
        <f t="shared" si="66"/>
        <v>22.56759152353623</v>
      </c>
      <c r="N14" s="188">
        <f t="shared" si="67"/>
        <v>1215.233005732538</v>
      </c>
      <c r="O14" s="187">
        <f t="shared" si="68"/>
        <v>184.4327960117013</v>
      </c>
      <c r="P14" s="187">
        <f t="shared" si="69"/>
        <v>3.4898337407530255</v>
      </c>
      <c r="Q14" s="188">
        <f t="shared" si="70"/>
        <v>187.92262975245433</v>
      </c>
      <c r="R14" s="187">
        <f t="shared" si="71"/>
        <v>233.61487494815498</v>
      </c>
      <c r="S14" s="187">
        <f t="shared" si="72"/>
        <v>4.4204560716204995</v>
      </c>
      <c r="T14" s="188">
        <f t="shared" si="73"/>
        <v>238.03533101977547</v>
      </c>
      <c r="U14" s="187">
        <f t="shared" si="74"/>
        <v>393.45663149162937</v>
      </c>
      <c r="V14" s="187">
        <f t="shared" si="75"/>
        <v>7.4449786469397861</v>
      </c>
      <c r="W14" s="188">
        <f t="shared" si="76"/>
        <v>400.90161013856914</v>
      </c>
      <c r="X14" s="187">
        <f t="shared" si="77"/>
        <v>1241.847493145455</v>
      </c>
      <c r="Y14" s="187">
        <f t="shared" si="78"/>
        <v>23.498213854403698</v>
      </c>
      <c r="Z14" s="188">
        <f t="shared" si="79"/>
        <v>1265.3457069998587</v>
      </c>
      <c r="AA14" s="187">
        <f t="shared" si="80"/>
        <v>135.25071707524759</v>
      </c>
      <c r="AB14" s="187">
        <f t="shared" si="81"/>
        <v>2.5592114098855516</v>
      </c>
      <c r="AC14" s="188">
        <f t="shared" si="82"/>
        <v>137.80992848513316</v>
      </c>
      <c r="AD14" s="187">
        <f t="shared" si="83"/>
        <v>24.591039468226835</v>
      </c>
      <c r="AE14" s="187">
        <f t="shared" si="84"/>
        <v>0.46531116543373663</v>
      </c>
      <c r="AF14" s="188">
        <f t="shared" si="85"/>
        <v>25.056350633660571</v>
      </c>
      <c r="AG14" s="187">
        <f t="shared" si="86"/>
        <v>135.25071707524759</v>
      </c>
      <c r="AH14" s="187">
        <f t="shared" si="87"/>
        <v>2.5592114098855516</v>
      </c>
      <c r="AI14" s="188">
        <f t="shared" si="88"/>
        <v>137.80992848513316</v>
      </c>
      <c r="AJ14" s="187">
        <f t="shared" si="89"/>
        <v>24.591039468226835</v>
      </c>
      <c r="AK14" s="187">
        <f t="shared" si="90"/>
        <v>0.46531116543373663</v>
      </c>
      <c r="AL14" s="188">
        <f t="shared" si="91"/>
        <v>25.056350633660571</v>
      </c>
      <c r="AM14" s="187">
        <f t="shared" si="92"/>
        <v>209.02383547992812</v>
      </c>
      <c r="AN14" s="187">
        <f t="shared" si="93"/>
        <v>3.9551449061867618</v>
      </c>
      <c r="AO14" s="188">
        <f t="shared" si="94"/>
        <v>212.9789803861149</v>
      </c>
      <c r="AP14" s="187">
        <f t="shared" si="95"/>
        <v>356.57007228928921</v>
      </c>
      <c r="AQ14" s="187">
        <f t="shared" si="96"/>
        <v>6.7470118987891841</v>
      </c>
      <c r="AR14" s="188">
        <f t="shared" si="97"/>
        <v>363.31708418807841</v>
      </c>
      <c r="AS14" s="186">
        <f t="shared" si="98"/>
        <v>79207.738127158664</v>
      </c>
      <c r="AT14" s="169"/>
      <c r="AU14" s="169"/>
      <c r="AV14" s="169"/>
    </row>
    <row r="15" spans="1:48">
      <c r="A15" s="169">
        <f>VLOOKUP(B15,Misc_inputs!$A$3:$B$33,2,0)</f>
        <v>2.0003592159356653</v>
      </c>
      <c r="B15" s="168">
        <v>2026</v>
      </c>
      <c r="C15" s="187">
        <f t="shared" si="56"/>
        <v>76497.038484565739</v>
      </c>
      <c r="D15" s="187">
        <f t="shared" si="57"/>
        <v>1530.2155592438635</v>
      </c>
      <c r="E15" s="188">
        <f t="shared" si="58"/>
        <v>78027.254043809604</v>
      </c>
      <c r="F15" s="187">
        <f t="shared" si="59"/>
        <v>413.4297854553995</v>
      </c>
      <c r="G15" s="187">
        <f t="shared" si="60"/>
        <v>8.2700808147801332</v>
      </c>
      <c r="H15" s="188">
        <f t="shared" si="61"/>
        <v>421.69986627017965</v>
      </c>
      <c r="I15" s="187">
        <f t="shared" si="62"/>
        <v>137.80992848513316</v>
      </c>
      <c r="J15" s="187">
        <f t="shared" si="63"/>
        <v>2.7566936049267103</v>
      </c>
      <c r="K15" s="188">
        <f t="shared" si="64"/>
        <v>140.56662209005987</v>
      </c>
      <c r="L15" s="187">
        <f t="shared" si="65"/>
        <v>1215.233005732538</v>
      </c>
      <c r="M15" s="187">
        <f t="shared" si="66"/>
        <v>24.309025425262817</v>
      </c>
      <c r="N15" s="188">
        <f t="shared" si="67"/>
        <v>1239.5420311578009</v>
      </c>
      <c r="O15" s="187">
        <f t="shared" si="68"/>
        <v>187.92262975245433</v>
      </c>
      <c r="P15" s="187">
        <f t="shared" si="69"/>
        <v>3.7591276430818787</v>
      </c>
      <c r="Q15" s="188">
        <f t="shared" si="70"/>
        <v>191.68175739553621</v>
      </c>
      <c r="R15" s="187">
        <f t="shared" si="71"/>
        <v>238.03533101977547</v>
      </c>
      <c r="S15" s="187">
        <f t="shared" si="72"/>
        <v>4.7615616812370458</v>
      </c>
      <c r="T15" s="188">
        <f t="shared" si="73"/>
        <v>242.79689270101252</v>
      </c>
      <c r="U15" s="187">
        <f t="shared" si="74"/>
        <v>400.90161013856914</v>
      </c>
      <c r="V15" s="187">
        <f t="shared" si="75"/>
        <v>8.0194723052413401</v>
      </c>
      <c r="W15" s="188">
        <f t="shared" si="76"/>
        <v>408.92108244381046</v>
      </c>
      <c r="X15" s="187">
        <f t="shared" si="77"/>
        <v>1265.3457069998587</v>
      </c>
      <c r="Y15" s="187">
        <f t="shared" si="78"/>
        <v>25.311459463417979</v>
      </c>
      <c r="Z15" s="188">
        <f t="shared" si="79"/>
        <v>1290.6571664632768</v>
      </c>
      <c r="AA15" s="187">
        <f t="shared" si="80"/>
        <v>137.80992848513316</v>
      </c>
      <c r="AB15" s="187">
        <f t="shared" si="81"/>
        <v>2.7566936049267103</v>
      </c>
      <c r="AC15" s="188">
        <f t="shared" si="82"/>
        <v>140.56662209005987</v>
      </c>
      <c r="AD15" s="187">
        <f t="shared" si="83"/>
        <v>25.056350633660571</v>
      </c>
      <c r="AE15" s="187">
        <f t="shared" si="84"/>
        <v>0.50121701907758376</v>
      </c>
      <c r="AF15" s="188">
        <f t="shared" si="85"/>
        <v>25.557567652738154</v>
      </c>
      <c r="AG15" s="187">
        <f t="shared" si="86"/>
        <v>137.80992848513316</v>
      </c>
      <c r="AH15" s="187">
        <f t="shared" si="87"/>
        <v>2.7566936049267103</v>
      </c>
      <c r="AI15" s="188">
        <f t="shared" si="88"/>
        <v>140.56662209005987</v>
      </c>
      <c r="AJ15" s="187">
        <f t="shared" si="89"/>
        <v>25.056350633660571</v>
      </c>
      <c r="AK15" s="187">
        <f t="shared" si="90"/>
        <v>0.50121701907758376</v>
      </c>
      <c r="AL15" s="188">
        <f t="shared" si="91"/>
        <v>25.557567652738154</v>
      </c>
      <c r="AM15" s="187">
        <f t="shared" si="92"/>
        <v>212.9789803861149</v>
      </c>
      <c r="AN15" s="187">
        <f t="shared" si="93"/>
        <v>4.2603446621594623</v>
      </c>
      <c r="AO15" s="188">
        <f t="shared" si="94"/>
        <v>217.23932504827437</v>
      </c>
      <c r="AP15" s="187">
        <f t="shared" si="95"/>
        <v>363.31708418807841</v>
      </c>
      <c r="AQ15" s="187">
        <f t="shared" si="96"/>
        <v>7.2676467766249662</v>
      </c>
      <c r="AR15" s="188">
        <f t="shared" si="97"/>
        <v>370.5847309647034</v>
      </c>
      <c r="AS15" s="186">
        <f t="shared" si="98"/>
        <v>80706.505391020721</v>
      </c>
      <c r="AT15" s="169"/>
      <c r="AU15" s="169"/>
      <c r="AV15" s="169"/>
    </row>
    <row r="16" spans="1:48">
      <c r="A16" s="169">
        <f>VLOOKUP(B16,Misc_inputs!$A$3:$B$33,2,0)</f>
        <v>0</v>
      </c>
      <c r="B16" s="168">
        <v>2027</v>
      </c>
      <c r="C16" s="187">
        <f t="shared" si="56"/>
        <v>78027.254043809604</v>
      </c>
      <c r="D16" s="187">
        <f t="shared" si="57"/>
        <v>0</v>
      </c>
      <c r="E16" s="188">
        <f t="shared" si="58"/>
        <v>78027.254043809604</v>
      </c>
      <c r="F16" s="187">
        <f t="shared" si="59"/>
        <v>421.69986627017965</v>
      </c>
      <c r="G16" s="187">
        <f t="shared" si="60"/>
        <v>0</v>
      </c>
      <c r="H16" s="188">
        <f t="shared" si="61"/>
        <v>421.69986627017965</v>
      </c>
      <c r="I16" s="187">
        <f t="shared" si="62"/>
        <v>140.56662209005987</v>
      </c>
      <c r="J16" s="187">
        <f t="shared" si="63"/>
        <v>0</v>
      </c>
      <c r="K16" s="188">
        <f t="shared" si="64"/>
        <v>140.56662209005987</v>
      </c>
      <c r="L16" s="187">
        <f t="shared" si="65"/>
        <v>1239.5420311578009</v>
      </c>
      <c r="M16" s="187">
        <f t="shared" si="66"/>
        <v>0</v>
      </c>
      <c r="N16" s="188">
        <f t="shared" si="67"/>
        <v>1239.5420311578009</v>
      </c>
      <c r="O16" s="187">
        <f t="shared" si="68"/>
        <v>191.68175739553621</v>
      </c>
      <c r="P16" s="187">
        <f t="shared" si="69"/>
        <v>0</v>
      </c>
      <c r="Q16" s="188">
        <f t="shared" si="70"/>
        <v>191.68175739553621</v>
      </c>
      <c r="R16" s="187">
        <f t="shared" si="71"/>
        <v>242.79689270101252</v>
      </c>
      <c r="S16" s="187">
        <f t="shared" si="72"/>
        <v>0</v>
      </c>
      <c r="T16" s="188">
        <f t="shared" si="73"/>
        <v>242.79689270101252</v>
      </c>
      <c r="U16" s="187">
        <f t="shared" si="74"/>
        <v>408.92108244381046</v>
      </c>
      <c r="V16" s="187">
        <f t="shared" si="75"/>
        <v>0</v>
      </c>
      <c r="W16" s="188">
        <f t="shared" si="76"/>
        <v>408.92108244381046</v>
      </c>
      <c r="X16" s="187">
        <f t="shared" si="77"/>
        <v>1290.6571664632768</v>
      </c>
      <c r="Y16" s="187">
        <f t="shared" si="78"/>
        <v>0</v>
      </c>
      <c r="Z16" s="188">
        <f t="shared" si="79"/>
        <v>1290.6571664632768</v>
      </c>
      <c r="AA16" s="187">
        <f t="shared" si="80"/>
        <v>140.56662209005987</v>
      </c>
      <c r="AB16" s="187">
        <f t="shared" si="81"/>
        <v>0</v>
      </c>
      <c r="AC16" s="188">
        <f t="shared" si="82"/>
        <v>140.56662209005987</v>
      </c>
      <c r="AD16" s="187">
        <f t="shared" si="83"/>
        <v>25.557567652738154</v>
      </c>
      <c r="AE16" s="187">
        <f t="shared" si="84"/>
        <v>0</v>
      </c>
      <c r="AF16" s="188">
        <f t="shared" si="85"/>
        <v>25.557567652738154</v>
      </c>
      <c r="AG16" s="187">
        <f t="shared" si="86"/>
        <v>140.56662209005987</v>
      </c>
      <c r="AH16" s="187">
        <f t="shared" si="87"/>
        <v>0</v>
      </c>
      <c r="AI16" s="188">
        <f t="shared" si="88"/>
        <v>140.56662209005987</v>
      </c>
      <c r="AJ16" s="187">
        <f t="shared" si="89"/>
        <v>25.557567652738154</v>
      </c>
      <c r="AK16" s="187">
        <f t="shared" si="90"/>
        <v>0</v>
      </c>
      <c r="AL16" s="188">
        <f t="shared" si="91"/>
        <v>25.557567652738154</v>
      </c>
      <c r="AM16" s="187">
        <f t="shared" si="92"/>
        <v>217.23932504827437</v>
      </c>
      <c r="AN16" s="187">
        <f t="shared" si="93"/>
        <v>0</v>
      </c>
      <c r="AO16" s="188">
        <f t="shared" si="94"/>
        <v>217.23932504827437</v>
      </c>
      <c r="AP16" s="187">
        <f t="shared" si="95"/>
        <v>370.5847309647034</v>
      </c>
      <c r="AQ16" s="187">
        <f t="shared" si="96"/>
        <v>0</v>
      </c>
      <c r="AR16" s="188">
        <f t="shared" si="97"/>
        <v>370.5847309647034</v>
      </c>
      <c r="AS16" s="186">
        <f t="shared" si="98"/>
        <v>82320.925409469608</v>
      </c>
      <c r="AT16" s="169"/>
      <c r="AU16" s="169"/>
      <c r="AV16" s="169"/>
    </row>
    <row r="17" spans="1:48">
      <c r="A17" s="169">
        <f>VLOOKUP(B17,Misc_inputs!$A$3:$B$33,2,0)</f>
        <v>0</v>
      </c>
      <c r="B17" s="168">
        <v>2028</v>
      </c>
      <c r="C17" s="187">
        <f t="shared" si="56"/>
        <v>78027.254043809604</v>
      </c>
      <c r="D17" s="187">
        <f t="shared" si="57"/>
        <v>0</v>
      </c>
      <c r="E17" s="188">
        <f t="shared" si="58"/>
        <v>78027.254043809604</v>
      </c>
      <c r="F17" s="187">
        <f t="shared" si="59"/>
        <v>421.69986627017965</v>
      </c>
      <c r="G17" s="187">
        <f t="shared" si="60"/>
        <v>0</v>
      </c>
      <c r="H17" s="188">
        <f t="shared" si="61"/>
        <v>421.69986627017965</v>
      </c>
      <c r="I17" s="187">
        <f t="shared" si="62"/>
        <v>140.56662209005987</v>
      </c>
      <c r="J17" s="187">
        <f t="shared" si="63"/>
        <v>0</v>
      </c>
      <c r="K17" s="188">
        <f t="shared" si="64"/>
        <v>140.56662209005987</v>
      </c>
      <c r="L17" s="187">
        <f t="shared" si="65"/>
        <v>1239.5420311578009</v>
      </c>
      <c r="M17" s="187">
        <f t="shared" si="66"/>
        <v>0</v>
      </c>
      <c r="N17" s="188">
        <f t="shared" si="67"/>
        <v>1239.5420311578009</v>
      </c>
      <c r="O17" s="187">
        <f t="shared" si="68"/>
        <v>191.68175739553621</v>
      </c>
      <c r="P17" s="187">
        <f t="shared" si="69"/>
        <v>0</v>
      </c>
      <c r="Q17" s="188">
        <f t="shared" si="70"/>
        <v>191.68175739553621</v>
      </c>
      <c r="R17" s="187">
        <f t="shared" si="71"/>
        <v>242.79689270101252</v>
      </c>
      <c r="S17" s="187">
        <f t="shared" si="72"/>
        <v>0</v>
      </c>
      <c r="T17" s="188">
        <f t="shared" si="73"/>
        <v>242.79689270101252</v>
      </c>
      <c r="U17" s="187">
        <f t="shared" si="74"/>
        <v>408.92108244381046</v>
      </c>
      <c r="V17" s="187">
        <f t="shared" si="75"/>
        <v>0</v>
      </c>
      <c r="W17" s="188">
        <f t="shared" si="76"/>
        <v>408.92108244381046</v>
      </c>
      <c r="X17" s="187">
        <f t="shared" si="77"/>
        <v>1290.6571664632768</v>
      </c>
      <c r="Y17" s="187">
        <f t="shared" si="78"/>
        <v>0</v>
      </c>
      <c r="Z17" s="188">
        <f t="shared" si="79"/>
        <v>1290.6571664632768</v>
      </c>
      <c r="AA17" s="187">
        <f t="shared" si="80"/>
        <v>140.56662209005987</v>
      </c>
      <c r="AB17" s="187">
        <f t="shared" si="81"/>
        <v>0</v>
      </c>
      <c r="AC17" s="188">
        <f t="shared" si="82"/>
        <v>140.56662209005987</v>
      </c>
      <c r="AD17" s="187">
        <f t="shared" si="83"/>
        <v>25.557567652738154</v>
      </c>
      <c r="AE17" s="187">
        <f t="shared" si="84"/>
        <v>0</v>
      </c>
      <c r="AF17" s="188">
        <f t="shared" si="85"/>
        <v>25.557567652738154</v>
      </c>
      <c r="AG17" s="187">
        <f t="shared" si="86"/>
        <v>140.56662209005987</v>
      </c>
      <c r="AH17" s="187">
        <f t="shared" si="87"/>
        <v>0</v>
      </c>
      <c r="AI17" s="188">
        <f t="shared" si="88"/>
        <v>140.56662209005987</v>
      </c>
      <c r="AJ17" s="187">
        <f t="shared" si="89"/>
        <v>25.557567652738154</v>
      </c>
      <c r="AK17" s="187">
        <f t="shared" si="90"/>
        <v>0</v>
      </c>
      <c r="AL17" s="188">
        <f t="shared" si="91"/>
        <v>25.557567652738154</v>
      </c>
      <c r="AM17" s="187">
        <f t="shared" si="92"/>
        <v>217.23932504827437</v>
      </c>
      <c r="AN17" s="187">
        <f t="shared" si="93"/>
        <v>0</v>
      </c>
      <c r="AO17" s="188">
        <f t="shared" si="94"/>
        <v>217.23932504827437</v>
      </c>
      <c r="AP17" s="187">
        <f t="shared" si="95"/>
        <v>370.5847309647034</v>
      </c>
      <c r="AQ17" s="187">
        <f t="shared" si="96"/>
        <v>0</v>
      </c>
      <c r="AR17" s="188">
        <f t="shared" si="97"/>
        <v>370.5847309647034</v>
      </c>
      <c r="AS17" s="186">
        <f t="shared" si="98"/>
        <v>82320.925409469608</v>
      </c>
      <c r="AT17" s="169"/>
      <c r="AU17" s="169"/>
      <c r="AV17" s="169"/>
    </row>
    <row r="18" spans="1:48">
      <c r="A18" s="169">
        <f>VLOOKUP(B18,Misc_inputs!$A$3:$B$33,2,0)</f>
        <v>0</v>
      </c>
      <c r="B18" s="168">
        <v>2029</v>
      </c>
      <c r="C18" s="187">
        <f t="shared" si="56"/>
        <v>78027.254043809604</v>
      </c>
      <c r="D18" s="187">
        <f t="shared" si="57"/>
        <v>0</v>
      </c>
      <c r="E18" s="188">
        <f t="shared" si="58"/>
        <v>78027.254043809604</v>
      </c>
      <c r="F18" s="187">
        <f t="shared" si="59"/>
        <v>421.69986627017965</v>
      </c>
      <c r="G18" s="187">
        <f t="shared" si="60"/>
        <v>0</v>
      </c>
      <c r="H18" s="188">
        <f t="shared" si="61"/>
        <v>421.69986627017965</v>
      </c>
      <c r="I18" s="187">
        <f t="shared" si="62"/>
        <v>140.56662209005987</v>
      </c>
      <c r="J18" s="187">
        <f t="shared" si="63"/>
        <v>0</v>
      </c>
      <c r="K18" s="188">
        <f t="shared" si="64"/>
        <v>140.56662209005987</v>
      </c>
      <c r="L18" s="187">
        <f t="shared" si="65"/>
        <v>1239.5420311578009</v>
      </c>
      <c r="M18" s="187">
        <f t="shared" si="66"/>
        <v>0</v>
      </c>
      <c r="N18" s="188">
        <f t="shared" si="67"/>
        <v>1239.5420311578009</v>
      </c>
      <c r="O18" s="187">
        <f t="shared" si="68"/>
        <v>191.68175739553621</v>
      </c>
      <c r="P18" s="187">
        <f t="shared" si="69"/>
        <v>0</v>
      </c>
      <c r="Q18" s="188">
        <f t="shared" si="70"/>
        <v>191.68175739553621</v>
      </c>
      <c r="R18" s="187">
        <f t="shared" si="71"/>
        <v>242.79689270101252</v>
      </c>
      <c r="S18" s="187">
        <f t="shared" si="72"/>
        <v>0</v>
      </c>
      <c r="T18" s="188">
        <f t="shared" si="73"/>
        <v>242.79689270101252</v>
      </c>
      <c r="U18" s="187">
        <f t="shared" si="74"/>
        <v>408.92108244381046</v>
      </c>
      <c r="V18" s="187">
        <f t="shared" si="75"/>
        <v>0</v>
      </c>
      <c r="W18" s="188">
        <f t="shared" si="76"/>
        <v>408.92108244381046</v>
      </c>
      <c r="X18" s="187">
        <f t="shared" si="77"/>
        <v>1290.6571664632768</v>
      </c>
      <c r="Y18" s="187">
        <f t="shared" si="78"/>
        <v>0</v>
      </c>
      <c r="Z18" s="188">
        <f t="shared" si="79"/>
        <v>1290.6571664632768</v>
      </c>
      <c r="AA18" s="187">
        <f t="shared" si="80"/>
        <v>140.56662209005987</v>
      </c>
      <c r="AB18" s="187">
        <f t="shared" si="81"/>
        <v>0</v>
      </c>
      <c r="AC18" s="188">
        <f t="shared" si="82"/>
        <v>140.56662209005987</v>
      </c>
      <c r="AD18" s="187">
        <f t="shared" si="83"/>
        <v>25.557567652738154</v>
      </c>
      <c r="AE18" s="187">
        <f t="shared" si="84"/>
        <v>0</v>
      </c>
      <c r="AF18" s="188">
        <f t="shared" si="85"/>
        <v>25.557567652738154</v>
      </c>
      <c r="AG18" s="187">
        <f t="shared" si="86"/>
        <v>140.56662209005987</v>
      </c>
      <c r="AH18" s="187">
        <f t="shared" si="87"/>
        <v>0</v>
      </c>
      <c r="AI18" s="188">
        <f t="shared" si="88"/>
        <v>140.56662209005987</v>
      </c>
      <c r="AJ18" s="187">
        <f t="shared" si="89"/>
        <v>25.557567652738154</v>
      </c>
      <c r="AK18" s="187">
        <f t="shared" si="90"/>
        <v>0</v>
      </c>
      <c r="AL18" s="188">
        <f t="shared" si="91"/>
        <v>25.557567652738154</v>
      </c>
      <c r="AM18" s="187">
        <f t="shared" si="92"/>
        <v>217.23932504827437</v>
      </c>
      <c r="AN18" s="187">
        <f t="shared" si="93"/>
        <v>0</v>
      </c>
      <c r="AO18" s="188">
        <f t="shared" si="94"/>
        <v>217.23932504827437</v>
      </c>
      <c r="AP18" s="187">
        <f t="shared" si="95"/>
        <v>370.5847309647034</v>
      </c>
      <c r="AQ18" s="187">
        <f t="shared" si="96"/>
        <v>0</v>
      </c>
      <c r="AR18" s="188">
        <f t="shared" si="97"/>
        <v>370.5847309647034</v>
      </c>
      <c r="AS18" s="186">
        <f t="shared" si="98"/>
        <v>82320.925409469608</v>
      </c>
      <c r="AT18" s="169"/>
      <c r="AU18" s="169"/>
      <c r="AV18" s="169"/>
    </row>
    <row r="19" spans="1:48">
      <c r="A19" s="169">
        <f>VLOOKUP(B19,Misc_inputs!$A$3:$B$33,2,0)</f>
        <v>0</v>
      </c>
      <c r="B19" s="168">
        <v>2030</v>
      </c>
      <c r="C19" s="187">
        <f t="shared" si="56"/>
        <v>78027.254043809604</v>
      </c>
      <c r="D19" s="187">
        <f t="shared" si="57"/>
        <v>0</v>
      </c>
      <c r="E19" s="188">
        <f t="shared" si="58"/>
        <v>78027.254043809604</v>
      </c>
      <c r="F19" s="187">
        <f t="shared" si="59"/>
        <v>421.69986627017965</v>
      </c>
      <c r="G19" s="187">
        <f t="shared" si="60"/>
        <v>0</v>
      </c>
      <c r="H19" s="188">
        <f t="shared" si="61"/>
        <v>421.69986627017965</v>
      </c>
      <c r="I19" s="187">
        <f t="shared" si="62"/>
        <v>140.56662209005987</v>
      </c>
      <c r="J19" s="187">
        <f t="shared" si="63"/>
        <v>0</v>
      </c>
      <c r="K19" s="188">
        <f t="shared" si="64"/>
        <v>140.56662209005987</v>
      </c>
      <c r="L19" s="187">
        <f t="shared" si="65"/>
        <v>1239.5420311578009</v>
      </c>
      <c r="M19" s="187">
        <f t="shared" si="66"/>
        <v>0</v>
      </c>
      <c r="N19" s="188">
        <f t="shared" si="67"/>
        <v>1239.5420311578009</v>
      </c>
      <c r="O19" s="187">
        <f t="shared" si="68"/>
        <v>191.68175739553621</v>
      </c>
      <c r="P19" s="187">
        <f t="shared" si="69"/>
        <v>0</v>
      </c>
      <c r="Q19" s="188">
        <f t="shared" si="70"/>
        <v>191.68175739553621</v>
      </c>
      <c r="R19" s="187">
        <f t="shared" si="71"/>
        <v>242.79689270101252</v>
      </c>
      <c r="S19" s="187">
        <f t="shared" si="72"/>
        <v>0</v>
      </c>
      <c r="T19" s="188">
        <f t="shared" si="73"/>
        <v>242.79689270101252</v>
      </c>
      <c r="U19" s="187">
        <f t="shared" si="74"/>
        <v>408.92108244381046</v>
      </c>
      <c r="V19" s="187">
        <f t="shared" si="75"/>
        <v>0</v>
      </c>
      <c r="W19" s="188">
        <f t="shared" si="76"/>
        <v>408.92108244381046</v>
      </c>
      <c r="X19" s="187">
        <f t="shared" si="77"/>
        <v>1290.6571664632768</v>
      </c>
      <c r="Y19" s="187">
        <f t="shared" si="78"/>
        <v>0</v>
      </c>
      <c r="Z19" s="188">
        <f t="shared" si="79"/>
        <v>1290.6571664632768</v>
      </c>
      <c r="AA19" s="187">
        <f t="shared" si="80"/>
        <v>140.56662209005987</v>
      </c>
      <c r="AB19" s="187">
        <f t="shared" si="81"/>
        <v>0</v>
      </c>
      <c r="AC19" s="188">
        <f t="shared" si="82"/>
        <v>140.56662209005987</v>
      </c>
      <c r="AD19" s="187">
        <f t="shared" si="83"/>
        <v>25.557567652738154</v>
      </c>
      <c r="AE19" s="187">
        <f t="shared" si="84"/>
        <v>0</v>
      </c>
      <c r="AF19" s="188">
        <f t="shared" si="85"/>
        <v>25.557567652738154</v>
      </c>
      <c r="AG19" s="187">
        <f t="shared" si="86"/>
        <v>140.56662209005987</v>
      </c>
      <c r="AH19" s="187">
        <f t="shared" si="87"/>
        <v>0</v>
      </c>
      <c r="AI19" s="188">
        <f t="shared" si="88"/>
        <v>140.56662209005987</v>
      </c>
      <c r="AJ19" s="187">
        <f t="shared" si="89"/>
        <v>25.557567652738154</v>
      </c>
      <c r="AK19" s="187">
        <f t="shared" si="90"/>
        <v>0</v>
      </c>
      <c r="AL19" s="188">
        <f t="shared" si="91"/>
        <v>25.557567652738154</v>
      </c>
      <c r="AM19" s="187">
        <f t="shared" si="92"/>
        <v>217.23932504827437</v>
      </c>
      <c r="AN19" s="187">
        <f t="shared" si="93"/>
        <v>0</v>
      </c>
      <c r="AO19" s="188">
        <f t="shared" si="94"/>
        <v>217.23932504827437</v>
      </c>
      <c r="AP19" s="187">
        <f t="shared" si="95"/>
        <v>370.5847309647034</v>
      </c>
      <c r="AQ19" s="187">
        <f t="shared" si="96"/>
        <v>0</v>
      </c>
      <c r="AR19" s="188">
        <f t="shared" si="97"/>
        <v>370.5847309647034</v>
      </c>
      <c r="AS19" s="186">
        <f t="shared" si="98"/>
        <v>82320.925409469608</v>
      </c>
      <c r="AT19" s="169"/>
      <c r="AU19" s="169"/>
      <c r="AV19" s="169"/>
    </row>
    <row r="21" spans="1:48" s="190" customFormat="1" ht="23">
      <c r="A21" s="183" t="s">
        <v>575</v>
      </c>
      <c r="B21" s="189"/>
      <c r="C21" s="189"/>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row>
    <row r="22" spans="1:48" s="173" customFormat="1" ht="63.75" customHeight="1">
      <c r="A22" s="173" t="s">
        <v>539</v>
      </c>
      <c r="B22" s="172" t="s">
        <v>342</v>
      </c>
      <c r="C22" s="172" t="str">
        <f>Cost_of_crime_Raw_data!A21</f>
        <v>Commercial robbery</v>
      </c>
      <c r="D22" s="184" t="s">
        <v>540</v>
      </c>
      <c r="E22" s="185" t="s">
        <v>541</v>
      </c>
      <c r="F22" s="172" t="str">
        <f>Cost_of_crime_Raw_data!A22</f>
        <v>Commercial burglary</v>
      </c>
      <c r="G22" s="184" t="s">
        <v>540</v>
      </c>
      <c r="H22" s="185" t="s">
        <v>541</v>
      </c>
      <c r="I22" s="172" t="str">
        <f>Cost_of_crime_Raw_data!A23</f>
        <v>Commercial theft</v>
      </c>
      <c r="J22" s="184" t="s">
        <v>540</v>
      </c>
      <c r="K22" s="185" t="s">
        <v>541</v>
      </c>
      <c r="L22" s="172" t="str">
        <f>Cost_of_crime_Raw_data!A24</f>
        <v>Theft of commercial vehicle</v>
      </c>
      <c r="M22" s="184" t="s">
        <v>540</v>
      </c>
      <c r="N22" s="185" t="s">
        <v>541</v>
      </c>
      <c r="O22" s="172" t="str">
        <f>Cost_of_crime_Raw_data!A25</f>
        <v>Theft from commercial vehicle</v>
      </c>
      <c r="P22" s="184" t="s">
        <v>540</v>
      </c>
      <c r="Q22" s="185" t="s">
        <v>541</v>
      </c>
      <c r="R22" s="172" t="str">
        <f>Cost_of_crime_Raw_data!A26</f>
        <v>Commercial criminal damage - arson</v>
      </c>
      <c r="S22" s="184" t="s">
        <v>540</v>
      </c>
      <c r="T22" s="185" t="s">
        <v>541</v>
      </c>
      <c r="U22" s="172" t="str">
        <f>Cost_of_crime_Raw_data!A27</f>
        <v>Commercial criminal damage - other</v>
      </c>
      <c r="V22" s="184" t="s">
        <v>540</v>
      </c>
      <c r="W22" s="185" t="s">
        <v>541</v>
      </c>
      <c r="X22" s="191" t="s">
        <v>412</v>
      </c>
      <c r="Y22" s="172"/>
      <c r="Z22" s="192"/>
      <c r="AA22" s="172"/>
      <c r="AB22" s="172"/>
      <c r="AC22" s="192"/>
      <c r="AD22" s="172"/>
      <c r="AE22" s="172"/>
      <c r="AF22" s="192"/>
      <c r="AG22" s="172"/>
      <c r="AH22" s="172"/>
      <c r="AI22" s="192"/>
      <c r="AJ22" s="172"/>
      <c r="AK22" s="172"/>
      <c r="AL22" s="192"/>
      <c r="AM22" s="172"/>
      <c r="AN22" s="172"/>
      <c r="AO22" s="192"/>
      <c r="AP22" s="172"/>
      <c r="AQ22" s="172"/>
      <c r="AR22" s="192"/>
      <c r="AS22" s="172"/>
      <c r="AT22" s="172"/>
      <c r="AU22" s="192"/>
      <c r="AV22" s="172"/>
    </row>
    <row r="23" spans="1:48">
      <c r="B23" s="168">
        <v>2015</v>
      </c>
      <c r="C23" s="186">
        <f>Cost_of_crime_Raw_data!B21</f>
        <v>2060</v>
      </c>
      <c r="D23" s="187">
        <f>C23*$A23/100</f>
        <v>0</v>
      </c>
      <c r="E23" s="188">
        <f>C23+D23</f>
        <v>2060</v>
      </c>
      <c r="F23" s="186">
        <f>Cost_of_crime_Raw_data!B22</f>
        <v>7170</v>
      </c>
      <c r="G23" s="187">
        <f>F23*$A23/100</f>
        <v>0</v>
      </c>
      <c r="H23" s="188">
        <f>F23+G23</f>
        <v>7170</v>
      </c>
      <c r="I23" s="186">
        <f>Cost_of_crime_Raw_data!B23</f>
        <v>210</v>
      </c>
      <c r="J23" s="187">
        <f>I23*$A23/100</f>
        <v>0</v>
      </c>
      <c r="K23" s="188">
        <f>I23+J23</f>
        <v>210</v>
      </c>
      <c r="L23" s="186">
        <f>Cost_of_crime_Raw_data!B24</f>
        <v>4040</v>
      </c>
      <c r="M23" s="187">
        <f>L23*$A23/100</f>
        <v>0</v>
      </c>
      <c r="N23" s="188">
        <f>L23+M23</f>
        <v>4040</v>
      </c>
      <c r="O23" s="186">
        <f>Cost_of_crime_Raw_data!B25</f>
        <v>220</v>
      </c>
      <c r="P23" s="187">
        <f>O23*$A23/100</f>
        <v>0</v>
      </c>
      <c r="Q23" s="188">
        <f>O23+P23</f>
        <v>220</v>
      </c>
      <c r="R23" s="186">
        <f>IF(Cost_of_crime_Raw_data!B26="not estimated","0",Cost_of_crime_Raw_data!B26)</f>
        <v>1300</v>
      </c>
      <c r="S23" s="187">
        <f>R23*$A23/100</f>
        <v>0</v>
      </c>
      <c r="T23" s="188">
        <f>R23+S23</f>
        <v>1300</v>
      </c>
      <c r="U23" s="186">
        <f>Cost_of_crime_Raw_data!B27</f>
        <v>210</v>
      </c>
      <c r="V23" s="187">
        <f>U23*$A23/100</f>
        <v>0</v>
      </c>
      <c r="W23" s="188">
        <f>U23+V23</f>
        <v>210</v>
      </c>
      <c r="X23" s="187">
        <f>SUM(W23,T23,Q23,N23,K23,H23,E23)</f>
        <v>15210</v>
      </c>
    </row>
    <row r="24" spans="1:48">
      <c r="A24" s="169">
        <f>VLOOKUP(B24,Misc_inputs!$A$3:$B$33,2,0)</f>
        <v>1.8963035451147277</v>
      </c>
      <c r="B24" s="168">
        <v>2016</v>
      </c>
      <c r="C24" s="187">
        <f>E23</f>
        <v>2060</v>
      </c>
      <c r="D24" s="187">
        <f t="shared" ref="D24:D33" si="99">C24*$A24/100</f>
        <v>39.063853029363393</v>
      </c>
      <c r="E24" s="188">
        <f t="shared" ref="E24:E33" si="100">C24+D24</f>
        <v>2099.0638530293636</v>
      </c>
      <c r="F24" s="187">
        <f>H23</f>
        <v>7170</v>
      </c>
      <c r="G24" s="187">
        <f t="shared" ref="G24:G38" si="101">F24*$A24/100</f>
        <v>135.96496418472597</v>
      </c>
      <c r="H24" s="188">
        <f t="shared" ref="H24:H38" si="102">F24+G24</f>
        <v>7305.9649641847263</v>
      </c>
      <c r="I24" s="187">
        <f>K23</f>
        <v>210</v>
      </c>
      <c r="J24" s="187">
        <f t="shared" ref="J24:J38" si="103">I24*$A24/100</f>
        <v>3.9822374447409281</v>
      </c>
      <c r="K24" s="188">
        <f t="shared" ref="K24:K38" si="104">I24+J24</f>
        <v>213.98223744474092</v>
      </c>
      <c r="L24" s="187">
        <f>N23</f>
        <v>4040</v>
      </c>
      <c r="M24" s="187">
        <f t="shared" ref="M24:M38" si="105">L24*$A24/100</f>
        <v>76.610663222634997</v>
      </c>
      <c r="N24" s="188">
        <f t="shared" ref="N24:N38" si="106">L24+M24</f>
        <v>4116.6106632226347</v>
      </c>
      <c r="O24" s="187">
        <f>Q23</f>
        <v>220</v>
      </c>
      <c r="P24" s="187">
        <f t="shared" ref="P24:P38" si="107">O24*$A24/100</f>
        <v>4.1718677992524009</v>
      </c>
      <c r="Q24" s="188">
        <f t="shared" ref="Q24:Q38" si="108">O24+P24</f>
        <v>224.1718677992524</v>
      </c>
      <c r="R24" s="187">
        <f>T23</f>
        <v>1300</v>
      </c>
      <c r="S24" s="187">
        <f t="shared" ref="S24:S38" si="109">R24*$A24/100</f>
        <v>24.651946086491456</v>
      </c>
      <c r="T24" s="188">
        <f t="shared" ref="T24:T38" si="110">R24+S24</f>
        <v>1324.6519460864915</v>
      </c>
      <c r="U24" s="187">
        <f>W23</f>
        <v>210</v>
      </c>
      <c r="V24" s="187">
        <f t="shared" ref="V24:V38" si="111">U24*$A24/100</f>
        <v>3.9822374447409281</v>
      </c>
      <c r="W24" s="188">
        <f t="shared" ref="W24:W38" si="112">U24+V24</f>
        <v>213.98223744474092</v>
      </c>
      <c r="X24" s="187">
        <f t="shared" ref="X24:X38" si="113">SUM(W24,T24,Q24,N24,K24,H24,E24)</f>
        <v>15498.42776921195</v>
      </c>
    </row>
    <row r="25" spans="1:48">
      <c r="A25" s="169">
        <f>VLOOKUP(B25,Misc_inputs!$A$3:$B$33,2,0)</f>
        <v>1.8209228570152332</v>
      </c>
      <c r="B25" s="168">
        <v>2017</v>
      </c>
      <c r="C25" s="187">
        <f t="shared" ref="C25:C33" si="114">E24</f>
        <v>2099.0638530293636</v>
      </c>
      <c r="D25" s="187">
        <f t="shared" si="99"/>
        <v>38.222333483156319</v>
      </c>
      <c r="E25" s="188">
        <f t="shared" si="100"/>
        <v>2137.2861865125201</v>
      </c>
      <c r="F25" s="187">
        <f t="shared" ref="F25:F38" si="115">H24</f>
        <v>7305.9649641847263</v>
      </c>
      <c r="G25" s="187">
        <f t="shared" si="101"/>
        <v>133.03598595836448</v>
      </c>
      <c r="H25" s="188">
        <f t="shared" si="102"/>
        <v>7439.0009501430904</v>
      </c>
      <c r="I25" s="187">
        <f t="shared" ref="I25:I38" si="116">K24</f>
        <v>213.98223744474092</v>
      </c>
      <c r="J25" s="187">
        <f t="shared" si="103"/>
        <v>3.8964514715838963</v>
      </c>
      <c r="K25" s="188">
        <f t="shared" si="104"/>
        <v>217.87868891632482</v>
      </c>
      <c r="L25" s="187">
        <f t="shared" ref="L25:L38" si="117">N24</f>
        <v>4116.6106632226347</v>
      </c>
      <c r="M25" s="187">
        <f t="shared" si="105"/>
        <v>74.960304500947345</v>
      </c>
      <c r="N25" s="188">
        <f t="shared" si="106"/>
        <v>4191.5709677235818</v>
      </c>
      <c r="O25" s="187">
        <f t="shared" ref="O25:O38" si="118">Q24</f>
        <v>224.1718677992524</v>
      </c>
      <c r="P25" s="187">
        <f t="shared" si="107"/>
        <v>4.081996779754558</v>
      </c>
      <c r="Q25" s="188">
        <f t="shared" si="108"/>
        <v>228.25386457900694</v>
      </c>
      <c r="R25" s="187">
        <f t="shared" ref="R25:R38" si="119">T24</f>
        <v>1324.6519460864915</v>
      </c>
      <c r="S25" s="187">
        <f t="shared" si="109"/>
        <v>24.120890062186028</v>
      </c>
      <c r="T25" s="188">
        <f t="shared" si="110"/>
        <v>1348.7728361486775</v>
      </c>
      <c r="U25" s="187">
        <f t="shared" ref="U25:U38" si="120">W24</f>
        <v>213.98223744474092</v>
      </c>
      <c r="V25" s="187">
        <f t="shared" si="111"/>
        <v>3.8964514715838963</v>
      </c>
      <c r="W25" s="188">
        <f t="shared" si="112"/>
        <v>217.87868891632482</v>
      </c>
      <c r="X25" s="187">
        <f t="shared" si="113"/>
        <v>15780.642182939526</v>
      </c>
    </row>
    <row r="26" spans="1:48">
      <c r="A26" s="169">
        <f>VLOOKUP(B26,Misc_inputs!$A$3:$B$33,2,0)</f>
        <v>1.9988242855231282</v>
      </c>
      <c r="B26" s="168">
        <v>2018</v>
      </c>
      <c r="C26" s="187">
        <f t="shared" si="114"/>
        <v>2137.2861865125201</v>
      </c>
      <c r="D26" s="187">
        <f t="shared" si="99"/>
        <v>42.720595347143387</v>
      </c>
      <c r="E26" s="188">
        <f t="shared" si="100"/>
        <v>2180.0067818596635</v>
      </c>
      <c r="F26" s="187">
        <f t="shared" si="115"/>
        <v>7439.0009501430904</v>
      </c>
      <c r="G26" s="187">
        <f t="shared" si="101"/>
        <v>148.69255759175633</v>
      </c>
      <c r="H26" s="188">
        <f t="shared" si="102"/>
        <v>7587.6935077348471</v>
      </c>
      <c r="I26" s="187">
        <f t="shared" si="116"/>
        <v>217.87868891632482</v>
      </c>
      <c r="J26" s="187">
        <f t="shared" si="103"/>
        <v>4.3550121470388889</v>
      </c>
      <c r="K26" s="188">
        <f t="shared" si="104"/>
        <v>222.2337010633637</v>
      </c>
      <c r="L26" s="187">
        <f t="shared" si="117"/>
        <v>4191.5709677235818</v>
      </c>
      <c r="M26" s="187">
        <f t="shared" si="105"/>
        <v>83.782138447795745</v>
      </c>
      <c r="N26" s="188">
        <f t="shared" si="106"/>
        <v>4275.3531061713775</v>
      </c>
      <c r="O26" s="187">
        <f t="shared" si="118"/>
        <v>228.25386457900694</v>
      </c>
      <c r="P26" s="187">
        <f t="shared" si="107"/>
        <v>4.5623936778502641</v>
      </c>
      <c r="Q26" s="188">
        <f t="shared" si="108"/>
        <v>232.8162582568572</v>
      </c>
      <c r="R26" s="187">
        <f t="shared" si="119"/>
        <v>1348.7728361486775</v>
      </c>
      <c r="S26" s="187">
        <f t="shared" si="109"/>
        <v>26.959599005478836</v>
      </c>
      <c r="T26" s="188">
        <f t="shared" si="110"/>
        <v>1375.7324351541563</v>
      </c>
      <c r="U26" s="187">
        <f t="shared" si="120"/>
        <v>217.87868891632482</v>
      </c>
      <c r="V26" s="187">
        <f t="shared" si="111"/>
        <v>4.3550121470388889</v>
      </c>
      <c r="W26" s="188">
        <f t="shared" si="112"/>
        <v>222.2337010633637</v>
      </c>
      <c r="X26" s="187">
        <f t="shared" si="113"/>
        <v>16096.06949130363</v>
      </c>
    </row>
    <row r="27" spans="1:48">
      <c r="A27" s="169">
        <f>VLOOKUP(B27,Misc_inputs!$A$3:$B$33,2,0)</f>
        <v>2.0163202370724722</v>
      </c>
      <c r="B27" s="168">
        <v>2019</v>
      </c>
      <c r="C27" s="187">
        <f t="shared" si="114"/>
        <v>2180.0067818596635</v>
      </c>
      <c r="D27" s="187">
        <f t="shared" si="99"/>
        <v>43.955917912188745</v>
      </c>
      <c r="E27" s="188">
        <f t="shared" si="100"/>
        <v>2223.9626997718524</v>
      </c>
      <c r="F27" s="187">
        <f t="shared" si="115"/>
        <v>7587.6935077348471</v>
      </c>
      <c r="G27" s="187">
        <f t="shared" si="101"/>
        <v>152.99219972349184</v>
      </c>
      <c r="H27" s="188">
        <f t="shared" si="102"/>
        <v>7740.6857074583386</v>
      </c>
      <c r="I27" s="187">
        <f t="shared" si="116"/>
        <v>222.2337010633637</v>
      </c>
      <c r="J27" s="187">
        <f t="shared" si="103"/>
        <v>4.4809430881357439</v>
      </c>
      <c r="K27" s="188">
        <f t="shared" si="104"/>
        <v>226.71464415149944</v>
      </c>
      <c r="L27" s="187">
        <f t="shared" si="117"/>
        <v>4275.3531061713775</v>
      </c>
      <c r="M27" s="187">
        <f t="shared" si="105"/>
        <v>86.204809886040024</v>
      </c>
      <c r="N27" s="188">
        <f t="shared" si="106"/>
        <v>4361.5579160574171</v>
      </c>
      <c r="O27" s="187">
        <f t="shared" si="118"/>
        <v>232.8162582568572</v>
      </c>
      <c r="P27" s="187">
        <f t="shared" si="107"/>
        <v>4.6943213304279219</v>
      </c>
      <c r="Q27" s="188">
        <f t="shared" si="108"/>
        <v>237.51057958728512</v>
      </c>
      <c r="R27" s="187">
        <f t="shared" si="119"/>
        <v>1375.7324351541563</v>
      </c>
      <c r="S27" s="187">
        <f t="shared" si="109"/>
        <v>27.739171497983179</v>
      </c>
      <c r="T27" s="188">
        <f t="shared" si="110"/>
        <v>1403.4716066521394</v>
      </c>
      <c r="U27" s="187">
        <f t="shared" si="120"/>
        <v>222.2337010633637</v>
      </c>
      <c r="V27" s="187">
        <f t="shared" si="111"/>
        <v>4.4809430881357439</v>
      </c>
      <c r="W27" s="188">
        <f t="shared" si="112"/>
        <v>226.71464415149944</v>
      </c>
      <c r="X27" s="187">
        <f t="shared" si="113"/>
        <v>16420.617797830033</v>
      </c>
    </row>
    <row r="28" spans="1:48">
      <c r="A28" s="169">
        <f>VLOOKUP(B28,Misc_inputs!$A$3:$B$33,2,0)</f>
        <v>5.3200852056836103</v>
      </c>
      <c r="B28" s="168">
        <v>2020</v>
      </c>
      <c r="C28" s="187">
        <f t="shared" si="114"/>
        <v>2223.9626997718524</v>
      </c>
      <c r="D28" s="187">
        <f t="shared" si="99"/>
        <v>118.31671057048412</v>
      </c>
      <c r="E28" s="188">
        <f t="shared" si="100"/>
        <v>2342.2794103423366</v>
      </c>
      <c r="F28" s="187">
        <f t="shared" si="115"/>
        <v>7740.6857074583386</v>
      </c>
      <c r="G28" s="187">
        <f t="shared" si="101"/>
        <v>411.81107514095675</v>
      </c>
      <c r="H28" s="188">
        <f t="shared" si="102"/>
        <v>8152.4967825992953</v>
      </c>
      <c r="I28" s="187">
        <f t="shared" si="116"/>
        <v>226.71464415149944</v>
      </c>
      <c r="J28" s="187">
        <f t="shared" si="103"/>
        <v>12.061412242622163</v>
      </c>
      <c r="K28" s="188">
        <f t="shared" si="104"/>
        <v>238.77605639412161</v>
      </c>
      <c r="L28" s="187">
        <f t="shared" si="117"/>
        <v>4361.5579160574171</v>
      </c>
      <c r="M28" s="187">
        <f t="shared" si="105"/>
        <v>232.03859742949302</v>
      </c>
      <c r="N28" s="188">
        <f t="shared" si="106"/>
        <v>4593.5965134869102</v>
      </c>
      <c r="O28" s="187">
        <f t="shared" si="118"/>
        <v>237.51057958728512</v>
      </c>
      <c r="P28" s="187">
        <f t="shared" si="107"/>
        <v>12.635765206556552</v>
      </c>
      <c r="Q28" s="188">
        <f t="shared" si="108"/>
        <v>250.14634479384168</v>
      </c>
      <c r="R28" s="187">
        <f t="shared" si="119"/>
        <v>1403.4716066521394</v>
      </c>
      <c r="S28" s="187">
        <f t="shared" si="109"/>
        <v>74.665885311470532</v>
      </c>
      <c r="T28" s="188">
        <f t="shared" si="110"/>
        <v>1478.1374919636098</v>
      </c>
      <c r="U28" s="187">
        <f t="shared" si="120"/>
        <v>226.71464415149944</v>
      </c>
      <c r="V28" s="187">
        <f t="shared" si="111"/>
        <v>12.061412242622163</v>
      </c>
      <c r="W28" s="188">
        <f t="shared" si="112"/>
        <v>238.77605639412161</v>
      </c>
      <c r="X28" s="187">
        <f t="shared" si="113"/>
        <v>17294.208655974238</v>
      </c>
    </row>
    <row r="29" spans="1:48">
      <c r="A29" s="169">
        <f>VLOOKUP(B29,Misc_inputs!$A$3:$B$33,2,0)</f>
        <v>7.6258108678813302E-2</v>
      </c>
      <c r="B29" s="168">
        <v>2021</v>
      </c>
      <c r="C29" s="187">
        <f t="shared" si="114"/>
        <v>2342.2794103423366</v>
      </c>
      <c r="D29" s="187">
        <f t="shared" si="99"/>
        <v>1.7861779783003267</v>
      </c>
      <c r="E29" s="188">
        <f t="shared" si="100"/>
        <v>2344.0655883206368</v>
      </c>
      <c r="F29" s="187">
        <f t="shared" si="115"/>
        <v>8152.4967825992953</v>
      </c>
      <c r="G29" s="187">
        <f t="shared" si="101"/>
        <v>6.2169398565113285</v>
      </c>
      <c r="H29" s="188">
        <f t="shared" si="102"/>
        <v>8158.7137224558064</v>
      </c>
      <c r="I29" s="187">
        <f t="shared" si="116"/>
        <v>238.77605639412161</v>
      </c>
      <c r="J29" s="187">
        <f t="shared" si="103"/>
        <v>0.18208610458401381</v>
      </c>
      <c r="K29" s="188">
        <f t="shared" si="104"/>
        <v>238.95814249870563</v>
      </c>
      <c r="L29" s="187">
        <f t="shared" si="117"/>
        <v>4593.5965134869102</v>
      </c>
      <c r="M29" s="187">
        <f t="shared" si="105"/>
        <v>3.5029898215210267</v>
      </c>
      <c r="N29" s="188">
        <f t="shared" si="106"/>
        <v>4597.0995033084309</v>
      </c>
      <c r="O29" s="187">
        <f t="shared" si="118"/>
        <v>250.14634479384168</v>
      </c>
      <c r="P29" s="187">
        <f t="shared" si="107"/>
        <v>0.19075687146896683</v>
      </c>
      <c r="Q29" s="188">
        <f t="shared" si="108"/>
        <v>250.33710166531066</v>
      </c>
      <c r="R29" s="187">
        <f t="shared" si="119"/>
        <v>1478.1374919636098</v>
      </c>
      <c r="S29" s="187">
        <f t="shared" si="109"/>
        <v>1.1271996950438947</v>
      </c>
      <c r="T29" s="188">
        <f t="shared" si="110"/>
        <v>1479.2646916586536</v>
      </c>
      <c r="U29" s="187">
        <f t="shared" si="120"/>
        <v>238.77605639412161</v>
      </c>
      <c r="V29" s="187">
        <f t="shared" si="111"/>
        <v>0.18208610458401381</v>
      </c>
      <c r="W29" s="188">
        <f t="shared" si="112"/>
        <v>238.95814249870563</v>
      </c>
      <c r="X29" s="187">
        <f t="shared" si="113"/>
        <v>17307.39689240625</v>
      </c>
    </row>
    <row r="30" spans="1:48">
      <c r="A30" s="169">
        <f>VLOOKUP(B30,Misc_inputs!$A$3:$B$33,2,0)</f>
        <v>2.8492930312000952</v>
      </c>
      <c r="B30" s="168">
        <v>2022</v>
      </c>
      <c r="C30" s="187">
        <f t="shared" si="114"/>
        <v>2344.0655883206368</v>
      </c>
      <c r="D30" s="187">
        <f t="shared" si="99"/>
        <v>66.789297454779415</v>
      </c>
      <c r="E30" s="188">
        <f t="shared" si="100"/>
        <v>2410.8548857754163</v>
      </c>
      <c r="F30" s="187">
        <f t="shared" si="115"/>
        <v>8158.7137224558064</v>
      </c>
      <c r="G30" s="187">
        <f t="shared" si="101"/>
        <v>232.46566152949916</v>
      </c>
      <c r="H30" s="188">
        <f t="shared" si="102"/>
        <v>8391.1793839853053</v>
      </c>
      <c r="I30" s="187">
        <f t="shared" si="116"/>
        <v>238.95814249870563</v>
      </c>
      <c r="J30" s="187">
        <f t="shared" si="103"/>
        <v>6.8086177017008129</v>
      </c>
      <c r="K30" s="188">
        <f t="shared" si="104"/>
        <v>245.76676020040645</v>
      </c>
      <c r="L30" s="187">
        <f t="shared" si="117"/>
        <v>4597.0995033084309</v>
      </c>
      <c r="M30" s="187">
        <f t="shared" si="105"/>
        <v>130.98483578510132</v>
      </c>
      <c r="N30" s="188">
        <f t="shared" si="106"/>
        <v>4728.0843390935324</v>
      </c>
      <c r="O30" s="187">
        <f t="shared" si="118"/>
        <v>250.33710166531066</v>
      </c>
      <c r="P30" s="187">
        <f t="shared" si="107"/>
        <v>7.1328375922579941</v>
      </c>
      <c r="Q30" s="188">
        <f t="shared" si="108"/>
        <v>257.46993925756863</v>
      </c>
      <c r="R30" s="187">
        <f t="shared" si="119"/>
        <v>1479.2646916586536</v>
      </c>
      <c r="S30" s="187">
        <f t="shared" si="109"/>
        <v>42.148585772433599</v>
      </c>
      <c r="T30" s="188">
        <f t="shared" si="110"/>
        <v>1521.4132774310872</v>
      </c>
      <c r="U30" s="187">
        <f t="shared" si="120"/>
        <v>238.95814249870563</v>
      </c>
      <c r="V30" s="187">
        <f t="shared" si="111"/>
        <v>6.8086177017008129</v>
      </c>
      <c r="W30" s="188">
        <f t="shared" si="112"/>
        <v>245.76676020040645</v>
      </c>
      <c r="X30" s="187">
        <f t="shared" si="113"/>
        <v>17800.535345943725</v>
      </c>
    </row>
    <row r="31" spans="1:48">
      <c r="A31" s="169">
        <f>VLOOKUP(B31,Misc_inputs!$A$3:$B$33,2,0)</f>
        <v>3.143440902459993</v>
      </c>
      <c r="B31" s="168">
        <v>2023</v>
      </c>
      <c r="C31" s="187">
        <f t="shared" si="114"/>
        <v>2410.8548857754163</v>
      </c>
      <c r="D31" s="187">
        <f t="shared" si="99"/>
        <v>75.783798578419578</v>
      </c>
      <c r="E31" s="188">
        <f t="shared" si="100"/>
        <v>2486.6386843538357</v>
      </c>
      <c r="F31" s="187">
        <f t="shared" si="115"/>
        <v>8391.1793839853053</v>
      </c>
      <c r="G31" s="187">
        <f t="shared" si="101"/>
        <v>263.77176495498458</v>
      </c>
      <c r="H31" s="188">
        <f t="shared" si="102"/>
        <v>8654.9511489402903</v>
      </c>
      <c r="I31" s="187">
        <f t="shared" si="116"/>
        <v>245.76676020040645</v>
      </c>
      <c r="J31" s="187">
        <f t="shared" si="103"/>
        <v>7.7255328647903436</v>
      </c>
      <c r="K31" s="188">
        <f t="shared" si="104"/>
        <v>253.4922930651968</v>
      </c>
      <c r="L31" s="187">
        <f t="shared" si="117"/>
        <v>4728.0843390935324</v>
      </c>
      <c r="M31" s="187">
        <f t="shared" si="105"/>
        <v>148.62453701787135</v>
      </c>
      <c r="N31" s="188">
        <f t="shared" si="106"/>
        <v>4876.7088761114037</v>
      </c>
      <c r="O31" s="187">
        <f t="shared" si="118"/>
        <v>257.46993925756863</v>
      </c>
      <c r="P31" s="187">
        <f t="shared" si="107"/>
        <v>8.0934153821613108</v>
      </c>
      <c r="Q31" s="188">
        <f t="shared" si="108"/>
        <v>265.56335463972994</v>
      </c>
      <c r="R31" s="187">
        <f t="shared" si="119"/>
        <v>1521.4132774310872</v>
      </c>
      <c r="S31" s="187">
        <f t="shared" si="109"/>
        <v>47.82472725822592</v>
      </c>
      <c r="T31" s="188">
        <f t="shared" si="110"/>
        <v>1569.2380046893131</v>
      </c>
      <c r="U31" s="187">
        <f t="shared" si="120"/>
        <v>245.76676020040645</v>
      </c>
      <c r="V31" s="187">
        <f t="shared" si="111"/>
        <v>7.7255328647903436</v>
      </c>
      <c r="W31" s="188">
        <f t="shared" si="112"/>
        <v>253.4922930651968</v>
      </c>
      <c r="X31" s="187">
        <f t="shared" si="113"/>
        <v>18360.084654864964</v>
      </c>
    </row>
    <row r="32" spans="1:48">
      <c r="A32" s="169">
        <f>VLOOKUP(B32,Misc_inputs!$A$3:$B$33,2,0)</f>
        <v>1.8594732384912049</v>
      </c>
      <c r="B32" s="168">
        <v>2024</v>
      </c>
      <c r="C32" s="187">
        <f t="shared" si="114"/>
        <v>2486.6386843538357</v>
      </c>
      <c r="D32" s="187">
        <f t="shared" si="99"/>
        <v>46.238380873529358</v>
      </c>
      <c r="E32" s="188">
        <f t="shared" si="100"/>
        <v>2532.8770652273652</v>
      </c>
      <c r="F32" s="187">
        <f t="shared" si="115"/>
        <v>8654.9511489402903</v>
      </c>
      <c r="G32" s="187">
        <f t="shared" si="101"/>
        <v>160.93650041903177</v>
      </c>
      <c r="H32" s="188">
        <f t="shared" si="102"/>
        <v>8815.8876493593216</v>
      </c>
      <c r="I32" s="187">
        <f t="shared" si="116"/>
        <v>253.4922930651968</v>
      </c>
      <c r="J32" s="187">
        <f t="shared" si="103"/>
        <v>4.7136213511850311</v>
      </c>
      <c r="K32" s="188">
        <f t="shared" si="104"/>
        <v>258.20591441638186</v>
      </c>
      <c r="L32" s="187">
        <f t="shared" si="117"/>
        <v>4876.7088761114037</v>
      </c>
      <c r="M32" s="187">
        <f t="shared" si="105"/>
        <v>90.681096470416762</v>
      </c>
      <c r="N32" s="188">
        <f t="shared" si="106"/>
        <v>4967.3899725818201</v>
      </c>
      <c r="O32" s="187">
        <f t="shared" si="118"/>
        <v>265.56335463972994</v>
      </c>
      <c r="P32" s="187">
        <f t="shared" si="107"/>
        <v>4.9380795107652702</v>
      </c>
      <c r="Q32" s="188">
        <f t="shared" si="108"/>
        <v>270.50143415049519</v>
      </c>
      <c r="R32" s="187">
        <f t="shared" si="119"/>
        <v>1569.2380046893131</v>
      </c>
      <c r="S32" s="187">
        <f t="shared" si="109"/>
        <v>29.179560745431136</v>
      </c>
      <c r="T32" s="188">
        <f t="shared" si="110"/>
        <v>1598.4175654347443</v>
      </c>
      <c r="U32" s="187">
        <f t="shared" si="120"/>
        <v>253.4922930651968</v>
      </c>
      <c r="V32" s="187">
        <f t="shared" si="111"/>
        <v>4.7136213511850311</v>
      </c>
      <c r="W32" s="188">
        <f t="shared" si="112"/>
        <v>258.20591441638186</v>
      </c>
      <c r="X32" s="187">
        <f t="shared" si="113"/>
        <v>18701.485515586508</v>
      </c>
    </row>
    <row r="33" spans="1:48">
      <c r="A33" s="169">
        <f>VLOOKUP(B33,Misc_inputs!$A$3:$B$33,2,0)</f>
        <v>1.892198034308179</v>
      </c>
      <c r="B33" s="168">
        <v>2025</v>
      </c>
      <c r="C33" s="187">
        <f t="shared" si="114"/>
        <v>2532.8770652273652</v>
      </c>
      <c r="D33" s="187">
        <f t="shared" si="99"/>
        <v>47.927050039674896</v>
      </c>
      <c r="E33" s="188">
        <f t="shared" si="100"/>
        <v>2580.8041152670403</v>
      </c>
      <c r="F33" s="187">
        <f t="shared" si="115"/>
        <v>8815.8876493593216</v>
      </c>
      <c r="G33" s="187">
        <f t="shared" si="101"/>
        <v>166.81405280799459</v>
      </c>
      <c r="H33" s="188">
        <f t="shared" si="102"/>
        <v>8982.7017021673164</v>
      </c>
      <c r="I33" s="187">
        <f t="shared" si="116"/>
        <v>258.20591441638186</v>
      </c>
      <c r="J33" s="187">
        <f t="shared" si="103"/>
        <v>4.8857672370542362</v>
      </c>
      <c r="K33" s="188">
        <f t="shared" si="104"/>
        <v>263.09168165343607</v>
      </c>
      <c r="L33" s="187">
        <f t="shared" si="117"/>
        <v>4967.3899725818201</v>
      </c>
      <c r="M33" s="187">
        <f t="shared" si="105"/>
        <v>93.992855417614791</v>
      </c>
      <c r="N33" s="188">
        <f t="shared" si="106"/>
        <v>5061.382827999435</v>
      </c>
      <c r="O33" s="187">
        <f t="shared" si="118"/>
        <v>270.50143415049519</v>
      </c>
      <c r="P33" s="187">
        <f t="shared" si="107"/>
        <v>5.1184228197711032</v>
      </c>
      <c r="Q33" s="188">
        <f t="shared" si="108"/>
        <v>275.61985697026631</v>
      </c>
      <c r="R33" s="187">
        <f t="shared" si="119"/>
        <v>1598.4175654347443</v>
      </c>
      <c r="S33" s="187">
        <f t="shared" si="109"/>
        <v>30.245225753192884</v>
      </c>
      <c r="T33" s="188">
        <f t="shared" si="110"/>
        <v>1628.6627911879373</v>
      </c>
      <c r="U33" s="187">
        <f t="shared" si="120"/>
        <v>258.20591441638186</v>
      </c>
      <c r="V33" s="187">
        <f t="shared" si="111"/>
        <v>4.8857672370542362</v>
      </c>
      <c r="W33" s="188">
        <f t="shared" si="112"/>
        <v>263.09168165343607</v>
      </c>
      <c r="X33" s="187">
        <f t="shared" si="113"/>
        <v>19055.354656898868</v>
      </c>
    </row>
    <row r="34" spans="1:48">
      <c r="A34" s="169">
        <f>VLOOKUP(B34,Misc_inputs!$A$3:$B$33,2,0)</f>
        <v>2.0003592159356653</v>
      </c>
      <c r="B34" s="168">
        <v>2026</v>
      </c>
      <c r="C34" s="187">
        <f t="shared" ref="C34:C38" si="121">E33</f>
        <v>2580.8041152670403</v>
      </c>
      <c r="D34" s="187">
        <f t="shared" ref="D34:D38" si="122">C34*$A34/100</f>
        <v>51.625352964991151</v>
      </c>
      <c r="E34" s="188">
        <f t="shared" ref="E34:E38" si="123">C34+D34</f>
        <v>2632.4294682320315</v>
      </c>
      <c r="F34" s="187">
        <f t="shared" si="115"/>
        <v>8982.7017021673164</v>
      </c>
      <c r="G34" s="187">
        <f t="shared" si="101"/>
        <v>179.68630133931379</v>
      </c>
      <c r="H34" s="188">
        <f t="shared" si="102"/>
        <v>9162.3880035066304</v>
      </c>
      <c r="I34" s="187">
        <f t="shared" si="116"/>
        <v>263.09168165343607</v>
      </c>
      <c r="J34" s="187">
        <f t="shared" si="103"/>
        <v>5.2627787003146302</v>
      </c>
      <c r="K34" s="188">
        <f t="shared" si="104"/>
        <v>268.35446035375071</v>
      </c>
      <c r="L34" s="187">
        <f t="shared" si="117"/>
        <v>5061.382827999435</v>
      </c>
      <c r="M34" s="187">
        <f t="shared" si="105"/>
        <v>101.24583785367192</v>
      </c>
      <c r="N34" s="188">
        <f t="shared" si="106"/>
        <v>5162.6286658531071</v>
      </c>
      <c r="O34" s="187">
        <f t="shared" si="118"/>
        <v>275.61985697026631</v>
      </c>
      <c r="P34" s="187">
        <f t="shared" si="107"/>
        <v>5.5133872098534207</v>
      </c>
      <c r="Q34" s="188">
        <f t="shared" si="108"/>
        <v>281.13324418011973</v>
      </c>
      <c r="R34" s="187">
        <f t="shared" si="119"/>
        <v>1628.6627911879373</v>
      </c>
      <c r="S34" s="187">
        <f t="shared" si="109"/>
        <v>32.57910624004294</v>
      </c>
      <c r="T34" s="188">
        <f t="shared" si="110"/>
        <v>1661.2418974279801</v>
      </c>
      <c r="U34" s="187">
        <f t="shared" si="120"/>
        <v>263.09168165343607</v>
      </c>
      <c r="V34" s="187">
        <f t="shared" si="111"/>
        <v>5.2627787003146302</v>
      </c>
      <c r="W34" s="188">
        <f t="shared" si="112"/>
        <v>268.35446035375071</v>
      </c>
      <c r="X34" s="187">
        <f t="shared" si="113"/>
        <v>19436.530199907371</v>
      </c>
    </row>
    <row r="35" spans="1:48">
      <c r="A35" s="169">
        <f>VLOOKUP(B35,Misc_inputs!$A$3:$B$33,2,0)</f>
        <v>0</v>
      </c>
      <c r="B35" s="168">
        <v>2027</v>
      </c>
      <c r="C35" s="187">
        <f t="shared" si="121"/>
        <v>2632.4294682320315</v>
      </c>
      <c r="D35" s="187">
        <f t="shared" si="122"/>
        <v>0</v>
      </c>
      <c r="E35" s="188">
        <f t="shared" si="123"/>
        <v>2632.4294682320315</v>
      </c>
      <c r="F35" s="187">
        <f t="shared" si="115"/>
        <v>9162.3880035066304</v>
      </c>
      <c r="G35" s="187">
        <f t="shared" si="101"/>
        <v>0</v>
      </c>
      <c r="H35" s="188">
        <f t="shared" si="102"/>
        <v>9162.3880035066304</v>
      </c>
      <c r="I35" s="187">
        <f t="shared" si="116"/>
        <v>268.35446035375071</v>
      </c>
      <c r="J35" s="187">
        <f t="shared" si="103"/>
        <v>0</v>
      </c>
      <c r="K35" s="188">
        <f t="shared" si="104"/>
        <v>268.35446035375071</v>
      </c>
      <c r="L35" s="187">
        <f t="shared" si="117"/>
        <v>5162.6286658531071</v>
      </c>
      <c r="M35" s="187">
        <f t="shared" si="105"/>
        <v>0</v>
      </c>
      <c r="N35" s="188">
        <f t="shared" si="106"/>
        <v>5162.6286658531071</v>
      </c>
      <c r="O35" s="187">
        <f t="shared" si="118"/>
        <v>281.13324418011973</v>
      </c>
      <c r="P35" s="187">
        <f t="shared" si="107"/>
        <v>0</v>
      </c>
      <c r="Q35" s="188">
        <f t="shared" si="108"/>
        <v>281.13324418011973</v>
      </c>
      <c r="R35" s="187">
        <f t="shared" si="119"/>
        <v>1661.2418974279801</v>
      </c>
      <c r="S35" s="187">
        <f t="shared" si="109"/>
        <v>0</v>
      </c>
      <c r="T35" s="188">
        <f t="shared" si="110"/>
        <v>1661.2418974279801</v>
      </c>
      <c r="U35" s="187">
        <f t="shared" si="120"/>
        <v>268.35446035375071</v>
      </c>
      <c r="V35" s="187">
        <f t="shared" si="111"/>
        <v>0</v>
      </c>
      <c r="W35" s="188">
        <f t="shared" si="112"/>
        <v>268.35446035375071</v>
      </c>
      <c r="X35" s="187">
        <f t="shared" si="113"/>
        <v>19436.530199907371</v>
      </c>
    </row>
    <row r="36" spans="1:48">
      <c r="A36" s="169">
        <f>VLOOKUP(B36,Misc_inputs!$A$3:$B$33,2,0)</f>
        <v>0</v>
      </c>
      <c r="B36" s="168">
        <v>2028</v>
      </c>
      <c r="C36" s="187">
        <f t="shared" si="121"/>
        <v>2632.4294682320315</v>
      </c>
      <c r="D36" s="187">
        <f t="shared" si="122"/>
        <v>0</v>
      </c>
      <c r="E36" s="188">
        <f t="shared" si="123"/>
        <v>2632.4294682320315</v>
      </c>
      <c r="F36" s="187">
        <f t="shared" si="115"/>
        <v>9162.3880035066304</v>
      </c>
      <c r="G36" s="187">
        <f t="shared" si="101"/>
        <v>0</v>
      </c>
      <c r="H36" s="188">
        <f t="shared" si="102"/>
        <v>9162.3880035066304</v>
      </c>
      <c r="I36" s="187">
        <f t="shared" si="116"/>
        <v>268.35446035375071</v>
      </c>
      <c r="J36" s="187">
        <f t="shared" si="103"/>
        <v>0</v>
      </c>
      <c r="K36" s="188">
        <f t="shared" si="104"/>
        <v>268.35446035375071</v>
      </c>
      <c r="L36" s="187">
        <f t="shared" si="117"/>
        <v>5162.6286658531071</v>
      </c>
      <c r="M36" s="187">
        <f t="shared" si="105"/>
        <v>0</v>
      </c>
      <c r="N36" s="188">
        <f t="shared" si="106"/>
        <v>5162.6286658531071</v>
      </c>
      <c r="O36" s="187">
        <f t="shared" si="118"/>
        <v>281.13324418011973</v>
      </c>
      <c r="P36" s="187">
        <f t="shared" si="107"/>
        <v>0</v>
      </c>
      <c r="Q36" s="188">
        <f t="shared" si="108"/>
        <v>281.13324418011973</v>
      </c>
      <c r="R36" s="187">
        <f t="shared" si="119"/>
        <v>1661.2418974279801</v>
      </c>
      <c r="S36" s="187">
        <f t="shared" si="109"/>
        <v>0</v>
      </c>
      <c r="T36" s="188">
        <f t="shared" si="110"/>
        <v>1661.2418974279801</v>
      </c>
      <c r="U36" s="187">
        <f t="shared" si="120"/>
        <v>268.35446035375071</v>
      </c>
      <c r="V36" s="187">
        <f t="shared" si="111"/>
        <v>0</v>
      </c>
      <c r="W36" s="188">
        <f t="shared" si="112"/>
        <v>268.35446035375071</v>
      </c>
      <c r="X36" s="187">
        <f t="shared" si="113"/>
        <v>19436.530199907371</v>
      </c>
    </row>
    <row r="37" spans="1:48">
      <c r="A37" s="169">
        <f>VLOOKUP(B37,Misc_inputs!$A$3:$B$33,2,0)</f>
        <v>0</v>
      </c>
      <c r="B37" s="168">
        <v>2029</v>
      </c>
      <c r="C37" s="187">
        <f t="shared" si="121"/>
        <v>2632.4294682320315</v>
      </c>
      <c r="D37" s="187">
        <f t="shared" si="122"/>
        <v>0</v>
      </c>
      <c r="E37" s="188">
        <f t="shared" si="123"/>
        <v>2632.4294682320315</v>
      </c>
      <c r="F37" s="187">
        <f t="shared" si="115"/>
        <v>9162.3880035066304</v>
      </c>
      <c r="G37" s="187">
        <f t="shared" si="101"/>
        <v>0</v>
      </c>
      <c r="H37" s="188">
        <f t="shared" si="102"/>
        <v>9162.3880035066304</v>
      </c>
      <c r="I37" s="187">
        <f t="shared" si="116"/>
        <v>268.35446035375071</v>
      </c>
      <c r="J37" s="187">
        <f t="shared" si="103"/>
        <v>0</v>
      </c>
      <c r="K37" s="188">
        <f t="shared" si="104"/>
        <v>268.35446035375071</v>
      </c>
      <c r="L37" s="187">
        <f t="shared" si="117"/>
        <v>5162.6286658531071</v>
      </c>
      <c r="M37" s="187">
        <f t="shared" si="105"/>
        <v>0</v>
      </c>
      <c r="N37" s="188">
        <f t="shared" si="106"/>
        <v>5162.6286658531071</v>
      </c>
      <c r="O37" s="187">
        <f t="shared" si="118"/>
        <v>281.13324418011973</v>
      </c>
      <c r="P37" s="187">
        <f t="shared" si="107"/>
        <v>0</v>
      </c>
      <c r="Q37" s="188">
        <f t="shared" si="108"/>
        <v>281.13324418011973</v>
      </c>
      <c r="R37" s="187">
        <f t="shared" si="119"/>
        <v>1661.2418974279801</v>
      </c>
      <c r="S37" s="187">
        <f t="shared" si="109"/>
        <v>0</v>
      </c>
      <c r="T37" s="188">
        <f t="shared" si="110"/>
        <v>1661.2418974279801</v>
      </c>
      <c r="U37" s="187">
        <f t="shared" si="120"/>
        <v>268.35446035375071</v>
      </c>
      <c r="V37" s="187">
        <f t="shared" si="111"/>
        <v>0</v>
      </c>
      <c r="W37" s="188">
        <f t="shared" si="112"/>
        <v>268.35446035375071</v>
      </c>
      <c r="X37" s="187">
        <f t="shared" si="113"/>
        <v>19436.530199907371</v>
      </c>
    </row>
    <row r="38" spans="1:48">
      <c r="A38" s="169">
        <f>VLOOKUP(B38,Misc_inputs!$A$3:$B$33,2,0)</f>
        <v>0</v>
      </c>
      <c r="B38" s="168">
        <v>2030</v>
      </c>
      <c r="C38" s="187">
        <f t="shared" si="121"/>
        <v>2632.4294682320315</v>
      </c>
      <c r="D38" s="187">
        <f t="shared" si="122"/>
        <v>0</v>
      </c>
      <c r="E38" s="188">
        <f t="shared" si="123"/>
        <v>2632.4294682320315</v>
      </c>
      <c r="F38" s="187">
        <f t="shared" si="115"/>
        <v>9162.3880035066304</v>
      </c>
      <c r="G38" s="187">
        <f t="shared" si="101"/>
        <v>0</v>
      </c>
      <c r="H38" s="188">
        <f t="shared" si="102"/>
        <v>9162.3880035066304</v>
      </c>
      <c r="I38" s="187">
        <f t="shared" si="116"/>
        <v>268.35446035375071</v>
      </c>
      <c r="J38" s="187">
        <f t="shared" si="103"/>
        <v>0</v>
      </c>
      <c r="K38" s="188">
        <f t="shared" si="104"/>
        <v>268.35446035375071</v>
      </c>
      <c r="L38" s="187">
        <f t="shared" si="117"/>
        <v>5162.6286658531071</v>
      </c>
      <c r="M38" s="187">
        <f t="shared" si="105"/>
        <v>0</v>
      </c>
      <c r="N38" s="188">
        <f t="shared" si="106"/>
        <v>5162.6286658531071</v>
      </c>
      <c r="O38" s="187">
        <f t="shared" si="118"/>
        <v>281.13324418011973</v>
      </c>
      <c r="P38" s="187">
        <f t="shared" si="107"/>
        <v>0</v>
      </c>
      <c r="Q38" s="188">
        <f t="shared" si="108"/>
        <v>281.13324418011973</v>
      </c>
      <c r="R38" s="187">
        <f t="shared" si="119"/>
        <v>1661.2418974279801</v>
      </c>
      <c r="S38" s="187">
        <f t="shared" si="109"/>
        <v>0</v>
      </c>
      <c r="T38" s="188">
        <f t="shared" si="110"/>
        <v>1661.2418974279801</v>
      </c>
      <c r="U38" s="187">
        <f t="shared" si="120"/>
        <v>268.35446035375071</v>
      </c>
      <c r="V38" s="187">
        <f t="shared" si="111"/>
        <v>0</v>
      </c>
      <c r="W38" s="188">
        <f t="shared" si="112"/>
        <v>268.35446035375071</v>
      </c>
      <c r="X38" s="187">
        <f t="shared" si="113"/>
        <v>19436.530199907371</v>
      </c>
    </row>
    <row r="40" spans="1:48" s="190" customFormat="1" ht="23">
      <c r="A40" s="183" t="s">
        <v>419</v>
      </c>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row>
    <row r="41" spans="1:48" ht="93">
      <c r="A41" s="173" t="s">
        <v>539</v>
      </c>
      <c r="B41" s="172" t="s">
        <v>342</v>
      </c>
      <c r="C41" s="172" t="str">
        <f>Cost_of_crime_Raw_data!A68</f>
        <v>Drug offences (e.g. driving under the influence of drugs)</v>
      </c>
      <c r="D41" s="184" t="s">
        <v>540</v>
      </c>
      <c r="E41" s="185" t="s">
        <v>541</v>
      </c>
      <c r="F41" s="172" t="str">
        <f>Cost_of_crime_Raw_data!A69</f>
        <v>Alcohol offences (e.g. driving under the influence of alcohol)</v>
      </c>
      <c r="G41" s="184" t="s">
        <v>540</v>
      </c>
      <c r="H41" s="185" t="s">
        <v>541</v>
      </c>
      <c r="I41" s="172" t="str">
        <f>Cost_of_crime_Raw_data!A70</f>
        <v>Other indictable non- motoring offences</v>
      </c>
      <c r="J41" s="184" t="s">
        <v>540</v>
      </c>
      <c r="K41" s="185" t="s">
        <v>541</v>
      </c>
      <c r="L41" s="172" t="str">
        <f>Cost_of_crime_Raw_data!A71</f>
        <v>Indictable motoring offences</v>
      </c>
      <c r="M41" s="184" t="s">
        <v>540</v>
      </c>
      <c r="N41" s="185" t="s">
        <v>541</v>
      </c>
      <c r="O41" s="172" t="str">
        <f>Cost_of_crime_Raw_data!A72</f>
        <v>Summary non-motoring offences</v>
      </c>
      <c r="P41" s="184" t="s">
        <v>540</v>
      </c>
      <c r="Q41" s="185" t="s">
        <v>541</v>
      </c>
      <c r="R41" s="172" t="str">
        <f>Cost_of_crime_Raw_data!A73</f>
        <v>Summary motoring offences</v>
      </c>
      <c r="S41" s="184" t="s">
        <v>540</v>
      </c>
      <c r="T41" s="185" t="s">
        <v>541</v>
      </c>
      <c r="U41" s="172" t="str">
        <f>Cost_of_crime_Raw_data!A74</f>
        <v>TOTAL TRAFFIC/ MOTORING/ OTHER</v>
      </c>
    </row>
    <row r="42" spans="1:48">
      <c r="A42" s="169">
        <f>VLOOKUP(B42,Misc_inputs!$A$3:$B$33,2,0)</f>
        <v>1.6839704237960402</v>
      </c>
      <c r="B42" s="168">
        <v>2000</v>
      </c>
      <c r="C42" s="186" t="str">
        <f>IF(Cost_of_crime_Raw_data!B30="not estimated","0",Cost_of_crime_Raw_data!B30)</f>
        <v>0</v>
      </c>
      <c r="D42" s="187">
        <f>C42*$A42/100</f>
        <v>0</v>
      </c>
      <c r="E42" s="188">
        <f>C42+D42</f>
        <v>0</v>
      </c>
      <c r="F42" s="186" t="str">
        <f>IF(Cost_of_crime_Raw_data!B31="not estimated","0",Cost_of_crime_Raw_data!B31)</f>
        <v>0</v>
      </c>
      <c r="G42" s="187">
        <f>F42*$A42/100</f>
        <v>0</v>
      </c>
      <c r="H42" s="188">
        <f>F42+G42</f>
        <v>0</v>
      </c>
      <c r="I42" s="186" t="str">
        <f>IF(Cost_of_crime_Raw_data!B32="not estimated","0",Cost_of_crime_Raw_data!B32)</f>
        <v>0</v>
      </c>
      <c r="J42" s="187">
        <f>I42*$A42/100</f>
        <v>0</v>
      </c>
      <c r="K42" s="188">
        <f>I42+J42</f>
        <v>0</v>
      </c>
      <c r="L42" s="186" t="str">
        <f>IF(Cost_of_crime_Raw_data!B33="not estimated","0",Cost_of_crime_Raw_data!B33)</f>
        <v>0</v>
      </c>
      <c r="M42" s="187">
        <f>L42*$A42/100</f>
        <v>0</v>
      </c>
      <c r="N42" s="188">
        <f>L42+M42</f>
        <v>0</v>
      </c>
      <c r="O42" s="186" t="str">
        <f>IF(Cost_of_crime_Raw_data!B34="not estimated","0",Cost_of_crime_Raw_data!B34)</f>
        <v>0</v>
      </c>
      <c r="P42" s="187">
        <f>O42*$A42/100</f>
        <v>0</v>
      </c>
      <c r="Q42" s="188">
        <f>O42+P42</f>
        <v>0</v>
      </c>
      <c r="R42" s="186" t="str">
        <f>IF(Cost_of_crime_Raw_data!B35="not estimated","0",Cost_of_crime_Raw_data!B35)</f>
        <v>0</v>
      </c>
      <c r="S42" s="187">
        <f>R42*$A42/100</f>
        <v>0</v>
      </c>
      <c r="T42" s="188">
        <f>R42+S42</f>
        <v>0</v>
      </c>
      <c r="U42" s="187">
        <f>SUM(T42,Q42,N42,K42,H42,E42)</f>
        <v>0</v>
      </c>
    </row>
    <row r="43" spans="1:48">
      <c r="A43" s="169">
        <f>VLOOKUP(B43,Misc_inputs!$A$3:$B$33,2,0)</f>
        <v>1.8509525763893939</v>
      </c>
      <c r="B43" s="168">
        <v>2001</v>
      </c>
      <c r="C43" s="187">
        <f>E42</f>
        <v>0</v>
      </c>
      <c r="D43" s="187">
        <f>C43*$A43/100</f>
        <v>0</v>
      </c>
      <c r="E43" s="188">
        <f>C43+D43</f>
        <v>0</v>
      </c>
      <c r="F43" s="187">
        <f>H42</f>
        <v>0</v>
      </c>
      <c r="G43" s="187">
        <f>F43*$A43/100</f>
        <v>0</v>
      </c>
      <c r="H43" s="188">
        <f>F43+G43</f>
        <v>0</v>
      </c>
      <c r="I43" s="187">
        <f>K42</f>
        <v>0</v>
      </c>
      <c r="J43" s="187">
        <f>I43*$A43/100</f>
        <v>0</v>
      </c>
      <c r="K43" s="188">
        <f>I43+J43</f>
        <v>0</v>
      </c>
      <c r="L43" s="187">
        <f>N42</f>
        <v>0</v>
      </c>
      <c r="M43" s="187">
        <f>L43*$A43/100</f>
        <v>0</v>
      </c>
      <c r="N43" s="188">
        <f>L43+M43</f>
        <v>0</v>
      </c>
      <c r="O43" s="187">
        <f>Q42</f>
        <v>0</v>
      </c>
      <c r="P43" s="187">
        <f>O43*$A43/100</f>
        <v>0</v>
      </c>
      <c r="Q43" s="188">
        <f>O43+P43</f>
        <v>0</v>
      </c>
      <c r="R43" s="187">
        <f>T42</f>
        <v>0</v>
      </c>
      <c r="S43" s="187">
        <f>R43*$A43/100</f>
        <v>0</v>
      </c>
      <c r="T43" s="188">
        <f>R43+S43</f>
        <v>0</v>
      </c>
      <c r="U43" s="187">
        <f t="shared" ref="U43:U72" si="124">SUM(T43,Q43,N43,K43,H43,E43)</f>
        <v>0</v>
      </c>
    </row>
    <row r="44" spans="1:48">
      <c r="A44" s="169">
        <f>VLOOKUP(B44,Misc_inputs!$A$3:$B$33,2,0)</f>
        <v>2.0601670280994799</v>
      </c>
      <c r="B44" s="168">
        <v>2002</v>
      </c>
      <c r="C44" s="187">
        <f>E43</f>
        <v>0</v>
      </c>
      <c r="D44" s="187">
        <f t="shared" ref="D44:D55" si="125">C44*$A44/100</f>
        <v>0</v>
      </c>
      <c r="E44" s="188">
        <f t="shared" ref="E44:E72" si="126">C44+D44</f>
        <v>0</v>
      </c>
      <c r="F44" s="187">
        <f>H43</f>
        <v>0</v>
      </c>
      <c r="G44" s="187">
        <f t="shared" ref="G44:G55" si="127">F44*$A44/100</f>
        <v>0</v>
      </c>
      <c r="H44" s="188">
        <f t="shared" ref="H44:H72" si="128">F44+G44</f>
        <v>0</v>
      </c>
      <c r="I44" s="187">
        <f>K43</f>
        <v>0</v>
      </c>
      <c r="J44" s="187">
        <f t="shared" ref="J44:J55" si="129">I44*$A44/100</f>
        <v>0</v>
      </c>
      <c r="K44" s="188">
        <f t="shared" ref="K44:K72" si="130">I44+J44</f>
        <v>0</v>
      </c>
      <c r="L44" s="187">
        <f>N43</f>
        <v>0</v>
      </c>
      <c r="M44" s="187">
        <f t="shared" ref="M44:M55" si="131">L44*$A44/100</f>
        <v>0</v>
      </c>
      <c r="N44" s="188">
        <f t="shared" ref="N44:N72" si="132">L44+M44</f>
        <v>0</v>
      </c>
      <c r="O44" s="187">
        <f>Q43</f>
        <v>0</v>
      </c>
      <c r="P44" s="187">
        <f t="shared" ref="P44:P55" si="133">O44*$A44/100</f>
        <v>0</v>
      </c>
      <c r="Q44" s="188">
        <f t="shared" ref="Q44:Q72" si="134">O44+P44</f>
        <v>0</v>
      </c>
      <c r="R44" s="187">
        <f>T43</f>
        <v>0</v>
      </c>
      <c r="S44" s="187">
        <f t="shared" ref="S44:S55" si="135">R44*$A44/100</f>
        <v>0</v>
      </c>
      <c r="T44" s="188">
        <f t="shared" ref="T44:T72" si="136">R44+S44</f>
        <v>0</v>
      </c>
      <c r="U44" s="187">
        <f t="shared" si="124"/>
        <v>0</v>
      </c>
    </row>
    <row r="45" spans="1:48">
      <c r="A45" s="169">
        <f>VLOOKUP(B45,Misc_inputs!$A$3:$B$33,2,0)</f>
        <v>2.7352938960343987</v>
      </c>
      <c r="B45" s="168">
        <v>2003</v>
      </c>
      <c r="C45" s="187">
        <f t="shared" ref="C45:C72" si="137">E44</f>
        <v>0</v>
      </c>
      <c r="D45" s="187">
        <f t="shared" si="125"/>
        <v>0</v>
      </c>
      <c r="E45" s="188">
        <f t="shared" si="126"/>
        <v>0</v>
      </c>
      <c r="F45" s="187">
        <f t="shared" ref="F45:F72" si="138">H44</f>
        <v>0</v>
      </c>
      <c r="G45" s="187">
        <f t="shared" si="127"/>
        <v>0</v>
      </c>
      <c r="H45" s="188">
        <f t="shared" si="128"/>
        <v>0</v>
      </c>
      <c r="I45" s="187">
        <f t="shared" ref="I45:I72" si="139">K44</f>
        <v>0</v>
      </c>
      <c r="J45" s="187">
        <f t="shared" si="129"/>
        <v>0</v>
      </c>
      <c r="K45" s="188">
        <f t="shared" si="130"/>
        <v>0</v>
      </c>
      <c r="L45" s="187">
        <f t="shared" ref="L45:L72" si="140">N44</f>
        <v>0</v>
      </c>
      <c r="M45" s="187">
        <f t="shared" si="131"/>
        <v>0</v>
      </c>
      <c r="N45" s="188">
        <f t="shared" si="132"/>
        <v>0</v>
      </c>
      <c r="O45" s="187">
        <f t="shared" ref="O45:O72" si="141">Q44</f>
        <v>0</v>
      </c>
      <c r="P45" s="187">
        <f t="shared" si="133"/>
        <v>0</v>
      </c>
      <c r="Q45" s="188">
        <f t="shared" si="134"/>
        <v>0</v>
      </c>
      <c r="R45" s="187">
        <f t="shared" ref="R45:R72" si="142">T44</f>
        <v>0</v>
      </c>
      <c r="S45" s="187">
        <f t="shared" si="135"/>
        <v>0</v>
      </c>
      <c r="T45" s="188">
        <f t="shared" si="136"/>
        <v>0</v>
      </c>
      <c r="U45" s="187">
        <f t="shared" si="124"/>
        <v>0</v>
      </c>
    </row>
    <row r="46" spans="1:48">
      <c r="A46" s="169">
        <f>VLOOKUP(B46,Misc_inputs!$A$3:$B$33,2,0)</f>
        <v>2.5734301841181981</v>
      </c>
      <c r="B46" s="168">
        <v>2004</v>
      </c>
      <c r="C46" s="187">
        <f t="shared" si="137"/>
        <v>0</v>
      </c>
      <c r="D46" s="187">
        <f t="shared" si="125"/>
        <v>0</v>
      </c>
      <c r="E46" s="188">
        <f t="shared" si="126"/>
        <v>0</v>
      </c>
      <c r="F46" s="187">
        <f t="shared" si="138"/>
        <v>0</v>
      </c>
      <c r="G46" s="187">
        <f t="shared" si="127"/>
        <v>0</v>
      </c>
      <c r="H46" s="188">
        <f t="shared" si="128"/>
        <v>0</v>
      </c>
      <c r="I46" s="187">
        <f t="shared" si="139"/>
        <v>0</v>
      </c>
      <c r="J46" s="187">
        <f t="shared" si="129"/>
        <v>0</v>
      </c>
      <c r="K46" s="188">
        <f t="shared" si="130"/>
        <v>0</v>
      </c>
      <c r="L46" s="187">
        <f t="shared" si="140"/>
        <v>0</v>
      </c>
      <c r="M46" s="187">
        <f t="shared" si="131"/>
        <v>0</v>
      </c>
      <c r="N46" s="188">
        <f t="shared" si="132"/>
        <v>0</v>
      </c>
      <c r="O46" s="187">
        <f t="shared" si="141"/>
        <v>0</v>
      </c>
      <c r="P46" s="187">
        <f t="shared" si="133"/>
        <v>0</v>
      </c>
      <c r="Q46" s="188">
        <f t="shared" si="134"/>
        <v>0</v>
      </c>
      <c r="R46" s="187">
        <f t="shared" si="142"/>
        <v>0</v>
      </c>
      <c r="S46" s="187">
        <f t="shared" si="135"/>
        <v>0</v>
      </c>
      <c r="T46" s="188">
        <f t="shared" si="136"/>
        <v>0</v>
      </c>
      <c r="U46" s="187">
        <f t="shared" si="124"/>
        <v>0</v>
      </c>
    </row>
    <row r="47" spans="1:48">
      <c r="A47" s="169">
        <f>VLOOKUP(B47,Misc_inputs!$A$3:$B$33,2,0)</f>
        <v>3.1315066925981085</v>
      </c>
      <c r="B47" s="168">
        <v>2005</v>
      </c>
      <c r="C47" s="187">
        <f t="shared" si="137"/>
        <v>0</v>
      </c>
      <c r="D47" s="187">
        <f t="shared" si="125"/>
        <v>0</v>
      </c>
      <c r="E47" s="188">
        <f t="shared" si="126"/>
        <v>0</v>
      </c>
      <c r="F47" s="187">
        <f t="shared" si="138"/>
        <v>0</v>
      </c>
      <c r="G47" s="187">
        <f t="shared" si="127"/>
        <v>0</v>
      </c>
      <c r="H47" s="188">
        <f t="shared" si="128"/>
        <v>0</v>
      </c>
      <c r="I47" s="187">
        <f t="shared" si="139"/>
        <v>0</v>
      </c>
      <c r="J47" s="187">
        <f t="shared" si="129"/>
        <v>0</v>
      </c>
      <c r="K47" s="188">
        <f t="shared" si="130"/>
        <v>0</v>
      </c>
      <c r="L47" s="187">
        <f t="shared" si="140"/>
        <v>0</v>
      </c>
      <c r="M47" s="187">
        <f t="shared" si="131"/>
        <v>0</v>
      </c>
      <c r="N47" s="188">
        <f t="shared" si="132"/>
        <v>0</v>
      </c>
      <c r="O47" s="187">
        <f t="shared" si="141"/>
        <v>0</v>
      </c>
      <c r="P47" s="187">
        <f t="shared" si="133"/>
        <v>0</v>
      </c>
      <c r="Q47" s="188">
        <f t="shared" si="134"/>
        <v>0</v>
      </c>
      <c r="R47" s="187">
        <f t="shared" si="142"/>
        <v>0</v>
      </c>
      <c r="S47" s="187">
        <f t="shared" si="135"/>
        <v>0</v>
      </c>
      <c r="T47" s="188">
        <f t="shared" si="136"/>
        <v>0</v>
      </c>
      <c r="U47" s="187">
        <f t="shared" si="124"/>
        <v>0</v>
      </c>
    </row>
    <row r="48" spans="1:48">
      <c r="A48" s="169">
        <f>VLOOKUP(B48,Misc_inputs!$A$3:$B$33,2,0)</f>
        <v>2.853248435199073</v>
      </c>
      <c r="B48" s="168">
        <v>2006</v>
      </c>
      <c r="C48" s="187">
        <f t="shared" si="137"/>
        <v>0</v>
      </c>
      <c r="D48" s="187">
        <f t="shared" si="125"/>
        <v>0</v>
      </c>
      <c r="E48" s="188">
        <f t="shared" si="126"/>
        <v>0</v>
      </c>
      <c r="F48" s="187">
        <f t="shared" si="138"/>
        <v>0</v>
      </c>
      <c r="G48" s="187">
        <f t="shared" si="127"/>
        <v>0</v>
      </c>
      <c r="H48" s="188">
        <f t="shared" si="128"/>
        <v>0</v>
      </c>
      <c r="I48" s="187">
        <f t="shared" si="139"/>
        <v>0</v>
      </c>
      <c r="J48" s="187">
        <f t="shared" si="129"/>
        <v>0</v>
      </c>
      <c r="K48" s="188">
        <f t="shared" si="130"/>
        <v>0</v>
      </c>
      <c r="L48" s="187">
        <f t="shared" si="140"/>
        <v>0</v>
      </c>
      <c r="M48" s="187">
        <f t="shared" si="131"/>
        <v>0</v>
      </c>
      <c r="N48" s="188">
        <f t="shared" si="132"/>
        <v>0</v>
      </c>
      <c r="O48" s="187">
        <f t="shared" si="141"/>
        <v>0</v>
      </c>
      <c r="P48" s="187">
        <f t="shared" si="133"/>
        <v>0</v>
      </c>
      <c r="Q48" s="188">
        <f t="shared" si="134"/>
        <v>0</v>
      </c>
      <c r="R48" s="187">
        <f t="shared" si="142"/>
        <v>0</v>
      </c>
      <c r="S48" s="187">
        <f t="shared" si="135"/>
        <v>0</v>
      </c>
      <c r="T48" s="188">
        <f t="shared" si="136"/>
        <v>0</v>
      </c>
      <c r="U48" s="187">
        <f t="shared" si="124"/>
        <v>0</v>
      </c>
    </row>
    <row r="49" spans="1:21">
      <c r="A49" s="169">
        <f>VLOOKUP(B49,Misc_inputs!$A$3:$B$33,2,0)</f>
        <v>2.7960714791272023</v>
      </c>
      <c r="B49" s="168">
        <v>2007</v>
      </c>
      <c r="C49" s="187">
        <f t="shared" si="137"/>
        <v>0</v>
      </c>
      <c r="D49" s="187">
        <f t="shared" si="125"/>
        <v>0</v>
      </c>
      <c r="E49" s="188">
        <f t="shared" si="126"/>
        <v>0</v>
      </c>
      <c r="F49" s="187">
        <f t="shared" si="138"/>
        <v>0</v>
      </c>
      <c r="G49" s="187">
        <f t="shared" si="127"/>
        <v>0</v>
      </c>
      <c r="H49" s="188">
        <f t="shared" si="128"/>
        <v>0</v>
      </c>
      <c r="I49" s="187">
        <f t="shared" si="139"/>
        <v>0</v>
      </c>
      <c r="J49" s="187">
        <f t="shared" si="129"/>
        <v>0</v>
      </c>
      <c r="K49" s="188">
        <f t="shared" si="130"/>
        <v>0</v>
      </c>
      <c r="L49" s="187">
        <f t="shared" si="140"/>
        <v>0</v>
      </c>
      <c r="M49" s="187">
        <f t="shared" si="131"/>
        <v>0</v>
      </c>
      <c r="N49" s="188">
        <f t="shared" si="132"/>
        <v>0</v>
      </c>
      <c r="O49" s="187">
        <f t="shared" si="141"/>
        <v>0</v>
      </c>
      <c r="P49" s="187">
        <f t="shared" si="133"/>
        <v>0</v>
      </c>
      <c r="Q49" s="188">
        <f t="shared" si="134"/>
        <v>0</v>
      </c>
      <c r="R49" s="187">
        <f t="shared" si="142"/>
        <v>0</v>
      </c>
      <c r="S49" s="187">
        <f t="shared" si="135"/>
        <v>0</v>
      </c>
      <c r="T49" s="188">
        <f t="shared" si="136"/>
        <v>0</v>
      </c>
      <c r="U49" s="187">
        <f t="shared" si="124"/>
        <v>0</v>
      </c>
    </row>
    <row r="50" spans="1:21">
      <c r="A50" s="169">
        <f>VLOOKUP(B50,Misc_inputs!$A$3:$B$33,2,0)</f>
        <v>3.2489393373071294</v>
      </c>
      <c r="B50" s="168">
        <v>2008</v>
      </c>
      <c r="C50" s="187">
        <f t="shared" si="137"/>
        <v>0</v>
      </c>
      <c r="D50" s="187">
        <f t="shared" si="125"/>
        <v>0</v>
      </c>
      <c r="E50" s="188">
        <f t="shared" si="126"/>
        <v>0</v>
      </c>
      <c r="F50" s="187">
        <f t="shared" si="138"/>
        <v>0</v>
      </c>
      <c r="G50" s="187">
        <f t="shared" si="127"/>
        <v>0</v>
      </c>
      <c r="H50" s="188">
        <f t="shared" si="128"/>
        <v>0</v>
      </c>
      <c r="I50" s="187">
        <f t="shared" si="139"/>
        <v>0</v>
      </c>
      <c r="J50" s="187">
        <f t="shared" si="129"/>
        <v>0</v>
      </c>
      <c r="K50" s="188">
        <f t="shared" si="130"/>
        <v>0</v>
      </c>
      <c r="L50" s="187">
        <f t="shared" si="140"/>
        <v>0</v>
      </c>
      <c r="M50" s="187">
        <f t="shared" si="131"/>
        <v>0</v>
      </c>
      <c r="N50" s="188">
        <f t="shared" si="132"/>
        <v>0</v>
      </c>
      <c r="O50" s="187">
        <f t="shared" si="141"/>
        <v>0</v>
      </c>
      <c r="P50" s="187">
        <f t="shared" si="133"/>
        <v>0</v>
      </c>
      <c r="Q50" s="188">
        <f t="shared" si="134"/>
        <v>0</v>
      </c>
      <c r="R50" s="187">
        <f t="shared" si="142"/>
        <v>0</v>
      </c>
      <c r="S50" s="187">
        <f t="shared" si="135"/>
        <v>0</v>
      </c>
      <c r="T50" s="188">
        <f t="shared" si="136"/>
        <v>0</v>
      </c>
      <c r="U50" s="187">
        <f t="shared" si="124"/>
        <v>0</v>
      </c>
    </row>
    <row r="51" spans="1:21">
      <c r="A51" s="169">
        <f>VLOOKUP(B51,Misc_inputs!$A$3:$B$33,2,0)</f>
        <v>1.7010725699507729</v>
      </c>
      <c r="B51" s="168">
        <v>2009</v>
      </c>
      <c r="C51" s="187">
        <f t="shared" si="137"/>
        <v>0</v>
      </c>
      <c r="D51" s="187">
        <f t="shared" si="125"/>
        <v>0</v>
      </c>
      <c r="E51" s="188">
        <f t="shared" si="126"/>
        <v>0</v>
      </c>
      <c r="F51" s="187">
        <f t="shared" si="138"/>
        <v>0</v>
      </c>
      <c r="G51" s="187">
        <f t="shared" si="127"/>
        <v>0</v>
      </c>
      <c r="H51" s="188">
        <f t="shared" si="128"/>
        <v>0</v>
      </c>
      <c r="I51" s="187">
        <f t="shared" si="139"/>
        <v>0</v>
      </c>
      <c r="J51" s="187">
        <f t="shared" si="129"/>
        <v>0</v>
      </c>
      <c r="K51" s="188">
        <f t="shared" si="130"/>
        <v>0</v>
      </c>
      <c r="L51" s="187">
        <f t="shared" si="140"/>
        <v>0</v>
      </c>
      <c r="M51" s="187">
        <f t="shared" si="131"/>
        <v>0</v>
      </c>
      <c r="N51" s="188">
        <f t="shared" si="132"/>
        <v>0</v>
      </c>
      <c r="O51" s="187">
        <f t="shared" si="141"/>
        <v>0</v>
      </c>
      <c r="P51" s="187">
        <f t="shared" si="133"/>
        <v>0</v>
      </c>
      <c r="Q51" s="188">
        <f t="shared" si="134"/>
        <v>0</v>
      </c>
      <c r="R51" s="187">
        <f t="shared" si="142"/>
        <v>0</v>
      </c>
      <c r="S51" s="187">
        <f t="shared" si="135"/>
        <v>0</v>
      </c>
      <c r="T51" s="188">
        <f t="shared" si="136"/>
        <v>0</v>
      </c>
      <c r="U51" s="187">
        <f t="shared" si="124"/>
        <v>0</v>
      </c>
    </row>
    <row r="52" spans="1:21">
      <c r="A52" s="169">
        <f>VLOOKUP(B52,Misc_inputs!$A$3:$B$33,2,0)</f>
        <v>1.3734918692079017</v>
      </c>
      <c r="B52" s="168">
        <v>2010</v>
      </c>
      <c r="C52" s="187">
        <f t="shared" si="137"/>
        <v>0</v>
      </c>
      <c r="D52" s="187">
        <f t="shared" si="125"/>
        <v>0</v>
      </c>
      <c r="E52" s="188">
        <f t="shared" si="126"/>
        <v>0</v>
      </c>
      <c r="F52" s="187">
        <f t="shared" si="138"/>
        <v>0</v>
      </c>
      <c r="G52" s="187">
        <f t="shared" si="127"/>
        <v>0</v>
      </c>
      <c r="H52" s="188">
        <f t="shared" si="128"/>
        <v>0</v>
      </c>
      <c r="I52" s="187">
        <f t="shared" si="139"/>
        <v>0</v>
      </c>
      <c r="J52" s="187">
        <f t="shared" si="129"/>
        <v>0</v>
      </c>
      <c r="K52" s="188">
        <f t="shared" si="130"/>
        <v>0</v>
      </c>
      <c r="L52" s="187">
        <f t="shared" si="140"/>
        <v>0</v>
      </c>
      <c r="M52" s="187">
        <f t="shared" si="131"/>
        <v>0</v>
      </c>
      <c r="N52" s="188">
        <f t="shared" si="132"/>
        <v>0</v>
      </c>
      <c r="O52" s="187">
        <f t="shared" si="141"/>
        <v>0</v>
      </c>
      <c r="P52" s="187">
        <f t="shared" si="133"/>
        <v>0</v>
      </c>
      <c r="Q52" s="188">
        <f t="shared" si="134"/>
        <v>0</v>
      </c>
      <c r="R52" s="187">
        <f t="shared" si="142"/>
        <v>0</v>
      </c>
      <c r="S52" s="187">
        <f t="shared" si="135"/>
        <v>0</v>
      </c>
      <c r="T52" s="188">
        <f t="shared" si="136"/>
        <v>0</v>
      </c>
      <c r="U52" s="187">
        <f t="shared" si="124"/>
        <v>0</v>
      </c>
    </row>
    <row r="53" spans="1:21">
      <c r="A53" s="169">
        <f>VLOOKUP(B53,Misc_inputs!$A$3:$B$33,2,0)</f>
        <v>2.0688542081199257</v>
      </c>
      <c r="B53" s="168">
        <v>2011</v>
      </c>
      <c r="C53" s="187">
        <f t="shared" si="137"/>
        <v>0</v>
      </c>
      <c r="D53" s="187">
        <f t="shared" si="125"/>
        <v>0</v>
      </c>
      <c r="E53" s="188">
        <f t="shared" si="126"/>
        <v>0</v>
      </c>
      <c r="F53" s="187">
        <f t="shared" si="138"/>
        <v>0</v>
      </c>
      <c r="G53" s="187">
        <f t="shared" si="127"/>
        <v>0</v>
      </c>
      <c r="H53" s="188">
        <f t="shared" si="128"/>
        <v>0</v>
      </c>
      <c r="I53" s="187">
        <f t="shared" si="139"/>
        <v>0</v>
      </c>
      <c r="J53" s="187">
        <f t="shared" si="129"/>
        <v>0</v>
      </c>
      <c r="K53" s="188">
        <f t="shared" si="130"/>
        <v>0</v>
      </c>
      <c r="L53" s="187">
        <f t="shared" si="140"/>
        <v>0</v>
      </c>
      <c r="M53" s="187">
        <f t="shared" si="131"/>
        <v>0</v>
      </c>
      <c r="N53" s="188">
        <f t="shared" si="132"/>
        <v>0</v>
      </c>
      <c r="O53" s="187">
        <f t="shared" si="141"/>
        <v>0</v>
      </c>
      <c r="P53" s="187">
        <f t="shared" si="133"/>
        <v>0</v>
      </c>
      <c r="Q53" s="188">
        <f t="shared" si="134"/>
        <v>0</v>
      </c>
      <c r="R53" s="187">
        <f t="shared" si="142"/>
        <v>0</v>
      </c>
      <c r="S53" s="187">
        <f t="shared" si="135"/>
        <v>0</v>
      </c>
      <c r="T53" s="188">
        <f t="shared" si="136"/>
        <v>0</v>
      </c>
      <c r="U53" s="187">
        <f t="shared" si="124"/>
        <v>0</v>
      </c>
    </row>
    <row r="54" spans="1:21">
      <c r="A54" s="169">
        <f>VLOOKUP(B54,Misc_inputs!$A$3:$B$33,2,0)</f>
        <v>1.6091515591183065</v>
      </c>
      <c r="B54" s="168">
        <v>2012</v>
      </c>
      <c r="C54" s="187">
        <f t="shared" si="137"/>
        <v>0</v>
      </c>
      <c r="D54" s="187">
        <f t="shared" si="125"/>
        <v>0</v>
      </c>
      <c r="E54" s="188">
        <f t="shared" si="126"/>
        <v>0</v>
      </c>
      <c r="F54" s="187">
        <f t="shared" si="138"/>
        <v>0</v>
      </c>
      <c r="G54" s="187">
        <f t="shared" si="127"/>
        <v>0</v>
      </c>
      <c r="H54" s="188">
        <f t="shared" si="128"/>
        <v>0</v>
      </c>
      <c r="I54" s="187">
        <f t="shared" si="139"/>
        <v>0</v>
      </c>
      <c r="J54" s="187">
        <f t="shared" si="129"/>
        <v>0</v>
      </c>
      <c r="K54" s="188">
        <f t="shared" si="130"/>
        <v>0</v>
      </c>
      <c r="L54" s="187">
        <f t="shared" si="140"/>
        <v>0</v>
      </c>
      <c r="M54" s="187">
        <f t="shared" si="131"/>
        <v>0</v>
      </c>
      <c r="N54" s="188">
        <f t="shared" si="132"/>
        <v>0</v>
      </c>
      <c r="O54" s="187">
        <f t="shared" si="141"/>
        <v>0</v>
      </c>
      <c r="P54" s="187">
        <f t="shared" si="133"/>
        <v>0</v>
      </c>
      <c r="Q54" s="188">
        <f t="shared" si="134"/>
        <v>0</v>
      </c>
      <c r="R54" s="187">
        <f t="shared" si="142"/>
        <v>0</v>
      </c>
      <c r="S54" s="187">
        <f t="shared" si="135"/>
        <v>0</v>
      </c>
      <c r="T54" s="188">
        <f t="shared" si="136"/>
        <v>0</v>
      </c>
      <c r="U54" s="187">
        <f t="shared" si="124"/>
        <v>0</v>
      </c>
    </row>
    <row r="55" spans="1:21">
      <c r="A55" s="169">
        <f>VLOOKUP(B55,Misc_inputs!$A$3:$B$33,2,0)</f>
        <v>2.2357385540164949</v>
      </c>
      <c r="B55" s="168">
        <v>2013</v>
      </c>
      <c r="C55" s="187">
        <f t="shared" si="137"/>
        <v>0</v>
      </c>
      <c r="D55" s="187">
        <f t="shared" si="125"/>
        <v>0</v>
      </c>
      <c r="E55" s="188">
        <f t="shared" si="126"/>
        <v>0</v>
      </c>
      <c r="F55" s="187">
        <f t="shared" si="138"/>
        <v>0</v>
      </c>
      <c r="G55" s="187">
        <f t="shared" si="127"/>
        <v>0</v>
      </c>
      <c r="H55" s="188">
        <f t="shared" si="128"/>
        <v>0</v>
      </c>
      <c r="I55" s="187">
        <f t="shared" si="139"/>
        <v>0</v>
      </c>
      <c r="J55" s="187">
        <f t="shared" si="129"/>
        <v>0</v>
      </c>
      <c r="K55" s="188">
        <f t="shared" si="130"/>
        <v>0</v>
      </c>
      <c r="L55" s="187">
        <f t="shared" si="140"/>
        <v>0</v>
      </c>
      <c r="M55" s="187">
        <f t="shared" si="131"/>
        <v>0</v>
      </c>
      <c r="N55" s="188">
        <f t="shared" si="132"/>
        <v>0</v>
      </c>
      <c r="O55" s="187">
        <f t="shared" si="141"/>
        <v>0</v>
      </c>
      <c r="P55" s="187">
        <f t="shared" si="133"/>
        <v>0</v>
      </c>
      <c r="Q55" s="188">
        <f t="shared" si="134"/>
        <v>0</v>
      </c>
      <c r="R55" s="187">
        <f t="shared" si="142"/>
        <v>0</v>
      </c>
      <c r="S55" s="187">
        <f t="shared" si="135"/>
        <v>0</v>
      </c>
      <c r="T55" s="188">
        <f t="shared" si="136"/>
        <v>0</v>
      </c>
      <c r="U55" s="187">
        <f t="shared" si="124"/>
        <v>0</v>
      </c>
    </row>
    <row r="56" spans="1:21">
      <c r="A56" s="169">
        <f>VLOOKUP(B56,Misc_inputs!$A$3:$B$33,2,0)</f>
        <v>1.5952823611433897</v>
      </c>
      <c r="B56" s="168">
        <v>2014</v>
      </c>
      <c r="C56" s="187">
        <f t="shared" si="137"/>
        <v>0</v>
      </c>
      <c r="D56" s="187">
        <f>C56*$A56/100</f>
        <v>0</v>
      </c>
      <c r="E56" s="188">
        <f t="shared" si="126"/>
        <v>0</v>
      </c>
      <c r="F56" s="187">
        <f t="shared" si="138"/>
        <v>0</v>
      </c>
      <c r="G56" s="187">
        <f>F56*$A56/100</f>
        <v>0</v>
      </c>
      <c r="H56" s="188">
        <f t="shared" si="128"/>
        <v>0</v>
      </c>
      <c r="I56" s="187">
        <f t="shared" si="139"/>
        <v>0</v>
      </c>
      <c r="J56" s="187">
        <f>I56*$A56/100</f>
        <v>0</v>
      </c>
      <c r="K56" s="188">
        <f t="shared" si="130"/>
        <v>0</v>
      </c>
      <c r="L56" s="187">
        <f t="shared" si="140"/>
        <v>0</v>
      </c>
      <c r="M56" s="187">
        <f>L56*$A56/100</f>
        <v>0</v>
      </c>
      <c r="N56" s="188">
        <f t="shared" si="132"/>
        <v>0</v>
      </c>
      <c r="O56" s="187">
        <f t="shared" si="141"/>
        <v>0</v>
      </c>
      <c r="P56" s="187">
        <f>O56*$A56/100</f>
        <v>0</v>
      </c>
      <c r="Q56" s="188">
        <f t="shared" si="134"/>
        <v>0</v>
      </c>
      <c r="R56" s="187">
        <f t="shared" si="142"/>
        <v>0</v>
      </c>
      <c r="S56" s="187">
        <f>R56*$A56/100</f>
        <v>0</v>
      </c>
      <c r="T56" s="188">
        <f t="shared" si="136"/>
        <v>0</v>
      </c>
      <c r="U56" s="187">
        <f t="shared" si="124"/>
        <v>0</v>
      </c>
    </row>
    <row r="57" spans="1:21">
      <c r="A57" s="169">
        <f>VLOOKUP(B57,Misc_inputs!$A$3:$B$33,2,0)</f>
        <v>0.51307917271416026</v>
      </c>
      <c r="B57" s="168">
        <v>2015</v>
      </c>
      <c r="C57" s="187">
        <f t="shared" si="137"/>
        <v>0</v>
      </c>
      <c r="D57" s="187">
        <f t="shared" ref="D57:D72" si="143">C57*$A57/100</f>
        <v>0</v>
      </c>
      <c r="E57" s="188">
        <f t="shared" si="126"/>
        <v>0</v>
      </c>
      <c r="F57" s="187">
        <f t="shared" si="138"/>
        <v>0</v>
      </c>
      <c r="G57" s="187">
        <f t="shared" ref="G57:G72" si="144">F57*$A57/100</f>
        <v>0</v>
      </c>
      <c r="H57" s="188">
        <f t="shared" si="128"/>
        <v>0</v>
      </c>
      <c r="I57" s="187">
        <f t="shared" si="139"/>
        <v>0</v>
      </c>
      <c r="J57" s="187">
        <f t="shared" ref="J57:J72" si="145">I57*$A57/100</f>
        <v>0</v>
      </c>
      <c r="K57" s="188">
        <f t="shared" si="130"/>
        <v>0</v>
      </c>
      <c r="L57" s="187">
        <f t="shared" si="140"/>
        <v>0</v>
      </c>
      <c r="M57" s="187">
        <f t="shared" ref="M57:M72" si="146">L57*$A57/100</f>
        <v>0</v>
      </c>
      <c r="N57" s="188">
        <f t="shared" si="132"/>
        <v>0</v>
      </c>
      <c r="O57" s="187">
        <f t="shared" si="141"/>
        <v>0</v>
      </c>
      <c r="P57" s="187">
        <f t="shared" ref="P57:P72" si="147">O57*$A57/100</f>
        <v>0</v>
      </c>
      <c r="Q57" s="188">
        <f t="shared" si="134"/>
        <v>0</v>
      </c>
      <c r="R57" s="187">
        <f t="shared" si="142"/>
        <v>0</v>
      </c>
      <c r="S57" s="187">
        <f t="shared" ref="S57:S72" si="148">R57*$A57/100</f>
        <v>0</v>
      </c>
      <c r="T57" s="188">
        <f t="shared" si="136"/>
        <v>0</v>
      </c>
      <c r="U57" s="187">
        <f t="shared" si="124"/>
        <v>0</v>
      </c>
    </row>
    <row r="58" spans="1:21">
      <c r="A58" s="169">
        <f>VLOOKUP(B58,Misc_inputs!$A$3:$B$33,2,0)</f>
        <v>1.8963035451147277</v>
      </c>
      <c r="B58" s="168">
        <v>2016</v>
      </c>
      <c r="C58" s="187">
        <f t="shared" si="137"/>
        <v>0</v>
      </c>
      <c r="D58" s="187">
        <f t="shared" si="143"/>
        <v>0</v>
      </c>
      <c r="E58" s="188">
        <f t="shared" si="126"/>
        <v>0</v>
      </c>
      <c r="F58" s="187">
        <f t="shared" si="138"/>
        <v>0</v>
      </c>
      <c r="G58" s="187">
        <f t="shared" si="144"/>
        <v>0</v>
      </c>
      <c r="H58" s="188">
        <f t="shared" si="128"/>
        <v>0</v>
      </c>
      <c r="I58" s="187">
        <f t="shared" si="139"/>
        <v>0</v>
      </c>
      <c r="J58" s="187">
        <f t="shared" si="145"/>
        <v>0</v>
      </c>
      <c r="K58" s="188">
        <f t="shared" si="130"/>
        <v>0</v>
      </c>
      <c r="L58" s="187">
        <f t="shared" si="140"/>
        <v>0</v>
      </c>
      <c r="M58" s="187">
        <f t="shared" si="146"/>
        <v>0</v>
      </c>
      <c r="N58" s="188">
        <f t="shared" si="132"/>
        <v>0</v>
      </c>
      <c r="O58" s="187">
        <f t="shared" si="141"/>
        <v>0</v>
      </c>
      <c r="P58" s="187">
        <f t="shared" si="147"/>
        <v>0</v>
      </c>
      <c r="Q58" s="188">
        <f t="shared" si="134"/>
        <v>0</v>
      </c>
      <c r="R58" s="187">
        <f t="shared" si="142"/>
        <v>0</v>
      </c>
      <c r="S58" s="187">
        <f t="shared" si="148"/>
        <v>0</v>
      </c>
      <c r="T58" s="188">
        <f t="shared" si="136"/>
        <v>0</v>
      </c>
      <c r="U58" s="187">
        <f t="shared" si="124"/>
        <v>0</v>
      </c>
    </row>
    <row r="59" spans="1:21">
      <c r="A59" s="169">
        <f>VLOOKUP(B59,Misc_inputs!$A$3:$B$33,2,0)</f>
        <v>1.8209228570152332</v>
      </c>
      <c r="B59" s="168">
        <v>2017</v>
      </c>
      <c r="C59" s="187">
        <f t="shared" si="137"/>
        <v>0</v>
      </c>
      <c r="D59" s="187">
        <f t="shared" si="143"/>
        <v>0</v>
      </c>
      <c r="E59" s="188">
        <f t="shared" si="126"/>
        <v>0</v>
      </c>
      <c r="F59" s="187">
        <f t="shared" si="138"/>
        <v>0</v>
      </c>
      <c r="G59" s="187">
        <f t="shared" si="144"/>
        <v>0</v>
      </c>
      <c r="H59" s="188">
        <f t="shared" si="128"/>
        <v>0</v>
      </c>
      <c r="I59" s="187">
        <f t="shared" si="139"/>
        <v>0</v>
      </c>
      <c r="J59" s="187">
        <f t="shared" si="145"/>
        <v>0</v>
      </c>
      <c r="K59" s="188">
        <f t="shared" si="130"/>
        <v>0</v>
      </c>
      <c r="L59" s="187">
        <f t="shared" si="140"/>
        <v>0</v>
      </c>
      <c r="M59" s="187">
        <f t="shared" si="146"/>
        <v>0</v>
      </c>
      <c r="N59" s="188">
        <f t="shared" si="132"/>
        <v>0</v>
      </c>
      <c r="O59" s="187">
        <f t="shared" si="141"/>
        <v>0</v>
      </c>
      <c r="P59" s="187">
        <f t="shared" si="147"/>
        <v>0</v>
      </c>
      <c r="Q59" s="188">
        <f t="shared" si="134"/>
        <v>0</v>
      </c>
      <c r="R59" s="187">
        <f t="shared" si="142"/>
        <v>0</v>
      </c>
      <c r="S59" s="187">
        <f t="shared" si="148"/>
        <v>0</v>
      </c>
      <c r="T59" s="188">
        <f t="shared" si="136"/>
        <v>0</v>
      </c>
      <c r="U59" s="187">
        <f t="shared" si="124"/>
        <v>0</v>
      </c>
    </row>
    <row r="60" spans="1:21">
      <c r="A60" s="169">
        <f>VLOOKUP(B60,Misc_inputs!$A$3:$B$33,2,0)</f>
        <v>1.9988242855231282</v>
      </c>
      <c r="B60" s="168">
        <v>2018</v>
      </c>
      <c r="C60" s="187">
        <f t="shared" si="137"/>
        <v>0</v>
      </c>
      <c r="D60" s="187">
        <f t="shared" si="143"/>
        <v>0</v>
      </c>
      <c r="E60" s="188">
        <f t="shared" si="126"/>
        <v>0</v>
      </c>
      <c r="F60" s="187">
        <f t="shared" si="138"/>
        <v>0</v>
      </c>
      <c r="G60" s="187">
        <f t="shared" si="144"/>
        <v>0</v>
      </c>
      <c r="H60" s="188">
        <f t="shared" si="128"/>
        <v>0</v>
      </c>
      <c r="I60" s="187">
        <f t="shared" si="139"/>
        <v>0</v>
      </c>
      <c r="J60" s="187">
        <f t="shared" si="145"/>
        <v>0</v>
      </c>
      <c r="K60" s="188">
        <f t="shared" si="130"/>
        <v>0</v>
      </c>
      <c r="L60" s="187">
        <f t="shared" si="140"/>
        <v>0</v>
      </c>
      <c r="M60" s="187">
        <f t="shared" si="146"/>
        <v>0</v>
      </c>
      <c r="N60" s="188">
        <f t="shared" si="132"/>
        <v>0</v>
      </c>
      <c r="O60" s="187">
        <f t="shared" si="141"/>
        <v>0</v>
      </c>
      <c r="P60" s="187">
        <f t="shared" si="147"/>
        <v>0</v>
      </c>
      <c r="Q60" s="188">
        <f t="shared" si="134"/>
        <v>0</v>
      </c>
      <c r="R60" s="187">
        <f t="shared" si="142"/>
        <v>0</v>
      </c>
      <c r="S60" s="187">
        <f t="shared" si="148"/>
        <v>0</v>
      </c>
      <c r="T60" s="188">
        <f t="shared" si="136"/>
        <v>0</v>
      </c>
      <c r="U60" s="187">
        <f t="shared" si="124"/>
        <v>0</v>
      </c>
    </row>
    <row r="61" spans="1:21">
      <c r="A61" s="169">
        <f>VLOOKUP(B61,Misc_inputs!$A$3:$B$33,2,0)</f>
        <v>2.0163202370724722</v>
      </c>
      <c r="B61" s="168">
        <v>2019</v>
      </c>
      <c r="C61" s="187">
        <f t="shared" si="137"/>
        <v>0</v>
      </c>
      <c r="D61" s="187">
        <f t="shared" si="143"/>
        <v>0</v>
      </c>
      <c r="E61" s="188">
        <f t="shared" si="126"/>
        <v>0</v>
      </c>
      <c r="F61" s="187">
        <f t="shared" si="138"/>
        <v>0</v>
      </c>
      <c r="G61" s="187">
        <f t="shared" si="144"/>
        <v>0</v>
      </c>
      <c r="H61" s="188">
        <f t="shared" si="128"/>
        <v>0</v>
      </c>
      <c r="I61" s="187">
        <f t="shared" si="139"/>
        <v>0</v>
      </c>
      <c r="J61" s="187">
        <f t="shared" si="145"/>
        <v>0</v>
      </c>
      <c r="K61" s="188">
        <f t="shared" si="130"/>
        <v>0</v>
      </c>
      <c r="L61" s="187">
        <f t="shared" si="140"/>
        <v>0</v>
      </c>
      <c r="M61" s="187">
        <f t="shared" si="146"/>
        <v>0</v>
      </c>
      <c r="N61" s="188">
        <f t="shared" si="132"/>
        <v>0</v>
      </c>
      <c r="O61" s="187">
        <f t="shared" si="141"/>
        <v>0</v>
      </c>
      <c r="P61" s="187">
        <f t="shared" si="147"/>
        <v>0</v>
      </c>
      <c r="Q61" s="188">
        <f t="shared" si="134"/>
        <v>0</v>
      </c>
      <c r="R61" s="187">
        <f t="shared" si="142"/>
        <v>0</v>
      </c>
      <c r="S61" s="187">
        <f t="shared" si="148"/>
        <v>0</v>
      </c>
      <c r="T61" s="188">
        <f t="shared" si="136"/>
        <v>0</v>
      </c>
      <c r="U61" s="187">
        <f t="shared" si="124"/>
        <v>0</v>
      </c>
    </row>
    <row r="62" spans="1:21">
      <c r="A62" s="169">
        <f>VLOOKUP(B62,Misc_inputs!$A$3:$B$33,2,0)</f>
        <v>5.3200852056836103</v>
      </c>
      <c r="B62" s="168">
        <v>2020</v>
      </c>
      <c r="C62" s="187">
        <f t="shared" si="137"/>
        <v>0</v>
      </c>
      <c r="D62" s="187">
        <f t="shared" si="143"/>
        <v>0</v>
      </c>
      <c r="E62" s="188">
        <f t="shared" si="126"/>
        <v>0</v>
      </c>
      <c r="F62" s="187">
        <f t="shared" si="138"/>
        <v>0</v>
      </c>
      <c r="G62" s="187">
        <f t="shared" si="144"/>
        <v>0</v>
      </c>
      <c r="H62" s="188">
        <f t="shared" si="128"/>
        <v>0</v>
      </c>
      <c r="I62" s="187">
        <f t="shared" si="139"/>
        <v>0</v>
      </c>
      <c r="J62" s="187">
        <f t="shared" si="145"/>
        <v>0</v>
      </c>
      <c r="K62" s="188">
        <f t="shared" si="130"/>
        <v>0</v>
      </c>
      <c r="L62" s="187">
        <f t="shared" si="140"/>
        <v>0</v>
      </c>
      <c r="M62" s="187">
        <f t="shared" si="146"/>
        <v>0</v>
      </c>
      <c r="N62" s="188">
        <f t="shared" si="132"/>
        <v>0</v>
      </c>
      <c r="O62" s="187">
        <f t="shared" si="141"/>
        <v>0</v>
      </c>
      <c r="P62" s="187">
        <f t="shared" si="147"/>
        <v>0</v>
      </c>
      <c r="Q62" s="188">
        <f t="shared" si="134"/>
        <v>0</v>
      </c>
      <c r="R62" s="187">
        <f t="shared" si="142"/>
        <v>0</v>
      </c>
      <c r="S62" s="187">
        <f t="shared" si="148"/>
        <v>0</v>
      </c>
      <c r="T62" s="188">
        <f t="shared" si="136"/>
        <v>0</v>
      </c>
      <c r="U62" s="187">
        <f t="shared" si="124"/>
        <v>0</v>
      </c>
    </row>
    <row r="63" spans="1:21">
      <c r="A63" s="169">
        <f>VLOOKUP(B63,Misc_inputs!$A$3:$B$33,2,0)</f>
        <v>7.6258108678813302E-2</v>
      </c>
      <c r="B63" s="168">
        <v>2021</v>
      </c>
      <c r="C63" s="187">
        <f t="shared" si="137"/>
        <v>0</v>
      </c>
      <c r="D63" s="187">
        <f t="shared" si="143"/>
        <v>0</v>
      </c>
      <c r="E63" s="188">
        <f t="shared" si="126"/>
        <v>0</v>
      </c>
      <c r="F63" s="187">
        <f t="shared" si="138"/>
        <v>0</v>
      </c>
      <c r="G63" s="187">
        <f t="shared" si="144"/>
        <v>0</v>
      </c>
      <c r="H63" s="188">
        <f t="shared" si="128"/>
        <v>0</v>
      </c>
      <c r="I63" s="187">
        <f t="shared" si="139"/>
        <v>0</v>
      </c>
      <c r="J63" s="187">
        <f t="shared" si="145"/>
        <v>0</v>
      </c>
      <c r="K63" s="188">
        <f t="shared" si="130"/>
        <v>0</v>
      </c>
      <c r="L63" s="187">
        <f t="shared" si="140"/>
        <v>0</v>
      </c>
      <c r="M63" s="187">
        <f t="shared" si="146"/>
        <v>0</v>
      </c>
      <c r="N63" s="188">
        <f t="shared" si="132"/>
        <v>0</v>
      </c>
      <c r="O63" s="187">
        <f t="shared" si="141"/>
        <v>0</v>
      </c>
      <c r="P63" s="187">
        <f t="shared" si="147"/>
        <v>0</v>
      </c>
      <c r="Q63" s="188">
        <f t="shared" si="134"/>
        <v>0</v>
      </c>
      <c r="R63" s="187">
        <f t="shared" si="142"/>
        <v>0</v>
      </c>
      <c r="S63" s="187">
        <f t="shared" si="148"/>
        <v>0</v>
      </c>
      <c r="T63" s="188">
        <f t="shared" si="136"/>
        <v>0</v>
      </c>
      <c r="U63" s="187">
        <f t="shared" si="124"/>
        <v>0</v>
      </c>
    </row>
    <row r="64" spans="1:21">
      <c r="A64" s="169">
        <f>VLOOKUP(B64,Misc_inputs!$A$3:$B$33,2,0)</f>
        <v>2.8492930312000952</v>
      </c>
      <c r="B64" s="168">
        <v>2022</v>
      </c>
      <c r="C64" s="187">
        <f t="shared" si="137"/>
        <v>0</v>
      </c>
      <c r="D64" s="187">
        <f t="shared" si="143"/>
        <v>0</v>
      </c>
      <c r="E64" s="188">
        <f t="shared" si="126"/>
        <v>0</v>
      </c>
      <c r="F64" s="187">
        <f t="shared" si="138"/>
        <v>0</v>
      </c>
      <c r="G64" s="187">
        <f t="shared" si="144"/>
        <v>0</v>
      </c>
      <c r="H64" s="188">
        <f t="shared" si="128"/>
        <v>0</v>
      </c>
      <c r="I64" s="187">
        <f t="shared" si="139"/>
        <v>0</v>
      </c>
      <c r="J64" s="187">
        <f t="shared" si="145"/>
        <v>0</v>
      </c>
      <c r="K64" s="188">
        <f t="shared" si="130"/>
        <v>0</v>
      </c>
      <c r="L64" s="187">
        <f t="shared" si="140"/>
        <v>0</v>
      </c>
      <c r="M64" s="187">
        <f t="shared" si="146"/>
        <v>0</v>
      </c>
      <c r="N64" s="188">
        <f t="shared" si="132"/>
        <v>0</v>
      </c>
      <c r="O64" s="187">
        <f t="shared" si="141"/>
        <v>0</v>
      </c>
      <c r="P64" s="187">
        <f t="shared" si="147"/>
        <v>0</v>
      </c>
      <c r="Q64" s="188">
        <f t="shared" si="134"/>
        <v>0</v>
      </c>
      <c r="R64" s="187">
        <f t="shared" si="142"/>
        <v>0</v>
      </c>
      <c r="S64" s="187">
        <f t="shared" si="148"/>
        <v>0</v>
      </c>
      <c r="T64" s="188">
        <f t="shared" si="136"/>
        <v>0</v>
      </c>
      <c r="U64" s="187">
        <f t="shared" si="124"/>
        <v>0</v>
      </c>
    </row>
    <row r="65" spans="1:21">
      <c r="A65" s="169">
        <f>VLOOKUP(B65,Misc_inputs!$A$3:$B$33,2,0)</f>
        <v>3.143440902459993</v>
      </c>
      <c r="B65" s="168">
        <v>2023</v>
      </c>
      <c r="C65" s="187">
        <f t="shared" si="137"/>
        <v>0</v>
      </c>
      <c r="D65" s="187">
        <f t="shared" si="143"/>
        <v>0</v>
      </c>
      <c r="E65" s="188">
        <f t="shared" si="126"/>
        <v>0</v>
      </c>
      <c r="F65" s="187">
        <f t="shared" si="138"/>
        <v>0</v>
      </c>
      <c r="G65" s="187">
        <f t="shared" si="144"/>
        <v>0</v>
      </c>
      <c r="H65" s="188">
        <f t="shared" si="128"/>
        <v>0</v>
      </c>
      <c r="I65" s="187">
        <f t="shared" si="139"/>
        <v>0</v>
      </c>
      <c r="J65" s="187">
        <f t="shared" si="145"/>
        <v>0</v>
      </c>
      <c r="K65" s="188">
        <f t="shared" si="130"/>
        <v>0</v>
      </c>
      <c r="L65" s="187">
        <f t="shared" si="140"/>
        <v>0</v>
      </c>
      <c r="M65" s="187">
        <f t="shared" si="146"/>
        <v>0</v>
      </c>
      <c r="N65" s="188">
        <f t="shared" si="132"/>
        <v>0</v>
      </c>
      <c r="O65" s="187">
        <f t="shared" si="141"/>
        <v>0</v>
      </c>
      <c r="P65" s="187">
        <f t="shared" si="147"/>
        <v>0</v>
      </c>
      <c r="Q65" s="188">
        <f t="shared" si="134"/>
        <v>0</v>
      </c>
      <c r="R65" s="187">
        <f t="shared" si="142"/>
        <v>0</v>
      </c>
      <c r="S65" s="187">
        <f t="shared" si="148"/>
        <v>0</v>
      </c>
      <c r="T65" s="188">
        <f t="shared" si="136"/>
        <v>0</v>
      </c>
      <c r="U65" s="187">
        <f t="shared" si="124"/>
        <v>0</v>
      </c>
    </row>
    <row r="66" spans="1:21">
      <c r="A66" s="169">
        <f>VLOOKUP(B66,Misc_inputs!$A$3:$B$33,2,0)</f>
        <v>1.8594732384912049</v>
      </c>
      <c r="B66" s="168">
        <v>2024</v>
      </c>
      <c r="C66" s="187">
        <f t="shared" si="137"/>
        <v>0</v>
      </c>
      <c r="D66" s="187">
        <f t="shared" si="143"/>
        <v>0</v>
      </c>
      <c r="E66" s="188">
        <f t="shared" si="126"/>
        <v>0</v>
      </c>
      <c r="F66" s="187">
        <f t="shared" si="138"/>
        <v>0</v>
      </c>
      <c r="G66" s="187">
        <f t="shared" si="144"/>
        <v>0</v>
      </c>
      <c r="H66" s="188">
        <f t="shared" si="128"/>
        <v>0</v>
      </c>
      <c r="I66" s="187">
        <f t="shared" si="139"/>
        <v>0</v>
      </c>
      <c r="J66" s="187">
        <f t="shared" si="145"/>
        <v>0</v>
      </c>
      <c r="K66" s="188">
        <f t="shared" si="130"/>
        <v>0</v>
      </c>
      <c r="L66" s="187">
        <f t="shared" si="140"/>
        <v>0</v>
      </c>
      <c r="M66" s="187">
        <f t="shared" si="146"/>
        <v>0</v>
      </c>
      <c r="N66" s="188">
        <f t="shared" si="132"/>
        <v>0</v>
      </c>
      <c r="O66" s="187">
        <f t="shared" si="141"/>
        <v>0</v>
      </c>
      <c r="P66" s="187">
        <f t="shared" si="147"/>
        <v>0</v>
      </c>
      <c r="Q66" s="188">
        <f t="shared" si="134"/>
        <v>0</v>
      </c>
      <c r="R66" s="187">
        <f t="shared" si="142"/>
        <v>0</v>
      </c>
      <c r="S66" s="187">
        <f t="shared" si="148"/>
        <v>0</v>
      </c>
      <c r="T66" s="188">
        <f t="shared" si="136"/>
        <v>0</v>
      </c>
      <c r="U66" s="187">
        <f t="shared" si="124"/>
        <v>0</v>
      </c>
    </row>
    <row r="67" spans="1:21">
      <c r="A67" s="169">
        <f>VLOOKUP(B67,Misc_inputs!$A$3:$B$33,2,0)</f>
        <v>1.892198034308179</v>
      </c>
      <c r="B67" s="168">
        <v>2025</v>
      </c>
      <c r="C67" s="187">
        <f t="shared" si="137"/>
        <v>0</v>
      </c>
      <c r="D67" s="187">
        <f t="shared" si="143"/>
        <v>0</v>
      </c>
      <c r="E67" s="188">
        <f t="shared" si="126"/>
        <v>0</v>
      </c>
      <c r="F67" s="187">
        <f t="shared" si="138"/>
        <v>0</v>
      </c>
      <c r="G67" s="187">
        <f t="shared" si="144"/>
        <v>0</v>
      </c>
      <c r="H67" s="188">
        <f t="shared" si="128"/>
        <v>0</v>
      </c>
      <c r="I67" s="187">
        <f t="shared" si="139"/>
        <v>0</v>
      </c>
      <c r="J67" s="187">
        <f t="shared" si="145"/>
        <v>0</v>
      </c>
      <c r="K67" s="188">
        <f t="shared" si="130"/>
        <v>0</v>
      </c>
      <c r="L67" s="187">
        <f t="shared" si="140"/>
        <v>0</v>
      </c>
      <c r="M67" s="187">
        <f t="shared" si="146"/>
        <v>0</v>
      </c>
      <c r="N67" s="188">
        <f t="shared" si="132"/>
        <v>0</v>
      </c>
      <c r="O67" s="187">
        <f t="shared" si="141"/>
        <v>0</v>
      </c>
      <c r="P67" s="187">
        <f t="shared" si="147"/>
        <v>0</v>
      </c>
      <c r="Q67" s="188">
        <f t="shared" si="134"/>
        <v>0</v>
      </c>
      <c r="R67" s="187">
        <f t="shared" si="142"/>
        <v>0</v>
      </c>
      <c r="S67" s="187">
        <f t="shared" si="148"/>
        <v>0</v>
      </c>
      <c r="T67" s="188">
        <f t="shared" si="136"/>
        <v>0</v>
      </c>
      <c r="U67" s="187">
        <f t="shared" si="124"/>
        <v>0</v>
      </c>
    </row>
    <row r="68" spans="1:21">
      <c r="A68" s="169">
        <f>VLOOKUP(B68,Misc_inputs!$A$3:$B$33,2,0)</f>
        <v>2.0003592159356653</v>
      </c>
      <c r="B68" s="168">
        <v>2026</v>
      </c>
      <c r="C68" s="187">
        <f t="shared" si="137"/>
        <v>0</v>
      </c>
      <c r="D68" s="187">
        <f t="shared" si="143"/>
        <v>0</v>
      </c>
      <c r="E68" s="188">
        <f t="shared" si="126"/>
        <v>0</v>
      </c>
      <c r="F68" s="187">
        <f t="shared" si="138"/>
        <v>0</v>
      </c>
      <c r="G68" s="187">
        <f t="shared" si="144"/>
        <v>0</v>
      </c>
      <c r="H68" s="188">
        <f t="shared" si="128"/>
        <v>0</v>
      </c>
      <c r="I68" s="187">
        <f t="shared" si="139"/>
        <v>0</v>
      </c>
      <c r="J68" s="187">
        <f t="shared" si="145"/>
        <v>0</v>
      </c>
      <c r="K68" s="188">
        <f t="shared" si="130"/>
        <v>0</v>
      </c>
      <c r="L68" s="187">
        <f t="shared" si="140"/>
        <v>0</v>
      </c>
      <c r="M68" s="187">
        <f t="shared" si="146"/>
        <v>0</v>
      </c>
      <c r="N68" s="188">
        <f t="shared" si="132"/>
        <v>0</v>
      </c>
      <c r="O68" s="187">
        <f t="shared" si="141"/>
        <v>0</v>
      </c>
      <c r="P68" s="187">
        <f t="shared" si="147"/>
        <v>0</v>
      </c>
      <c r="Q68" s="188">
        <f t="shared" si="134"/>
        <v>0</v>
      </c>
      <c r="R68" s="187">
        <f t="shared" si="142"/>
        <v>0</v>
      </c>
      <c r="S68" s="187">
        <f t="shared" si="148"/>
        <v>0</v>
      </c>
      <c r="T68" s="188">
        <f t="shared" si="136"/>
        <v>0</v>
      </c>
      <c r="U68" s="187">
        <f t="shared" si="124"/>
        <v>0</v>
      </c>
    </row>
    <row r="69" spans="1:21">
      <c r="A69" s="169">
        <f>VLOOKUP(B69,Misc_inputs!$A$3:$B$33,2,0)</f>
        <v>0</v>
      </c>
      <c r="B69" s="168">
        <v>2027</v>
      </c>
      <c r="C69" s="187">
        <f t="shared" si="137"/>
        <v>0</v>
      </c>
      <c r="D69" s="187">
        <f t="shared" si="143"/>
        <v>0</v>
      </c>
      <c r="E69" s="188">
        <f t="shared" si="126"/>
        <v>0</v>
      </c>
      <c r="F69" s="187">
        <f t="shared" si="138"/>
        <v>0</v>
      </c>
      <c r="G69" s="187">
        <f t="shared" si="144"/>
        <v>0</v>
      </c>
      <c r="H69" s="188">
        <f t="shared" si="128"/>
        <v>0</v>
      </c>
      <c r="I69" s="187">
        <f t="shared" si="139"/>
        <v>0</v>
      </c>
      <c r="J69" s="187">
        <f t="shared" si="145"/>
        <v>0</v>
      </c>
      <c r="K69" s="188">
        <f t="shared" si="130"/>
        <v>0</v>
      </c>
      <c r="L69" s="187">
        <f t="shared" si="140"/>
        <v>0</v>
      </c>
      <c r="M69" s="187">
        <f t="shared" si="146"/>
        <v>0</v>
      </c>
      <c r="N69" s="188">
        <f t="shared" si="132"/>
        <v>0</v>
      </c>
      <c r="O69" s="187">
        <f t="shared" si="141"/>
        <v>0</v>
      </c>
      <c r="P69" s="187">
        <f t="shared" si="147"/>
        <v>0</v>
      </c>
      <c r="Q69" s="188">
        <f t="shared" si="134"/>
        <v>0</v>
      </c>
      <c r="R69" s="187">
        <f t="shared" si="142"/>
        <v>0</v>
      </c>
      <c r="S69" s="187">
        <f t="shared" si="148"/>
        <v>0</v>
      </c>
      <c r="T69" s="188">
        <f t="shared" si="136"/>
        <v>0</v>
      </c>
      <c r="U69" s="187">
        <f t="shared" si="124"/>
        <v>0</v>
      </c>
    </row>
    <row r="70" spans="1:21">
      <c r="A70" s="169">
        <f>VLOOKUP(B70,Misc_inputs!$A$3:$B$33,2,0)</f>
        <v>0</v>
      </c>
      <c r="B70" s="168">
        <v>2028</v>
      </c>
      <c r="C70" s="187">
        <f t="shared" si="137"/>
        <v>0</v>
      </c>
      <c r="D70" s="187">
        <f t="shared" si="143"/>
        <v>0</v>
      </c>
      <c r="E70" s="188">
        <f t="shared" si="126"/>
        <v>0</v>
      </c>
      <c r="F70" s="187">
        <f t="shared" si="138"/>
        <v>0</v>
      </c>
      <c r="G70" s="187">
        <f t="shared" si="144"/>
        <v>0</v>
      </c>
      <c r="H70" s="188">
        <f t="shared" si="128"/>
        <v>0</v>
      </c>
      <c r="I70" s="187">
        <f t="shared" si="139"/>
        <v>0</v>
      </c>
      <c r="J70" s="187">
        <f t="shared" si="145"/>
        <v>0</v>
      </c>
      <c r="K70" s="188">
        <f t="shared" si="130"/>
        <v>0</v>
      </c>
      <c r="L70" s="187">
        <f t="shared" si="140"/>
        <v>0</v>
      </c>
      <c r="M70" s="187">
        <f t="shared" si="146"/>
        <v>0</v>
      </c>
      <c r="N70" s="188">
        <f t="shared" si="132"/>
        <v>0</v>
      </c>
      <c r="O70" s="187">
        <f t="shared" si="141"/>
        <v>0</v>
      </c>
      <c r="P70" s="187">
        <f t="shared" si="147"/>
        <v>0</v>
      </c>
      <c r="Q70" s="188">
        <f t="shared" si="134"/>
        <v>0</v>
      </c>
      <c r="R70" s="187">
        <f t="shared" si="142"/>
        <v>0</v>
      </c>
      <c r="S70" s="187">
        <f t="shared" si="148"/>
        <v>0</v>
      </c>
      <c r="T70" s="188">
        <f t="shared" si="136"/>
        <v>0</v>
      </c>
      <c r="U70" s="187">
        <f t="shared" si="124"/>
        <v>0</v>
      </c>
    </row>
    <row r="71" spans="1:21">
      <c r="A71" s="169">
        <f>VLOOKUP(B71,Misc_inputs!$A$3:$B$33,2,0)</f>
        <v>0</v>
      </c>
      <c r="B71" s="168">
        <v>2029</v>
      </c>
      <c r="C71" s="187">
        <f t="shared" si="137"/>
        <v>0</v>
      </c>
      <c r="D71" s="187">
        <f t="shared" si="143"/>
        <v>0</v>
      </c>
      <c r="E71" s="188">
        <f t="shared" si="126"/>
        <v>0</v>
      </c>
      <c r="F71" s="187">
        <f t="shared" si="138"/>
        <v>0</v>
      </c>
      <c r="G71" s="187">
        <f t="shared" si="144"/>
        <v>0</v>
      </c>
      <c r="H71" s="188">
        <f t="shared" si="128"/>
        <v>0</v>
      </c>
      <c r="I71" s="187">
        <f t="shared" si="139"/>
        <v>0</v>
      </c>
      <c r="J71" s="187">
        <f t="shared" si="145"/>
        <v>0</v>
      </c>
      <c r="K71" s="188">
        <f t="shared" si="130"/>
        <v>0</v>
      </c>
      <c r="L71" s="187">
        <f t="shared" si="140"/>
        <v>0</v>
      </c>
      <c r="M71" s="187">
        <f t="shared" si="146"/>
        <v>0</v>
      </c>
      <c r="N71" s="188">
        <f t="shared" si="132"/>
        <v>0</v>
      </c>
      <c r="O71" s="187">
        <f t="shared" si="141"/>
        <v>0</v>
      </c>
      <c r="P71" s="187">
        <f t="shared" si="147"/>
        <v>0</v>
      </c>
      <c r="Q71" s="188">
        <f t="shared" si="134"/>
        <v>0</v>
      </c>
      <c r="R71" s="187">
        <f t="shared" si="142"/>
        <v>0</v>
      </c>
      <c r="S71" s="187">
        <f t="shared" si="148"/>
        <v>0</v>
      </c>
      <c r="T71" s="188">
        <f t="shared" si="136"/>
        <v>0</v>
      </c>
      <c r="U71" s="187">
        <f t="shared" si="124"/>
        <v>0</v>
      </c>
    </row>
    <row r="72" spans="1:21">
      <c r="A72" s="169">
        <f>VLOOKUP(B72,Misc_inputs!$A$3:$B$33,2,0)</f>
        <v>0</v>
      </c>
      <c r="B72" s="168">
        <v>2030</v>
      </c>
      <c r="C72" s="187">
        <f t="shared" si="137"/>
        <v>0</v>
      </c>
      <c r="D72" s="187">
        <f t="shared" si="143"/>
        <v>0</v>
      </c>
      <c r="E72" s="188">
        <f t="shared" si="126"/>
        <v>0</v>
      </c>
      <c r="F72" s="187">
        <f t="shared" si="138"/>
        <v>0</v>
      </c>
      <c r="G72" s="187">
        <f t="shared" si="144"/>
        <v>0</v>
      </c>
      <c r="H72" s="188">
        <f t="shared" si="128"/>
        <v>0</v>
      </c>
      <c r="I72" s="187">
        <f t="shared" si="139"/>
        <v>0</v>
      </c>
      <c r="J72" s="187">
        <f t="shared" si="145"/>
        <v>0</v>
      </c>
      <c r="K72" s="188">
        <f t="shared" si="130"/>
        <v>0</v>
      </c>
      <c r="L72" s="187">
        <f t="shared" si="140"/>
        <v>0</v>
      </c>
      <c r="M72" s="187">
        <f t="shared" si="146"/>
        <v>0</v>
      </c>
      <c r="N72" s="188">
        <f t="shared" si="132"/>
        <v>0</v>
      </c>
      <c r="O72" s="187">
        <f t="shared" si="141"/>
        <v>0</v>
      </c>
      <c r="P72" s="187">
        <f t="shared" si="147"/>
        <v>0</v>
      </c>
      <c r="Q72" s="188">
        <f t="shared" si="134"/>
        <v>0</v>
      </c>
      <c r="R72" s="187">
        <f t="shared" si="142"/>
        <v>0</v>
      </c>
      <c r="S72" s="187">
        <f t="shared" si="148"/>
        <v>0</v>
      </c>
      <c r="T72" s="188">
        <f t="shared" si="136"/>
        <v>0</v>
      </c>
      <c r="U72" s="187">
        <f t="shared" si="124"/>
        <v>0</v>
      </c>
    </row>
    <row r="76" spans="1:21" s="222" customFormat="1">
      <c r="A76" s="222" t="s">
        <v>697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70C0"/>
  </sheetPr>
  <dimension ref="A1:AV75"/>
  <sheetViews>
    <sheetView workbookViewId="0"/>
  </sheetViews>
  <sheetFormatPr defaultColWidth="10.921875" defaultRowHeight="15.5"/>
  <cols>
    <col min="1" max="1" width="10.921875" style="169"/>
    <col min="2" max="4" width="10.921875" style="168"/>
    <col min="5" max="5" width="13.15234375" style="193" customWidth="1"/>
    <col min="6" max="7" width="10.921875" style="168"/>
    <col min="8" max="8" width="10.921875" style="193"/>
    <col min="9" max="10" width="10.921875" style="168"/>
    <col min="11" max="11" width="10.921875" style="193"/>
    <col min="12" max="13" width="10.921875" style="168"/>
    <col min="14" max="14" width="10.921875" style="193"/>
    <col min="15" max="16" width="10.921875" style="168"/>
    <col min="17" max="17" width="10.921875" style="193"/>
    <col min="18" max="19" width="10.921875" style="168"/>
    <col min="20" max="20" width="10.921875" style="193"/>
    <col min="21" max="22" width="10.921875" style="168"/>
    <col min="23" max="23" width="10.921875" style="193"/>
    <col min="24" max="24" width="14.4609375" style="168" customWidth="1"/>
    <col min="25" max="25" width="10.921875" style="168"/>
    <col min="26" max="26" width="10.921875" style="193"/>
    <col min="27" max="28" width="10.921875" style="168"/>
    <col min="29" max="29" width="10.921875" style="193"/>
    <col min="30" max="31" width="10.921875" style="168"/>
    <col min="32" max="32" width="10.921875" style="193"/>
    <col min="33" max="34" width="10.921875" style="168"/>
    <col min="35" max="35" width="10.921875" style="193"/>
    <col min="36" max="37" width="10.921875" style="168"/>
    <col min="38" max="38" width="10.921875" style="193"/>
    <col min="39" max="40" width="10.921875" style="168"/>
    <col min="41" max="41" width="10.921875" style="193"/>
    <col min="42" max="43" width="10.921875" style="168"/>
    <col min="44" max="44" width="10.921875" style="193"/>
    <col min="45" max="46" width="10.921875" style="168"/>
    <col min="47" max="47" width="10.921875" style="193"/>
    <col min="48" max="48" width="10.921875" style="168"/>
    <col min="49" max="16384" width="10.921875" style="169"/>
  </cols>
  <sheetData>
    <row r="1" spans="1:48" s="182" customFormat="1" ht="37.5" customHeight="1">
      <c r="A1" s="179" t="str">
        <f>Cost_of_crime_Raw_data!C2</f>
        <v>Insurance Administration (IA)</v>
      </c>
      <c r="B1" s="180"/>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row>
    <row r="2" spans="1:48" s="182" customFormat="1" ht="37.5" customHeight="1">
      <c r="A2" s="183" t="s">
        <v>574</v>
      </c>
      <c r="B2" s="180"/>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row>
    <row r="3" spans="1:48" s="173" customFormat="1" ht="77.5">
      <c r="A3" s="173" t="s">
        <v>539</v>
      </c>
      <c r="B3" s="172" t="s">
        <v>342</v>
      </c>
      <c r="C3" s="184" t="s">
        <v>290</v>
      </c>
      <c r="D3" s="184" t="s">
        <v>540</v>
      </c>
      <c r="E3" s="185" t="s">
        <v>541</v>
      </c>
      <c r="F3" s="184" t="s">
        <v>542</v>
      </c>
      <c r="G3" s="184" t="s">
        <v>540</v>
      </c>
      <c r="H3" s="185" t="s">
        <v>541</v>
      </c>
      <c r="I3" s="184" t="s">
        <v>543</v>
      </c>
      <c r="J3" s="184" t="s">
        <v>540</v>
      </c>
      <c r="K3" s="185" t="s">
        <v>541</v>
      </c>
      <c r="L3" s="184" t="s">
        <v>544</v>
      </c>
      <c r="M3" s="184" t="s">
        <v>540</v>
      </c>
      <c r="N3" s="185" t="s">
        <v>541</v>
      </c>
      <c r="O3" s="184" t="s">
        <v>545</v>
      </c>
      <c r="P3" s="184" t="s">
        <v>540</v>
      </c>
      <c r="Q3" s="185" t="s">
        <v>541</v>
      </c>
      <c r="R3" s="184" t="s">
        <v>292</v>
      </c>
      <c r="S3" s="184" t="s">
        <v>540</v>
      </c>
      <c r="T3" s="185" t="s">
        <v>541</v>
      </c>
      <c r="U3" s="184" t="s">
        <v>546</v>
      </c>
      <c r="V3" s="184" t="s">
        <v>540</v>
      </c>
      <c r="W3" s="185" t="s">
        <v>541</v>
      </c>
      <c r="X3" s="184" t="s">
        <v>547</v>
      </c>
      <c r="Y3" s="184" t="s">
        <v>540</v>
      </c>
      <c r="Z3" s="185" t="s">
        <v>541</v>
      </c>
      <c r="AA3" s="184" t="s">
        <v>548</v>
      </c>
      <c r="AB3" s="184" t="s">
        <v>540</v>
      </c>
      <c r="AC3" s="185" t="s">
        <v>541</v>
      </c>
      <c r="AD3" s="184" t="s">
        <v>549</v>
      </c>
      <c r="AE3" s="184" t="s">
        <v>540</v>
      </c>
      <c r="AF3" s="185" t="s">
        <v>541</v>
      </c>
      <c r="AG3" s="184" t="s">
        <v>550</v>
      </c>
      <c r="AH3" s="184" t="s">
        <v>540</v>
      </c>
      <c r="AI3" s="185" t="s">
        <v>541</v>
      </c>
      <c r="AJ3" s="184" t="s">
        <v>551</v>
      </c>
      <c r="AK3" s="184" t="s">
        <v>540</v>
      </c>
      <c r="AL3" s="185" t="s">
        <v>541</v>
      </c>
      <c r="AM3" s="184" t="s">
        <v>424</v>
      </c>
      <c r="AN3" s="184" t="s">
        <v>540</v>
      </c>
      <c r="AO3" s="185" t="s">
        <v>541</v>
      </c>
      <c r="AP3" s="184" t="s">
        <v>552</v>
      </c>
      <c r="AQ3" s="184" t="s">
        <v>540</v>
      </c>
      <c r="AR3" s="185" t="s">
        <v>541</v>
      </c>
      <c r="AS3" s="184" t="s">
        <v>425</v>
      </c>
    </row>
    <row r="4" spans="1:48">
      <c r="B4" s="168">
        <v>2015</v>
      </c>
      <c r="C4" s="186">
        <f>Cost_of_crime_Raw_data!C5</f>
        <v>10</v>
      </c>
      <c r="D4" s="187">
        <f>C4*$A4/100</f>
        <v>0</v>
      </c>
      <c r="E4" s="188">
        <f>C4+D4</f>
        <v>10</v>
      </c>
      <c r="F4" s="186">
        <f>Cost_of_crime_Raw_data!C6</f>
        <v>10</v>
      </c>
      <c r="G4" s="187">
        <f>F4*$A4/100</f>
        <v>0</v>
      </c>
      <c r="H4" s="188">
        <f>F4+G4</f>
        <v>10</v>
      </c>
      <c r="I4" s="186">
        <f>Cost_of_crime_Raw_data!C7</f>
        <v>10</v>
      </c>
      <c r="J4" s="187">
        <f>I4*$A4/100</f>
        <v>0</v>
      </c>
      <c r="K4" s="188">
        <f>I4+J4</f>
        <v>10</v>
      </c>
      <c r="L4" s="186">
        <f>Cost_of_crime_Raw_data!C8</f>
        <v>10</v>
      </c>
      <c r="M4" s="187">
        <f>L4*$A4/100</f>
        <v>0</v>
      </c>
      <c r="N4" s="188">
        <f>L4+M4</f>
        <v>10</v>
      </c>
      <c r="O4" s="186">
        <f>Cost_of_crime_Raw_data!C9</f>
        <v>10</v>
      </c>
      <c r="P4" s="187">
        <f>O4*$A4/100</f>
        <v>0</v>
      </c>
      <c r="Q4" s="188">
        <f>O4+P4</f>
        <v>10</v>
      </c>
      <c r="R4" s="186">
        <f>Cost_of_crime_Raw_data!C10</f>
        <v>140</v>
      </c>
      <c r="S4" s="187">
        <f>R4*$A4/100</f>
        <v>0</v>
      </c>
      <c r="T4" s="188">
        <f>R4+S4</f>
        <v>140</v>
      </c>
      <c r="U4" s="186">
        <f>Cost_of_crime_Raw_data!C11</f>
        <v>390</v>
      </c>
      <c r="V4" s="187">
        <f>U4*$A4/100</f>
        <v>0</v>
      </c>
      <c r="W4" s="188">
        <f>U4+V4</f>
        <v>390</v>
      </c>
      <c r="X4" s="186">
        <f>Cost_of_crime_Raw_data!C12</f>
        <v>720</v>
      </c>
      <c r="Y4" s="187">
        <f>X4*$A4/100</f>
        <v>0</v>
      </c>
      <c r="Z4" s="188">
        <f>X4+Y4</f>
        <v>720</v>
      </c>
      <c r="AA4" s="186">
        <f>Cost_of_crime_Raw_data!C13</f>
        <v>0</v>
      </c>
      <c r="AB4" s="187">
        <f>AA4*$A4/100</f>
        <v>0</v>
      </c>
      <c r="AC4" s="188">
        <f>AA4+AB4</f>
        <v>0</v>
      </c>
      <c r="AD4" s="186">
        <f>Cost_of_crime_Raw_data!C14</f>
        <v>0</v>
      </c>
      <c r="AE4" s="187">
        <f>AD4*$A4/100</f>
        <v>0</v>
      </c>
      <c r="AF4" s="188">
        <f>AD4+AE4</f>
        <v>0</v>
      </c>
      <c r="AG4" s="186">
        <f>Cost_of_crime_Raw_data!C15</f>
        <v>220</v>
      </c>
      <c r="AH4" s="187">
        <f>AG4*$A4/100</f>
        <v>0</v>
      </c>
      <c r="AI4" s="188">
        <f>AG4+AH4</f>
        <v>220</v>
      </c>
      <c r="AJ4" s="186">
        <f>Cost_of_crime_Raw_data!C16</f>
        <v>40</v>
      </c>
      <c r="AK4" s="187">
        <f>AJ4*$A4/100</f>
        <v>0</v>
      </c>
      <c r="AL4" s="188">
        <f>AJ4+AK4</f>
        <v>40</v>
      </c>
      <c r="AM4" s="186">
        <f>Cost_of_crime_Raw_data!C17</f>
        <v>50</v>
      </c>
      <c r="AN4" s="187">
        <f>AM4*$A4/100</f>
        <v>0</v>
      </c>
      <c r="AO4" s="188">
        <f>AM4+AN4</f>
        <v>50</v>
      </c>
      <c r="AP4" s="186">
        <f>Cost_of_crime_Raw_data!C18</f>
        <v>0</v>
      </c>
      <c r="AQ4" s="187">
        <f>AP4*$A4/100</f>
        <v>0</v>
      </c>
      <c r="AR4" s="188">
        <f>AP4+AQ4</f>
        <v>0</v>
      </c>
      <c r="AS4" s="186">
        <f t="shared" ref="AS4:AS19" si="0">SUM(C4,I4,L4,O4,R4,U4,X4,AD4,AG4,AJ4,AM4,AP4)</f>
        <v>1600</v>
      </c>
      <c r="AT4" s="169"/>
      <c r="AU4" s="169"/>
      <c r="AV4" s="169"/>
    </row>
    <row r="5" spans="1:48">
      <c r="A5" s="169">
        <f>VLOOKUP(B5,Misc_inputs!$A$3:$B$33,2,0)</f>
        <v>1.8963035451147277</v>
      </c>
      <c r="B5" s="168">
        <v>2016</v>
      </c>
      <c r="C5" s="187">
        <f>E4</f>
        <v>10</v>
      </c>
      <c r="D5" s="187">
        <f t="shared" ref="D5" si="1">C5*$A5/100</f>
        <v>0.18963035451147278</v>
      </c>
      <c r="E5" s="188">
        <f t="shared" ref="E5" si="2">C5+D5</f>
        <v>10.189630354511472</v>
      </c>
      <c r="F5" s="187">
        <f>H4</f>
        <v>10</v>
      </c>
      <c r="G5" s="187">
        <f t="shared" ref="G5" si="3">F5*$A5/100</f>
        <v>0.18963035451147278</v>
      </c>
      <c r="H5" s="188">
        <f t="shared" ref="H5" si="4">F5+G5</f>
        <v>10.189630354511472</v>
      </c>
      <c r="I5" s="187">
        <f>K4</f>
        <v>10</v>
      </c>
      <c r="J5" s="187">
        <f t="shared" ref="J5" si="5">I5*$A5/100</f>
        <v>0.18963035451147278</v>
      </c>
      <c r="K5" s="188">
        <f t="shared" ref="K5" si="6">I5+J5</f>
        <v>10.189630354511472</v>
      </c>
      <c r="L5" s="187">
        <f>N4</f>
        <v>10</v>
      </c>
      <c r="M5" s="187">
        <f t="shared" ref="M5" si="7">L5*$A5/100</f>
        <v>0.18963035451147278</v>
      </c>
      <c r="N5" s="188">
        <f t="shared" ref="N5" si="8">L5+M5</f>
        <v>10.189630354511472</v>
      </c>
      <c r="O5" s="187">
        <f>Q4</f>
        <v>10</v>
      </c>
      <c r="P5" s="187">
        <f t="shared" ref="P5" si="9">O5*$A5/100</f>
        <v>0.18963035451147278</v>
      </c>
      <c r="Q5" s="188">
        <f t="shared" ref="Q5" si="10">O5+P5</f>
        <v>10.189630354511472</v>
      </c>
      <c r="R5" s="187">
        <f>T4</f>
        <v>140</v>
      </c>
      <c r="S5" s="187">
        <f t="shared" ref="S5" si="11">R5*$A5/100</f>
        <v>2.6548249631606189</v>
      </c>
      <c r="T5" s="188">
        <f t="shared" ref="T5" si="12">R5+S5</f>
        <v>142.65482496316062</v>
      </c>
      <c r="U5" s="187">
        <f>W4</f>
        <v>390</v>
      </c>
      <c r="V5" s="187">
        <f t="shared" ref="V5" si="13">U5*$A5/100</f>
        <v>7.3955838259474378</v>
      </c>
      <c r="W5" s="188">
        <f t="shared" ref="W5" si="14">U5+V5</f>
        <v>397.39558382594743</v>
      </c>
      <c r="X5" s="187">
        <f>Z4</f>
        <v>720</v>
      </c>
      <c r="Y5" s="187">
        <f t="shared" ref="Y5" si="15">X5*$A5/100</f>
        <v>13.653385524826041</v>
      </c>
      <c r="Z5" s="188">
        <f t="shared" ref="Z5" si="16">X5+Y5</f>
        <v>733.65338552482604</v>
      </c>
      <c r="AA5" s="187">
        <f>AC4</f>
        <v>0</v>
      </c>
      <c r="AB5" s="187">
        <f t="shared" ref="AB5" si="17">AA5*$A5/100</f>
        <v>0</v>
      </c>
      <c r="AC5" s="188">
        <f t="shared" ref="AC5" si="18">AA5+AB5</f>
        <v>0</v>
      </c>
      <c r="AD5" s="187">
        <f>AF4</f>
        <v>0</v>
      </c>
      <c r="AE5" s="187">
        <f t="shared" ref="AE5" si="19">AD5*$A5/100</f>
        <v>0</v>
      </c>
      <c r="AF5" s="188">
        <f t="shared" ref="AF5" si="20">AD5+AE5</f>
        <v>0</v>
      </c>
      <c r="AG5" s="187">
        <f>AI4</f>
        <v>220</v>
      </c>
      <c r="AH5" s="187">
        <f t="shared" ref="AH5" si="21">AG5*$A5/100</f>
        <v>4.1718677992524009</v>
      </c>
      <c r="AI5" s="188">
        <f t="shared" ref="AI5" si="22">AG5+AH5</f>
        <v>224.1718677992524</v>
      </c>
      <c r="AJ5" s="187">
        <f>AL4</f>
        <v>40</v>
      </c>
      <c r="AK5" s="187">
        <f t="shared" ref="AK5" si="23">AJ5*$A5/100</f>
        <v>0.75852141804589113</v>
      </c>
      <c r="AL5" s="188">
        <f t="shared" ref="AL5" si="24">AJ5+AK5</f>
        <v>40.758521418045888</v>
      </c>
      <c r="AM5" s="187">
        <f>AO4</f>
        <v>50</v>
      </c>
      <c r="AN5" s="187">
        <f t="shared" ref="AN5" si="25">AM5*$A5/100</f>
        <v>0.94815177255736383</v>
      </c>
      <c r="AO5" s="188">
        <f t="shared" ref="AO5" si="26">AM5+AN5</f>
        <v>50.948151772557367</v>
      </c>
      <c r="AP5" s="187">
        <f>AR4</f>
        <v>0</v>
      </c>
      <c r="AQ5" s="187">
        <f t="shared" ref="AQ5" si="27">AP5*$A5/100</f>
        <v>0</v>
      </c>
      <c r="AR5" s="188">
        <f t="shared" ref="AR5" si="28">AP5+AQ5</f>
        <v>0</v>
      </c>
      <c r="AS5" s="186">
        <f t="shared" si="0"/>
        <v>1600</v>
      </c>
      <c r="AT5" s="169"/>
      <c r="AU5" s="169"/>
      <c r="AV5" s="169"/>
    </row>
    <row r="6" spans="1:48">
      <c r="A6" s="169">
        <f>VLOOKUP(B6,Misc_inputs!$A$3:$B$33,2,0)</f>
        <v>1.8209228570152332</v>
      </c>
      <c r="B6" s="168">
        <v>2017</v>
      </c>
      <c r="C6" s="187">
        <f t="shared" ref="C6:C19" si="29">E5</f>
        <v>10.189630354511472</v>
      </c>
      <c r="D6" s="187">
        <f t="shared" ref="D6:D19" si="30">C6*$A6/100</f>
        <v>0.18554530817066173</v>
      </c>
      <c r="E6" s="188">
        <f t="shared" ref="E6:E19" si="31">C6+D6</f>
        <v>10.375175662682134</v>
      </c>
      <c r="F6" s="187">
        <f t="shared" ref="F6:F19" si="32">H5</f>
        <v>10.189630354511472</v>
      </c>
      <c r="G6" s="187">
        <f t="shared" ref="G6:G7" si="33">F6*$A6/100</f>
        <v>0.18554530817066173</v>
      </c>
      <c r="H6" s="188">
        <f t="shared" ref="H6:H19" si="34">F6+G6</f>
        <v>10.375175662682134</v>
      </c>
      <c r="I6" s="187">
        <f t="shared" ref="I6:I19" si="35">K5</f>
        <v>10.189630354511472</v>
      </c>
      <c r="J6" s="187">
        <f t="shared" ref="J6:J7" si="36">I6*$A6/100</f>
        <v>0.18554530817066173</v>
      </c>
      <c r="K6" s="188">
        <f t="shared" ref="K6:K19" si="37">I6+J6</f>
        <v>10.375175662682134</v>
      </c>
      <c r="L6" s="187">
        <f t="shared" ref="L6:L19" si="38">N5</f>
        <v>10.189630354511472</v>
      </c>
      <c r="M6" s="187">
        <f t="shared" ref="M6:M7" si="39">L6*$A6/100</f>
        <v>0.18554530817066173</v>
      </c>
      <c r="N6" s="188">
        <f t="shared" ref="N6:N19" si="40">L6+M6</f>
        <v>10.375175662682134</v>
      </c>
      <c r="O6" s="187">
        <f t="shared" ref="O6:O19" si="41">Q5</f>
        <v>10.189630354511472</v>
      </c>
      <c r="P6" s="187">
        <f t="shared" ref="P6:P7" si="42">O6*$A6/100</f>
        <v>0.18554530817066173</v>
      </c>
      <c r="Q6" s="188">
        <f t="shared" ref="Q6:Q19" si="43">O6+P6</f>
        <v>10.375175662682134</v>
      </c>
      <c r="R6" s="187">
        <f t="shared" ref="R6:R19" si="44">T5</f>
        <v>142.65482496316062</v>
      </c>
      <c r="S6" s="187">
        <f t="shared" ref="S6:S7" si="45">R6*$A6/100</f>
        <v>2.5976343143892642</v>
      </c>
      <c r="T6" s="188">
        <f t="shared" ref="T6:T19" si="46">R6+S6</f>
        <v>145.25245927754989</v>
      </c>
      <c r="U6" s="187">
        <f t="shared" ref="U6:U19" si="47">W5</f>
        <v>397.39558382594743</v>
      </c>
      <c r="V6" s="187">
        <f t="shared" ref="V6:V7" si="48">U6*$A6/100</f>
        <v>7.2362670186558082</v>
      </c>
      <c r="W6" s="188">
        <f t="shared" ref="W6:W19" si="49">U6+V6</f>
        <v>404.63185084460321</v>
      </c>
      <c r="X6" s="187">
        <f t="shared" ref="X6:X19" si="50">Z5</f>
        <v>733.65338552482604</v>
      </c>
      <c r="Y6" s="187">
        <f t="shared" ref="Y6:Y7" si="51">X6*$A6/100</f>
        <v>13.359262188287646</v>
      </c>
      <c r="Z6" s="188">
        <f t="shared" ref="Z6:Z19" si="52">X6+Y6</f>
        <v>747.01264771311367</v>
      </c>
      <c r="AA6" s="187">
        <f t="shared" ref="AA6:AA19" si="53">AC5</f>
        <v>0</v>
      </c>
      <c r="AB6" s="187">
        <f t="shared" ref="AB6:AB7" si="54">AA6*$A6/100</f>
        <v>0</v>
      </c>
      <c r="AC6" s="188">
        <f t="shared" ref="AC6:AC19" si="55">AA6+AB6</f>
        <v>0</v>
      </c>
      <c r="AD6" s="187">
        <f t="shared" ref="AD6:AD19" si="56">AF5</f>
        <v>0</v>
      </c>
      <c r="AE6" s="187">
        <f t="shared" ref="AE6:AE7" si="57">AD6*$A6/100</f>
        <v>0</v>
      </c>
      <c r="AF6" s="188">
        <f t="shared" ref="AF6:AF19" si="58">AD6+AE6</f>
        <v>0</v>
      </c>
      <c r="AG6" s="187">
        <f t="shared" ref="AG6:AG19" si="59">AI5</f>
        <v>224.1718677992524</v>
      </c>
      <c r="AH6" s="187">
        <f t="shared" ref="AH6:AH7" si="60">AG6*$A6/100</f>
        <v>4.081996779754558</v>
      </c>
      <c r="AI6" s="188">
        <f t="shared" ref="AI6:AI19" si="61">AG6+AH6</f>
        <v>228.25386457900694</v>
      </c>
      <c r="AJ6" s="187">
        <f t="shared" ref="AJ6:AJ19" si="62">AL5</f>
        <v>40.758521418045888</v>
      </c>
      <c r="AK6" s="187">
        <f t="shared" ref="AK6:AK7" si="63">AJ6*$A6/100</f>
        <v>0.74218123268264691</v>
      </c>
      <c r="AL6" s="188">
        <f t="shared" ref="AL6:AL19" si="64">AJ6+AK6</f>
        <v>41.500702650728535</v>
      </c>
      <c r="AM6" s="187">
        <f t="shared" ref="AM6:AM19" si="65">AO5</f>
        <v>50.948151772557367</v>
      </c>
      <c r="AN6" s="187">
        <f t="shared" ref="AN6:AN7" si="66">AM6*$A6/100</f>
        <v>0.92772654085330875</v>
      </c>
      <c r="AO6" s="188">
        <f t="shared" ref="AO6:AO19" si="67">AM6+AN6</f>
        <v>51.875878313410674</v>
      </c>
      <c r="AP6" s="187">
        <f t="shared" ref="AP6:AP19" si="68">AR5</f>
        <v>0</v>
      </c>
      <c r="AQ6" s="187">
        <f t="shared" ref="AQ6:AQ7" si="69">AP6*$A6/100</f>
        <v>0</v>
      </c>
      <c r="AR6" s="188">
        <f t="shared" ref="AR6:AR19" si="70">AP6+AQ6</f>
        <v>0</v>
      </c>
      <c r="AS6" s="186">
        <f t="shared" si="0"/>
        <v>1630.3408567218355</v>
      </c>
      <c r="AT6" s="187"/>
      <c r="AU6" s="169"/>
      <c r="AV6" s="169"/>
    </row>
    <row r="7" spans="1:48">
      <c r="A7" s="169">
        <f>VLOOKUP(B7,Misc_inputs!$A$3:$B$33,2,0)</f>
        <v>1.9988242855231282</v>
      </c>
      <c r="B7" s="168">
        <v>2018</v>
      </c>
      <c r="C7" s="187">
        <f t="shared" si="29"/>
        <v>10.375175662682134</v>
      </c>
      <c r="D7" s="187">
        <f t="shared" si="30"/>
        <v>0.20738153081137564</v>
      </c>
      <c r="E7" s="188">
        <f t="shared" si="31"/>
        <v>10.582557193493509</v>
      </c>
      <c r="F7" s="187">
        <f t="shared" si="32"/>
        <v>10.375175662682134</v>
      </c>
      <c r="G7" s="187">
        <f t="shared" si="33"/>
        <v>0.20738153081137564</v>
      </c>
      <c r="H7" s="188">
        <f t="shared" si="34"/>
        <v>10.582557193493509</v>
      </c>
      <c r="I7" s="187">
        <f t="shared" si="35"/>
        <v>10.375175662682134</v>
      </c>
      <c r="J7" s="187">
        <f t="shared" si="36"/>
        <v>0.20738153081137564</v>
      </c>
      <c r="K7" s="188">
        <f t="shared" si="37"/>
        <v>10.582557193493509</v>
      </c>
      <c r="L7" s="187">
        <f t="shared" si="38"/>
        <v>10.375175662682134</v>
      </c>
      <c r="M7" s="187">
        <f t="shared" si="39"/>
        <v>0.20738153081137564</v>
      </c>
      <c r="N7" s="188">
        <f t="shared" si="40"/>
        <v>10.582557193493509</v>
      </c>
      <c r="O7" s="187">
        <f t="shared" si="41"/>
        <v>10.375175662682134</v>
      </c>
      <c r="P7" s="187">
        <f t="shared" si="42"/>
        <v>0.20738153081137564</v>
      </c>
      <c r="Q7" s="188">
        <f t="shared" si="43"/>
        <v>10.582557193493509</v>
      </c>
      <c r="R7" s="187">
        <f t="shared" si="44"/>
        <v>145.25245927754989</v>
      </c>
      <c r="S7" s="187">
        <f t="shared" si="45"/>
        <v>2.9033414313592596</v>
      </c>
      <c r="T7" s="188">
        <f t="shared" si="46"/>
        <v>148.15580070890914</v>
      </c>
      <c r="U7" s="187">
        <f t="shared" si="47"/>
        <v>404.63185084460321</v>
      </c>
      <c r="V7" s="187">
        <f t="shared" si="48"/>
        <v>8.0878797016436508</v>
      </c>
      <c r="W7" s="188">
        <f t="shared" si="49"/>
        <v>412.71973054624686</v>
      </c>
      <c r="X7" s="187">
        <f t="shared" si="50"/>
        <v>747.01264771311367</v>
      </c>
      <c r="Y7" s="187">
        <f t="shared" si="51"/>
        <v>14.931470218419047</v>
      </c>
      <c r="Z7" s="188">
        <f t="shared" si="52"/>
        <v>761.94411793153267</v>
      </c>
      <c r="AA7" s="187">
        <f t="shared" si="53"/>
        <v>0</v>
      </c>
      <c r="AB7" s="187">
        <f t="shared" si="54"/>
        <v>0</v>
      </c>
      <c r="AC7" s="188">
        <f t="shared" si="55"/>
        <v>0</v>
      </c>
      <c r="AD7" s="187">
        <f t="shared" si="56"/>
        <v>0</v>
      </c>
      <c r="AE7" s="187">
        <f t="shared" si="57"/>
        <v>0</v>
      </c>
      <c r="AF7" s="188">
        <f t="shared" si="58"/>
        <v>0</v>
      </c>
      <c r="AG7" s="187">
        <f t="shared" si="59"/>
        <v>228.25386457900694</v>
      </c>
      <c r="AH7" s="187">
        <f t="shared" si="60"/>
        <v>4.5623936778502641</v>
      </c>
      <c r="AI7" s="188">
        <f t="shared" si="61"/>
        <v>232.8162582568572</v>
      </c>
      <c r="AJ7" s="187">
        <f t="shared" si="62"/>
        <v>41.500702650728535</v>
      </c>
      <c r="AK7" s="187">
        <f t="shared" si="63"/>
        <v>0.82952612324550257</v>
      </c>
      <c r="AL7" s="188">
        <f t="shared" si="64"/>
        <v>42.330228773974035</v>
      </c>
      <c r="AM7" s="187">
        <f t="shared" si="65"/>
        <v>51.875878313410674</v>
      </c>
      <c r="AN7" s="187">
        <f t="shared" si="66"/>
        <v>1.0369076540568782</v>
      </c>
      <c r="AO7" s="188">
        <f t="shared" si="67"/>
        <v>52.912785967467549</v>
      </c>
      <c r="AP7" s="187">
        <f t="shared" si="68"/>
        <v>0</v>
      </c>
      <c r="AQ7" s="187">
        <f t="shared" si="69"/>
        <v>0</v>
      </c>
      <c r="AR7" s="188">
        <f t="shared" si="70"/>
        <v>0</v>
      </c>
      <c r="AS7" s="186">
        <f t="shared" si="0"/>
        <v>1660.0281060291413</v>
      </c>
      <c r="AT7" s="187"/>
      <c r="AU7" s="169"/>
      <c r="AV7" s="169"/>
    </row>
    <row r="8" spans="1:48">
      <c r="A8" s="169">
        <f>VLOOKUP(B8,Misc_inputs!$A$3:$B$33,2,0)</f>
        <v>2.0163202370724722</v>
      </c>
      <c r="B8" s="168">
        <v>2019</v>
      </c>
      <c r="C8" s="187">
        <f t="shared" si="29"/>
        <v>10.582557193493509</v>
      </c>
      <c r="D8" s="187">
        <f>C8*$A8/100</f>
        <v>0.21337824229217828</v>
      </c>
      <c r="E8" s="188">
        <f t="shared" si="31"/>
        <v>10.795935435785687</v>
      </c>
      <c r="F8" s="187">
        <f t="shared" si="32"/>
        <v>10.582557193493509</v>
      </c>
      <c r="G8" s="187">
        <f>F8*$A8/100</f>
        <v>0.21337824229217828</v>
      </c>
      <c r="H8" s="188">
        <f t="shared" si="34"/>
        <v>10.795935435785687</v>
      </c>
      <c r="I8" s="187">
        <f t="shared" si="35"/>
        <v>10.582557193493509</v>
      </c>
      <c r="J8" s="187">
        <f>I8*$A8/100</f>
        <v>0.21337824229217828</v>
      </c>
      <c r="K8" s="188">
        <f t="shared" si="37"/>
        <v>10.795935435785687</v>
      </c>
      <c r="L8" s="187">
        <f t="shared" si="38"/>
        <v>10.582557193493509</v>
      </c>
      <c r="M8" s="187">
        <f>L8*$A8/100</f>
        <v>0.21337824229217828</v>
      </c>
      <c r="N8" s="188">
        <f t="shared" si="40"/>
        <v>10.795935435785687</v>
      </c>
      <c r="O8" s="187">
        <f t="shared" si="41"/>
        <v>10.582557193493509</v>
      </c>
      <c r="P8" s="187">
        <f>O8*$A8/100</f>
        <v>0.21337824229217828</v>
      </c>
      <c r="Q8" s="188">
        <f t="shared" si="43"/>
        <v>10.795935435785687</v>
      </c>
      <c r="R8" s="187">
        <f t="shared" si="44"/>
        <v>148.15580070890914</v>
      </c>
      <c r="S8" s="187">
        <f>R8*$A8/100</f>
        <v>2.9872953920904961</v>
      </c>
      <c r="T8" s="188">
        <f t="shared" si="46"/>
        <v>151.14309610099963</v>
      </c>
      <c r="U8" s="187">
        <f t="shared" si="47"/>
        <v>412.71973054624686</v>
      </c>
      <c r="V8" s="187">
        <f>U8*$A8/100</f>
        <v>8.321751449394954</v>
      </c>
      <c r="W8" s="188">
        <f t="shared" si="49"/>
        <v>421.04148199564185</v>
      </c>
      <c r="X8" s="187">
        <f t="shared" si="50"/>
        <v>761.94411793153267</v>
      </c>
      <c r="Y8" s="187">
        <f>X8*$A8/100</f>
        <v>15.363233445036837</v>
      </c>
      <c r="Z8" s="188">
        <f t="shared" si="52"/>
        <v>777.3073513765695</v>
      </c>
      <c r="AA8" s="187">
        <f t="shared" si="53"/>
        <v>0</v>
      </c>
      <c r="AB8" s="187">
        <f>AA8*$A8/100</f>
        <v>0</v>
      </c>
      <c r="AC8" s="188">
        <f t="shared" si="55"/>
        <v>0</v>
      </c>
      <c r="AD8" s="187">
        <f t="shared" si="56"/>
        <v>0</v>
      </c>
      <c r="AE8" s="187">
        <f>AD8*$A8/100</f>
        <v>0</v>
      </c>
      <c r="AF8" s="188">
        <f t="shared" si="58"/>
        <v>0</v>
      </c>
      <c r="AG8" s="187">
        <f t="shared" si="59"/>
        <v>232.8162582568572</v>
      </c>
      <c r="AH8" s="187">
        <f>AG8*$A8/100</f>
        <v>4.6943213304279219</v>
      </c>
      <c r="AI8" s="188">
        <f t="shared" si="61"/>
        <v>237.51057958728512</v>
      </c>
      <c r="AJ8" s="187">
        <f t="shared" si="62"/>
        <v>42.330228773974035</v>
      </c>
      <c r="AK8" s="187">
        <f>AJ8*$A8/100</f>
        <v>0.85351296916871311</v>
      </c>
      <c r="AL8" s="188">
        <f t="shared" si="64"/>
        <v>43.183741743142747</v>
      </c>
      <c r="AM8" s="187">
        <f t="shared" si="65"/>
        <v>52.912785967467549</v>
      </c>
      <c r="AN8" s="187">
        <f>AM8*$A8/100</f>
        <v>1.0668912114608915</v>
      </c>
      <c r="AO8" s="188">
        <f t="shared" si="67"/>
        <v>53.979677178928441</v>
      </c>
      <c r="AP8" s="187">
        <f t="shared" si="68"/>
        <v>0</v>
      </c>
      <c r="AQ8" s="187">
        <f>AP8*$A8/100</f>
        <v>0</v>
      </c>
      <c r="AR8" s="188">
        <f t="shared" si="70"/>
        <v>0</v>
      </c>
      <c r="AS8" s="186">
        <f t="shared" si="0"/>
        <v>1693.2091509589616</v>
      </c>
      <c r="AT8" s="187"/>
      <c r="AU8" s="169"/>
      <c r="AV8" s="169"/>
    </row>
    <row r="9" spans="1:48">
      <c r="A9" s="169">
        <f>VLOOKUP(B9,Misc_inputs!$A$3:$B$33,2,0)</f>
        <v>5.3200852056836103</v>
      </c>
      <c r="B9" s="168">
        <v>2020</v>
      </c>
      <c r="C9" s="187">
        <f t="shared" si="29"/>
        <v>10.795935435785687</v>
      </c>
      <c r="D9" s="187">
        <f t="shared" si="30"/>
        <v>0.57435296393438873</v>
      </c>
      <c r="E9" s="188">
        <f t="shared" si="31"/>
        <v>11.370288399720076</v>
      </c>
      <c r="F9" s="187">
        <f t="shared" si="32"/>
        <v>10.795935435785687</v>
      </c>
      <c r="G9" s="187">
        <f t="shared" ref="G9:G19" si="71">F9*$A9/100</f>
        <v>0.57435296393438873</v>
      </c>
      <c r="H9" s="188">
        <f t="shared" si="34"/>
        <v>11.370288399720076</v>
      </c>
      <c r="I9" s="187">
        <f t="shared" si="35"/>
        <v>10.795935435785687</v>
      </c>
      <c r="J9" s="187">
        <f t="shared" ref="J9:J19" si="72">I9*$A9/100</f>
        <v>0.57435296393438873</v>
      </c>
      <c r="K9" s="188">
        <f t="shared" si="37"/>
        <v>11.370288399720076</v>
      </c>
      <c r="L9" s="187">
        <f t="shared" si="38"/>
        <v>10.795935435785687</v>
      </c>
      <c r="M9" s="187">
        <f t="shared" ref="M9:M19" si="73">L9*$A9/100</f>
        <v>0.57435296393438873</v>
      </c>
      <c r="N9" s="188">
        <f t="shared" si="40"/>
        <v>11.370288399720076</v>
      </c>
      <c r="O9" s="187">
        <f t="shared" si="41"/>
        <v>10.795935435785687</v>
      </c>
      <c r="P9" s="187">
        <f t="shared" ref="P9:P19" si="74">O9*$A9/100</f>
        <v>0.57435296393438873</v>
      </c>
      <c r="Q9" s="188">
        <f t="shared" si="43"/>
        <v>11.370288399720076</v>
      </c>
      <c r="R9" s="187">
        <f t="shared" si="44"/>
        <v>151.14309610099963</v>
      </c>
      <c r="S9" s="187">
        <f t="shared" ref="S9:S19" si="75">R9*$A9/100</f>
        <v>8.0409414950814426</v>
      </c>
      <c r="T9" s="188">
        <f t="shared" si="46"/>
        <v>159.18403759608108</v>
      </c>
      <c r="U9" s="187">
        <f t="shared" si="47"/>
        <v>421.04148199564185</v>
      </c>
      <c r="V9" s="187">
        <f t="shared" ref="V9:V19" si="76">U9*$A9/100</f>
        <v>22.39976559344116</v>
      </c>
      <c r="W9" s="188">
        <f t="shared" si="49"/>
        <v>443.44124758908299</v>
      </c>
      <c r="X9" s="187">
        <f t="shared" si="50"/>
        <v>777.3073513765695</v>
      </c>
      <c r="Y9" s="187">
        <f t="shared" ref="Y9:Y19" si="77">X9*$A9/100</f>
        <v>41.353413403275994</v>
      </c>
      <c r="Z9" s="188">
        <f t="shared" si="52"/>
        <v>818.66076477984552</v>
      </c>
      <c r="AA9" s="187">
        <f t="shared" si="53"/>
        <v>0</v>
      </c>
      <c r="AB9" s="187">
        <f t="shared" ref="AB9:AB19" si="78">AA9*$A9/100</f>
        <v>0</v>
      </c>
      <c r="AC9" s="188">
        <f t="shared" si="55"/>
        <v>0</v>
      </c>
      <c r="AD9" s="187">
        <f t="shared" si="56"/>
        <v>0</v>
      </c>
      <c r="AE9" s="187">
        <f t="shared" ref="AE9:AE19" si="79">AD9*$A9/100</f>
        <v>0</v>
      </c>
      <c r="AF9" s="188">
        <f t="shared" si="58"/>
        <v>0</v>
      </c>
      <c r="AG9" s="187">
        <f t="shared" si="59"/>
        <v>237.51057958728512</v>
      </c>
      <c r="AH9" s="187">
        <f t="shared" ref="AH9:AH19" si="80">AG9*$A9/100</f>
        <v>12.635765206556552</v>
      </c>
      <c r="AI9" s="188">
        <f t="shared" si="61"/>
        <v>250.14634479384168</v>
      </c>
      <c r="AJ9" s="187">
        <f t="shared" si="62"/>
        <v>43.183741743142747</v>
      </c>
      <c r="AK9" s="187">
        <f t="shared" ref="AK9:AK19" si="81">AJ9*$A9/100</f>
        <v>2.2974118557375549</v>
      </c>
      <c r="AL9" s="188">
        <f t="shared" si="64"/>
        <v>45.481153598880304</v>
      </c>
      <c r="AM9" s="187">
        <f t="shared" si="65"/>
        <v>53.979677178928441</v>
      </c>
      <c r="AN9" s="187">
        <f t="shared" ref="AN9:AN19" si="82">AM9*$A9/100</f>
        <v>2.8717648196719439</v>
      </c>
      <c r="AO9" s="188">
        <f t="shared" si="67"/>
        <v>56.851441998600386</v>
      </c>
      <c r="AP9" s="187">
        <f t="shared" si="68"/>
        <v>0</v>
      </c>
      <c r="AQ9" s="187">
        <f t="shared" ref="AQ9:AQ19" si="83">AP9*$A9/100</f>
        <v>0</v>
      </c>
      <c r="AR9" s="188">
        <f t="shared" si="70"/>
        <v>0</v>
      </c>
      <c r="AS9" s="186">
        <f t="shared" si="0"/>
        <v>1727.3496697257099</v>
      </c>
      <c r="AT9" s="187"/>
      <c r="AU9" s="169"/>
      <c r="AV9" s="169"/>
    </row>
    <row r="10" spans="1:48">
      <c r="A10" s="169">
        <f>VLOOKUP(B10,Misc_inputs!$A$3:$B$33,2,0)</f>
        <v>7.6258108678813302E-2</v>
      </c>
      <c r="B10" s="168">
        <v>2021</v>
      </c>
      <c r="C10" s="187">
        <f t="shared" si="29"/>
        <v>11.370288399720076</v>
      </c>
      <c r="D10" s="187">
        <f t="shared" si="30"/>
        <v>8.6707668849530378E-3</v>
      </c>
      <c r="E10" s="188">
        <f t="shared" si="31"/>
        <v>11.378959166605028</v>
      </c>
      <c r="F10" s="187">
        <f t="shared" si="32"/>
        <v>11.370288399720076</v>
      </c>
      <c r="G10" s="187">
        <f t="shared" si="71"/>
        <v>8.6707668849530378E-3</v>
      </c>
      <c r="H10" s="188">
        <f t="shared" si="34"/>
        <v>11.378959166605028</v>
      </c>
      <c r="I10" s="187">
        <f t="shared" si="35"/>
        <v>11.370288399720076</v>
      </c>
      <c r="J10" s="187">
        <f t="shared" si="72"/>
        <v>8.6707668849530378E-3</v>
      </c>
      <c r="K10" s="188">
        <f t="shared" si="37"/>
        <v>11.378959166605028</v>
      </c>
      <c r="L10" s="187">
        <f t="shared" si="38"/>
        <v>11.370288399720076</v>
      </c>
      <c r="M10" s="187">
        <f t="shared" si="73"/>
        <v>8.6707668849530378E-3</v>
      </c>
      <c r="N10" s="188">
        <f t="shared" si="40"/>
        <v>11.378959166605028</v>
      </c>
      <c r="O10" s="187">
        <f t="shared" si="41"/>
        <v>11.370288399720076</v>
      </c>
      <c r="P10" s="187">
        <f t="shared" si="74"/>
        <v>8.6707668849530378E-3</v>
      </c>
      <c r="Q10" s="188">
        <f t="shared" si="43"/>
        <v>11.378959166605028</v>
      </c>
      <c r="R10" s="187">
        <f t="shared" si="44"/>
        <v>159.18403759608108</v>
      </c>
      <c r="S10" s="187">
        <f t="shared" si="75"/>
        <v>0.12139073638934254</v>
      </c>
      <c r="T10" s="188">
        <f t="shared" si="46"/>
        <v>159.30542833247043</v>
      </c>
      <c r="U10" s="187">
        <f t="shared" si="47"/>
        <v>443.44124758908299</v>
      </c>
      <c r="V10" s="187">
        <f t="shared" si="76"/>
        <v>0.33815990851316846</v>
      </c>
      <c r="W10" s="188">
        <f t="shared" si="49"/>
        <v>443.77940749759614</v>
      </c>
      <c r="X10" s="187">
        <f t="shared" si="50"/>
        <v>818.66076477984552</v>
      </c>
      <c r="Y10" s="187">
        <f t="shared" si="77"/>
        <v>0.62429521571661872</v>
      </c>
      <c r="Z10" s="188">
        <f t="shared" si="52"/>
        <v>819.28505999556216</v>
      </c>
      <c r="AA10" s="187">
        <f t="shared" si="53"/>
        <v>0</v>
      </c>
      <c r="AB10" s="187">
        <f t="shared" si="78"/>
        <v>0</v>
      </c>
      <c r="AC10" s="188">
        <f t="shared" si="55"/>
        <v>0</v>
      </c>
      <c r="AD10" s="187">
        <f t="shared" si="56"/>
        <v>0</v>
      </c>
      <c r="AE10" s="187">
        <f t="shared" si="79"/>
        <v>0</v>
      </c>
      <c r="AF10" s="188">
        <f t="shared" si="58"/>
        <v>0</v>
      </c>
      <c r="AG10" s="187">
        <f t="shared" si="59"/>
        <v>250.14634479384168</v>
      </c>
      <c r="AH10" s="187">
        <f t="shared" si="80"/>
        <v>0.19075687146896683</v>
      </c>
      <c r="AI10" s="188">
        <f t="shared" si="61"/>
        <v>250.33710166531066</v>
      </c>
      <c r="AJ10" s="187">
        <f t="shared" si="62"/>
        <v>45.481153598880304</v>
      </c>
      <c r="AK10" s="187">
        <f t="shared" si="81"/>
        <v>3.4683067539812151E-2</v>
      </c>
      <c r="AL10" s="188">
        <f t="shared" si="64"/>
        <v>45.515836666420114</v>
      </c>
      <c r="AM10" s="187">
        <f t="shared" si="65"/>
        <v>56.851441998600386</v>
      </c>
      <c r="AN10" s="187">
        <f t="shared" si="82"/>
        <v>4.3353834424765189E-2</v>
      </c>
      <c r="AO10" s="188">
        <f t="shared" si="67"/>
        <v>56.89479583302515</v>
      </c>
      <c r="AP10" s="187">
        <f t="shared" si="68"/>
        <v>0</v>
      </c>
      <c r="AQ10" s="187">
        <f t="shared" si="83"/>
        <v>0</v>
      </c>
      <c r="AR10" s="188">
        <f t="shared" si="70"/>
        <v>0</v>
      </c>
      <c r="AS10" s="186">
        <f t="shared" si="0"/>
        <v>1819.2461439552123</v>
      </c>
      <c r="AT10" s="169"/>
      <c r="AU10" s="169"/>
      <c r="AV10" s="169"/>
    </row>
    <row r="11" spans="1:48">
      <c r="A11" s="169">
        <f>VLOOKUP(B11,Misc_inputs!$A$3:$B$33,2,0)</f>
        <v>2.8492930312000952</v>
      </c>
      <c r="B11" s="168">
        <v>2022</v>
      </c>
      <c r="C11" s="187">
        <f t="shared" si="29"/>
        <v>11.378959166605028</v>
      </c>
      <c r="D11" s="187">
        <f t="shared" si="30"/>
        <v>0.32421989055718148</v>
      </c>
      <c r="E11" s="188">
        <f t="shared" si="31"/>
        <v>11.70317905716221</v>
      </c>
      <c r="F11" s="187">
        <f t="shared" si="32"/>
        <v>11.378959166605028</v>
      </c>
      <c r="G11" s="187">
        <f t="shared" si="71"/>
        <v>0.32421989055718148</v>
      </c>
      <c r="H11" s="188">
        <f t="shared" si="34"/>
        <v>11.70317905716221</v>
      </c>
      <c r="I11" s="187">
        <f t="shared" si="35"/>
        <v>11.378959166605028</v>
      </c>
      <c r="J11" s="187">
        <f t="shared" si="72"/>
        <v>0.32421989055718148</v>
      </c>
      <c r="K11" s="188">
        <f t="shared" si="37"/>
        <v>11.70317905716221</v>
      </c>
      <c r="L11" s="187">
        <f t="shared" si="38"/>
        <v>11.378959166605028</v>
      </c>
      <c r="M11" s="187">
        <f t="shared" si="73"/>
        <v>0.32421989055718148</v>
      </c>
      <c r="N11" s="188">
        <f t="shared" si="40"/>
        <v>11.70317905716221</v>
      </c>
      <c r="O11" s="187">
        <f t="shared" si="41"/>
        <v>11.378959166605028</v>
      </c>
      <c r="P11" s="187">
        <f t="shared" si="74"/>
        <v>0.32421989055718148</v>
      </c>
      <c r="Q11" s="188">
        <f t="shared" si="43"/>
        <v>11.70317905716221</v>
      </c>
      <c r="R11" s="187">
        <f t="shared" si="44"/>
        <v>159.30542833247043</v>
      </c>
      <c r="S11" s="187">
        <f t="shared" si="75"/>
        <v>4.5390784678005414</v>
      </c>
      <c r="T11" s="188">
        <f t="shared" si="46"/>
        <v>163.84450680027098</v>
      </c>
      <c r="U11" s="187">
        <f t="shared" si="47"/>
        <v>443.77940749759614</v>
      </c>
      <c r="V11" s="187">
        <f t="shared" si="76"/>
        <v>12.644575731730081</v>
      </c>
      <c r="W11" s="188">
        <f t="shared" si="49"/>
        <v>456.42398322932621</v>
      </c>
      <c r="X11" s="187">
        <f t="shared" si="50"/>
        <v>819.28505999556216</v>
      </c>
      <c r="Y11" s="187">
        <f t="shared" si="77"/>
        <v>23.343832120117071</v>
      </c>
      <c r="Z11" s="188">
        <f t="shared" si="52"/>
        <v>842.62889211567926</v>
      </c>
      <c r="AA11" s="187">
        <f t="shared" si="53"/>
        <v>0</v>
      </c>
      <c r="AB11" s="187">
        <f t="shared" si="78"/>
        <v>0</v>
      </c>
      <c r="AC11" s="188">
        <f t="shared" si="55"/>
        <v>0</v>
      </c>
      <c r="AD11" s="187">
        <f t="shared" si="56"/>
        <v>0</v>
      </c>
      <c r="AE11" s="187">
        <f t="shared" si="79"/>
        <v>0</v>
      </c>
      <c r="AF11" s="188">
        <f t="shared" si="58"/>
        <v>0</v>
      </c>
      <c r="AG11" s="187">
        <f t="shared" si="59"/>
        <v>250.33710166531066</v>
      </c>
      <c r="AH11" s="187">
        <f t="shared" si="80"/>
        <v>7.1328375922579941</v>
      </c>
      <c r="AI11" s="188">
        <f t="shared" si="61"/>
        <v>257.46993925756863</v>
      </c>
      <c r="AJ11" s="187">
        <f t="shared" si="62"/>
        <v>45.515836666420114</v>
      </c>
      <c r="AK11" s="187">
        <f t="shared" si="81"/>
        <v>1.2968795622287259</v>
      </c>
      <c r="AL11" s="188">
        <f t="shared" si="64"/>
        <v>46.812716228648839</v>
      </c>
      <c r="AM11" s="187">
        <f t="shared" si="65"/>
        <v>56.89479583302515</v>
      </c>
      <c r="AN11" s="187">
        <f t="shared" si="82"/>
        <v>1.6210994527859077</v>
      </c>
      <c r="AO11" s="188">
        <f t="shared" si="67"/>
        <v>58.515895285811055</v>
      </c>
      <c r="AP11" s="187">
        <f t="shared" si="68"/>
        <v>0</v>
      </c>
      <c r="AQ11" s="187">
        <f t="shared" si="83"/>
        <v>0</v>
      </c>
      <c r="AR11" s="188">
        <f t="shared" si="70"/>
        <v>0</v>
      </c>
      <c r="AS11" s="186">
        <f t="shared" si="0"/>
        <v>1820.6334666568048</v>
      </c>
      <c r="AT11" s="169"/>
      <c r="AU11" s="169"/>
      <c r="AV11" s="169"/>
    </row>
    <row r="12" spans="1:48">
      <c r="A12" s="169">
        <f>VLOOKUP(B12,Misc_inputs!$A$3:$B$33,2,0)</f>
        <v>3.143440902459993</v>
      </c>
      <c r="B12" s="168">
        <v>2023</v>
      </c>
      <c r="C12" s="187">
        <f t="shared" si="29"/>
        <v>11.70317905716221</v>
      </c>
      <c r="D12" s="187">
        <f t="shared" si="30"/>
        <v>0.36788251737096866</v>
      </c>
      <c r="E12" s="188">
        <f t="shared" si="31"/>
        <v>12.071061574533179</v>
      </c>
      <c r="F12" s="187">
        <f t="shared" si="32"/>
        <v>11.70317905716221</v>
      </c>
      <c r="G12" s="187">
        <f t="shared" si="71"/>
        <v>0.36788251737096866</v>
      </c>
      <c r="H12" s="188">
        <f t="shared" si="34"/>
        <v>12.071061574533179</v>
      </c>
      <c r="I12" s="187">
        <f t="shared" si="35"/>
        <v>11.70317905716221</v>
      </c>
      <c r="J12" s="187">
        <f t="shared" si="72"/>
        <v>0.36788251737096866</v>
      </c>
      <c r="K12" s="188">
        <f t="shared" si="37"/>
        <v>12.071061574533179</v>
      </c>
      <c r="L12" s="187">
        <f t="shared" si="38"/>
        <v>11.70317905716221</v>
      </c>
      <c r="M12" s="187">
        <f t="shared" si="73"/>
        <v>0.36788251737096866</v>
      </c>
      <c r="N12" s="188">
        <f t="shared" si="40"/>
        <v>12.071061574533179</v>
      </c>
      <c r="O12" s="187">
        <f t="shared" si="41"/>
        <v>11.70317905716221</v>
      </c>
      <c r="P12" s="187">
        <f t="shared" si="74"/>
        <v>0.36788251737096866</v>
      </c>
      <c r="Q12" s="188">
        <f t="shared" si="43"/>
        <v>12.071061574533179</v>
      </c>
      <c r="R12" s="187">
        <f t="shared" si="44"/>
        <v>163.84450680027098</v>
      </c>
      <c r="S12" s="187">
        <f t="shared" si="75"/>
        <v>5.1503552431935624</v>
      </c>
      <c r="T12" s="188">
        <f t="shared" si="46"/>
        <v>168.99486204346454</v>
      </c>
      <c r="U12" s="187">
        <f t="shared" si="47"/>
        <v>456.42398322932621</v>
      </c>
      <c r="V12" s="187">
        <f t="shared" si="76"/>
        <v>14.347418177467778</v>
      </c>
      <c r="W12" s="188">
        <f t="shared" si="49"/>
        <v>470.77140140679398</v>
      </c>
      <c r="X12" s="187">
        <f t="shared" si="50"/>
        <v>842.62889211567926</v>
      </c>
      <c r="Y12" s="187">
        <f t="shared" si="77"/>
        <v>26.48754125070975</v>
      </c>
      <c r="Z12" s="188">
        <f t="shared" si="52"/>
        <v>869.11643336638906</v>
      </c>
      <c r="AA12" s="187">
        <f t="shared" si="53"/>
        <v>0</v>
      </c>
      <c r="AB12" s="187">
        <f t="shared" si="78"/>
        <v>0</v>
      </c>
      <c r="AC12" s="188">
        <f t="shared" si="55"/>
        <v>0</v>
      </c>
      <c r="AD12" s="187">
        <f t="shared" si="56"/>
        <v>0</v>
      </c>
      <c r="AE12" s="187">
        <f t="shared" si="79"/>
        <v>0</v>
      </c>
      <c r="AF12" s="188">
        <f t="shared" si="58"/>
        <v>0</v>
      </c>
      <c r="AG12" s="187">
        <f t="shared" si="59"/>
        <v>257.46993925756863</v>
      </c>
      <c r="AH12" s="187">
        <f t="shared" si="80"/>
        <v>8.0934153821613108</v>
      </c>
      <c r="AI12" s="188">
        <f t="shared" si="61"/>
        <v>265.56335463972994</v>
      </c>
      <c r="AJ12" s="187">
        <f t="shared" si="62"/>
        <v>46.812716228648839</v>
      </c>
      <c r="AK12" s="187">
        <f t="shared" si="81"/>
        <v>1.4715300694838747</v>
      </c>
      <c r="AL12" s="188">
        <f t="shared" si="64"/>
        <v>48.284246298132715</v>
      </c>
      <c r="AM12" s="187">
        <f t="shared" si="65"/>
        <v>58.515895285811055</v>
      </c>
      <c r="AN12" s="187">
        <f t="shared" si="82"/>
        <v>1.8394125868548434</v>
      </c>
      <c r="AO12" s="188">
        <f t="shared" si="67"/>
        <v>60.355307872665897</v>
      </c>
      <c r="AP12" s="187">
        <f t="shared" si="68"/>
        <v>0</v>
      </c>
      <c r="AQ12" s="187">
        <f t="shared" si="83"/>
        <v>0</v>
      </c>
      <c r="AR12" s="188">
        <f t="shared" si="70"/>
        <v>0</v>
      </c>
      <c r="AS12" s="186">
        <f t="shared" si="0"/>
        <v>1872.508649145954</v>
      </c>
      <c r="AT12" s="169"/>
      <c r="AU12" s="169"/>
      <c r="AV12" s="169"/>
    </row>
    <row r="13" spans="1:48">
      <c r="A13" s="169">
        <f>VLOOKUP(B13,Misc_inputs!$A$3:$B$33,2,0)</f>
        <v>1.8594732384912049</v>
      </c>
      <c r="B13" s="168">
        <v>2024</v>
      </c>
      <c r="C13" s="187">
        <f t="shared" si="29"/>
        <v>12.071061574533179</v>
      </c>
      <c r="D13" s="187">
        <f t="shared" si="30"/>
        <v>0.22445815958023954</v>
      </c>
      <c r="E13" s="188">
        <f t="shared" si="31"/>
        <v>12.295519734113418</v>
      </c>
      <c r="F13" s="187">
        <f t="shared" si="32"/>
        <v>12.071061574533179</v>
      </c>
      <c r="G13" s="187">
        <f t="shared" si="71"/>
        <v>0.22445815958023954</v>
      </c>
      <c r="H13" s="188">
        <f t="shared" si="34"/>
        <v>12.295519734113418</v>
      </c>
      <c r="I13" s="187">
        <f t="shared" si="35"/>
        <v>12.071061574533179</v>
      </c>
      <c r="J13" s="187">
        <f t="shared" si="72"/>
        <v>0.22445815958023954</v>
      </c>
      <c r="K13" s="188">
        <f t="shared" si="37"/>
        <v>12.295519734113418</v>
      </c>
      <c r="L13" s="187">
        <f t="shared" si="38"/>
        <v>12.071061574533179</v>
      </c>
      <c r="M13" s="187">
        <f t="shared" si="73"/>
        <v>0.22445815958023954</v>
      </c>
      <c r="N13" s="188">
        <f t="shared" si="40"/>
        <v>12.295519734113418</v>
      </c>
      <c r="O13" s="187">
        <f t="shared" si="41"/>
        <v>12.071061574533179</v>
      </c>
      <c r="P13" s="187">
        <f t="shared" si="74"/>
        <v>0.22445815958023954</v>
      </c>
      <c r="Q13" s="188">
        <f t="shared" si="43"/>
        <v>12.295519734113418</v>
      </c>
      <c r="R13" s="187">
        <f t="shared" si="44"/>
        <v>168.99486204346454</v>
      </c>
      <c r="S13" s="187">
        <f t="shared" si="75"/>
        <v>3.1424142341233541</v>
      </c>
      <c r="T13" s="188">
        <f t="shared" si="46"/>
        <v>172.13727627758789</v>
      </c>
      <c r="U13" s="187">
        <f t="shared" si="47"/>
        <v>470.77140140679398</v>
      </c>
      <c r="V13" s="187">
        <f t="shared" si="76"/>
        <v>8.7538682236293432</v>
      </c>
      <c r="W13" s="188">
        <f t="shared" si="49"/>
        <v>479.52526963042334</v>
      </c>
      <c r="X13" s="187">
        <f t="shared" si="50"/>
        <v>869.11643336638906</v>
      </c>
      <c r="Y13" s="187">
        <f t="shared" si="77"/>
        <v>16.160987489777249</v>
      </c>
      <c r="Z13" s="188">
        <f t="shared" si="52"/>
        <v>885.27742085616626</v>
      </c>
      <c r="AA13" s="187">
        <f t="shared" si="53"/>
        <v>0</v>
      </c>
      <c r="AB13" s="187">
        <f t="shared" si="78"/>
        <v>0</v>
      </c>
      <c r="AC13" s="188">
        <f t="shared" si="55"/>
        <v>0</v>
      </c>
      <c r="AD13" s="187">
        <f t="shared" si="56"/>
        <v>0</v>
      </c>
      <c r="AE13" s="187">
        <f t="shared" si="79"/>
        <v>0</v>
      </c>
      <c r="AF13" s="188">
        <f t="shared" si="58"/>
        <v>0</v>
      </c>
      <c r="AG13" s="187">
        <f t="shared" si="59"/>
        <v>265.56335463972994</v>
      </c>
      <c r="AH13" s="187">
        <f t="shared" si="80"/>
        <v>4.9380795107652702</v>
      </c>
      <c r="AI13" s="188">
        <f t="shared" si="61"/>
        <v>270.50143415049519</v>
      </c>
      <c r="AJ13" s="187">
        <f t="shared" si="62"/>
        <v>48.284246298132715</v>
      </c>
      <c r="AK13" s="187">
        <f t="shared" si="81"/>
        <v>0.89783263832095817</v>
      </c>
      <c r="AL13" s="188">
        <f t="shared" si="64"/>
        <v>49.182078936453671</v>
      </c>
      <c r="AM13" s="187">
        <f t="shared" si="65"/>
        <v>60.355307872665897</v>
      </c>
      <c r="AN13" s="187">
        <f t="shared" si="82"/>
        <v>1.1222907979011978</v>
      </c>
      <c r="AO13" s="188">
        <f t="shared" si="67"/>
        <v>61.477598670567097</v>
      </c>
      <c r="AP13" s="187">
        <f t="shared" si="68"/>
        <v>0</v>
      </c>
      <c r="AQ13" s="187">
        <f t="shared" si="83"/>
        <v>0</v>
      </c>
      <c r="AR13" s="188">
        <f t="shared" si="70"/>
        <v>0</v>
      </c>
      <c r="AS13" s="186">
        <f t="shared" si="0"/>
        <v>1931.3698519253087</v>
      </c>
      <c r="AT13" s="169"/>
      <c r="AU13" s="169"/>
      <c r="AV13" s="169"/>
    </row>
    <row r="14" spans="1:48">
      <c r="A14" s="169">
        <f>VLOOKUP(B14,Misc_inputs!$A$3:$B$33,2,0)</f>
        <v>1.892198034308179</v>
      </c>
      <c r="B14" s="168">
        <v>2025</v>
      </c>
      <c r="C14" s="187">
        <f t="shared" si="29"/>
        <v>12.295519734113418</v>
      </c>
      <c r="D14" s="187">
        <f t="shared" si="30"/>
        <v>0.23265558271686831</v>
      </c>
      <c r="E14" s="188">
        <f t="shared" si="31"/>
        <v>12.528175316830286</v>
      </c>
      <c r="F14" s="187">
        <f t="shared" si="32"/>
        <v>12.295519734113418</v>
      </c>
      <c r="G14" s="187">
        <f t="shared" si="71"/>
        <v>0.23265558271686831</v>
      </c>
      <c r="H14" s="188">
        <f t="shared" si="34"/>
        <v>12.528175316830286</v>
      </c>
      <c r="I14" s="187">
        <f t="shared" si="35"/>
        <v>12.295519734113418</v>
      </c>
      <c r="J14" s="187">
        <f t="shared" si="72"/>
        <v>0.23265558271686831</v>
      </c>
      <c r="K14" s="188">
        <f t="shared" si="37"/>
        <v>12.528175316830286</v>
      </c>
      <c r="L14" s="187">
        <f t="shared" si="38"/>
        <v>12.295519734113418</v>
      </c>
      <c r="M14" s="187">
        <f t="shared" si="73"/>
        <v>0.23265558271686831</v>
      </c>
      <c r="N14" s="188">
        <f t="shared" si="40"/>
        <v>12.528175316830286</v>
      </c>
      <c r="O14" s="187">
        <f t="shared" si="41"/>
        <v>12.295519734113418</v>
      </c>
      <c r="P14" s="187">
        <f t="shared" si="74"/>
        <v>0.23265558271686831</v>
      </c>
      <c r="Q14" s="188">
        <f t="shared" si="43"/>
        <v>12.528175316830286</v>
      </c>
      <c r="R14" s="187">
        <f t="shared" si="44"/>
        <v>172.13727627758789</v>
      </c>
      <c r="S14" s="187">
        <f t="shared" si="75"/>
        <v>3.2571781580361572</v>
      </c>
      <c r="T14" s="188">
        <f t="shared" si="46"/>
        <v>175.39445443562406</v>
      </c>
      <c r="U14" s="187">
        <f t="shared" si="47"/>
        <v>479.52526963042334</v>
      </c>
      <c r="V14" s="187">
        <f t="shared" si="76"/>
        <v>9.0735677259578651</v>
      </c>
      <c r="W14" s="188">
        <f t="shared" si="49"/>
        <v>488.59883735638118</v>
      </c>
      <c r="X14" s="187">
        <f t="shared" si="50"/>
        <v>885.27742085616626</v>
      </c>
      <c r="Y14" s="187">
        <f t="shared" si="77"/>
        <v>16.751201955614523</v>
      </c>
      <c r="Z14" s="188">
        <f t="shared" si="52"/>
        <v>902.02862281178079</v>
      </c>
      <c r="AA14" s="187">
        <f t="shared" si="53"/>
        <v>0</v>
      </c>
      <c r="AB14" s="187">
        <f t="shared" si="78"/>
        <v>0</v>
      </c>
      <c r="AC14" s="188">
        <f t="shared" si="55"/>
        <v>0</v>
      </c>
      <c r="AD14" s="187">
        <f t="shared" si="56"/>
        <v>0</v>
      </c>
      <c r="AE14" s="187">
        <f t="shared" si="79"/>
        <v>0</v>
      </c>
      <c r="AF14" s="188">
        <f t="shared" si="58"/>
        <v>0</v>
      </c>
      <c r="AG14" s="187">
        <f t="shared" si="59"/>
        <v>270.50143415049519</v>
      </c>
      <c r="AH14" s="187">
        <f t="shared" si="80"/>
        <v>5.1184228197711032</v>
      </c>
      <c r="AI14" s="188">
        <f t="shared" si="61"/>
        <v>275.61985697026631</v>
      </c>
      <c r="AJ14" s="187">
        <f t="shared" si="62"/>
        <v>49.182078936453671</v>
      </c>
      <c r="AK14" s="187">
        <f t="shared" si="81"/>
        <v>0.93062233086747326</v>
      </c>
      <c r="AL14" s="188">
        <f t="shared" si="64"/>
        <v>50.112701267321142</v>
      </c>
      <c r="AM14" s="187">
        <f t="shared" si="65"/>
        <v>61.477598670567097</v>
      </c>
      <c r="AN14" s="187">
        <f t="shared" si="82"/>
        <v>1.1632779135843418</v>
      </c>
      <c r="AO14" s="188">
        <f t="shared" si="67"/>
        <v>62.640876584151442</v>
      </c>
      <c r="AP14" s="187">
        <f t="shared" si="68"/>
        <v>0</v>
      </c>
      <c r="AQ14" s="187">
        <f t="shared" si="83"/>
        <v>0</v>
      </c>
      <c r="AR14" s="188">
        <f t="shared" si="70"/>
        <v>0</v>
      </c>
      <c r="AS14" s="186">
        <f t="shared" si="0"/>
        <v>1967.2831574581473</v>
      </c>
      <c r="AT14" s="169"/>
      <c r="AU14" s="169"/>
      <c r="AV14" s="169"/>
    </row>
    <row r="15" spans="1:48">
      <c r="A15" s="169">
        <f>VLOOKUP(B15,Misc_inputs!$A$3:$B$33,2,0)</f>
        <v>2.0003592159356653</v>
      </c>
      <c r="B15" s="168">
        <v>2026</v>
      </c>
      <c r="C15" s="187">
        <f t="shared" si="29"/>
        <v>12.528175316830286</v>
      </c>
      <c r="D15" s="187">
        <f t="shared" si="30"/>
        <v>0.25060850953879188</v>
      </c>
      <c r="E15" s="188">
        <f t="shared" si="31"/>
        <v>12.778783826369077</v>
      </c>
      <c r="F15" s="187">
        <f t="shared" si="32"/>
        <v>12.528175316830286</v>
      </c>
      <c r="G15" s="187">
        <f t="shared" si="71"/>
        <v>0.25060850953879188</v>
      </c>
      <c r="H15" s="188">
        <f t="shared" si="34"/>
        <v>12.778783826369077</v>
      </c>
      <c r="I15" s="187">
        <f t="shared" si="35"/>
        <v>12.528175316830286</v>
      </c>
      <c r="J15" s="187">
        <f t="shared" si="72"/>
        <v>0.25060850953879188</v>
      </c>
      <c r="K15" s="188">
        <f t="shared" si="37"/>
        <v>12.778783826369077</v>
      </c>
      <c r="L15" s="187">
        <f t="shared" si="38"/>
        <v>12.528175316830286</v>
      </c>
      <c r="M15" s="187">
        <f t="shared" si="73"/>
        <v>0.25060850953879188</v>
      </c>
      <c r="N15" s="188">
        <f t="shared" si="40"/>
        <v>12.778783826369077</v>
      </c>
      <c r="O15" s="187">
        <f t="shared" si="41"/>
        <v>12.528175316830286</v>
      </c>
      <c r="P15" s="187">
        <f t="shared" si="74"/>
        <v>0.25060850953879188</v>
      </c>
      <c r="Q15" s="188">
        <f t="shared" si="43"/>
        <v>12.778783826369077</v>
      </c>
      <c r="R15" s="187">
        <f t="shared" si="44"/>
        <v>175.39445443562406</v>
      </c>
      <c r="S15" s="187">
        <f t="shared" si="75"/>
        <v>3.508519133543087</v>
      </c>
      <c r="T15" s="188">
        <f t="shared" si="46"/>
        <v>178.90297356916713</v>
      </c>
      <c r="U15" s="187">
        <f t="shared" si="47"/>
        <v>488.59883735638118</v>
      </c>
      <c r="V15" s="187">
        <f t="shared" si="76"/>
        <v>9.773731872012883</v>
      </c>
      <c r="W15" s="188">
        <f t="shared" si="49"/>
        <v>498.37256922839407</v>
      </c>
      <c r="X15" s="187">
        <f t="shared" si="50"/>
        <v>902.02862281178079</v>
      </c>
      <c r="Y15" s="187">
        <f t="shared" si="77"/>
        <v>18.043812686793018</v>
      </c>
      <c r="Z15" s="188">
        <f t="shared" si="52"/>
        <v>920.07243549857378</v>
      </c>
      <c r="AA15" s="187">
        <f t="shared" si="53"/>
        <v>0</v>
      </c>
      <c r="AB15" s="187">
        <f t="shared" si="78"/>
        <v>0</v>
      </c>
      <c r="AC15" s="188">
        <f t="shared" si="55"/>
        <v>0</v>
      </c>
      <c r="AD15" s="187">
        <f t="shared" si="56"/>
        <v>0</v>
      </c>
      <c r="AE15" s="187">
        <f t="shared" si="79"/>
        <v>0</v>
      </c>
      <c r="AF15" s="188">
        <f t="shared" si="58"/>
        <v>0</v>
      </c>
      <c r="AG15" s="187">
        <f t="shared" si="59"/>
        <v>275.61985697026631</v>
      </c>
      <c r="AH15" s="187">
        <f t="shared" si="80"/>
        <v>5.5133872098534207</v>
      </c>
      <c r="AI15" s="188">
        <f t="shared" si="61"/>
        <v>281.13324418011973</v>
      </c>
      <c r="AJ15" s="187">
        <f t="shared" si="62"/>
        <v>50.112701267321142</v>
      </c>
      <c r="AK15" s="187">
        <f t="shared" si="81"/>
        <v>1.0024340381551675</v>
      </c>
      <c r="AL15" s="188">
        <f t="shared" si="64"/>
        <v>51.115135305476308</v>
      </c>
      <c r="AM15" s="187">
        <f t="shared" si="65"/>
        <v>62.640876584151442</v>
      </c>
      <c r="AN15" s="187">
        <f t="shared" si="82"/>
        <v>1.2530425476939595</v>
      </c>
      <c r="AO15" s="188">
        <f t="shared" si="67"/>
        <v>63.893919131845401</v>
      </c>
      <c r="AP15" s="187">
        <f t="shared" si="68"/>
        <v>0</v>
      </c>
      <c r="AQ15" s="187">
        <f t="shared" si="83"/>
        <v>0</v>
      </c>
      <c r="AR15" s="188">
        <f t="shared" si="70"/>
        <v>0</v>
      </c>
      <c r="AS15" s="186">
        <f t="shared" si="0"/>
        <v>2004.5080506928462</v>
      </c>
      <c r="AT15" s="169"/>
      <c r="AU15" s="169"/>
      <c r="AV15" s="169"/>
    </row>
    <row r="16" spans="1:48">
      <c r="A16" s="169">
        <f>VLOOKUP(B16,Misc_inputs!$A$3:$B$33,2,0)</f>
        <v>0</v>
      </c>
      <c r="B16" s="168">
        <v>2027</v>
      </c>
      <c r="C16" s="187">
        <f t="shared" si="29"/>
        <v>12.778783826369077</v>
      </c>
      <c r="D16" s="187">
        <f t="shared" si="30"/>
        <v>0</v>
      </c>
      <c r="E16" s="188">
        <f t="shared" si="31"/>
        <v>12.778783826369077</v>
      </c>
      <c r="F16" s="187">
        <f t="shared" si="32"/>
        <v>12.778783826369077</v>
      </c>
      <c r="G16" s="187">
        <f t="shared" si="71"/>
        <v>0</v>
      </c>
      <c r="H16" s="188">
        <f t="shared" si="34"/>
        <v>12.778783826369077</v>
      </c>
      <c r="I16" s="187">
        <f t="shared" si="35"/>
        <v>12.778783826369077</v>
      </c>
      <c r="J16" s="187">
        <f t="shared" si="72"/>
        <v>0</v>
      </c>
      <c r="K16" s="188">
        <f t="shared" si="37"/>
        <v>12.778783826369077</v>
      </c>
      <c r="L16" s="187">
        <f t="shared" si="38"/>
        <v>12.778783826369077</v>
      </c>
      <c r="M16" s="187">
        <f t="shared" si="73"/>
        <v>0</v>
      </c>
      <c r="N16" s="188">
        <f t="shared" si="40"/>
        <v>12.778783826369077</v>
      </c>
      <c r="O16" s="187">
        <f t="shared" si="41"/>
        <v>12.778783826369077</v>
      </c>
      <c r="P16" s="187">
        <f t="shared" si="74"/>
        <v>0</v>
      </c>
      <c r="Q16" s="188">
        <f t="shared" si="43"/>
        <v>12.778783826369077</v>
      </c>
      <c r="R16" s="187">
        <f t="shared" si="44"/>
        <v>178.90297356916713</v>
      </c>
      <c r="S16" s="187">
        <f t="shared" si="75"/>
        <v>0</v>
      </c>
      <c r="T16" s="188">
        <f t="shared" si="46"/>
        <v>178.90297356916713</v>
      </c>
      <c r="U16" s="187">
        <f t="shared" si="47"/>
        <v>498.37256922839407</v>
      </c>
      <c r="V16" s="187">
        <f t="shared" si="76"/>
        <v>0</v>
      </c>
      <c r="W16" s="188">
        <f t="shared" si="49"/>
        <v>498.37256922839407</v>
      </c>
      <c r="X16" s="187">
        <f t="shared" si="50"/>
        <v>920.07243549857378</v>
      </c>
      <c r="Y16" s="187">
        <f t="shared" si="77"/>
        <v>0</v>
      </c>
      <c r="Z16" s="188">
        <f t="shared" si="52"/>
        <v>920.07243549857378</v>
      </c>
      <c r="AA16" s="187">
        <f t="shared" si="53"/>
        <v>0</v>
      </c>
      <c r="AB16" s="187">
        <f t="shared" si="78"/>
        <v>0</v>
      </c>
      <c r="AC16" s="188">
        <f t="shared" si="55"/>
        <v>0</v>
      </c>
      <c r="AD16" s="187">
        <f t="shared" si="56"/>
        <v>0</v>
      </c>
      <c r="AE16" s="187">
        <f t="shared" si="79"/>
        <v>0</v>
      </c>
      <c r="AF16" s="188">
        <f t="shared" si="58"/>
        <v>0</v>
      </c>
      <c r="AG16" s="187">
        <f t="shared" si="59"/>
        <v>281.13324418011973</v>
      </c>
      <c r="AH16" s="187">
        <f t="shared" si="80"/>
        <v>0</v>
      </c>
      <c r="AI16" s="188">
        <f t="shared" si="61"/>
        <v>281.13324418011973</v>
      </c>
      <c r="AJ16" s="187">
        <f t="shared" si="62"/>
        <v>51.115135305476308</v>
      </c>
      <c r="AK16" s="187">
        <f t="shared" si="81"/>
        <v>0</v>
      </c>
      <c r="AL16" s="188">
        <f t="shared" si="64"/>
        <v>51.115135305476308</v>
      </c>
      <c r="AM16" s="187">
        <f t="shared" si="65"/>
        <v>63.893919131845401</v>
      </c>
      <c r="AN16" s="187">
        <f t="shared" si="82"/>
        <v>0</v>
      </c>
      <c r="AO16" s="188">
        <f t="shared" si="67"/>
        <v>63.893919131845401</v>
      </c>
      <c r="AP16" s="187">
        <f t="shared" si="68"/>
        <v>0</v>
      </c>
      <c r="AQ16" s="187">
        <f t="shared" si="83"/>
        <v>0</v>
      </c>
      <c r="AR16" s="188">
        <f t="shared" si="70"/>
        <v>0</v>
      </c>
      <c r="AS16" s="186">
        <f t="shared" si="0"/>
        <v>2044.6054122190528</v>
      </c>
      <c r="AT16" s="169"/>
      <c r="AU16" s="169"/>
      <c r="AV16" s="169"/>
    </row>
    <row r="17" spans="1:48">
      <c r="A17" s="169">
        <f>VLOOKUP(B17,Misc_inputs!$A$3:$B$33,2,0)</f>
        <v>0</v>
      </c>
      <c r="B17" s="168">
        <v>2028</v>
      </c>
      <c r="C17" s="187">
        <f t="shared" si="29"/>
        <v>12.778783826369077</v>
      </c>
      <c r="D17" s="187">
        <f t="shared" si="30"/>
        <v>0</v>
      </c>
      <c r="E17" s="188">
        <f t="shared" si="31"/>
        <v>12.778783826369077</v>
      </c>
      <c r="F17" s="187">
        <f t="shared" si="32"/>
        <v>12.778783826369077</v>
      </c>
      <c r="G17" s="187">
        <f t="shared" si="71"/>
        <v>0</v>
      </c>
      <c r="H17" s="188">
        <f t="shared" si="34"/>
        <v>12.778783826369077</v>
      </c>
      <c r="I17" s="187">
        <f t="shared" si="35"/>
        <v>12.778783826369077</v>
      </c>
      <c r="J17" s="187">
        <f t="shared" si="72"/>
        <v>0</v>
      </c>
      <c r="K17" s="188">
        <f t="shared" si="37"/>
        <v>12.778783826369077</v>
      </c>
      <c r="L17" s="187">
        <f t="shared" si="38"/>
        <v>12.778783826369077</v>
      </c>
      <c r="M17" s="187">
        <f t="shared" si="73"/>
        <v>0</v>
      </c>
      <c r="N17" s="188">
        <f t="shared" si="40"/>
        <v>12.778783826369077</v>
      </c>
      <c r="O17" s="187">
        <f t="shared" si="41"/>
        <v>12.778783826369077</v>
      </c>
      <c r="P17" s="187">
        <f t="shared" si="74"/>
        <v>0</v>
      </c>
      <c r="Q17" s="188">
        <f t="shared" si="43"/>
        <v>12.778783826369077</v>
      </c>
      <c r="R17" s="187">
        <f t="shared" si="44"/>
        <v>178.90297356916713</v>
      </c>
      <c r="S17" s="187">
        <f t="shared" si="75"/>
        <v>0</v>
      </c>
      <c r="T17" s="188">
        <f t="shared" si="46"/>
        <v>178.90297356916713</v>
      </c>
      <c r="U17" s="187">
        <f t="shared" si="47"/>
        <v>498.37256922839407</v>
      </c>
      <c r="V17" s="187">
        <f t="shared" si="76"/>
        <v>0</v>
      </c>
      <c r="W17" s="188">
        <f t="shared" si="49"/>
        <v>498.37256922839407</v>
      </c>
      <c r="X17" s="187">
        <f t="shared" si="50"/>
        <v>920.07243549857378</v>
      </c>
      <c r="Y17" s="187">
        <f t="shared" si="77"/>
        <v>0</v>
      </c>
      <c r="Z17" s="188">
        <f t="shared" si="52"/>
        <v>920.07243549857378</v>
      </c>
      <c r="AA17" s="187">
        <f t="shared" si="53"/>
        <v>0</v>
      </c>
      <c r="AB17" s="187">
        <f t="shared" si="78"/>
        <v>0</v>
      </c>
      <c r="AC17" s="188">
        <f t="shared" si="55"/>
        <v>0</v>
      </c>
      <c r="AD17" s="187">
        <f t="shared" si="56"/>
        <v>0</v>
      </c>
      <c r="AE17" s="187">
        <f t="shared" si="79"/>
        <v>0</v>
      </c>
      <c r="AF17" s="188">
        <f t="shared" si="58"/>
        <v>0</v>
      </c>
      <c r="AG17" s="187">
        <f t="shared" si="59"/>
        <v>281.13324418011973</v>
      </c>
      <c r="AH17" s="187">
        <f t="shared" si="80"/>
        <v>0</v>
      </c>
      <c r="AI17" s="188">
        <f t="shared" si="61"/>
        <v>281.13324418011973</v>
      </c>
      <c r="AJ17" s="187">
        <f t="shared" si="62"/>
        <v>51.115135305476308</v>
      </c>
      <c r="AK17" s="187">
        <f t="shared" si="81"/>
        <v>0</v>
      </c>
      <c r="AL17" s="188">
        <f t="shared" si="64"/>
        <v>51.115135305476308</v>
      </c>
      <c r="AM17" s="187">
        <f t="shared" si="65"/>
        <v>63.893919131845401</v>
      </c>
      <c r="AN17" s="187">
        <f t="shared" si="82"/>
        <v>0</v>
      </c>
      <c r="AO17" s="188">
        <f t="shared" si="67"/>
        <v>63.893919131845401</v>
      </c>
      <c r="AP17" s="187">
        <f t="shared" si="68"/>
        <v>0</v>
      </c>
      <c r="AQ17" s="187">
        <f t="shared" si="83"/>
        <v>0</v>
      </c>
      <c r="AR17" s="188">
        <f t="shared" si="70"/>
        <v>0</v>
      </c>
      <c r="AS17" s="186">
        <f t="shared" si="0"/>
        <v>2044.6054122190528</v>
      </c>
      <c r="AT17" s="169"/>
      <c r="AU17" s="169"/>
      <c r="AV17" s="169"/>
    </row>
    <row r="18" spans="1:48">
      <c r="A18" s="169">
        <f>VLOOKUP(B18,Misc_inputs!$A$3:$B$33,2,0)</f>
        <v>0</v>
      </c>
      <c r="B18" s="168">
        <v>2029</v>
      </c>
      <c r="C18" s="187">
        <f t="shared" si="29"/>
        <v>12.778783826369077</v>
      </c>
      <c r="D18" s="187">
        <f t="shared" si="30"/>
        <v>0</v>
      </c>
      <c r="E18" s="188">
        <f t="shared" si="31"/>
        <v>12.778783826369077</v>
      </c>
      <c r="F18" s="187">
        <f t="shared" si="32"/>
        <v>12.778783826369077</v>
      </c>
      <c r="G18" s="187">
        <f t="shared" si="71"/>
        <v>0</v>
      </c>
      <c r="H18" s="188">
        <f t="shared" si="34"/>
        <v>12.778783826369077</v>
      </c>
      <c r="I18" s="187">
        <f t="shared" si="35"/>
        <v>12.778783826369077</v>
      </c>
      <c r="J18" s="187">
        <f t="shared" si="72"/>
        <v>0</v>
      </c>
      <c r="K18" s="188">
        <f t="shared" si="37"/>
        <v>12.778783826369077</v>
      </c>
      <c r="L18" s="187">
        <f t="shared" si="38"/>
        <v>12.778783826369077</v>
      </c>
      <c r="M18" s="187">
        <f t="shared" si="73"/>
        <v>0</v>
      </c>
      <c r="N18" s="188">
        <f t="shared" si="40"/>
        <v>12.778783826369077</v>
      </c>
      <c r="O18" s="187">
        <f t="shared" si="41"/>
        <v>12.778783826369077</v>
      </c>
      <c r="P18" s="187">
        <f t="shared" si="74"/>
        <v>0</v>
      </c>
      <c r="Q18" s="188">
        <f t="shared" si="43"/>
        <v>12.778783826369077</v>
      </c>
      <c r="R18" s="187">
        <f t="shared" si="44"/>
        <v>178.90297356916713</v>
      </c>
      <c r="S18" s="187">
        <f t="shared" si="75"/>
        <v>0</v>
      </c>
      <c r="T18" s="188">
        <f t="shared" si="46"/>
        <v>178.90297356916713</v>
      </c>
      <c r="U18" s="187">
        <f t="shared" si="47"/>
        <v>498.37256922839407</v>
      </c>
      <c r="V18" s="187">
        <f t="shared" si="76"/>
        <v>0</v>
      </c>
      <c r="W18" s="188">
        <f t="shared" si="49"/>
        <v>498.37256922839407</v>
      </c>
      <c r="X18" s="187">
        <f t="shared" si="50"/>
        <v>920.07243549857378</v>
      </c>
      <c r="Y18" s="187">
        <f t="shared" si="77"/>
        <v>0</v>
      </c>
      <c r="Z18" s="188">
        <f t="shared" si="52"/>
        <v>920.07243549857378</v>
      </c>
      <c r="AA18" s="187">
        <f t="shared" si="53"/>
        <v>0</v>
      </c>
      <c r="AB18" s="187">
        <f t="shared" si="78"/>
        <v>0</v>
      </c>
      <c r="AC18" s="188">
        <f t="shared" si="55"/>
        <v>0</v>
      </c>
      <c r="AD18" s="187">
        <f t="shared" si="56"/>
        <v>0</v>
      </c>
      <c r="AE18" s="187">
        <f t="shared" si="79"/>
        <v>0</v>
      </c>
      <c r="AF18" s="188">
        <f t="shared" si="58"/>
        <v>0</v>
      </c>
      <c r="AG18" s="187">
        <f t="shared" si="59"/>
        <v>281.13324418011973</v>
      </c>
      <c r="AH18" s="187">
        <f t="shared" si="80"/>
        <v>0</v>
      </c>
      <c r="AI18" s="188">
        <f t="shared" si="61"/>
        <v>281.13324418011973</v>
      </c>
      <c r="AJ18" s="187">
        <f t="shared" si="62"/>
        <v>51.115135305476308</v>
      </c>
      <c r="AK18" s="187">
        <f t="shared" si="81"/>
        <v>0</v>
      </c>
      <c r="AL18" s="188">
        <f t="shared" si="64"/>
        <v>51.115135305476308</v>
      </c>
      <c r="AM18" s="187">
        <f t="shared" si="65"/>
        <v>63.893919131845401</v>
      </c>
      <c r="AN18" s="187">
        <f t="shared" si="82"/>
        <v>0</v>
      </c>
      <c r="AO18" s="188">
        <f t="shared" si="67"/>
        <v>63.893919131845401</v>
      </c>
      <c r="AP18" s="187">
        <f t="shared" si="68"/>
        <v>0</v>
      </c>
      <c r="AQ18" s="187">
        <f t="shared" si="83"/>
        <v>0</v>
      </c>
      <c r="AR18" s="188">
        <f t="shared" si="70"/>
        <v>0</v>
      </c>
      <c r="AS18" s="186">
        <f t="shared" si="0"/>
        <v>2044.6054122190528</v>
      </c>
      <c r="AT18" s="169"/>
      <c r="AU18" s="169"/>
      <c r="AV18" s="169"/>
    </row>
    <row r="19" spans="1:48">
      <c r="A19" s="169">
        <f>VLOOKUP(B19,Misc_inputs!$A$3:$B$33,2,0)</f>
        <v>0</v>
      </c>
      <c r="B19" s="168">
        <v>2030</v>
      </c>
      <c r="C19" s="187">
        <f t="shared" si="29"/>
        <v>12.778783826369077</v>
      </c>
      <c r="D19" s="187">
        <f t="shared" si="30"/>
        <v>0</v>
      </c>
      <c r="E19" s="188">
        <f t="shared" si="31"/>
        <v>12.778783826369077</v>
      </c>
      <c r="F19" s="187">
        <f t="shared" si="32"/>
        <v>12.778783826369077</v>
      </c>
      <c r="G19" s="187">
        <f t="shared" si="71"/>
        <v>0</v>
      </c>
      <c r="H19" s="188">
        <f t="shared" si="34"/>
        <v>12.778783826369077</v>
      </c>
      <c r="I19" s="187">
        <f t="shared" si="35"/>
        <v>12.778783826369077</v>
      </c>
      <c r="J19" s="187">
        <f t="shared" si="72"/>
        <v>0</v>
      </c>
      <c r="K19" s="188">
        <f t="shared" si="37"/>
        <v>12.778783826369077</v>
      </c>
      <c r="L19" s="187">
        <f t="shared" si="38"/>
        <v>12.778783826369077</v>
      </c>
      <c r="M19" s="187">
        <f t="shared" si="73"/>
        <v>0</v>
      </c>
      <c r="N19" s="188">
        <f t="shared" si="40"/>
        <v>12.778783826369077</v>
      </c>
      <c r="O19" s="187">
        <f t="shared" si="41"/>
        <v>12.778783826369077</v>
      </c>
      <c r="P19" s="187">
        <f t="shared" si="74"/>
        <v>0</v>
      </c>
      <c r="Q19" s="188">
        <f t="shared" si="43"/>
        <v>12.778783826369077</v>
      </c>
      <c r="R19" s="187">
        <f t="shared" si="44"/>
        <v>178.90297356916713</v>
      </c>
      <c r="S19" s="187">
        <f t="shared" si="75"/>
        <v>0</v>
      </c>
      <c r="T19" s="188">
        <f t="shared" si="46"/>
        <v>178.90297356916713</v>
      </c>
      <c r="U19" s="187">
        <f t="shared" si="47"/>
        <v>498.37256922839407</v>
      </c>
      <c r="V19" s="187">
        <f t="shared" si="76"/>
        <v>0</v>
      </c>
      <c r="W19" s="188">
        <f t="shared" si="49"/>
        <v>498.37256922839407</v>
      </c>
      <c r="X19" s="187">
        <f t="shared" si="50"/>
        <v>920.07243549857378</v>
      </c>
      <c r="Y19" s="187">
        <f t="shared" si="77"/>
        <v>0</v>
      </c>
      <c r="Z19" s="188">
        <f t="shared" si="52"/>
        <v>920.07243549857378</v>
      </c>
      <c r="AA19" s="187">
        <f t="shared" si="53"/>
        <v>0</v>
      </c>
      <c r="AB19" s="187">
        <f t="shared" si="78"/>
        <v>0</v>
      </c>
      <c r="AC19" s="188">
        <f t="shared" si="55"/>
        <v>0</v>
      </c>
      <c r="AD19" s="187">
        <f t="shared" si="56"/>
        <v>0</v>
      </c>
      <c r="AE19" s="187">
        <f t="shared" si="79"/>
        <v>0</v>
      </c>
      <c r="AF19" s="188">
        <f t="shared" si="58"/>
        <v>0</v>
      </c>
      <c r="AG19" s="187">
        <f t="shared" si="59"/>
        <v>281.13324418011973</v>
      </c>
      <c r="AH19" s="187">
        <f t="shared" si="80"/>
        <v>0</v>
      </c>
      <c r="AI19" s="188">
        <f t="shared" si="61"/>
        <v>281.13324418011973</v>
      </c>
      <c r="AJ19" s="187">
        <f t="shared" si="62"/>
        <v>51.115135305476308</v>
      </c>
      <c r="AK19" s="187">
        <f t="shared" si="81"/>
        <v>0</v>
      </c>
      <c r="AL19" s="188">
        <f t="shared" si="64"/>
        <v>51.115135305476308</v>
      </c>
      <c r="AM19" s="187">
        <f t="shared" si="65"/>
        <v>63.893919131845401</v>
      </c>
      <c r="AN19" s="187">
        <f t="shared" si="82"/>
        <v>0</v>
      </c>
      <c r="AO19" s="188">
        <f t="shared" si="67"/>
        <v>63.893919131845401</v>
      </c>
      <c r="AP19" s="187">
        <f t="shared" si="68"/>
        <v>0</v>
      </c>
      <c r="AQ19" s="187">
        <f t="shared" si="83"/>
        <v>0</v>
      </c>
      <c r="AR19" s="188">
        <f t="shared" si="70"/>
        <v>0</v>
      </c>
      <c r="AS19" s="186">
        <f t="shared" si="0"/>
        <v>2044.6054122190528</v>
      </c>
      <c r="AT19" s="169"/>
      <c r="AU19" s="169"/>
      <c r="AV19" s="169"/>
    </row>
    <row r="21" spans="1:48" s="190" customFormat="1" ht="23">
      <c r="A21" s="183" t="s">
        <v>575</v>
      </c>
      <c r="B21" s="189"/>
      <c r="C21" s="189"/>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row>
    <row r="22" spans="1:48" s="173" customFormat="1" ht="63.75" customHeight="1">
      <c r="A22" s="173" t="s">
        <v>539</v>
      </c>
      <c r="B22" s="172" t="s">
        <v>342</v>
      </c>
      <c r="C22" s="172" t="str">
        <f>Cost_of_crime_Raw_data!A21</f>
        <v>Commercial robbery</v>
      </c>
      <c r="D22" s="184" t="s">
        <v>540</v>
      </c>
      <c r="E22" s="185" t="s">
        <v>541</v>
      </c>
      <c r="F22" s="172" t="str">
        <f>Cost_of_crime_Raw_data!A22</f>
        <v>Commercial burglary</v>
      </c>
      <c r="G22" s="184" t="s">
        <v>540</v>
      </c>
      <c r="H22" s="185" t="s">
        <v>541</v>
      </c>
      <c r="I22" s="172" t="str">
        <f>Cost_of_crime_Raw_data!A23</f>
        <v>Commercial theft</v>
      </c>
      <c r="J22" s="184" t="s">
        <v>540</v>
      </c>
      <c r="K22" s="185" t="s">
        <v>541</v>
      </c>
      <c r="L22" s="172" t="str">
        <f>Cost_of_crime_Raw_data!A24</f>
        <v>Theft of commercial vehicle</v>
      </c>
      <c r="M22" s="184" t="s">
        <v>540</v>
      </c>
      <c r="N22" s="185" t="s">
        <v>541</v>
      </c>
      <c r="O22" s="172" t="str">
        <f>Cost_of_crime_Raw_data!A25</f>
        <v>Theft from commercial vehicle</v>
      </c>
      <c r="P22" s="184" t="s">
        <v>540</v>
      </c>
      <c r="Q22" s="185" t="s">
        <v>541</v>
      </c>
      <c r="R22" s="172" t="str">
        <f>Cost_of_crime_Raw_data!A26</f>
        <v>Commercial criminal damage - arson</v>
      </c>
      <c r="S22" s="184" t="s">
        <v>540</v>
      </c>
      <c r="T22" s="185" t="s">
        <v>541</v>
      </c>
      <c r="U22" s="172" t="str">
        <f>Cost_of_crime_Raw_data!A27</f>
        <v>Commercial criminal damage - other</v>
      </c>
      <c r="V22" s="184" t="s">
        <v>540</v>
      </c>
      <c r="W22" s="185" t="s">
        <v>541</v>
      </c>
      <c r="X22" s="191" t="s">
        <v>412</v>
      </c>
      <c r="Y22" s="172"/>
      <c r="Z22" s="192"/>
      <c r="AA22" s="172"/>
      <c r="AB22" s="172"/>
      <c r="AC22" s="192"/>
      <c r="AD22" s="172"/>
      <c r="AE22" s="172"/>
      <c r="AF22" s="192"/>
      <c r="AG22" s="172"/>
      <c r="AH22" s="172"/>
      <c r="AI22" s="192"/>
      <c r="AJ22" s="172"/>
      <c r="AK22" s="172"/>
      <c r="AL22" s="192"/>
      <c r="AM22" s="172"/>
      <c r="AN22" s="172"/>
      <c r="AO22" s="192"/>
      <c r="AP22" s="172"/>
      <c r="AQ22" s="172"/>
      <c r="AR22" s="192"/>
      <c r="AS22" s="172"/>
      <c r="AT22" s="172"/>
      <c r="AU22" s="192"/>
      <c r="AV22" s="172"/>
    </row>
    <row r="23" spans="1:48">
      <c r="B23" s="168">
        <v>2015</v>
      </c>
      <c r="C23" s="186">
        <f>Cost_of_crime_Raw_data!C21</f>
        <v>240</v>
      </c>
      <c r="D23" s="187">
        <f>C23*$A23/100</f>
        <v>0</v>
      </c>
      <c r="E23" s="188">
        <f>C23+D23</f>
        <v>240</v>
      </c>
      <c r="F23" s="186">
        <f>IF(Cost_of_crime_Raw_data!C22="not estimated","0",Cost_of_crime_Raw_data!C22)</f>
        <v>860</v>
      </c>
      <c r="G23" s="187">
        <f>F23*$A23/100</f>
        <v>0</v>
      </c>
      <c r="H23" s="188">
        <f>F23+G23</f>
        <v>860</v>
      </c>
      <c r="I23" s="186">
        <f>Cost_of_crime_Raw_data!C23</f>
        <v>10</v>
      </c>
      <c r="J23" s="187">
        <f>I23*$A23/100</f>
        <v>0</v>
      </c>
      <c r="K23" s="188">
        <f>I23+J23</f>
        <v>10</v>
      </c>
      <c r="L23" s="186">
        <f>Cost_of_crime_Raw_data!C24</f>
        <v>1880</v>
      </c>
      <c r="M23" s="187">
        <f>L23*$A23/100</f>
        <v>0</v>
      </c>
      <c r="N23" s="188">
        <f>L23+M23</f>
        <v>1880</v>
      </c>
      <c r="O23" s="186">
        <f>Cost_of_crime_Raw_data!C25</f>
        <v>20</v>
      </c>
      <c r="P23" s="187">
        <f>O23*$A23/100</f>
        <v>0</v>
      </c>
      <c r="Q23" s="188">
        <f>O23+P23</f>
        <v>20</v>
      </c>
      <c r="R23" s="186">
        <f>IF(Cost_of_crime_Raw_data!C26="not estimated","0",Cost_of_crime_Raw_data!C26)</f>
        <v>530</v>
      </c>
      <c r="S23" s="187">
        <f>R23*$A23/100</f>
        <v>0</v>
      </c>
      <c r="T23" s="188">
        <f>R23+S23</f>
        <v>530</v>
      </c>
      <c r="U23" s="186">
        <f>Cost_of_crime_Raw_data!C27</f>
        <v>110</v>
      </c>
      <c r="V23" s="187">
        <f>U23*$A23/100</f>
        <v>0</v>
      </c>
      <c r="W23" s="188">
        <f>U23+V23</f>
        <v>110</v>
      </c>
      <c r="X23" s="187">
        <f>SUM(W23,T23,Q23,N23,K23,H23,E23)</f>
        <v>3650</v>
      </c>
    </row>
    <row r="24" spans="1:48">
      <c r="A24" s="169">
        <f>VLOOKUP(B24,Misc_inputs!$A$3:$B$33,2,0)</f>
        <v>1.8963035451147277</v>
      </c>
      <c r="B24" s="168">
        <v>2016</v>
      </c>
      <c r="C24" s="187">
        <f>E23</f>
        <v>240</v>
      </c>
      <c r="D24" s="187">
        <f t="shared" ref="D24" si="84">C24*$A24/100</f>
        <v>4.5511285082753465</v>
      </c>
      <c r="E24" s="188">
        <f t="shared" ref="E24" si="85">C24+D24</f>
        <v>244.55112850827535</v>
      </c>
      <c r="F24" s="187">
        <f>H23</f>
        <v>860</v>
      </c>
      <c r="G24" s="187">
        <f t="shared" ref="G24" si="86">F24*$A24/100</f>
        <v>16.308210487986656</v>
      </c>
      <c r="H24" s="188">
        <f t="shared" ref="H24" si="87">F24+G24</f>
        <v>876.30821048798668</v>
      </c>
      <c r="I24" s="187">
        <f>K23</f>
        <v>10</v>
      </c>
      <c r="J24" s="187">
        <f t="shared" ref="J24" si="88">I24*$A24/100</f>
        <v>0.18963035451147278</v>
      </c>
      <c r="K24" s="188">
        <f t="shared" ref="K24" si="89">I24+J24</f>
        <v>10.189630354511472</v>
      </c>
      <c r="L24" s="187">
        <f>N23</f>
        <v>1880</v>
      </c>
      <c r="M24" s="187">
        <f t="shared" ref="M24" si="90">L24*$A24/100</f>
        <v>35.650506648156878</v>
      </c>
      <c r="N24" s="188">
        <f t="shared" ref="N24" si="91">L24+M24</f>
        <v>1915.6505066481568</v>
      </c>
      <c r="O24" s="187">
        <f>Q23</f>
        <v>20</v>
      </c>
      <c r="P24" s="187">
        <f t="shared" ref="P24" si="92">O24*$A24/100</f>
        <v>0.37926070902294556</v>
      </c>
      <c r="Q24" s="188">
        <f t="shared" ref="Q24" si="93">O24+P24</f>
        <v>20.379260709022944</v>
      </c>
      <c r="R24" s="187">
        <f>T23</f>
        <v>530</v>
      </c>
      <c r="S24" s="187">
        <f t="shared" ref="S24" si="94">R24*$A24/100</f>
        <v>10.050408789108056</v>
      </c>
      <c r="T24" s="188">
        <f t="shared" ref="T24" si="95">R24+S24</f>
        <v>540.05040878910802</v>
      </c>
      <c r="U24" s="187">
        <f>W23</f>
        <v>110</v>
      </c>
      <c r="V24" s="187">
        <f t="shared" ref="V24" si="96">U24*$A24/100</f>
        <v>2.0859338996262005</v>
      </c>
      <c r="W24" s="188">
        <f t="shared" ref="W24" si="97">U24+V24</f>
        <v>112.0859338996262</v>
      </c>
      <c r="X24" s="187">
        <f t="shared" ref="X24" si="98">SUM(W24,T24,Q24,N24,K24,H24,E24)</f>
        <v>3719.2150793966875</v>
      </c>
    </row>
    <row r="25" spans="1:48">
      <c r="A25" s="169">
        <f>VLOOKUP(B25,Misc_inputs!$A$3:$B$33,2,0)</f>
        <v>1.8209228570152332</v>
      </c>
      <c r="B25" s="168">
        <v>2017</v>
      </c>
      <c r="C25" s="187">
        <f t="shared" ref="C25:C38" si="99">E24</f>
        <v>244.55112850827535</v>
      </c>
      <c r="D25" s="187">
        <f t="shared" ref="D25:D38" si="100">C25*$A25/100</f>
        <v>4.4530873960958823</v>
      </c>
      <c r="E25" s="188">
        <f t="shared" ref="E25:E38" si="101">C25+D25</f>
        <v>249.00421590437125</v>
      </c>
      <c r="F25" s="187">
        <f t="shared" ref="F25:F38" si="102">H24</f>
        <v>876.30821048798668</v>
      </c>
      <c r="G25" s="187">
        <f t="shared" ref="G25:G38" si="103">F25*$A25/100</f>
        <v>15.956896502676909</v>
      </c>
      <c r="H25" s="188">
        <f t="shared" ref="H25:H38" si="104">F25+G25</f>
        <v>892.26510699066364</v>
      </c>
      <c r="I25" s="187">
        <f t="shared" ref="I25:I38" si="105">K24</f>
        <v>10.189630354511472</v>
      </c>
      <c r="J25" s="187">
        <f t="shared" ref="J25:J38" si="106">I25*$A25/100</f>
        <v>0.18554530817066173</v>
      </c>
      <c r="K25" s="188">
        <f t="shared" ref="K25:K38" si="107">I25+J25</f>
        <v>10.375175662682134</v>
      </c>
      <c r="L25" s="187">
        <f t="shared" ref="L25:L38" si="108">N24</f>
        <v>1915.6505066481568</v>
      </c>
      <c r="M25" s="187">
        <f t="shared" ref="M25:M38" si="109">L25*$A25/100</f>
        <v>34.882517936084405</v>
      </c>
      <c r="N25" s="188">
        <f t="shared" ref="N25:N38" si="110">L25+M25</f>
        <v>1950.5330245842413</v>
      </c>
      <c r="O25" s="187">
        <f t="shared" ref="O25:O38" si="111">Q24</f>
        <v>20.379260709022944</v>
      </c>
      <c r="P25" s="187">
        <f t="shared" ref="P25:P38" si="112">O25*$A25/100</f>
        <v>0.37109061634132345</v>
      </c>
      <c r="Q25" s="188">
        <f t="shared" ref="Q25:Q38" si="113">O25+P25</f>
        <v>20.750351325364267</v>
      </c>
      <c r="R25" s="187">
        <f t="shared" ref="R25:R38" si="114">T24</f>
        <v>540.05040878910802</v>
      </c>
      <c r="S25" s="187">
        <f t="shared" ref="S25:S38" si="115">R25*$A25/100</f>
        <v>9.8339013330450715</v>
      </c>
      <c r="T25" s="188">
        <f t="shared" ref="T25:T38" si="116">R25+S25</f>
        <v>549.88431012215312</v>
      </c>
      <c r="U25" s="187">
        <f t="shared" ref="U25:U38" si="117">W24</f>
        <v>112.0859338996262</v>
      </c>
      <c r="V25" s="187">
        <f t="shared" ref="V25:V38" si="118">U25*$A25/100</f>
        <v>2.040998389877279</v>
      </c>
      <c r="W25" s="188">
        <f t="shared" ref="W25:W38" si="119">U25+V25</f>
        <v>114.12693228950347</v>
      </c>
      <c r="X25" s="187">
        <f t="shared" ref="X25:X38" si="120">SUM(W25,T25,Q25,N25,K25,H25,E25)</f>
        <v>3786.9391168789793</v>
      </c>
    </row>
    <row r="26" spans="1:48">
      <c r="A26" s="169">
        <f>VLOOKUP(B26,Misc_inputs!$A$3:$B$33,2,0)</f>
        <v>1.9988242855231282</v>
      </c>
      <c r="B26" s="168">
        <v>2018</v>
      </c>
      <c r="C26" s="187">
        <f t="shared" si="99"/>
        <v>249.00421590437125</v>
      </c>
      <c r="D26" s="187">
        <f t="shared" si="100"/>
        <v>4.9771567394730161</v>
      </c>
      <c r="E26" s="188">
        <f t="shared" si="101"/>
        <v>253.98137264384425</v>
      </c>
      <c r="F26" s="187">
        <f t="shared" si="102"/>
        <v>892.26510699066364</v>
      </c>
      <c r="G26" s="187">
        <f t="shared" si="103"/>
        <v>17.834811649778306</v>
      </c>
      <c r="H26" s="188">
        <f t="shared" si="104"/>
        <v>910.09991864044196</v>
      </c>
      <c r="I26" s="187">
        <f t="shared" si="105"/>
        <v>10.375175662682134</v>
      </c>
      <c r="J26" s="187">
        <f t="shared" si="106"/>
        <v>0.20738153081137564</v>
      </c>
      <c r="K26" s="188">
        <f t="shared" si="107"/>
        <v>10.582557193493509</v>
      </c>
      <c r="L26" s="187">
        <f t="shared" si="108"/>
        <v>1950.5330245842413</v>
      </c>
      <c r="M26" s="187">
        <f t="shared" si="109"/>
        <v>38.987727792538621</v>
      </c>
      <c r="N26" s="188">
        <f t="shared" si="110"/>
        <v>1989.5207523767799</v>
      </c>
      <c r="O26" s="187">
        <f t="shared" si="111"/>
        <v>20.750351325364267</v>
      </c>
      <c r="P26" s="187">
        <f t="shared" si="112"/>
        <v>0.41476306162275128</v>
      </c>
      <c r="Q26" s="188">
        <f t="shared" si="113"/>
        <v>21.165114386987018</v>
      </c>
      <c r="R26" s="187">
        <f t="shared" si="114"/>
        <v>549.88431012215312</v>
      </c>
      <c r="S26" s="187">
        <f t="shared" si="115"/>
        <v>10.991221133002909</v>
      </c>
      <c r="T26" s="188">
        <f t="shared" si="116"/>
        <v>560.87553125515603</v>
      </c>
      <c r="U26" s="187">
        <f t="shared" si="117"/>
        <v>114.12693228950347</v>
      </c>
      <c r="V26" s="187">
        <f t="shared" si="118"/>
        <v>2.281196838925132</v>
      </c>
      <c r="W26" s="188">
        <f t="shared" si="119"/>
        <v>116.4081291284286</v>
      </c>
      <c r="X26" s="187">
        <f t="shared" si="120"/>
        <v>3862.6333756251311</v>
      </c>
    </row>
    <row r="27" spans="1:48">
      <c r="A27" s="169">
        <f>VLOOKUP(B27,Misc_inputs!$A$3:$B$33,2,0)</f>
        <v>2.0163202370724722</v>
      </c>
      <c r="B27" s="168">
        <v>2019</v>
      </c>
      <c r="C27" s="187">
        <f t="shared" si="99"/>
        <v>253.98137264384425</v>
      </c>
      <c r="D27" s="187">
        <f t="shared" si="100"/>
        <v>5.1210778150122795</v>
      </c>
      <c r="E27" s="188">
        <f t="shared" si="101"/>
        <v>259.10245045885654</v>
      </c>
      <c r="F27" s="187">
        <f t="shared" si="102"/>
        <v>910.09991864044196</v>
      </c>
      <c r="G27" s="187">
        <f t="shared" si="103"/>
        <v>18.350528837127335</v>
      </c>
      <c r="H27" s="188">
        <f t="shared" si="104"/>
        <v>928.45044747756924</v>
      </c>
      <c r="I27" s="187">
        <f t="shared" si="105"/>
        <v>10.582557193493509</v>
      </c>
      <c r="J27" s="187">
        <f t="shared" si="106"/>
        <v>0.21337824229217828</v>
      </c>
      <c r="K27" s="188">
        <f t="shared" si="107"/>
        <v>10.795935435785687</v>
      </c>
      <c r="L27" s="187">
        <f t="shared" si="108"/>
        <v>1989.5207523767799</v>
      </c>
      <c r="M27" s="187">
        <f t="shared" si="109"/>
        <v>40.115109550929525</v>
      </c>
      <c r="N27" s="188">
        <f t="shared" si="110"/>
        <v>2029.6358619277094</v>
      </c>
      <c r="O27" s="187">
        <f t="shared" si="111"/>
        <v>21.165114386987018</v>
      </c>
      <c r="P27" s="187">
        <f t="shared" si="112"/>
        <v>0.42675648458435655</v>
      </c>
      <c r="Q27" s="188">
        <f t="shared" si="113"/>
        <v>21.591870871571373</v>
      </c>
      <c r="R27" s="187">
        <f t="shared" si="114"/>
        <v>560.87553125515603</v>
      </c>
      <c r="S27" s="187">
        <f t="shared" si="115"/>
        <v>11.309046841485449</v>
      </c>
      <c r="T27" s="188">
        <f t="shared" si="116"/>
        <v>572.18457809664153</v>
      </c>
      <c r="U27" s="187">
        <f t="shared" si="117"/>
        <v>116.4081291284286</v>
      </c>
      <c r="V27" s="187">
        <f t="shared" si="118"/>
        <v>2.3471606652139609</v>
      </c>
      <c r="W27" s="188">
        <f t="shared" si="119"/>
        <v>118.75528979364256</v>
      </c>
      <c r="X27" s="187">
        <f t="shared" si="120"/>
        <v>3940.5164340617766</v>
      </c>
    </row>
    <row r="28" spans="1:48">
      <c r="A28" s="169">
        <f>VLOOKUP(B28,Misc_inputs!$A$3:$B$33,2,0)</f>
        <v>5.3200852056836103</v>
      </c>
      <c r="B28" s="168">
        <v>2020</v>
      </c>
      <c r="C28" s="187">
        <f t="shared" si="99"/>
        <v>259.10245045885654</v>
      </c>
      <c r="D28" s="187">
        <f t="shared" si="100"/>
        <v>13.784471134425333</v>
      </c>
      <c r="E28" s="188">
        <f t="shared" si="101"/>
        <v>272.8869215932819</v>
      </c>
      <c r="F28" s="187">
        <f t="shared" si="102"/>
        <v>928.45044747756924</v>
      </c>
      <c r="G28" s="187">
        <f t="shared" si="103"/>
        <v>49.394354898357442</v>
      </c>
      <c r="H28" s="188">
        <f t="shared" si="104"/>
        <v>977.84480237592663</v>
      </c>
      <c r="I28" s="187">
        <f t="shared" si="105"/>
        <v>10.795935435785687</v>
      </c>
      <c r="J28" s="187">
        <f t="shared" si="106"/>
        <v>0.57435296393438873</v>
      </c>
      <c r="K28" s="188">
        <f t="shared" si="107"/>
        <v>11.370288399720076</v>
      </c>
      <c r="L28" s="187">
        <f t="shared" si="108"/>
        <v>2029.6358619277094</v>
      </c>
      <c r="M28" s="187">
        <f t="shared" si="109"/>
        <v>107.97835721966509</v>
      </c>
      <c r="N28" s="188">
        <f t="shared" si="110"/>
        <v>2137.6142191473746</v>
      </c>
      <c r="O28" s="187">
        <f t="shared" si="111"/>
        <v>21.591870871571373</v>
      </c>
      <c r="P28" s="187">
        <f t="shared" si="112"/>
        <v>1.1487059278687775</v>
      </c>
      <c r="Q28" s="188">
        <f t="shared" si="113"/>
        <v>22.740576799440152</v>
      </c>
      <c r="R28" s="187">
        <f t="shared" si="114"/>
        <v>572.18457809664153</v>
      </c>
      <c r="S28" s="187">
        <f t="shared" si="115"/>
        <v>30.440707088522608</v>
      </c>
      <c r="T28" s="188">
        <f t="shared" si="116"/>
        <v>602.6252851851641</v>
      </c>
      <c r="U28" s="187">
        <f t="shared" si="117"/>
        <v>118.75528979364256</v>
      </c>
      <c r="V28" s="187">
        <f t="shared" si="118"/>
        <v>6.3178826032782762</v>
      </c>
      <c r="W28" s="188">
        <f t="shared" si="119"/>
        <v>125.07317239692084</v>
      </c>
      <c r="X28" s="187">
        <f t="shared" si="120"/>
        <v>4150.1552658978289</v>
      </c>
    </row>
    <row r="29" spans="1:48">
      <c r="A29" s="169">
        <f>VLOOKUP(B29,Misc_inputs!$A$3:$B$33,2,0)</f>
        <v>7.6258108678813302E-2</v>
      </c>
      <c r="B29" s="168">
        <v>2021</v>
      </c>
      <c r="C29" s="187">
        <f t="shared" si="99"/>
        <v>272.8869215932819</v>
      </c>
      <c r="D29" s="187">
        <f t="shared" si="100"/>
        <v>0.20809840523887296</v>
      </c>
      <c r="E29" s="188">
        <f t="shared" si="101"/>
        <v>273.0950199985208</v>
      </c>
      <c r="F29" s="187">
        <f t="shared" si="102"/>
        <v>977.84480237592663</v>
      </c>
      <c r="G29" s="187">
        <f t="shared" si="103"/>
        <v>0.74568595210596134</v>
      </c>
      <c r="H29" s="188">
        <f t="shared" si="104"/>
        <v>978.59048832803262</v>
      </c>
      <c r="I29" s="187">
        <f t="shared" si="105"/>
        <v>11.370288399720076</v>
      </c>
      <c r="J29" s="187">
        <f t="shared" si="106"/>
        <v>8.6707668849530378E-3</v>
      </c>
      <c r="K29" s="188">
        <f t="shared" si="107"/>
        <v>11.378959166605028</v>
      </c>
      <c r="L29" s="187">
        <f t="shared" si="108"/>
        <v>2137.6142191473746</v>
      </c>
      <c r="M29" s="187">
        <f t="shared" si="109"/>
        <v>1.6301041743711713</v>
      </c>
      <c r="N29" s="188">
        <f t="shared" si="110"/>
        <v>2139.2443233217459</v>
      </c>
      <c r="O29" s="187">
        <f t="shared" si="111"/>
        <v>22.740576799440152</v>
      </c>
      <c r="P29" s="187">
        <f t="shared" si="112"/>
        <v>1.7341533769906076E-2</v>
      </c>
      <c r="Q29" s="188">
        <f t="shared" si="113"/>
        <v>22.757918333210057</v>
      </c>
      <c r="R29" s="187">
        <f t="shared" si="114"/>
        <v>602.6252851851641</v>
      </c>
      <c r="S29" s="187">
        <f t="shared" si="115"/>
        <v>0.45955064490251102</v>
      </c>
      <c r="T29" s="188">
        <f t="shared" si="116"/>
        <v>603.0848358300666</v>
      </c>
      <c r="U29" s="187">
        <f t="shared" si="117"/>
        <v>125.07317239692084</v>
      </c>
      <c r="V29" s="187">
        <f t="shared" si="118"/>
        <v>9.5378435734483416E-2</v>
      </c>
      <c r="W29" s="188">
        <f t="shared" si="119"/>
        <v>125.16855083265533</v>
      </c>
      <c r="X29" s="187">
        <f t="shared" si="120"/>
        <v>4153.3200958108364</v>
      </c>
    </row>
    <row r="30" spans="1:48">
      <c r="A30" s="169">
        <f>VLOOKUP(B30,Misc_inputs!$A$3:$B$33,2,0)</f>
        <v>2.8492930312000952</v>
      </c>
      <c r="B30" s="168">
        <v>2022</v>
      </c>
      <c r="C30" s="187">
        <f t="shared" si="99"/>
        <v>273.0950199985208</v>
      </c>
      <c r="D30" s="187">
        <f t="shared" si="100"/>
        <v>7.7812773733723599</v>
      </c>
      <c r="E30" s="188">
        <f t="shared" si="101"/>
        <v>280.87629737189314</v>
      </c>
      <c r="F30" s="187">
        <f t="shared" si="102"/>
        <v>978.59048832803262</v>
      </c>
      <c r="G30" s="187">
        <f t="shared" si="103"/>
        <v>27.882910587917614</v>
      </c>
      <c r="H30" s="188">
        <f t="shared" si="104"/>
        <v>1006.4733989159503</v>
      </c>
      <c r="I30" s="187">
        <f t="shared" si="105"/>
        <v>11.378959166605028</v>
      </c>
      <c r="J30" s="187">
        <f t="shared" si="106"/>
        <v>0.32421989055718148</v>
      </c>
      <c r="K30" s="188">
        <f t="shared" si="107"/>
        <v>11.70317905716221</v>
      </c>
      <c r="L30" s="187">
        <f t="shared" si="108"/>
        <v>2139.2443233217459</v>
      </c>
      <c r="M30" s="187">
        <f t="shared" si="109"/>
        <v>60.953339424750141</v>
      </c>
      <c r="N30" s="188">
        <f t="shared" si="110"/>
        <v>2200.197662746496</v>
      </c>
      <c r="O30" s="187">
        <f t="shared" si="111"/>
        <v>22.757918333210057</v>
      </c>
      <c r="P30" s="187">
        <f t="shared" si="112"/>
        <v>0.64843978111436296</v>
      </c>
      <c r="Q30" s="188">
        <f t="shared" si="113"/>
        <v>23.406358114324419</v>
      </c>
      <c r="R30" s="187">
        <f t="shared" si="114"/>
        <v>603.0848358300666</v>
      </c>
      <c r="S30" s="187">
        <f t="shared" si="115"/>
        <v>17.183654199530622</v>
      </c>
      <c r="T30" s="188">
        <f t="shared" si="116"/>
        <v>620.26849002959716</v>
      </c>
      <c r="U30" s="187">
        <f t="shared" si="117"/>
        <v>125.16855083265533</v>
      </c>
      <c r="V30" s="187">
        <f t="shared" si="118"/>
        <v>3.566418796128997</v>
      </c>
      <c r="W30" s="188">
        <f t="shared" si="119"/>
        <v>128.73496962878431</v>
      </c>
      <c r="X30" s="187">
        <f t="shared" si="120"/>
        <v>4271.6603558642082</v>
      </c>
    </row>
    <row r="31" spans="1:48">
      <c r="A31" s="169">
        <f>VLOOKUP(B31,Misc_inputs!$A$3:$B$33,2,0)</f>
        <v>3.143440902459993</v>
      </c>
      <c r="B31" s="168">
        <v>2023</v>
      </c>
      <c r="C31" s="187">
        <f t="shared" si="99"/>
        <v>280.87629737189314</v>
      </c>
      <c r="D31" s="187">
        <f t="shared" si="100"/>
        <v>8.8291804169032506</v>
      </c>
      <c r="E31" s="188">
        <f t="shared" si="101"/>
        <v>289.70547778879637</v>
      </c>
      <c r="F31" s="187">
        <f t="shared" si="102"/>
        <v>1006.4733989159503</v>
      </c>
      <c r="G31" s="187">
        <f t="shared" si="103"/>
        <v>31.637896493903312</v>
      </c>
      <c r="H31" s="188">
        <f t="shared" si="104"/>
        <v>1038.1112954098535</v>
      </c>
      <c r="I31" s="187">
        <f t="shared" si="105"/>
        <v>11.70317905716221</v>
      </c>
      <c r="J31" s="187">
        <f t="shared" si="106"/>
        <v>0.36788251737096866</v>
      </c>
      <c r="K31" s="188">
        <f t="shared" si="107"/>
        <v>12.071061574533179</v>
      </c>
      <c r="L31" s="187">
        <f t="shared" si="108"/>
        <v>2200.197662746496</v>
      </c>
      <c r="M31" s="187">
        <f t="shared" si="109"/>
        <v>69.161913265742129</v>
      </c>
      <c r="N31" s="188">
        <f t="shared" si="110"/>
        <v>2269.359576012238</v>
      </c>
      <c r="O31" s="187">
        <f t="shared" si="111"/>
        <v>23.406358114324419</v>
      </c>
      <c r="P31" s="187">
        <f t="shared" si="112"/>
        <v>0.73576503474193733</v>
      </c>
      <c r="Q31" s="188">
        <f t="shared" si="113"/>
        <v>24.142123149066357</v>
      </c>
      <c r="R31" s="187">
        <f t="shared" si="114"/>
        <v>620.26849002959716</v>
      </c>
      <c r="S31" s="187">
        <f t="shared" si="115"/>
        <v>19.497773420661339</v>
      </c>
      <c r="T31" s="188">
        <f t="shared" si="116"/>
        <v>639.76626345025852</v>
      </c>
      <c r="U31" s="187">
        <f t="shared" si="117"/>
        <v>128.73496962878431</v>
      </c>
      <c r="V31" s="187">
        <f t="shared" si="118"/>
        <v>4.0467076910806554</v>
      </c>
      <c r="W31" s="188">
        <f t="shared" si="119"/>
        <v>132.78167731986497</v>
      </c>
      <c r="X31" s="187">
        <f t="shared" si="120"/>
        <v>4405.9374747046104</v>
      </c>
    </row>
    <row r="32" spans="1:48">
      <c r="A32" s="169">
        <f>VLOOKUP(B32,Misc_inputs!$A$3:$B$33,2,0)</f>
        <v>1.8594732384912049</v>
      </c>
      <c r="B32" s="168">
        <v>2024</v>
      </c>
      <c r="C32" s="187">
        <f t="shared" si="99"/>
        <v>289.70547778879637</v>
      </c>
      <c r="D32" s="187">
        <f t="shared" si="100"/>
        <v>5.386995829925751</v>
      </c>
      <c r="E32" s="188">
        <f t="shared" si="101"/>
        <v>295.09247361872212</v>
      </c>
      <c r="F32" s="187">
        <f t="shared" si="102"/>
        <v>1038.1112954098535</v>
      </c>
      <c r="G32" s="187">
        <f t="shared" si="103"/>
        <v>19.303401723900603</v>
      </c>
      <c r="H32" s="188">
        <f t="shared" si="104"/>
        <v>1057.4146971337541</v>
      </c>
      <c r="I32" s="187">
        <f t="shared" si="105"/>
        <v>12.071061574533179</v>
      </c>
      <c r="J32" s="187">
        <f t="shared" si="106"/>
        <v>0.22445815958023954</v>
      </c>
      <c r="K32" s="188">
        <f t="shared" si="107"/>
        <v>12.295519734113418</v>
      </c>
      <c r="L32" s="187">
        <f t="shared" si="108"/>
        <v>2269.359576012238</v>
      </c>
      <c r="M32" s="187">
        <f t="shared" si="109"/>
        <v>42.198134001085037</v>
      </c>
      <c r="N32" s="188">
        <f t="shared" si="110"/>
        <v>2311.5577100133232</v>
      </c>
      <c r="O32" s="187">
        <f t="shared" si="111"/>
        <v>24.142123149066357</v>
      </c>
      <c r="P32" s="187">
        <f t="shared" si="112"/>
        <v>0.44891631916047908</v>
      </c>
      <c r="Q32" s="188">
        <f t="shared" si="113"/>
        <v>24.591039468226835</v>
      </c>
      <c r="R32" s="187">
        <f t="shared" si="114"/>
        <v>639.76626345025852</v>
      </c>
      <c r="S32" s="187">
        <f t="shared" si="115"/>
        <v>11.896282457752696</v>
      </c>
      <c r="T32" s="188">
        <f t="shared" si="116"/>
        <v>651.66254590801123</v>
      </c>
      <c r="U32" s="187">
        <f t="shared" si="117"/>
        <v>132.78167731986497</v>
      </c>
      <c r="V32" s="187">
        <f t="shared" si="118"/>
        <v>2.4690397553826351</v>
      </c>
      <c r="W32" s="188">
        <f t="shared" si="119"/>
        <v>135.25071707524759</v>
      </c>
      <c r="X32" s="187">
        <f t="shared" si="120"/>
        <v>4487.8647029513995</v>
      </c>
    </row>
    <row r="33" spans="1:48">
      <c r="A33" s="169">
        <f>VLOOKUP(B33,Misc_inputs!$A$3:$B$33,2,0)</f>
        <v>1.892198034308179</v>
      </c>
      <c r="B33" s="168">
        <v>2025</v>
      </c>
      <c r="C33" s="187">
        <f t="shared" si="99"/>
        <v>295.09247361872212</v>
      </c>
      <c r="D33" s="187">
        <f t="shared" si="100"/>
        <v>5.5837339852048418</v>
      </c>
      <c r="E33" s="188">
        <f t="shared" si="101"/>
        <v>300.67620760392697</v>
      </c>
      <c r="F33" s="187">
        <f t="shared" si="102"/>
        <v>1057.4146971337541</v>
      </c>
      <c r="G33" s="187">
        <f t="shared" si="103"/>
        <v>20.008380113650681</v>
      </c>
      <c r="H33" s="188">
        <f t="shared" si="104"/>
        <v>1077.4230772474048</v>
      </c>
      <c r="I33" s="187">
        <f t="shared" si="105"/>
        <v>12.295519734113418</v>
      </c>
      <c r="J33" s="187">
        <f t="shared" si="106"/>
        <v>0.23265558271686831</v>
      </c>
      <c r="K33" s="188">
        <f t="shared" si="107"/>
        <v>12.528175316830286</v>
      </c>
      <c r="L33" s="187">
        <f t="shared" si="108"/>
        <v>2311.5577100133232</v>
      </c>
      <c r="M33" s="187">
        <f t="shared" si="109"/>
        <v>43.739249550771255</v>
      </c>
      <c r="N33" s="188">
        <f t="shared" si="110"/>
        <v>2355.2969595640943</v>
      </c>
      <c r="O33" s="187">
        <f t="shared" si="111"/>
        <v>24.591039468226835</v>
      </c>
      <c r="P33" s="187">
        <f t="shared" si="112"/>
        <v>0.46531116543373663</v>
      </c>
      <c r="Q33" s="188">
        <f t="shared" si="113"/>
        <v>25.056350633660571</v>
      </c>
      <c r="R33" s="187">
        <f t="shared" si="114"/>
        <v>651.66254590801123</v>
      </c>
      <c r="S33" s="187">
        <f t="shared" si="115"/>
        <v>12.330745883994023</v>
      </c>
      <c r="T33" s="188">
        <f t="shared" si="116"/>
        <v>663.99329179200527</v>
      </c>
      <c r="U33" s="187">
        <f t="shared" si="117"/>
        <v>135.25071707524759</v>
      </c>
      <c r="V33" s="187">
        <f t="shared" si="118"/>
        <v>2.5592114098855516</v>
      </c>
      <c r="W33" s="188">
        <f t="shared" si="119"/>
        <v>137.80992848513316</v>
      </c>
      <c r="X33" s="187">
        <f t="shared" si="120"/>
        <v>4572.7839906430545</v>
      </c>
    </row>
    <row r="34" spans="1:48">
      <c r="A34" s="169">
        <f>VLOOKUP(B34,Misc_inputs!$A$3:$B$33,2,0)</f>
        <v>2.0003592159356653</v>
      </c>
      <c r="B34" s="168">
        <v>2026</v>
      </c>
      <c r="C34" s="187">
        <f t="shared" si="99"/>
        <v>300.67620760392697</v>
      </c>
      <c r="D34" s="187">
        <f t="shared" si="100"/>
        <v>6.0146042289310069</v>
      </c>
      <c r="E34" s="188">
        <f t="shared" si="101"/>
        <v>306.690811832858</v>
      </c>
      <c r="F34" s="187">
        <f t="shared" si="102"/>
        <v>1077.4230772474048</v>
      </c>
      <c r="G34" s="187">
        <f t="shared" si="103"/>
        <v>21.552331820336104</v>
      </c>
      <c r="H34" s="188">
        <f t="shared" si="104"/>
        <v>1098.9754090677409</v>
      </c>
      <c r="I34" s="187">
        <f t="shared" si="105"/>
        <v>12.528175316830286</v>
      </c>
      <c r="J34" s="187">
        <f t="shared" si="106"/>
        <v>0.25060850953879188</v>
      </c>
      <c r="K34" s="188">
        <f t="shared" si="107"/>
        <v>12.778783826369077</v>
      </c>
      <c r="L34" s="187">
        <f t="shared" si="108"/>
        <v>2355.2969595640943</v>
      </c>
      <c r="M34" s="187">
        <f t="shared" si="109"/>
        <v>47.114399793292876</v>
      </c>
      <c r="N34" s="188">
        <f t="shared" si="110"/>
        <v>2402.411359357387</v>
      </c>
      <c r="O34" s="187">
        <f t="shared" si="111"/>
        <v>25.056350633660571</v>
      </c>
      <c r="P34" s="187">
        <f t="shared" si="112"/>
        <v>0.50121701907758376</v>
      </c>
      <c r="Q34" s="188">
        <f t="shared" si="113"/>
        <v>25.557567652738154</v>
      </c>
      <c r="R34" s="187">
        <f t="shared" si="114"/>
        <v>663.99329179200527</v>
      </c>
      <c r="S34" s="187">
        <f t="shared" si="115"/>
        <v>13.28225100555597</v>
      </c>
      <c r="T34" s="188">
        <f t="shared" si="116"/>
        <v>677.27554279756123</v>
      </c>
      <c r="U34" s="187">
        <f t="shared" si="117"/>
        <v>137.80992848513316</v>
      </c>
      <c r="V34" s="187">
        <f t="shared" si="118"/>
        <v>2.7566936049267103</v>
      </c>
      <c r="W34" s="188">
        <f t="shared" si="119"/>
        <v>140.56662209005987</v>
      </c>
      <c r="X34" s="187">
        <f t="shared" si="120"/>
        <v>4664.2560966247147</v>
      </c>
    </row>
    <row r="35" spans="1:48">
      <c r="A35" s="169">
        <f>VLOOKUP(B35,Misc_inputs!$A$3:$B$33,2,0)</f>
        <v>0</v>
      </c>
      <c r="B35" s="168">
        <v>2027</v>
      </c>
      <c r="C35" s="187">
        <f t="shared" si="99"/>
        <v>306.690811832858</v>
      </c>
      <c r="D35" s="187">
        <f t="shared" si="100"/>
        <v>0</v>
      </c>
      <c r="E35" s="188">
        <f t="shared" si="101"/>
        <v>306.690811832858</v>
      </c>
      <c r="F35" s="187">
        <f t="shared" si="102"/>
        <v>1098.9754090677409</v>
      </c>
      <c r="G35" s="187">
        <f t="shared" si="103"/>
        <v>0</v>
      </c>
      <c r="H35" s="188">
        <f t="shared" si="104"/>
        <v>1098.9754090677409</v>
      </c>
      <c r="I35" s="187">
        <f t="shared" si="105"/>
        <v>12.778783826369077</v>
      </c>
      <c r="J35" s="187">
        <f t="shared" si="106"/>
        <v>0</v>
      </c>
      <c r="K35" s="188">
        <f t="shared" si="107"/>
        <v>12.778783826369077</v>
      </c>
      <c r="L35" s="187">
        <f t="shared" si="108"/>
        <v>2402.411359357387</v>
      </c>
      <c r="M35" s="187">
        <f t="shared" si="109"/>
        <v>0</v>
      </c>
      <c r="N35" s="188">
        <f t="shared" si="110"/>
        <v>2402.411359357387</v>
      </c>
      <c r="O35" s="187">
        <f t="shared" si="111"/>
        <v>25.557567652738154</v>
      </c>
      <c r="P35" s="187">
        <f t="shared" si="112"/>
        <v>0</v>
      </c>
      <c r="Q35" s="188">
        <f t="shared" si="113"/>
        <v>25.557567652738154</v>
      </c>
      <c r="R35" s="187">
        <f t="shared" si="114"/>
        <v>677.27554279756123</v>
      </c>
      <c r="S35" s="187">
        <f t="shared" si="115"/>
        <v>0</v>
      </c>
      <c r="T35" s="188">
        <f t="shared" si="116"/>
        <v>677.27554279756123</v>
      </c>
      <c r="U35" s="187">
        <f t="shared" si="117"/>
        <v>140.56662209005987</v>
      </c>
      <c r="V35" s="187">
        <f t="shared" si="118"/>
        <v>0</v>
      </c>
      <c r="W35" s="188">
        <f t="shared" si="119"/>
        <v>140.56662209005987</v>
      </c>
      <c r="X35" s="187">
        <f t="shared" si="120"/>
        <v>4664.2560966247147</v>
      </c>
    </row>
    <row r="36" spans="1:48">
      <c r="A36" s="169">
        <f>VLOOKUP(B36,Misc_inputs!$A$3:$B$33,2,0)</f>
        <v>0</v>
      </c>
      <c r="B36" s="168">
        <v>2028</v>
      </c>
      <c r="C36" s="187">
        <f t="shared" si="99"/>
        <v>306.690811832858</v>
      </c>
      <c r="D36" s="187">
        <f t="shared" si="100"/>
        <v>0</v>
      </c>
      <c r="E36" s="188">
        <f t="shared" si="101"/>
        <v>306.690811832858</v>
      </c>
      <c r="F36" s="187">
        <f t="shared" si="102"/>
        <v>1098.9754090677409</v>
      </c>
      <c r="G36" s="187">
        <f t="shared" si="103"/>
        <v>0</v>
      </c>
      <c r="H36" s="188">
        <f t="shared" si="104"/>
        <v>1098.9754090677409</v>
      </c>
      <c r="I36" s="187">
        <f t="shared" si="105"/>
        <v>12.778783826369077</v>
      </c>
      <c r="J36" s="187">
        <f t="shared" si="106"/>
        <v>0</v>
      </c>
      <c r="K36" s="188">
        <f t="shared" si="107"/>
        <v>12.778783826369077</v>
      </c>
      <c r="L36" s="187">
        <f t="shared" si="108"/>
        <v>2402.411359357387</v>
      </c>
      <c r="M36" s="187">
        <f t="shared" si="109"/>
        <v>0</v>
      </c>
      <c r="N36" s="188">
        <f t="shared" si="110"/>
        <v>2402.411359357387</v>
      </c>
      <c r="O36" s="187">
        <f t="shared" si="111"/>
        <v>25.557567652738154</v>
      </c>
      <c r="P36" s="187">
        <f t="shared" si="112"/>
        <v>0</v>
      </c>
      <c r="Q36" s="188">
        <f t="shared" si="113"/>
        <v>25.557567652738154</v>
      </c>
      <c r="R36" s="187">
        <f t="shared" si="114"/>
        <v>677.27554279756123</v>
      </c>
      <c r="S36" s="187">
        <f t="shared" si="115"/>
        <v>0</v>
      </c>
      <c r="T36" s="188">
        <f t="shared" si="116"/>
        <v>677.27554279756123</v>
      </c>
      <c r="U36" s="187">
        <f t="shared" si="117"/>
        <v>140.56662209005987</v>
      </c>
      <c r="V36" s="187">
        <f t="shared" si="118"/>
        <v>0</v>
      </c>
      <c r="W36" s="188">
        <f t="shared" si="119"/>
        <v>140.56662209005987</v>
      </c>
      <c r="X36" s="187">
        <f t="shared" si="120"/>
        <v>4664.2560966247147</v>
      </c>
    </row>
    <row r="37" spans="1:48">
      <c r="A37" s="169">
        <f>VLOOKUP(B37,Misc_inputs!$A$3:$B$33,2,0)</f>
        <v>0</v>
      </c>
      <c r="B37" s="168">
        <v>2029</v>
      </c>
      <c r="C37" s="187">
        <f t="shared" si="99"/>
        <v>306.690811832858</v>
      </c>
      <c r="D37" s="187">
        <f t="shared" si="100"/>
        <v>0</v>
      </c>
      <c r="E37" s="188">
        <f t="shared" si="101"/>
        <v>306.690811832858</v>
      </c>
      <c r="F37" s="187">
        <f t="shared" si="102"/>
        <v>1098.9754090677409</v>
      </c>
      <c r="G37" s="187">
        <f t="shared" si="103"/>
        <v>0</v>
      </c>
      <c r="H37" s="188">
        <f t="shared" si="104"/>
        <v>1098.9754090677409</v>
      </c>
      <c r="I37" s="187">
        <f t="shared" si="105"/>
        <v>12.778783826369077</v>
      </c>
      <c r="J37" s="187">
        <f t="shared" si="106"/>
        <v>0</v>
      </c>
      <c r="K37" s="188">
        <f t="shared" si="107"/>
        <v>12.778783826369077</v>
      </c>
      <c r="L37" s="187">
        <f t="shared" si="108"/>
        <v>2402.411359357387</v>
      </c>
      <c r="M37" s="187">
        <f t="shared" si="109"/>
        <v>0</v>
      </c>
      <c r="N37" s="188">
        <f t="shared" si="110"/>
        <v>2402.411359357387</v>
      </c>
      <c r="O37" s="187">
        <f t="shared" si="111"/>
        <v>25.557567652738154</v>
      </c>
      <c r="P37" s="187">
        <f t="shared" si="112"/>
        <v>0</v>
      </c>
      <c r="Q37" s="188">
        <f t="shared" si="113"/>
        <v>25.557567652738154</v>
      </c>
      <c r="R37" s="187">
        <f t="shared" si="114"/>
        <v>677.27554279756123</v>
      </c>
      <c r="S37" s="187">
        <f t="shared" si="115"/>
        <v>0</v>
      </c>
      <c r="T37" s="188">
        <f t="shared" si="116"/>
        <v>677.27554279756123</v>
      </c>
      <c r="U37" s="187">
        <f t="shared" si="117"/>
        <v>140.56662209005987</v>
      </c>
      <c r="V37" s="187">
        <f t="shared" si="118"/>
        <v>0</v>
      </c>
      <c r="W37" s="188">
        <f t="shared" si="119"/>
        <v>140.56662209005987</v>
      </c>
      <c r="X37" s="187">
        <f t="shared" si="120"/>
        <v>4664.2560966247147</v>
      </c>
    </row>
    <row r="38" spans="1:48">
      <c r="A38" s="169">
        <f>VLOOKUP(B38,Misc_inputs!$A$3:$B$33,2,0)</f>
        <v>0</v>
      </c>
      <c r="B38" s="168">
        <v>2030</v>
      </c>
      <c r="C38" s="187">
        <f t="shared" si="99"/>
        <v>306.690811832858</v>
      </c>
      <c r="D38" s="187">
        <f t="shared" si="100"/>
        <v>0</v>
      </c>
      <c r="E38" s="188">
        <f t="shared" si="101"/>
        <v>306.690811832858</v>
      </c>
      <c r="F38" s="187">
        <f t="shared" si="102"/>
        <v>1098.9754090677409</v>
      </c>
      <c r="G38" s="187">
        <f t="shared" si="103"/>
        <v>0</v>
      </c>
      <c r="H38" s="188">
        <f t="shared" si="104"/>
        <v>1098.9754090677409</v>
      </c>
      <c r="I38" s="187">
        <f t="shared" si="105"/>
        <v>12.778783826369077</v>
      </c>
      <c r="J38" s="187">
        <f t="shared" si="106"/>
        <v>0</v>
      </c>
      <c r="K38" s="188">
        <f t="shared" si="107"/>
        <v>12.778783826369077</v>
      </c>
      <c r="L38" s="187">
        <f t="shared" si="108"/>
        <v>2402.411359357387</v>
      </c>
      <c r="M38" s="187">
        <f t="shared" si="109"/>
        <v>0</v>
      </c>
      <c r="N38" s="188">
        <f t="shared" si="110"/>
        <v>2402.411359357387</v>
      </c>
      <c r="O38" s="187">
        <f t="shared" si="111"/>
        <v>25.557567652738154</v>
      </c>
      <c r="P38" s="187">
        <f t="shared" si="112"/>
        <v>0</v>
      </c>
      <c r="Q38" s="188">
        <f t="shared" si="113"/>
        <v>25.557567652738154</v>
      </c>
      <c r="R38" s="187">
        <f t="shared" si="114"/>
        <v>677.27554279756123</v>
      </c>
      <c r="S38" s="187">
        <f t="shared" si="115"/>
        <v>0</v>
      </c>
      <c r="T38" s="188">
        <f t="shared" si="116"/>
        <v>677.27554279756123</v>
      </c>
      <c r="U38" s="187">
        <f t="shared" si="117"/>
        <v>140.56662209005987</v>
      </c>
      <c r="V38" s="187">
        <f t="shared" si="118"/>
        <v>0</v>
      </c>
      <c r="W38" s="188">
        <f t="shared" si="119"/>
        <v>140.56662209005987</v>
      </c>
      <c r="X38" s="187">
        <f t="shared" si="120"/>
        <v>4664.2560966247147</v>
      </c>
    </row>
    <row r="40" spans="1:48" s="190" customFormat="1" ht="23">
      <c r="A40" s="183" t="s">
        <v>419</v>
      </c>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row>
    <row r="41" spans="1:48" ht="93">
      <c r="A41" s="173" t="s">
        <v>539</v>
      </c>
      <c r="B41" s="172" t="s">
        <v>342</v>
      </c>
      <c r="C41" s="172" t="str">
        <f>Cost_of_crime_Raw_data!A68</f>
        <v>Drug offences (e.g. driving under the influence of drugs)</v>
      </c>
      <c r="D41" s="184" t="s">
        <v>540</v>
      </c>
      <c r="E41" s="185" t="s">
        <v>541</v>
      </c>
      <c r="F41" s="172" t="str">
        <f>Cost_of_crime_Raw_data!A69</f>
        <v>Alcohol offences (e.g. driving under the influence of alcohol)</v>
      </c>
      <c r="G41" s="184" t="s">
        <v>540</v>
      </c>
      <c r="H41" s="185" t="s">
        <v>541</v>
      </c>
      <c r="I41" s="172" t="str">
        <f>Cost_of_crime_Raw_data!A70</f>
        <v>Other indictable non- motoring offences</v>
      </c>
      <c r="J41" s="184" t="s">
        <v>540</v>
      </c>
      <c r="K41" s="185" t="s">
        <v>541</v>
      </c>
      <c r="L41" s="172" t="str">
        <f>Cost_of_crime_Raw_data!A71</f>
        <v>Indictable motoring offences</v>
      </c>
      <c r="M41" s="184" t="s">
        <v>540</v>
      </c>
      <c r="N41" s="185" t="s">
        <v>541</v>
      </c>
      <c r="O41" s="172" t="str">
        <f>Cost_of_crime_Raw_data!A72</f>
        <v>Summary non-motoring offences</v>
      </c>
      <c r="P41" s="184" t="s">
        <v>540</v>
      </c>
      <c r="Q41" s="185" t="s">
        <v>541</v>
      </c>
      <c r="R41" s="172" t="str">
        <f>Cost_of_crime_Raw_data!A73</f>
        <v>Summary motoring offences</v>
      </c>
      <c r="S41" s="184" t="s">
        <v>540</v>
      </c>
      <c r="T41" s="185" t="s">
        <v>541</v>
      </c>
      <c r="U41" s="172" t="str">
        <f>Cost_of_crime_Raw_data!A74</f>
        <v>TOTAL TRAFFIC/ MOTORING/ OTHER</v>
      </c>
    </row>
    <row r="42" spans="1:48">
      <c r="B42" s="168">
        <v>2000</v>
      </c>
      <c r="C42" s="186" t="str">
        <f>IF(Cost_of_crime_Raw_data!C30="not estimated","0",Cost_of_crime_Raw_data!C30)</f>
        <v>0</v>
      </c>
      <c r="D42" s="187">
        <f>C42*$A42/100</f>
        <v>0</v>
      </c>
      <c r="E42" s="188">
        <f>C42+D42</f>
        <v>0</v>
      </c>
      <c r="F42" s="186" t="str">
        <f>IF(Cost_of_crime_Raw_data!C31="not estimated","0",Cost_of_crime_Raw_data!C31)</f>
        <v>0</v>
      </c>
      <c r="G42" s="187">
        <f>F42*$A42/100</f>
        <v>0</v>
      </c>
      <c r="H42" s="188">
        <f>F42+G42</f>
        <v>0</v>
      </c>
      <c r="I42" s="186" t="str">
        <f>IF(Cost_of_crime_Raw_data!C31="not estimated","0",Cost_of_crime_Raw_data!C31)</f>
        <v>0</v>
      </c>
      <c r="J42" s="187">
        <f>I42*$A42/100</f>
        <v>0</v>
      </c>
      <c r="K42" s="188">
        <f>I42+J42</f>
        <v>0</v>
      </c>
      <c r="L42" s="186" t="str">
        <f>IF(Cost_of_crime_Raw_data!C32="not estimated","0",Cost_of_crime_Raw_data!C32)</f>
        <v>0</v>
      </c>
      <c r="M42" s="187">
        <f>L42*$A42/100</f>
        <v>0</v>
      </c>
      <c r="N42" s="188">
        <f>L42+M42</f>
        <v>0</v>
      </c>
      <c r="O42" s="186" t="str">
        <f>IF(Cost_of_crime_Raw_data!C33="not estimated","0",Cost_of_crime_Raw_data!C33)</f>
        <v>0</v>
      </c>
      <c r="P42" s="187">
        <f>O42*$A42/100</f>
        <v>0</v>
      </c>
      <c r="Q42" s="188">
        <f>O42+P42</f>
        <v>0</v>
      </c>
      <c r="R42" s="186" t="str">
        <f>IF(Cost_of_crime_Raw_data!C34="not estimated","0",Cost_of_crime_Raw_data!C34)</f>
        <v>0</v>
      </c>
      <c r="S42" s="187">
        <f>R42*$A42/100</f>
        <v>0</v>
      </c>
      <c r="T42" s="188">
        <f>R42+S42</f>
        <v>0</v>
      </c>
      <c r="U42" s="187">
        <f>SUM(T42,Q42,N42,K42,H42,E42)</f>
        <v>0</v>
      </c>
    </row>
    <row r="43" spans="1:48">
      <c r="A43" s="169">
        <f>VLOOKUP(B43,Misc_inputs!$A$3:$B$33,2,0)</f>
        <v>1.8509525763893939</v>
      </c>
      <c r="B43" s="168">
        <v>2001</v>
      </c>
      <c r="C43" s="187">
        <f>E42</f>
        <v>0</v>
      </c>
      <c r="D43" s="187">
        <f>C43*$A43/100</f>
        <v>0</v>
      </c>
      <c r="E43" s="188">
        <f>C43+D43</f>
        <v>0</v>
      </c>
      <c r="F43" s="187">
        <f>H42</f>
        <v>0</v>
      </c>
      <c r="G43" s="187">
        <f>F43*$A43/100</f>
        <v>0</v>
      </c>
      <c r="H43" s="188">
        <f>F43+G43</f>
        <v>0</v>
      </c>
      <c r="I43" s="187">
        <f>K42</f>
        <v>0</v>
      </c>
      <c r="J43" s="187">
        <f>I43*$A43/100</f>
        <v>0</v>
      </c>
      <c r="K43" s="188">
        <f>I43+J43</f>
        <v>0</v>
      </c>
      <c r="L43" s="187">
        <f>N42</f>
        <v>0</v>
      </c>
      <c r="M43" s="187">
        <f>L43*$A43/100</f>
        <v>0</v>
      </c>
      <c r="N43" s="188">
        <f>L43+M43</f>
        <v>0</v>
      </c>
      <c r="O43" s="187">
        <f>Q42</f>
        <v>0</v>
      </c>
      <c r="P43" s="187">
        <f>O43*$A43/100</f>
        <v>0</v>
      </c>
      <c r="Q43" s="188">
        <f>O43+P43</f>
        <v>0</v>
      </c>
      <c r="R43" s="187">
        <f>T42</f>
        <v>0</v>
      </c>
      <c r="S43" s="187">
        <f>R43*$A43/100</f>
        <v>0</v>
      </c>
      <c r="T43" s="188">
        <f>R43+S43</f>
        <v>0</v>
      </c>
      <c r="U43" s="187">
        <f t="shared" ref="U43:U72" si="121">SUM(T43,Q43,N43,K43,H43,E43)</f>
        <v>0</v>
      </c>
    </row>
    <row r="44" spans="1:48">
      <c r="A44" s="169">
        <f>VLOOKUP(B44,Misc_inputs!$A$3:$B$33,2,0)</f>
        <v>2.0601670280994799</v>
      </c>
      <c r="B44" s="168">
        <v>2002</v>
      </c>
      <c r="C44" s="187">
        <f>E43</f>
        <v>0</v>
      </c>
      <c r="D44" s="187">
        <f t="shared" ref="D44:D55" si="122">C44*$A44/100</f>
        <v>0</v>
      </c>
      <c r="E44" s="188">
        <f t="shared" ref="E44:E72" si="123">C44+D44</f>
        <v>0</v>
      </c>
      <c r="F44" s="187">
        <f>H43</f>
        <v>0</v>
      </c>
      <c r="G44" s="187">
        <f t="shared" ref="G44:G55" si="124">F44*$A44/100</f>
        <v>0</v>
      </c>
      <c r="H44" s="188">
        <f t="shared" ref="H44:H72" si="125">F44+G44</f>
        <v>0</v>
      </c>
      <c r="I44" s="187">
        <f>K43</f>
        <v>0</v>
      </c>
      <c r="J44" s="187">
        <f t="shared" ref="J44:J55" si="126">I44*$A44/100</f>
        <v>0</v>
      </c>
      <c r="K44" s="188">
        <f t="shared" ref="K44:K72" si="127">I44+J44</f>
        <v>0</v>
      </c>
      <c r="L44" s="187">
        <f>N43</f>
        <v>0</v>
      </c>
      <c r="M44" s="187">
        <f t="shared" ref="M44:M55" si="128">L44*$A44/100</f>
        <v>0</v>
      </c>
      <c r="N44" s="188">
        <f t="shared" ref="N44:N72" si="129">L44+M44</f>
        <v>0</v>
      </c>
      <c r="O44" s="187">
        <f>Q43</f>
        <v>0</v>
      </c>
      <c r="P44" s="187">
        <f t="shared" ref="P44:P55" si="130">O44*$A44/100</f>
        <v>0</v>
      </c>
      <c r="Q44" s="188">
        <f t="shared" ref="Q44:Q72" si="131">O44+P44</f>
        <v>0</v>
      </c>
      <c r="R44" s="187">
        <f>T43</f>
        <v>0</v>
      </c>
      <c r="S44" s="187">
        <f t="shared" ref="S44:S55" si="132">R44*$A44/100</f>
        <v>0</v>
      </c>
      <c r="T44" s="188">
        <f t="shared" ref="T44:T72" si="133">R44+S44</f>
        <v>0</v>
      </c>
      <c r="U44" s="187">
        <f t="shared" si="121"/>
        <v>0</v>
      </c>
    </row>
    <row r="45" spans="1:48">
      <c r="A45" s="169">
        <f>VLOOKUP(B45,Misc_inputs!$A$3:$B$33,2,0)</f>
        <v>2.7352938960343987</v>
      </c>
      <c r="B45" s="168">
        <v>2003</v>
      </c>
      <c r="C45" s="187">
        <f t="shared" ref="C45:C72" si="134">E44</f>
        <v>0</v>
      </c>
      <c r="D45" s="187">
        <f t="shared" si="122"/>
        <v>0</v>
      </c>
      <c r="E45" s="188">
        <f t="shared" si="123"/>
        <v>0</v>
      </c>
      <c r="F45" s="187">
        <f t="shared" ref="F45:F72" si="135">H44</f>
        <v>0</v>
      </c>
      <c r="G45" s="187">
        <f t="shared" si="124"/>
        <v>0</v>
      </c>
      <c r="H45" s="188">
        <f t="shared" si="125"/>
        <v>0</v>
      </c>
      <c r="I45" s="187">
        <f t="shared" ref="I45:I72" si="136">K44</f>
        <v>0</v>
      </c>
      <c r="J45" s="187">
        <f t="shared" si="126"/>
        <v>0</v>
      </c>
      <c r="K45" s="188">
        <f t="shared" si="127"/>
        <v>0</v>
      </c>
      <c r="L45" s="187">
        <f t="shared" ref="L45:L72" si="137">N44</f>
        <v>0</v>
      </c>
      <c r="M45" s="187">
        <f t="shared" si="128"/>
        <v>0</v>
      </c>
      <c r="N45" s="188">
        <f t="shared" si="129"/>
        <v>0</v>
      </c>
      <c r="O45" s="187">
        <f t="shared" ref="O45:O72" si="138">Q44</f>
        <v>0</v>
      </c>
      <c r="P45" s="187">
        <f t="shared" si="130"/>
        <v>0</v>
      </c>
      <c r="Q45" s="188">
        <f t="shared" si="131"/>
        <v>0</v>
      </c>
      <c r="R45" s="187">
        <f t="shared" ref="R45:R72" si="139">T44</f>
        <v>0</v>
      </c>
      <c r="S45" s="187">
        <f t="shared" si="132"/>
        <v>0</v>
      </c>
      <c r="T45" s="188">
        <f t="shared" si="133"/>
        <v>0</v>
      </c>
      <c r="U45" s="187">
        <f t="shared" si="121"/>
        <v>0</v>
      </c>
    </row>
    <row r="46" spans="1:48">
      <c r="A46" s="169">
        <f>VLOOKUP(B46,Misc_inputs!$A$3:$B$33,2,0)</f>
        <v>2.5734301841181981</v>
      </c>
      <c r="B46" s="168">
        <v>2004</v>
      </c>
      <c r="C46" s="187">
        <f t="shared" si="134"/>
        <v>0</v>
      </c>
      <c r="D46" s="187">
        <f t="shared" si="122"/>
        <v>0</v>
      </c>
      <c r="E46" s="188">
        <f t="shared" si="123"/>
        <v>0</v>
      </c>
      <c r="F46" s="187">
        <f t="shared" si="135"/>
        <v>0</v>
      </c>
      <c r="G46" s="187">
        <f t="shared" si="124"/>
        <v>0</v>
      </c>
      <c r="H46" s="188">
        <f t="shared" si="125"/>
        <v>0</v>
      </c>
      <c r="I46" s="187">
        <f t="shared" si="136"/>
        <v>0</v>
      </c>
      <c r="J46" s="187">
        <f t="shared" si="126"/>
        <v>0</v>
      </c>
      <c r="K46" s="188">
        <f t="shared" si="127"/>
        <v>0</v>
      </c>
      <c r="L46" s="187">
        <f t="shared" si="137"/>
        <v>0</v>
      </c>
      <c r="M46" s="187">
        <f t="shared" si="128"/>
        <v>0</v>
      </c>
      <c r="N46" s="188">
        <f t="shared" si="129"/>
        <v>0</v>
      </c>
      <c r="O46" s="187">
        <f t="shared" si="138"/>
        <v>0</v>
      </c>
      <c r="P46" s="187">
        <f t="shared" si="130"/>
        <v>0</v>
      </c>
      <c r="Q46" s="188">
        <f t="shared" si="131"/>
        <v>0</v>
      </c>
      <c r="R46" s="187">
        <f t="shared" si="139"/>
        <v>0</v>
      </c>
      <c r="S46" s="187">
        <f t="shared" si="132"/>
        <v>0</v>
      </c>
      <c r="T46" s="188">
        <f t="shared" si="133"/>
        <v>0</v>
      </c>
      <c r="U46" s="187">
        <f t="shared" si="121"/>
        <v>0</v>
      </c>
    </row>
    <row r="47" spans="1:48">
      <c r="A47" s="169">
        <f>VLOOKUP(B47,Misc_inputs!$A$3:$B$33,2,0)</f>
        <v>3.1315066925981085</v>
      </c>
      <c r="B47" s="168">
        <v>2005</v>
      </c>
      <c r="C47" s="187">
        <f t="shared" si="134"/>
        <v>0</v>
      </c>
      <c r="D47" s="187">
        <f t="shared" si="122"/>
        <v>0</v>
      </c>
      <c r="E47" s="188">
        <f t="shared" si="123"/>
        <v>0</v>
      </c>
      <c r="F47" s="187">
        <f t="shared" si="135"/>
        <v>0</v>
      </c>
      <c r="G47" s="187">
        <f t="shared" si="124"/>
        <v>0</v>
      </c>
      <c r="H47" s="188">
        <f t="shared" si="125"/>
        <v>0</v>
      </c>
      <c r="I47" s="187">
        <f t="shared" si="136"/>
        <v>0</v>
      </c>
      <c r="J47" s="187">
        <f t="shared" si="126"/>
        <v>0</v>
      </c>
      <c r="K47" s="188">
        <f t="shared" si="127"/>
        <v>0</v>
      </c>
      <c r="L47" s="187">
        <f t="shared" si="137"/>
        <v>0</v>
      </c>
      <c r="M47" s="187">
        <f t="shared" si="128"/>
        <v>0</v>
      </c>
      <c r="N47" s="188">
        <f t="shared" si="129"/>
        <v>0</v>
      </c>
      <c r="O47" s="187">
        <f t="shared" si="138"/>
        <v>0</v>
      </c>
      <c r="P47" s="187">
        <f t="shared" si="130"/>
        <v>0</v>
      </c>
      <c r="Q47" s="188">
        <f t="shared" si="131"/>
        <v>0</v>
      </c>
      <c r="R47" s="187">
        <f t="shared" si="139"/>
        <v>0</v>
      </c>
      <c r="S47" s="187">
        <f t="shared" si="132"/>
        <v>0</v>
      </c>
      <c r="T47" s="188">
        <f t="shared" si="133"/>
        <v>0</v>
      </c>
      <c r="U47" s="187">
        <f t="shared" si="121"/>
        <v>0</v>
      </c>
    </row>
    <row r="48" spans="1:48">
      <c r="A48" s="169">
        <f>VLOOKUP(B48,Misc_inputs!$A$3:$B$33,2,0)</f>
        <v>2.853248435199073</v>
      </c>
      <c r="B48" s="168">
        <v>2006</v>
      </c>
      <c r="C48" s="187">
        <f t="shared" si="134"/>
        <v>0</v>
      </c>
      <c r="D48" s="187">
        <f t="shared" si="122"/>
        <v>0</v>
      </c>
      <c r="E48" s="188">
        <f t="shared" si="123"/>
        <v>0</v>
      </c>
      <c r="F48" s="187">
        <f t="shared" si="135"/>
        <v>0</v>
      </c>
      <c r="G48" s="187">
        <f t="shared" si="124"/>
        <v>0</v>
      </c>
      <c r="H48" s="188">
        <f t="shared" si="125"/>
        <v>0</v>
      </c>
      <c r="I48" s="187">
        <f t="shared" si="136"/>
        <v>0</v>
      </c>
      <c r="J48" s="187">
        <f t="shared" si="126"/>
        <v>0</v>
      </c>
      <c r="K48" s="188">
        <f t="shared" si="127"/>
        <v>0</v>
      </c>
      <c r="L48" s="187">
        <f t="shared" si="137"/>
        <v>0</v>
      </c>
      <c r="M48" s="187">
        <f t="shared" si="128"/>
        <v>0</v>
      </c>
      <c r="N48" s="188">
        <f t="shared" si="129"/>
        <v>0</v>
      </c>
      <c r="O48" s="187">
        <f t="shared" si="138"/>
        <v>0</v>
      </c>
      <c r="P48" s="187">
        <f t="shared" si="130"/>
        <v>0</v>
      </c>
      <c r="Q48" s="188">
        <f t="shared" si="131"/>
        <v>0</v>
      </c>
      <c r="R48" s="187">
        <f t="shared" si="139"/>
        <v>0</v>
      </c>
      <c r="S48" s="187">
        <f t="shared" si="132"/>
        <v>0</v>
      </c>
      <c r="T48" s="188">
        <f t="shared" si="133"/>
        <v>0</v>
      </c>
      <c r="U48" s="187">
        <f t="shared" si="121"/>
        <v>0</v>
      </c>
    </row>
    <row r="49" spans="1:21">
      <c r="A49" s="169">
        <f>VLOOKUP(B49,Misc_inputs!$A$3:$B$33,2,0)</f>
        <v>2.7960714791272023</v>
      </c>
      <c r="B49" s="168">
        <v>2007</v>
      </c>
      <c r="C49" s="187">
        <f t="shared" si="134"/>
        <v>0</v>
      </c>
      <c r="D49" s="187">
        <f t="shared" si="122"/>
        <v>0</v>
      </c>
      <c r="E49" s="188">
        <f t="shared" si="123"/>
        <v>0</v>
      </c>
      <c r="F49" s="187">
        <f t="shared" si="135"/>
        <v>0</v>
      </c>
      <c r="G49" s="187">
        <f t="shared" si="124"/>
        <v>0</v>
      </c>
      <c r="H49" s="188">
        <f t="shared" si="125"/>
        <v>0</v>
      </c>
      <c r="I49" s="187">
        <f t="shared" si="136"/>
        <v>0</v>
      </c>
      <c r="J49" s="187">
        <f t="shared" si="126"/>
        <v>0</v>
      </c>
      <c r="K49" s="188">
        <f t="shared" si="127"/>
        <v>0</v>
      </c>
      <c r="L49" s="187">
        <f t="shared" si="137"/>
        <v>0</v>
      </c>
      <c r="M49" s="187">
        <f t="shared" si="128"/>
        <v>0</v>
      </c>
      <c r="N49" s="188">
        <f t="shared" si="129"/>
        <v>0</v>
      </c>
      <c r="O49" s="187">
        <f t="shared" si="138"/>
        <v>0</v>
      </c>
      <c r="P49" s="187">
        <f t="shared" si="130"/>
        <v>0</v>
      </c>
      <c r="Q49" s="188">
        <f t="shared" si="131"/>
        <v>0</v>
      </c>
      <c r="R49" s="187">
        <f t="shared" si="139"/>
        <v>0</v>
      </c>
      <c r="S49" s="187">
        <f t="shared" si="132"/>
        <v>0</v>
      </c>
      <c r="T49" s="188">
        <f t="shared" si="133"/>
        <v>0</v>
      </c>
      <c r="U49" s="187">
        <f t="shared" si="121"/>
        <v>0</v>
      </c>
    </row>
    <row r="50" spans="1:21">
      <c r="A50" s="169">
        <f>VLOOKUP(B50,Misc_inputs!$A$3:$B$33,2,0)</f>
        <v>3.2489393373071294</v>
      </c>
      <c r="B50" s="168">
        <v>2008</v>
      </c>
      <c r="C50" s="187">
        <f t="shared" si="134"/>
        <v>0</v>
      </c>
      <c r="D50" s="187">
        <f t="shared" si="122"/>
        <v>0</v>
      </c>
      <c r="E50" s="188">
        <f t="shared" si="123"/>
        <v>0</v>
      </c>
      <c r="F50" s="187">
        <f t="shared" si="135"/>
        <v>0</v>
      </c>
      <c r="G50" s="187">
        <f t="shared" si="124"/>
        <v>0</v>
      </c>
      <c r="H50" s="188">
        <f t="shared" si="125"/>
        <v>0</v>
      </c>
      <c r="I50" s="187">
        <f t="shared" si="136"/>
        <v>0</v>
      </c>
      <c r="J50" s="187">
        <f t="shared" si="126"/>
        <v>0</v>
      </c>
      <c r="K50" s="188">
        <f t="shared" si="127"/>
        <v>0</v>
      </c>
      <c r="L50" s="187">
        <f t="shared" si="137"/>
        <v>0</v>
      </c>
      <c r="M50" s="187">
        <f t="shared" si="128"/>
        <v>0</v>
      </c>
      <c r="N50" s="188">
        <f t="shared" si="129"/>
        <v>0</v>
      </c>
      <c r="O50" s="187">
        <f t="shared" si="138"/>
        <v>0</v>
      </c>
      <c r="P50" s="187">
        <f t="shared" si="130"/>
        <v>0</v>
      </c>
      <c r="Q50" s="188">
        <f t="shared" si="131"/>
        <v>0</v>
      </c>
      <c r="R50" s="187">
        <f t="shared" si="139"/>
        <v>0</v>
      </c>
      <c r="S50" s="187">
        <f t="shared" si="132"/>
        <v>0</v>
      </c>
      <c r="T50" s="188">
        <f t="shared" si="133"/>
        <v>0</v>
      </c>
      <c r="U50" s="187">
        <f t="shared" si="121"/>
        <v>0</v>
      </c>
    </row>
    <row r="51" spans="1:21">
      <c r="A51" s="169">
        <f>VLOOKUP(B51,Misc_inputs!$A$3:$B$33,2,0)</f>
        <v>1.7010725699507729</v>
      </c>
      <c r="B51" s="168">
        <v>2009</v>
      </c>
      <c r="C51" s="187">
        <f t="shared" si="134"/>
        <v>0</v>
      </c>
      <c r="D51" s="187">
        <f t="shared" si="122"/>
        <v>0</v>
      </c>
      <c r="E51" s="188">
        <f t="shared" si="123"/>
        <v>0</v>
      </c>
      <c r="F51" s="187">
        <f t="shared" si="135"/>
        <v>0</v>
      </c>
      <c r="G51" s="187">
        <f t="shared" si="124"/>
        <v>0</v>
      </c>
      <c r="H51" s="188">
        <f t="shared" si="125"/>
        <v>0</v>
      </c>
      <c r="I51" s="187">
        <f t="shared" si="136"/>
        <v>0</v>
      </c>
      <c r="J51" s="187">
        <f t="shared" si="126"/>
        <v>0</v>
      </c>
      <c r="K51" s="188">
        <f t="shared" si="127"/>
        <v>0</v>
      </c>
      <c r="L51" s="187">
        <f t="shared" si="137"/>
        <v>0</v>
      </c>
      <c r="M51" s="187">
        <f t="shared" si="128"/>
        <v>0</v>
      </c>
      <c r="N51" s="188">
        <f t="shared" si="129"/>
        <v>0</v>
      </c>
      <c r="O51" s="187">
        <f t="shared" si="138"/>
        <v>0</v>
      </c>
      <c r="P51" s="187">
        <f t="shared" si="130"/>
        <v>0</v>
      </c>
      <c r="Q51" s="188">
        <f t="shared" si="131"/>
        <v>0</v>
      </c>
      <c r="R51" s="187">
        <f t="shared" si="139"/>
        <v>0</v>
      </c>
      <c r="S51" s="187">
        <f t="shared" si="132"/>
        <v>0</v>
      </c>
      <c r="T51" s="188">
        <f t="shared" si="133"/>
        <v>0</v>
      </c>
      <c r="U51" s="187">
        <f t="shared" si="121"/>
        <v>0</v>
      </c>
    </row>
    <row r="52" spans="1:21">
      <c r="A52" s="169">
        <f>VLOOKUP(B52,Misc_inputs!$A$3:$B$33,2,0)</f>
        <v>1.3734918692079017</v>
      </c>
      <c r="B52" s="168">
        <v>2010</v>
      </c>
      <c r="C52" s="187">
        <f t="shared" si="134"/>
        <v>0</v>
      </c>
      <c r="D52" s="187">
        <f t="shared" si="122"/>
        <v>0</v>
      </c>
      <c r="E52" s="188">
        <f t="shared" si="123"/>
        <v>0</v>
      </c>
      <c r="F52" s="187">
        <f t="shared" si="135"/>
        <v>0</v>
      </c>
      <c r="G52" s="187">
        <f t="shared" si="124"/>
        <v>0</v>
      </c>
      <c r="H52" s="188">
        <f t="shared" si="125"/>
        <v>0</v>
      </c>
      <c r="I52" s="187">
        <f t="shared" si="136"/>
        <v>0</v>
      </c>
      <c r="J52" s="187">
        <f t="shared" si="126"/>
        <v>0</v>
      </c>
      <c r="K52" s="188">
        <f t="shared" si="127"/>
        <v>0</v>
      </c>
      <c r="L52" s="187">
        <f t="shared" si="137"/>
        <v>0</v>
      </c>
      <c r="M52" s="187">
        <f t="shared" si="128"/>
        <v>0</v>
      </c>
      <c r="N52" s="188">
        <f t="shared" si="129"/>
        <v>0</v>
      </c>
      <c r="O52" s="187">
        <f t="shared" si="138"/>
        <v>0</v>
      </c>
      <c r="P52" s="187">
        <f t="shared" si="130"/>
        <v>0</v>
      </c>
      <c r="Q52" s="188">
        <f t="shared" si="131"/>
        <v>0</v>
      </c>
      <c r="R52" s="187">
        <f t="shared" si="139"/>
        <v>0</v>
      </c>
      <c r="S52" s="187">
        <f t="shared" si="132"/>
        <v>0</v>
      </c>
      <c r="T52" s="188">
        <f t="shared" si="133"/>
        <v>0</v>
      </c>
      <c r="U52" s="187">
        <f t="shared" si="121"/>
        <v>0</v>
      </c>
    </row>
    <row r="53" spans="1:21">
      <c r="A53" s="169">
        <f>VLOOKUP(B53,Misc_inputs!$A$3:$B$33,2,0)</f>
        <v>2.0688542081199257</v>
      </c>
      <c r="B53" s="168">
        <v>2011</v>
      </c>
      <c r="C53" s="187">
        <f t="shared" si="134"/>
        <v>0</v>
      </c>
      <c r="D53" s="187">
        <f t="shared" si="122"/>
        <v>0</v>
      </c>
      <c r="E53" s="188">
        <f t="shared" si="123"/>
        <v>0</v>
      </c>
      <c r="F53" s="187">
        <f t="shared" si="135"/>
        <v>0</v>
      </c>
      <c r="G53" s="187">
        <f t="shared" si="124"/>
        <v>0</v>
      </c>
      <c r="H53" s="188">
        <f t="shared" si="125"/>
        <v>0</v>
      </c>
      <c r="I53" s="187">
        <f t="shared" si="136"/>
        <v>0</v>
      </c>
      <c r="J53" s="187">
        <f t="shared" si="126"/>
        <v>0</v>
      </c>
      <c r="K53" s="188">
        <f t="shared" si="127"/>
        <v>0</v>
      </c>
      <c r="L53" s="187">
        <f t="shared" si="137"/>
        <v>0</v>
      </c>
      <c r="M53" s="187">
        <f t="shared" si="128"/>
        <v>0</v>
      </c>
      <c r="N53" s="188">
        <f t="shared" si="129"/>
        <v>0</v>
      </c>
      <c r="O53" s="187">
        <f t="shared" si="138"/>
        <v>0</v>
      </c>
      <c r="P53" s="187">
        <f t="shared" si="130"/>
        <v>0</v>
      </c>
      <c r="Q53" s="188">
        <f t="shared" si="131"/>
        <v>0</v>
      </c>
      <c r="R53" s="187">
        <f t="shared" si="139"/>
        <v>0</v>
      </c>
      <c r="S53" s="187">
        <f t="shared" si="132"/>
        <v>0</v>
      </c>
      <c r="T53" s="188">
        <f t="shared" si="133"/>
        <v>0</v>
      </c>
      <c r="U53" s="187">
        <f t="shared" si="121"/>
        <v>0</v>
      </c>
    </row>
    <row r="54" spans="1:21">
      <c r="A54" s="169">
        <f>VLOOKUP(B54,Misc_inputs!$A$3:$B$33,2,0)</f>
        <v>1.6091515591183065</v>
      </c>
      <c r="B54" s="168">
        <v>2012</v>
      </c>
      <c r="C54" s="187">
        <f t="shared" si="134"/>
        <v>0</v>
      </c>
      <c r="D54" s="187">
        <f t="shared" si="122"/>
        <v>0</v>
      </c>
      <c r="E54" s="188">
        <f t="shared" si="123"/>
        <v>0</v>
      </c>
      <c r="F54" s="187">
        <f t="shared" si="135"/>
        <v>0</v>
      </c>
      <c r="G54" s="187">
        <f t="shared" si="124"/>
        <v>0</v>
      </c>
      <c r="H54" s="188">
        <f t="shared" si="125"/>
        <v>0</v>
      </c>
      <c r="I54" s="187">
        <f t="shared" si="136"/>
        <v>0</v>
      </c>
      <c r="J54" s="187">
        <f t="shared" si="126"/>
        <v>0</v>
      </c>
      <c r="K54" s="188">
        <f t="shared" si="127"/>
        <v>0</v>
      </c>
      <c r="L54" s="187">
        <f t="shared" si="137"/>
        <v>0</v>
      </c>
      <c r="M54" s="187">
        <f t="shared" si="128"/>
        <v>0</v>
      </c>
      <c r="N54" s="188">
        <f t="shared" si="129"/>
        <v>0</v>
      </c>
      <c r="O54" s="187">
        <f t="shared" si="138"/>
        <v>0</v>
      </c>
      <c r="P54" s="187">
        <f t="shared" si="130"/>
        <v>0</v>
      </c>
      <c r="Q54" s="188">
        <f t="shared" si="131"/>
        <v>0</v>
      </c>
      <c r="R54" s="187">
        <f t="shared" si="139"/>
        <v>0</v>
      </c>
      <c r="S54" s="187">
        <f t="shared" si="132"/>
        <v>0</v>
      </c>
      <c r="T54" s="188">
        <f t="shared" si="133"/>
        <v>0</v>
      </c>
      <c r="U54" s="187">
        <f t="shared" si="121"/>
        <v>0</v>
      </c>
    </row>
    <row r="55" spans="1:21">
      <c r="A55" s="169">
        <f>VLOOKUP(B55,Misc_inputs!$A$3:$B$33,2,0)</f>
        <v>2.2357385540164949</v>
      </c>
      <c r="B55" s="168">
        <v>2013</v>
      </c>
      <c r="C55" s="187">
        <f t="shared" si="134"/>
        <v>0</v>
      </c>
      <c r="D55" s="187">
        <f t="shared" si="122"/>
        <v>0</v>
      </c>
      <c r="E55" s="188">
        <f t="shared" si="123"/>
        <v>0</v>
      </c>
      <c r="F55" s="187">
        <f t="shared" si="135"/>
        <v>0</v>
      </c>
      <c r="G55" s="187">
        <f t="shared" si="124"/>
        <v>0</v>
      </c>
      <c r="H55" s="188">
        <f t="shared" si="125"/>
        <v>0</v>
      </c>
      <c r="I55" s="187">
        <f t="shared" si="136"/>
        <v>0</v>
      </c>
      <c r="J55" s="187">
        <f t="shared" si="126"/>
        <v>0</v>
      </c>
      <c r="K55" s="188">
        <f t="shared" si="127"/>
        <v>0</v>
      </c>
      <c r="L55" s="187">
        <f t="shared" si="137"/>
        <v>0</v>
      </c>
      <c r="M55" s="187">
        <f t="shared" si="128"/>
        <v>0</v>
      </c>
      <c r="N55" s="188">
        <f t="shared" si="129"/>
        <v>0</v>
      </c>
      <c r="O55" s="187">
        <f t="shared" si="138"/>
        <v>0</v>
      </c>
      <c r="P55" s="187">
        <f t="shared" si="130"/>
        <v>0</v>
      </c>
      <c r="Q55" s="188">
        <f t="shared" si="131"/>
        <v>0</v>
      </c>
      <c r="R55" s="187">
        <f t="shared" si="139"/>
        <v>0</v>
      </c>
      <c r="S55" s="187">
        <f t="shared" si="132"/>
        <v>0</v>
      </c>
      <c r="T55" s="188">
        <f t="shared" si="133"/>
        <v>0</v>
      </c>
      <c r="U55" s="187">
        <f t="shared" si="121"/>
        <v>0</v>
      </c>
    </row>
    <row r="56" spans="1:21">
      <c r="A56" s="169">
        <f>VLOOKUP(B56,Misc_inputs!$A$3:$B$33,2,0)</f>
        <v>1.5952823611433897</v>
      </c>
      <c r="B56" s="168">
        <v>2014</v>
      </c>
      <c r="C56" s="187">
        <f t="shared" si="134"/>
        <v>0</v>
      </c>
      <c r="D56" s="187">
        <f>C56*$A56/100</f>
        <v>0</v>
      </c>
      <c r="E56" s="188">
        <f t="shared" si="123"/>
        <v>0</v>
      </c>
      <c r="F56" s="187">
        <f t="shared" si="135"/>
        <v>0</v>
      </c>
      <c r="G56" s="187">
        <f>F56*$A56/100</f>
        <v>0</v>
      </c>
      <c r="H56" s="188">
        <f t="shared" si="125"/>
        <v>0</v>
      </c>
      <c r="I56" s="187">
        <f t="shared" si="136"/>
        <v>0</v>
      </c>
      <c r="J56" s="187">
        <f>I56*$A56/100</f>
        <v>0</v>
      </c>
      <c r="K56" s="188">
        <f t="shared" si="127"/>
        <v>0</v>
      </c>
      <c r="L56" s="187">
        <f t="shared" si="137"/>
        <v>0</v>
      </c>
      <c r="M56" s="187">
        <f>L56*$A56/100</f>
        <v>0</v>
      </c>
      <c r="N56" s="188">
        <f t="shared" si="129"/>
        <v>0</v>
      </c>
      <c r="O56" s="187">
        <f t="shared" si="138"/>
        <v>0</v>
      </c>
      <c r="P56" s="187">
        <f>O56*$A56/100</f>
        <v>0</v>
      </c>
      <c r="Q56" s="188">
        <f t="shared" si="131"/>
        <v>0</v>
      </c>
      <c r="R56" s="187">
        <f t="shared" si="139"/>
        <v>0</v>
      </c>
      <c r="S56" s="187">
        <f>R56*$A56/100</f>
        <v>0</v>
      </c>
      <c r="T56" s="188">
        <f t="shared" si="133"/>
        <v>0</v>
      </c>
      <c r="U56" s="187">
        <f t="shared" si="121"/>
        <v>0</v>
      </c>
    </row>
    <row r="57" spans="1:21">
      <c r="A57" s="169">
        <f>VLOOKUP(B57,Misc_inputs!$A$3:$B$33,2,0)</f>
        <v>0.51307917271416026</v>
      </c>
      <c r="B57" s="168">
        <v>2015</v>
      </c>
      <c r="C57" s="187">
        <f t="shared" si="134"/>
        <v>0</v>
      </c>
      <c r="D57" s="187">
        <f t="shared" ref="D57:D72" si="140">C57*$A57/100</f>
        <v>0</v>
      </c>
      <c r="E57" s="188">
        <f t="shared" si="123"/>
        <v>0</v>
      </c>
      <c r="F57" s="187">
        <f t="shared" si="135"/>
        <v>0</v>
      </c>
      <c r="G57" s="187">
        <f t="shared" ref="G57:G72" si="141">F57*$A57/100</f>
        <v>0</v>
      </c>
      <c r="H57" s="188">
        <f t="shared" si="125"/>
        <v>0</v>
      </c>
      <c r="I57" s="187">
        <f t="shared" si="136"/>
        <v>0</v>
      </c>
      <c r="J57" s="187">
        <f t="shared" ref="J57:J72" si="142">I57*$A57/100</f>
        <v>0</v>
      </c>
      <c r="K57" s="188">
        <f t="shared" si="127"/>
        <v>0</v>
      </c>
      <c r="L57" s="187">
        <f t="shared" si="137"/>
        <v>0</v>
      </c>
      <c r="M57" s="187">
        <f t="shared" ref="M57:M72" si="143">L57*$A57/100</f>
        <v>0</v>
      </c>
      <c r="N57" s="188">
        <f t="shared" si="129"/>
        <v>0</v>
      </c>
      <c r="O57" s="187">
        <f t="shared" si="138"/>
        <v>0</v>
      </c>
      <c r="P57" s="187">
        <f t="shared" ref="P57:P72" si="144">O57*$A57/100</f>
        <v>0</v>
      </c>
      <c r="Q57" s="188">
        <f t="shared" si="131"/>
        <v>0</v>
      </c>
      <c r="R57" s="187">
        <f t="shared" si="139"/>
        <v>0</v>
      </c>
      <c r="S57" s="187">
        <f t="shared" ref="S57:S72" si="145">R57*$A57/100</f>
        <v>0</v>
      </c>
      <c r="T57" s="188">
        <f t="shared" si="133"/>
        <v>0</v>
      </c>
      <c r="U57" s="187">
        <f t="shared" si="121"/>
        <v>0</v>
      </c>
    </row>
    <row r="58" spans="1:21">
      <c r="A58" s="169">
        <f>VLOOKUP(B58,Misc_inputs!$A$3:$B$33,2,0)</f>
        <v>1.8963035451147277</v>
      </c>
      <c r="B58" s="168">
        <v>2016</v>
      </c>
      <c r="C58" s="187">
        <f t="shared" si="134"/>
        <v>0</v>
      </c>
      <c r="D58" s="187">
        <f t="shared" si="140"/>
        <v>0</v>
      </c>
      <c r="E58" s="188">
        <f t="shared" si="123"/>
        <v>0</v>
      </c>
      <c r="F58" s="187">
        <f t="shared" si="135"/>
        <v>0</v>
      </c>
      <c r="G58" s="187">
        <f t="shared" si="141"/>
        <v>0</v>
      </c>
      <c r="H58" s="188">
        <f t="shared" si="125"/>
        <v>0</v>
      </c>
      <c r="I58" s="187">
        <f t="shared" si="136"/>
        <v>0</v>
      </c>
      <c r="J58" s="187">
        <f t="shared" si="142"/>
        <v>0</v>
      </c>
      <c r="K58" s="188">
        <f t="shared" si="127"/>
        <v>0</v>
      </c>
      <c r="L58" s="187">
        <f t="shared" si="137"/>
        <v>0</v>
      </c>
      <c r="M58" s="187">
        <f t="shared" si="143"/>
        <v>0</v>
      </c>
      <c r="N58" s="188">
        <f t="shared" si="129"/>
        <v>0</v>
      </c>
      <c r="O58" s="187">
        <f t="shared" si="138"/>
        <v>0</v>
      </c>
      <c r="P58" s="187">
        <f t="shared" si="144"/>
        <v>0</v>
      </c>
      <c r="Q58" s="188">
        <f t="shared" si="131"/>
        <v>0</v>
      </c>
      <c r="R58" s="187">
        <f t="shared" si="139"/>
        <v>0</v>
      </c>
      <c r="S58" s="187">
        <f t="shared" si="145"/>
        <v>0</v>
      </c>
      <c r="T58" s="188">
        <f t="shared" si="133"/>
        <v>0</v>
      </c>
      <c r="U58" s="187">
        <f t="shared" si="121"/>
        <v>0</v>
      </c>
    </row>
    <row r="59" spans="1:21">
      <c r="A59" s="169">
        <f>VLOOKUP(B59,Misc_inputs!$A$3:$B$33,2,0)</f>
        <v>1.8209228570152332</v>
      </c>
      <c r="B59" s="168">
        <v>2017</v>
      </c>
      <c r="C59" s="187">
        <f t="shared" si="134"/>
        <v>0</v>
      </c>
      <c r="D59" s="187">
        <f t="shared" si="140"/>
        <v>0</v>
      </c>
      <c r="E59" s="188">
        <f t="shared" si="123"/>
        <v>0</v>
      </c>
      <c r="F59" s="187">
        <f t="shared" si="135"/>
        <v>0</v>
      </c>
      <c r="G59" s="187">
        <f t="shared" si="141"/>
        <v>0</v>
      </c>
      <c r="H59" s="188">
        <f t="shared" si="125"/>
        <v>0</v>
      </c>
      <c r="I59" s="187">
        <f t="shared" si="136"/>
        <v>0</v>
      </c>
      <c r="J59" s="187">
        <f t="shared" si="142"/>
        <v>0</v>
      </c>
      <c r="K59" s="188">
        <f t="shared" si="127"/>
        <v>0</v>
      </c>
      <c r="L59" s="187">
        <f t="shared" si="137"/>
        <v>0</v>
      </c>
      <c r="M59" s="187">
        <f t="shared" si="143"/>
        <v>0</v>
      </c>
      <c r="N59" s="188">
        <f t="shared" si="129"/>
        <v>0</v>
      </c>
      <c r="O59" s="187">
        <f t="shared" si="138"/>
        <v>0</v>
      </c>
      <c r="P59" s="187">
        <f t="shared" si="144"/>
        <v>0</v>
      </c>
      <c r="Q59" s="188">
        <f t="shared" si="131"/>
        <v>0</v>
      </c>
      <c r="R59" s="187">
        <f t="shared" si="139"/>
        <v>0</v>
      </c>
      <c r="S59" s="187">
        <f t="shared" si="145"/>
        <v>0</v>
      </c>
      <c r="T59" s="188">
        <f t="shared" si="133"/>
        <v>0</v>
      </c>
      <c r="U59" s="187">
        <f t="shared" si="121"/>
        <v>0</v>
      </c>
    </row>
    <row r="60" spans="1:21">
      <c r="A60" s="169">
        <f>VLOOKUP(B60,Misc_inputs!$A$3:$B$33,2,0)</f>
        <v>1.9988242855231282</v>
      </c>
      <c r="B60" s="168">
        <v>2018</v>
      </c>
      <c r="C60" s="187">
        <f t="shared" si="134"/>
        <v>0</v>
      </c>
      <c r="D60" s="187">
        <f t="shared" si="140"/>
        <v>0</v>
      </c>
      <c r="E60" s="188">
        <f t="shared" si="123"/>
        <v>0</v>
      </c>
      <c r="F60" s="187">
        <f t="shared" si="135"/>
        <v>0</v>
      </c>
      <c r="G60" s="187">
        <f t="shared" si="141"/>
        <v>0</v>
      </c>
      <c r="H60" s="188">
        <f t="shared" si="125"/>
        <v>0</v>
      </c>
      <c r="I60" s="187">
        <f t="shared" si="136"/>
        <v>0</v>
      </c>
      <c r="J60" s="187">
        <f t="shared" si="142"/>
        <v>0</v>
      </c>
      <c r="K60" s="188">
        <f t="shared" si="127"/>
        <v>0</v>
      </c>
      <c r="L60" s="187">
        <f t="shared" si="137"/>
        <v>0</v>
      </c>
      <c r="M60" s="187">
        <f t="shared" si="143"/>
        <v>0</v>
      </c>
      <c r="N60" s="188">
        <f t="shared" si="129"/>
        <v>0</v>
      </c>
      <c r="O60" s="187">
        <f t="shared" si="138"/>
        <v>0</v>
      </c>
      <c r="P60" s="187">
        <f t="shared" si="144"/>
        <v>0</v>
      </c>
      <c r="Q60" s="188">
        <f t="shared" si="131"/>
        <v>0</v>
      </c>
      <c r="R60" s="187">
        <f t="shared" si="139"/>
        <v>0</v>
      </c>
      <c r="S60" s="187">
        <f t="shared" si="145"/>
        <v>0</v>
      </c>
      <c r="T60" s="188">
        <f t="shared" si="133"/>
        <v>0</v>
      </c>
      <c r="U60" s="187">
        <f t="shared" si="121"/>
        <v>0</v>
      </c>
    </row>
    <row r="61" spans="1:21">
      <c r="A61" s="169">
        <f>VLOOKUP(B61,Misc_inputs!$A$3:$B$33,2,0)</f>
        <v>2.0163202370724722</v>
      </c>
      <c r="B61" s="168">
        <v>2019</v>
      </c>
      <c r="C61" s="187">
        <f t="shared" si="134"/>
        <v>0</v>
      </c>
      <c r="D61" s="187">
        <f t="shared" si="140"/>
        <v>0</v>
      </c>
      <c r="E61" s="188">
        <f t="shared" si="123"/>
        <v>0</v>
      </c>
      <c r="F61" s="187">
        <f t="shared" si="135"/>
        <v>0</v>
      </c>
      <c r="G61" s="187">
        <f t="shared" si="141"/>
        <v>0</v>
      </c>
      <c r="H61" s="188">
        <f t="shared" si="125"/>
        <v>0</v>
      </c>
      <c r="I61" s="187">
        <f t="shared" si="136"/>
        <v>0</v>
      </c>
      <c r="J61" s="187">
        <f t="shared" si="142"/>
        <v>0</v>
      </c>
      <c r="K61" s="188">
        <f t="shared" si="127"/>
        <v>0</v>
      </c>
      <c r="L61" s="187">
        <f t="shared" si="137"/>
        <v>0</v>
      </c>
      <c r="M61" s="187">
        <f t="shared" si="143"/>
        <v>0</v>
      </c>
      <c r="N61" s="188">
        <f t="shared" si="129"/>
        <v>0</v>
      </c>
      <c r="O61" s="187">
        <f t="shared" si="138"/>
        <v>0</v>
      </c>
      <c r="P61" s="187">
        <f t="shared" si="144"/>
        <v>0</v>
      </c>
      <c r="Q61" s="188">
        <f t="shared" si="131"/>
        <v>0</v>
      </c>
      <c r="R61" s="187">
        <f t="shared" si="139"/>
        <v>0</v>
      </c>
      <c r="S61" s="187">
        <f t="shared" si="145"/>
        <v>0</v>
      </c>
      <c r="T61" s="188">
        <f t="shared" si="133"/>
        <v>0</v>
      </c>
      <c r="U61" s="187">
        <f t="shared" si="121"/>
        <v>0</v>
      </c>
    </row>
    <row r="62" spans="1:21">
      <c r="A62" s="169">
        <f>VLOOKUP(B62,Misc_inputs!$A$3:$B$33,2,0)</f>
        <v>5.3200852056836103</v>
      </c>
      <c r="B62" s="168">
        <v>2020</v>
      </c>
      <c r="C62" s="187">
        <f t="shared" si="134"/>
        <v>0</v>
      </c>
      <c r="D62" s="187">
        <f t="shared" si="140"/>
        <v>0</v>
      </c>
      <c r="E62" s="188">
        <f t="shared" si="123"/>
        <v>0</v>
      </c>
      <c r="F62" s="187">
        <f t="shared" si="135"/>
        <v>0</v>
      </c>
      <c r="G62" s="187">
        <f t="shared" si="141"/>
        <v>0</v>
      </c>
      <c r="H62" s="188">
        <f t="shared" si="125"/>
        <v>0</v>
      </c>
      <c r="I62" s="187">
        <f t="shared" si="136"/>
        <v>0</v>
      </c>
      <c r="J62" s="187">
        <f t="shared" si="142"/>
        <v>0</v>
      </c>
      <c r="K62" s="188">
        <f t="shared" si="127"/>
        <v>0</v>
      </c>
      <c r="L62" s="187">
        <f t="shared" si="137"/>
        <v>0</v>
      </c>
      <c r="M62" s="187">
        <f t="shared" si="143"/>
        <v>0</v>
      </c>
      <c r="N62" s="188">
        <f t="shared" si="129"/>
        <v>0</v>
      </c>
      <c r="O62" s="187">
        <f t="shared" si="138"/>
        <v>0</v>
      </c>
      <c r="P62" s="187">
        <f t="shared" si="144"/>
        <v>0</v>
      </c>
      <c r="Q62" s="188">
        <f t="shared" si="131"/>
        <v>0</v>
      </c>
      <c r="R62" s="187">
        <f t="shared" si="139"/>
        <v>0</v>
      </c>
      <c r="S62" s="187">
        <f t="shared" si="145"/>
        <v>0</v>
      </c>
      <c r="T62" s="188">
        <f t="shared" si="133"/>
        <v>0</v>
      </c>
      <c r="U62" s="187">
        <f t="shared" si="121"/>
        <v>0</v>
      </c>
    </row>
    <row r="63" spans="1:21">
      <c r="A63" s="169">
        <f>VLOOKUP(B63,Misc_inputs!$A$3:$B$33,2,0)</f>
        <v>7.6258108678813302E-2</v>
      </c>
      <c r="B63" s="168">
        <v>2021</v>
      </c>
      <c r="C63" s="187">
        <f t="shared" si="134"/>
        <v>0</v>
      </c>
      <c r="D63" s="187">
        <f t="shared" si="140"/>
        <v>0</v>
      </c>
      <c r="E63" s="188">
        <f t="shared" si="123"/>
        <v>0</v>
      </c>
      <c r="F63" s="187">
        <f t="shared" si="135"/>
        <v>0</v>
      </c>
      <c r="G63" s="187">
        <f t="shared" si="141"/>
        <v>0</v>
      </c>
      <c r="H63" s="188">
        <f t="shared" si="125"/>
        <v>0</v>
      </c>
      <c r="I63" s="187">
        <f t="shared" si="136"/>
        <v>0</v>
      </c>
      <c r="J63" s="187">
        <f t="shared" si="142"/>
        <v>0</v>
      </c>
      <c r="K63" s="188">
        <f t="shared" si="127"/>
        <v>0</v>
      </c>
      <c r="L63" s="187">
        <f t="shared" si="137"/>
        <v>0</v>
      </c>
      <c r="M63" s="187">
        <f t="shared" si="143"/>
        <v>0</v>
      </c>
      <c r="N63" s="188">
        <f t="shared" si="129"/>
        <v>0</v>
      </c>
      <c r="O63" s="187">
        <f t="shared" si="138"/>
        <v>0</v>
      </c>
      <c r="P63" s="187">
        <f t="shared" si="144"/>
        <v>0</v>
      </c>
      <c r="Q63" s="188">
        <f t="shared" si="131"/>
        <v>0</v>
      </c>
      <c r="R63" s="187">
        <f t="shared" si="139"/>
        <v>0</v>
      </c>
      <c r="S63" s="187">
        <f t="shared" si="145"/>
        <v>0</v>
      </c>
      <c r="T63" s="188">
        <f t="shared" si="133"/>
        <v>0</v>
      </c>
      <c r="U63" s="187">
        <f t="shared" si="121"/>
        <v>0</v>
      </c>
    </row>
    <row r="64" spans="1:21">
      <c r="A64" s="169">
        <f>VLOOKUP(B64,Misc_inputs!$A$3:$B$33,2,0)</f>
        <v>2.8492930312000952</v>
      </c>
      <c r="B64" s="168">
        <v>2022</v>
      </c>
      <c r="C64" s="187">
        <f t="shared" si="134"/>
        <v>0</v>
      </c>
      <c r="D64" s="187">
        <f t="shared" si="140"/>
        <v>0</v>
      </c>
      <c r="E64" s="188">
        <f t="shared" si="123"/>
        <v>0</v>
      </c>
      <c r="F64" s="187">
        <f t="shared" si="135"/>
        <v>0</v>
      </c>
      <c r="G64" s="187">
        <f t="shared" si="141"/>
        <v>0</v>
      </c>
      <c r="H64" s="188">
        <f t="shared" si="125"/>
        <v>0</v>
      </c>
      <c r="I64" s="187">
        <f t="shared" si="136"/>
        <v>0</v>
      </c>
      <c r="J64" s="187">
        <f t="shared" si="142"/>
        <v>0</v>
      </c>
      <c r="K64" s="188">
        <f t="shared" si="127"/>
        <v>0</v>
      </c>
      <c r="L64" s="187">
        <f t="shared" si="137"/>
        <v>0</v>
      </c>
      <c r="M64" s="187">
        <f t="shared" si="143"/>
        <v>0</v>
      </c>
      <c r="N64" s="188">
        <f t="shared" si="129"/>
        <v>0</v>
      </c>
      <c r="O64" s="187">
        <f t="shared" si="138"/>
        <v>0</v>
      </c>
      <c r="P64" s="187">
        <f t="shared" si="144"/>
        <v>0</v>
      </c>
      <c r="Q64" s="188">
        <f t="shared" si="131"/>
        <v>0</v>
      </c>
      <c r="R64" s="187">
        <f t="shared" si="139"/>
        <v>0</v>
      </c>
      <c r="S64" s="187">
        <f t="shared" si="145"/>
        <v>0</v>
      </c>
      <c r="T64" s="188">
        <f t="shared" si="133"/>
        <v>0</v>
      </c>
      <c r="U64" s="187">
        <f t="shared" si="121"/>
        <v>0</v>
      </c>
    </row>
    <row r="65" spans="1:21">
      <c r="A65" s="169">
        <f>VLOOKUP(B65,Misc_inputs!$A$3:$B$33,2,0)</f>
        <v>3.143440902459993</v>
      </c>
      <c r="B65" s="168">
        <v>2023</v>
      </c>
      <c r="C65" s="187">
        <f t="shared" si="134"/>
        <v>0</v>
      </c>
      <c r="D65" s="187">
        <f t="shared" si="140"/>
        <v>0</v>
      </c>
      <c r="E65" s="188">
        <f t="shared" si="123"/>
        <v>0</v>
      </c>
      <c r="F65" s="187">
        <f t="shared" si="135"/>
        <v>0</v>
      </c>
      <c r="G65" s="187">
        <f t="shared" si="141"/>
        <v>0</v>
      </c>
      <c r="H65" s="188">
        <f t="shared" si="125"/>
        <v>0</v>
      </c>
      <c r="I65" s="187">
        <f t="shared" si="136"/>
        <v>0</v>
      </c>
      <c r="J65" s="187">
        <f t="shared" si="142"/>
        <v>0</v>
      </c>
      <c r="K65" s="188">
        <f t="shared" si="127"/>
        <v>0</v>
      </c>
      <c r="L65" s="187">
        <f t="shared" si="137"/>
        <v>0</v>
      </c>
      <c r="M65" s="187">
        <f t="shared" si="143"/>
        <v>0</v>
      </c>
      <c r="N65" s="188">
        <f t="shared" si="129"/>
        <v>0</v>
      </c>
      <c r="O65" s="187">
        <f t="shared" si="138"/>
        <v>0</v>
      </c>
      <c r="P65" s="187">
        <f t="shared" si="144"/>
        <v>0</v>
      </c>
      <c r="Q65" s="188">
        <f t="shared" si="131"/>
        <v>0</v>
      </c>
      <c r="R65" s="187">
        <f t="shared" si="139"/>
        <v>0</v>
      </c>
      <c r="S65" s="187">
        <f t="shared" si="145"/>
        <v>0</v>
      </c>
      <c r="T65" s="188">
        <f t="shared" si="133"/>
        <v>0</v>
      </c>
      <c r="U65" s="187">
        <f t="shared" si="121"/>
        <v>0</v>
      </c>
    </row>
    <row r="66" spans="1:21">
      <c r="A66" s="169">
        <f>VLOOKUP(B66,Misc_inputs!$A$3:$B$33,2,0)</f>
        <v>1.8594732384912049</v>
      </c>
      <c r="B66" s="168">
        <v>2024</v>
      </c>
      <c r="C66" s="187">
        <f t="shared" si="134"/>
        <v>0</v>
      </c>
      <c r="D66" s="187">
        <f t="shared" si="140"/>
        <v>0</v>
      </c>
      <c r="E66" s="188">
        <f t="shared" si="123"/>
        <v>0</v>
      </c>
      <c r="F66" s="187">
        <f t="shared" si="135"/>
        <v>0</v>
      </c>
      <c r="G66" s="187">
        <f t="shared" si="141"/>
        <v>0</v>
      </c>
      <c r="H66" s="188">
        <f t="shared" si="125"/>
        <v>0</v>
      </c>
      <c r="I66" s="187">
        <f t="shared" si="136"/>
        <v>0</v>
      </c>
      <c r="J66" s="187">
        <f t="shared" si="142"/>
        <v>0</v>
      </c>
      <c r="K66" s="188">
        <f t="shared" si="127"/>
        <v>0</v>
      </c>
      <c r="L66" s="187">
        <f t="shared" si="137"/>
        <v>0</v>
      </c>
      <c r="M66" s="187">
        <f t="shared" si="143"/>
        <v>0</v>
      </c>
      <c r="N66" s="188">
        <f t="shared" si="129"/>
        <v>0</v>
      </c>
      <c r="O66" s="187">
        <f t="shared" si="138"/>
        <v>0</v>
      </c>
      <c r="P66" s="187">
        <f t="shared" si="144"/>
        <v>0</v>
      </c>
      <c r="Q66" s="188">
        <f t="shared" si="131"/>
        <v>0</v>
      </c>
      <c r="R66" s="187">
        <f t="shared" si="139"/>
        <v>0</v>
      </c>
      <c r="S66" s="187">
        <f t="shared" si="145"/>
        <v>0</v>
      </c>
      <c r="T66" s="188">
        <f t="shared" si="133"/>
        <v>0</v>
      </c>
      <c r="U66" s="187">
        <f t="shared" si="121"/>
        <v>0</v>
      </c>
    </row>
    <row r="67" spans="1:21">
      <c r="A67" s="169">
        <f>VLOOKUP(B67,Misc_inputs!$A$3:$B$33,2,0)</f>
        <v>1.892198034308179</v>
      </c>
      <c r="B67" s="168">
        <v>2025</v>
      </c>
      <c r="C67" s="187">
        <f t="shared" si="134"/>
        <v>0</v>
      </c>
      <c r="D67" s="187">
        <f t="shared" si="140"/>
        <v>0</v>
      </c>
      <c r="E67" s="188">
        <f t="shared" si="123"/>
        <v>0</v>
      </c>
      <c r="F67" s="187">
        <f t="shared" si="135"/>
        <v>0</v>
      </c>
      <c r="G67" s="187">
        <f t="shared" si="141"/>
        <v>0</v>
      </c>
      <c r="H67" s="188">
        <f t="shared" si="125"/>
        <v>0</v>
      </c>
      <c r="I67" s="187">
        <f t="shared" si="136"/>
        <v>0</v>
      </c>
      <c r="J67" s="187">
        <f t="shared" si="142"/>
        <v>0</v>
      </c>
      <c r="K67" s="188">
        <f t="shared" si="127"/>
        <v>0</v>
      </c>
      <c r="L67" s="187">
        <f t="shared" si="137"/>
        <v>0</v>
      </c>
      <c r="M67" s="187">
        <f t="shared" si="143"/>
        <v>0</v>
      </c>
      <c r="N67" s="188">
        <f t="shared" si="129"/>
        <v>0</v>
      </c>
      <c r="O67" s="187">
        <f t="shared" si="138"/>
        <v>0</v>
      </c>
      <c r="P67" s="187">
        <f t="shared" si="144"/>
        <v>0</v>
      </c>
      <c r="Q67" s="188">
        <f t="shared" si="131"/>
        <v>0</v>
      </c>
      <c r="R67" s="187">
        <f t="shared" si="139"/>
        <v>0</v>
      </c>
      <c r="S67" s="187">
        <f t="shared" si="145"/>
        <v>0</v>
      </c>
      <c r="T67" s="188">
        <f t="shared" si="133"/>
        <v>0</v>
      </c>
      <c r="U67" s="187">
        <f t="shared" si="121"/>
        <v>0</v>
      </c>
    </row>
    <row r="68" spans="1:21">
      <c r="A68" s="169">
        <f>VLOOKUP(B68,Misc_inputs!$A$3:$B$33,2,0)</f>
        <v>2.0003592159356653</v>
      </c>
      <c r="B68" s="168">
        <v>2026</v>
      </c>
      <c r="C68" s="187">
        <f t="shared" si="134"/>
        <v>0</v>
      </c>
      <c r="D68" s="187">
        <f t="shared" si="140"/>
        <v>0</v>
      </c>
      <c r="E68" s="188">
        <f t="shared" si="123"/>
        <v>0</v>
      </c>
      <c r="F68" s="187">
        <f t="shared" si="135"/>
        <v>0</v>
      </c>
      <c r="G68" s="187">
        <f t="shared" si="141"/>
        <v>0</v>
      </c>
      <c r="H68" s="188">
        <f t="shared" si="125"/>
        <v>0</v>
      </c>
      <c r="I68" s="187">
        <f t="shared" si="136"/>
        <v>0</v>
      </c>
      <c r="J68" s="187">
        <f t="shared" si="142"/>
        <v>0</v>
      </c>
      <c r="K68" s="188">
        <f t="shared" si="127"/>
        <v>0</v>
      </c>
      <c r="L68" s="187">
        <f t="shared" si="137"/>
        <v>0</v>
      </c>
      <c r="M68" s="187">
        <f t="shared" si="143"/>
        <v>0</v>
      </c>
      <c r="N68" s="188">
        <f t="shared" si="129"/>
        <v>0</v>
      </c>
      <c r="O68" s="187">
        <f t="shared" si="138"/>
        <v>0</v>
      </c>
      <c r="P68" s="187">
        <f t="shared" si="144"/>
        <v>0</v>
      </c>
      <c r="Q68" s="188">
        <f t="shared" si="131"/>
        <v>0</v>
      </c>
      <c r="R68" s="187">
        <f t="shared" si="139"/>
        <v>0</v>
      </c>
      <c r="S68" s="187">
        <f t="shared" si="145"/>
        <v>0</v>
      </c>
      <c r="T68" s="188">
        <f t="shared" si="133"/>
        <v>0</v>
      </c>
      <c r="U68" s="187">
        <f t="shared" si="121"/>
        <v>0</v>
      </c>
    </row>
    <row r="69" spans="1:21">
      <c r="A69" s="169">
        <f>VLOOKUP(B69,Misc_inputs!$A$3:$B$33,2,0)</f>
        <v>0</v>
      </c>
      <c r="B69" s="168">
        <v>2027</v>
      </c>
      <c r="C69" s="187">
        <f t="shared" si="134"/>
        <v>0</v>
      </c>
      <c r="D69" s="187">
        <f t="shared" si="140"/>
        <v>0</v>
      </c>
      <c r="E69" s="188">
        <f t="shared" si="123"/>
        <v>0</v>
      </c>
      <c r="F69" s="187">
        <f t="shared" si="135"/>
        <v>0</v>
      </c>
      <c r="G69" s="187">
        <f t="shared" si="141"/>
        <v>0</v>
      </c>
      <c r="H69" s="188">
        <f t="shared" si="125"/>
        <v>0</v>
      </c>
      <c r="I69" s="187">
        <f t="shared" si="136"/>
        <v>0</v>
      </c>
      <c r="J69" s="187">
        <f t="shared" si="142"/>
        <v>0</v>
      </c>
      <c r="K69" s="188">
        <f t="shared" si="127"/>
        <v>0</v>
      </c>
      <c r="L69" s="187">
        <f t="shared" si="137"/>
        <v>0</v>
      </c>
      <c r="M69" s="187">
        <f t="shared" si="143"/>
        <v>0</v>
      </c>
      <c r="N69" s="188">
        <f t="shared" si="129"/>
        <v>0</v>
      </c>
      <c r="O69" s="187">
        <f t="shared" si="138"/>
        <v>0</v>
      </c>
      <c r="P69" s="187">
        <f t="shared" si="144"/>
        <v>0</v>
      </c>
      <c r="Q69" s="188">
        <f t="shared" si="131"/>
        <v>0</v>
      </c>
      <c r="R69" s="187">
        <f t="shared" si="139"/>
        <v>0</v>
      </c>
      <c r="S69" s="187">
        <f t="shared" si="145"/>
        <v>0</v>
      </c>
      <c r="T69" s="188">
        <f t="shared" si="133"/>
        <v>0</v>
      </c>
      <c r="U69" s="187">
        <f t="shared" si="121"/>
        <v>0</v>
      </c>
    </row>
    <row r="70" spans="1:21">
      <c r="A70" s="169">
        <f>VLOOKUP(B70,Misc_inputs!$A$3:$B$33,2,0)</f>
        <v>0</v>
      </c>
      <c r="B70" s="168">
        <v>2028</v>
      </c>
      <c r="C70" s="187">
        <f t="shared" si="134"/>
        <v>0</v>
      </c>
      <c r="D70" s="187">
        <f t="shared" si="140"/>
        <v>0</v>
      </c>
      <c r="E70" s="188">
        <f t="shared" si="123"/>
        <v>0</v>
      </c>
      <c r="F70" s="187">
        <f t="shared" si="135"/>
        <v>0</v>
      </c>
      <c r="G70" s="187">
        <f t="shared" si="141"/>
        <v>0</v>
      </c>
      <c r="H70" s="188">
        <f t="shared" si="125"/>
        <v>0</v>
      </c>
      <c r="I70" s="187">
        <f t="shared" si="136"/>
        <v>0</v>
      </c>
      <c r="J70" s="187">
        <f t="shared" si="142"/>
        <v>0</v>
      </c>
      <c r="K70" s="188">
        <f t="shared" si="127"/>
        <v>0</v>
      </c>
      <c r="L70" s="187">
        <f t="shared" si="137"/>
        <v>0</v>
      </c>
      <c r="M70" s="187">
        <f t="shared" si="143"/>
        <v>0</v>
      </c>
      <c r="N70" s="188">
        <f t="shared" si="129"/>
        <v>0</v>
      </c>
      <c r="O70" s="187">
        <f t="shared" si="138"/>
        <v>0</v>
      </c>
      <c r="P70" s="187">
        <f t="shared" si="144"/>
        <v>0</v>
      </c>
      <c r="Q70" s="188">
        <f t="shared" si="131"/>
        <v>0</v>
      </c>
      <c r="R70" s="187">
        <f t="shared" si="139"/>
        <v>0</v>
      </c>
      <c r="S70" s="187">
        <f t="shared" si="145"/>
        <v>0</v>
      </c>
      <c r="T70" s="188">
        <f t="shared" si="133"/>
        <v>0</v>
      </c>
      <c r="U70" s="187">
        <f t="shared" si="121"/>
        <v>0</v>
      </c>
    </row>
    <row r="71" spans="1:21">
      <c r="A71" s="169">
        <f>VLOOKUP(B71,Misc_inputs!$A$3:$B$33,2,0)</f>
        <v>0</v>
      </c>
      <c r="B71" s="168">
        <v>2029</v>
      </c>
      <c r="C71" s="187">
        <f t="shared" si="134"/>
        <v>0</v>
      </c>
      <c r="D71" s="187">
        <f t="shared" si="140"/>
        <v>0</v>
      </c>
      <c r="E71" s="188">
        <f t="shared" si="123"/>
        <v>0</v>
      </c>
      <c r="F71" s="187">
        <f t="shared" si="135"/>
        <v>0</v>
      </c>
      <c r="G71" s="187">
        <f t="shared" si="141"/>
        <v>0</v>
      </c>
      <c r="H71" s="188">
        <f t="shared" si="125"/>
        <v>0</v>
      </c>
      <c r="I71" s="187">
        <f t="shared" si="136"/>
        <v>0</v>
      </c>
      <c r="J71" s="187">
        <f t="shared" si="142"/>
        <v>0</v>
      </c>
      <c r="K71" s="188">
        <f t="shared" si="127"/>
        <v>0</v>
      </c>
      <c r="L71" s="187">
        <f t="shared" si="137"/>
        <v>0</v>
      </c>
      <c r="M71" s="187">
        <f t="shared" si="143"/>
        <v>0</v>
      </c>
      <c r="N71" s="188">
        <f t="shared" si="129"/>
        <v>0</v>
      </c>
      <c r="O71" s="187">
        <f t="shared" si="138"/>
        <v>0</v>
      </c>
      <c r="P71" s="187">
        <f t="shared" si="144"/>
        <v>0</v>
      </c>
      <c r="Q71" s="188">
        <f t="shared" si="131"/>
        <v>0</v>
      </c>
      <c r="R71" s="187">
        <f t="shared" si="139"/>
        <v>0</v>
      </c>
      <c r="S71" s="187">
        <f t="shared" si="145"/>
        <v>0</v>
      </c>
      <c r="T71" s="188">
        <f t="shared" si="133"/>
        <v>0</v>
      </c>
      <c r="U71" s="187">
        <f t="shared" si="121"/>
        <v>0</v>
      </c>
    </row>
    <row r="72" spans="1:21">
      <c r="A72" s="169">
        <f>VLOOKUP(B72,Misc_inputs!$A$3:$B$33,2,0)</f>
        <v>0</v>
      </c>
      <c r="B72" s="168">
        <v>2030</v>
      </c>
      <c r="C72" s="187">
        <f t="shared" si="134"/>
        <v>0</v>
      </c>
      <c r="D72" s="187">
        <f t="shared" si="140"/>
        <v>0</v>
      </c>
      <c r="E72" s="188">
        <f t="shared" si="123"/>
        <v>0</v>
      </c>
      <c r="F72" s="187">
        <f t="shared" si="135"/>
        <v>0</v>
      </c>
      <c r="G72" s="187">
        <f t="shared" si="141"/>
        <v>0</v>
      </c>
      <c r="H72" s="188">
        <f t="shared" si="125"/>
        <v>0</v>
      </c>
      <c r="I72" s="187">
        <f t="shared" si="136"/>
        <v>0</v>
      </c>
      <c r="J72" s="187">
        <f t="shared" si="142"/>
        <v>0</v>
      </c>
      <c r="K72" s="188">
        <f t="shared" si="127"/>
        <v>0</v>
      </c>
      <c r="L72" s="187">
        <f t="shared" si="137"/>
        <v>0</v>
      </c>
      <c r="M72" s="187">
        <f t="shared" si="143"/>
        <v>0</v>
      </c>
      <c r="N72" s="188">
        <f t="shared" si="129"/>
        <v>0</v>
      </c>
      <c r="O72" s="187">
        <f t="shared" si="138"/>
        <v>0</v>
      </c>
      <c r="P72" s="187">
        <f t="shared" si="144"/>
        <v>0</v>
      </c>
      <c r="Q72" s="188">
        <f t="shared" si="131"/>
        <v>0</v>
      </c>
      <c r="R72" s="187">
        <f t="shared" si="139"/>
        <v>0</v>
      </c>
      <c r="S72" s="187">
        <f t="shared" si="145"/>
        <v>0</v>
      </c>
      <c r="T72" s="188">
        <f t="shared" si="133"/>
        <v>0</v>
      </c>
      <c r="U72" s="187">
        <f t="shared" si="121"/>
        <v>0</v>
      </c>
    </row>
    <row r="75" spans="1:21" s="222" customFormat="1">
      <c r="A75" s="222" t="s">
        <v>697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AV75"/>
  <sheetViews>
    <sheetView workbookViewId="0"/>
  </sheetViews>
  <sheetFormatPr defaultColWidth="10.921875" defaultRowHeight="15.5"/>
  <cols>
    <col min="1" max="1" width="10.921875" style="169"/>
    <col min="2" max="4" width="10.921875" style="168"/>
    <col min="5" max="5" width="13.15234375" style="193" customWidth="1"/>
    <col min="6" max="6" width="12.921875" style="168" customWidth="1"/>
    <col min="7" max="7" width="11.4609375" style="168" customWidth="1"/>
    <col min="8" max="8" width="14.23046875" style="193" customWidth="1"/>
    <col min="9" max="10" width="10.921875" style="168"/>
    <col min="11" max="11" width="11.23046875" style="193" customWidth="1"/>
    <col min="12" max="12" width="14.23046875" style="168" customWidth="1"/>
    <col min="13" max="13" width="10.921875" style="168"/>
    <col min="14" max="14" width="11.4609375" style="193" customWidth="1"/>
    <col min="15" max="16" width="10.921875" style="168"/>
    <col min="17" max="17" width="10.921875" style="193"/>
    <col min="18" max="18" width="13.69140625" style="168" customWidth="1"/>
    <col min="19" max="19" width="10.921875" style="168"/>
    <col min="20" max="20" width="11.4609375" style="193" customWidth="1"/>
    <col min="21" max="22" width="10.921875" style="168"/>
    <col min="23" max="23" width="10.921875" style="193"/>
    <col min="24" max="24" width="14.4609375" style="168" customWidth="1"/>
    <col min="25" max="25" width="10.921875" style="168"/>
    <col min="26" max="26" width="10.921875" style="193"/>
    <col min="27" max="28" width="10.921875" style="168"/>
    <col min="29" max="29" width="10.921875" style="193"/>
    <col min="30" max="31" width="10.921875" style="168"/>
    <col min="32" max="32" width="10.921875" style="193"/>
    <col min="33" max="34" width="10.921875" style="168"/>
    <col min="35" max="35" width="10.921875" style="193"/>
    <col min="36" max="37" width="10.921875" style="168"/>
    <col min="38" max="38" width="10.921875" style="193"/>
    <col min="39" max="40" width="10.921875" style="168"/>
    <col min="41" max="41" width="10.921875" style="193"/>
    <col min="42" max="43" width="10.921875" style="168"/>
    <col min="44" max="44" width="10.921875" style="193"/>
    <col min="45" max="46" width="10.921875" style="168"/>
    <col min="47" max="47" width="10.921875" style="193"/>
    <col min="48" max="48" width="15.4609375" style="168" customWidth="1"/>
    <col min="49" max="16384" width="10.921875" style="169"/>
  </cols>
  <sheetData>
    <row r="1" spans="1:48" s="182" customFormat="1" ht="37.5" customHeight="1">
      <c r="A1" s="179" t="str">
        <f>Cost_of_crime_Raw_data!B40</f>
        <v>Value of Property Stolen/ Damaged (VPS)</v>
      </c>
      <c r="B1" s="180"/>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row>
    <row r="2" spans="1:48" s="182" customFormat="1" ht="37.5" customHeight="1">
      <c r="A2" s="183" t="s">
        <v>574</v>
      </c>
      <c r="B2" s="180"/>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row>
    <row r="3" spans="1:48" s="173" customFormat="1" ht="77.5">
      <c r="A3" s="173" t="s">
        <v>539</v>
      </c>
      <c r="B3" s="172" t="s">
        <v>342</v>
      </c>
      <c r="C3" s="184" t="s">
        <v>290</v>
      </c>
      <c r="D3" s="184" t="s">
        <v>540</v>
      </c>
      <c r="E3" s="185" t="s">
        <v>541</v>
      </c>
      <c r="F3" s="184" t="s">
        <v>542</v>
      </c>
      <c r="G3" s="184" t="s">
        <v>540</v>
      </c>
      <c r="H3" s="185" t="s">
        <v>541</v>
      </c>
      <c r="I3" s="184" t="s">
        <v>543</v>
      </c>
      <c r="J3" s="184" t="s">
        <v>540</v>
      </c>
      <c r="K3" s="185" t="s">
        <v>541</v>
      </c>
      <c r="L3" s="184" t="s">
        <v>544</v>
      </c>
      <c r="M3" s="184" t="s">
        <v>540</v>
      </c>
      <c r="N3" s="185" t="s">
        <v>541</v>
      </c>
      <c r="O3" s="184" t="s">
        <v>545</v>
      </c>
      <c r="P3" s="184" t="s">
        <v>540</v>
      </c>
      <c r="Q3" s="185" t="s">
        <v>541</v>
      </c>
      <c r="R3" s="184" t="s">
        <v>292</v>
      </c>
      <c r="S3" s="184" t="s">
        <v>540</v>
      </c>
      <c r="T3" s="185" t="s">
        <v>541</v>
      </c>
      <c r="U3" s="184" t="s">
        <v>546</v>
      </c>
      <c r="V3" s="184" t="s">
        <v>540</v>
      </c>
      <c r="W3" s="185" t="s">
        <v>541</v>
      </c>
      <c r="X3" s="184" t="s">
        <v>547</v>
      </c>
      <c r="Y3" s="184" t="s">
        <v>540</v>
      </c>
      <c r="Z3" s="185" t="s">
        <v>541</v>
      </c>
      <c r="AA3" s="184" t="s">
        <v>548</v>
      </c>
      <c r="AB3" s="184" t="s">
        <v>540</v>
      </c>
      <c r="AC3" s="185" t="s">
        <v>541</v>
      </c>
      <c r="AD3" s="184" t="s">
        <v>549</v>
      </c>
      <c r="AE3" s="184" t="s">
        <v>540</v>
      </c>
      <c r="AF3" s="185" t="s">
        <v>541</v>
      </c>
      <c r="AG3" s="184" t="s">
        <v>550</v>
      </c>
      <c r="AH3" s="184" t="s">
        <v>540</v>
      </c>
      <c r="AI3" s="185" t="s">
        <v>541</v>
      </c>
      <c r="AJ3" s="184" t="s">
        <v>551</v>
      </c>
      <c r="AK3" s="184" t="s">
        <v>540</v>
      </c>
      <c r="AL3" s="185" t="s">
        <v>541</v>
      </c>
      <c r="AM3" s="184" t="s">
        <v>424</v>
      </c>
      <c r="AN3" s="184" t="s">
        <v>540</v>
      </c>
      <c r="AO3" s="185" t="s">
        <v>541</v>
      </c>
      <c r="AP3" s="184" t="s">
        <v>552</v>
      </c>
      <c r="AQ3" s="184" t="s">
        <v>540</v>
      </c>
      <c r="AR3" s="185" t="s">
        <v>541</v>
      </c>
      <c r="AS3" s="184" t="s">
        <v>425</v>
      </c>
    </row>
    <row r="4" spans="1:48">
      <c r="B4" s="168">
        <v>2015</v>
      </c>
      <c r="C4" s="186" t="str">
        <f>Cost_of_crime_Raw_data!B$43</f>
        <v>not estimated</v>
      </c>
      <c r="D4" s="187" t="e">
        <f>C4*$A4/100</f>
        <v>#VALUE!</v>
      </c>
      <c r="E4" s="188" t="e">
        <f>C4+D4</f>
        <v>#VALUE!</v>
      </c>
      <c r="F4" s="186" t="str">
        <f>Cost_of_crime_Raw_data!B$44</f>
        <v>not estimated</v>
      </c>
      <c r="G4" s="187" t="e">
        <f>F4*$A4/100</f>
        <v>#VALUE!</v>
      </c>
      <c r="H4" s="188" t="e">
        <f>F4+G4</f>
        <v>#VALUE!</v>
      </c>
      <c r="I4" s="186" t="str">
        <f>Cost_of_crime_Raw_data!B$45</f>
        <v>not estimated</v>
      </c>
      <c r="J4" s="187" t="e">
        <f>I4*$A4/100</f>
        <v>#VALUE!</v>
      </c>
      <c r="K4" s="188" t="e">
        <f>I4+J4</f>
        <v>#VALUE!</v>
      </c>
      <c r="L4" s="186" t="str">
        <f>Cost_of_crime_Raw_data!B$46</f>
        <v>not estimated</v>
      </c>
      <c r="M4" s="187" t="e">
        <f>L4*$A4/100</f>
        <v>#VALUE!</v>
      </c>
      <c r="N4" s="188" t="e">
        <f>L4+M4</f>
        <v>#VALUE!</v>
      </c>
      <c r="O4" s="186" t="str">
        <f>Cost_of_crime_Raw_data!B$47</f>
        <v>not estimated</v>
      </c>
      <c r="P4" s="187" t="e">
        <f>O4*$A4/100</f>
        <v>#VALUE!</v>
      </c>
      <c r="Q4" s="188" t="e">
        <f>O4+P4</f>
        <v>#VALUE!</v>
      </c>
      <c r="R4" s="186">
        <f>Cost_of_crime_Raw_data!B48</f>
        <v>1030</v>
      </c>
      <c r="S4" s="187">
        <f>R4*$A4/100</f>
        <v>0</v>
      </c>
      <c r="T4" s="188">
        <f>R4+S4</f>
        <v>1030</v>
      </c>
      <c r="U4" s="186">
        <f>Cost_of_crime_Raw_data!B49</f>
        <v>1400</v>
      </c>
      <c r="V4" s="187">
        <f>U4*$A4/100</f>
        <v>0</v>
      </c>
      <c r="W4" s="188">
        <f>U4+V4</f>
        <v>1400</v>
      </c>
      <c r="X4" s="186">
        <f>Cost_of_crime_Raw_data!B50</f>
        <v>4140</v>
      </c>
      <c r="Y4" s="187">
        <f>X4*$A4/100</f>
        <v>0</v>
      </c>
      <c r="Z4" s="188">
        <f>X4+Y4</f>
        <v>4140</v>
      </c>
      <c r="AA4" s="186">
        <f>Cost_of_crime_Raw_data!B51</f>
        <v>350</v>
      </c>
      <c r="AB4" s="187">
        <f>AA4*$A4/100</f>
        <v>0</v>
      </c>
      <c r="AC4" s="188">
        <f>AA4+AB4</f>
        <v>350</v>
      </c>
      <c r="AD4" s="186">
        <f>Cost_of_crime_Raw_data!B52</f>
        <v>180</v>
      </c>
      <c r="AE4" s="187">
        <f>AD4*$A4/100</f>
        <v>0</v>
      </c>
      <c r="AF4" s="188">
        <f>AD4+AE4</f>
        <v>180</v>
      </c>
      <c r="AG4" s="186">
        <f>Cost_of_crime_Raw_data!B53</f>
        <v>1600</v>
      </c>
      <c r="AH4" s="187">
        <f>AG4*$A4/100</f>
        <v>0</v>
      </c>
      <c r="AI4" s="188">
        <f>AG4+AH4</f>
        <v>1600</v>
      </c>
      <c r="AJ4" s="186">
        <f>Cost_of_crime_Raw_data!B54</f>
        <v>330</v>
      </c>
      <c r="AK4" s="187">
        <f>AJ4*$A4/100</f>
        <v>0</v>
      </c>
      <c r="AL4" s="188">
        <f>AJ4+AK4</f>
        <v>330</v>
      </c>
      <c r="AM4" s="186">
        <f>Cost_of_crime_Raw_data!B55</f>
        <v>500</v>
      </c>
      <c r="AN4" s="187">
        <f>AM4*$A4/100</f>
        <v>0</v>
      </c>
      <c r="AO4" s="188">
        <f>AM4+AN4</f>
        <v>500</v>
      </c>
      <c r="AP4" s="186">
        <f>Cost_of_crime_Raw_data!B56</f>
        <v>10</v>
      </c>
      <c r="AQ4" s="187">
        <f>AP4*$A4/100</f>
        <v>0</v>
      </c>
      <c r="AR4" s="188">
        <f>AP4+AQ4</f>
        <v>10</v>
      </c>
      <c r="AS4" s="186">
        <f>SUM(C4,I4,L4,O4,R4,U4,X4,AD4,AG4,AJ4,AM4,AP4)</f>
        <v>9190</v>
      </c>
      <c r="AT4" s="169"/>
      <c r="AU4" s="169"/>
      <c r="AV4" s="169"/>
    </row>
    <row r="5" spans="1:48">
      <c r="A5" s="169">
        <f>VLOOKUP(B5,Misc_inputs!$A$3:$B$33,2,0)</f>
        <v>1.8963035451147277</v>
      </c>
      <c r="B5" s="168">
        <v>2016</v>
      </c>
      <c r="C5" s="186" t="str">
        <f>Cost_of_crime_Raw_data!B$43</f>
        <v>not estimated</v>
      </c>
      <c r="D5" s="187" t="e">
        <f t="shared" ref="D5:D19" si="0">C5*$A5/100</f>
        <v>#VALUE!</v>
      </c>
      <c r="E5" s="188" t="e">
        <f t="shared" ref="E5:E19" si="1">C5+D5</f>
        <v>#VALUE!</v>
      </c>
      <c r="F5" s="186" t="str">
        <f>Cost_of_crime_Raw_data!B$44</f>
        <v>not estimated</v>
      </c>
      <c r="G5" s="187" t="e">
        <f t="shared" ref="G5:G7" si="2">F5*$A5/100</f>
        <v>#VALUE!</v>
      </c>
      <c r="H5" s="188" t="e">
        <f t="shared" ref="H5:H19" si="3">F5+G5</f>
        <v>#VALUE!</v>
      </c>
      <c r="I5" s="186" t="str">
        <f>Cost_of_crime_Raw_data!B$45</f>
        <v>not estimated</v>
      </c>
      <c r="J5" s="187" t="e">
        <f t="shared" ref="J5:J7" si="4">I5*$A5/100</f>
        <v>#VALUE!</v>
      </c>
      <c r="K5" s="188" t="e">
        <f t="shared" ref="K5:K19" si="5">I5+J5</f>
        <v>#VALUE!</v>
      </c>
      <c r="L5" s="186" t="str">
        <f>Cost_of_crime_Raw_data!B$46</f>
        <v>not estimated</v>
      </c>
      <c r="M5" s="187" t="e">
        <f t="shared" ref="M5:M7" si="6">L5*$A5/100</f>
        <v>#VALUE!</v>
      </c>
      <c r="N5" s="188" t="e">
        <f t="shared" ref="N5:N19" si="7">L5+M5</f>
        <v>#VALUE!</v>
      </c>
      <c r="O5" s="186" t="str">
        <f>Cost_of_crime_Raw_data!B$47</f>
        <v>not estimated</v>
      </c>
      <c r="P5" s="187" t="e">
        <f t="shared" ref="P5:P7" si="8">O5*$A5/100</f>
        <v>#VALUE!</v>
      </c>
      <c r="Q5" s="188" t="e">
        <f t="shared" ref="Q5:Q19" si="9">O5+P5</f>
        <v>#VALUE!</v>
      </c>
      <c r="R5" s="187">
        <f>T4</f>
        <v>1030</v>
      </c>
      <c r="S5" s="187">
        <f t="shared" ref="S5:S7" si="10">R5*$A5/100</f>
        <v>19.531926514681697</v>
      </c>
      <c r="T5" s="188">
        <f t="shared" ref="T5:T19" si="11">R5+S5</f>
        <v>1049.5319265146818</v>
      </c>
      <c r="U5" s="187">
        <f>W4</f>
        <v>1400</v>
      </c>
      <c r="V5" s="187">
        <f t="shared" ref="V5:V7" si="12">U5*$A5/100</f>
        <v>26.548249631606186</v>
      </c>
      <c r="W5" s="188">
        <f t="shared" ref="W5:W19" si="13">U5+V5</f>
        <v>1426.5482496316063</v>
      </c>
      <c r="X5" s="187">
        <f>Z4</f>
        <v>4140</v>
      </c>
      <c r="Y5" s="187">
        <f t="shared" ref="Y5:Y7" si="14">X5*$A5/100</f>
        <v>78.506966767749731</v>
      </c>
      <c r="Z5" s="188">
        <f t="shared" ref="Z5:Z19" si="15">X5+Y5</f>
        <v>4218.5069667677499</v>
      </c>
      <c r="AA5" s="187">
        <f>AC4</f>
        <v>350</v>
      </c>
      <c r="AB5" s="187">
        <f t="shared" ref="AB5:AB7" si="16">AA5*$A5/100</f>
        <v>6.6370624079015466</v>
      </c>
      <c r="AC5" s="188">
        <f t="shared" ref="AC5:AC19" si="17">AA5+AB5</f>
        <v>356.63706240790157</v>
      </c>
      <c r="AD5" s="187">
        <f>AF4</f>
        <v>180</v>
      </c>
      <c r="AE5" s="187">
        <f t="shared" ref="AE5:AE7" si="18">AD5*$A5/100</f>
        <v>3.4133463812065101</v>
      </c>
      <c r="AF5" s="188">
        <f t="shared" ref="AF5:AF19" si="19">AD5+AE5</f>
        <v>183.41334638120651</v>
      </c>
      <c r="AG5" s="187">
        <f>AI4</f>
        <v>1600</v>
      </c>
      <c r="AH5" s="187">
        <f t="shared" ref="AH5:AH7" si="20">AG5*$A5/100</f>
        <v>30.340856721835642</v>
      </c>
      <c r="AI5" s="188">
        <f t="shared" ref="AI5:AI19" si="21">AG5+AH5</f>
        <v>1630.3408567218357</v>
      </c>
      <c r="AJ5" s="187">
        <f>AL4</f>
        <v>330</v>
      </c>
      <c r="AK5" s="187">
        <f t="shared" ref="AK5:AK7" si="22">AJ5*$A5/100</f>
        <v>6.2578016988786009</v>
      </c>
      <c r="AL5" s="188">
        <f t="shared" ref="AL5:AL19" si="23">AJ5+AK5</f>
        <v>336.25780169887861</v>
      </c>
      <c r="AM5" s="187">
        <f>AO4</f>
        <v>500</v>
      </c>
      <c r="AN5" s="187">
        <f t="shared" ref="AN5:AN7" si="24">AM5*$A5/100</f>
        <v>9.4815177255736387</v>
      </c>
      <c r="AO5" s="188">
        <f t="shared" ref="AO5:AO19" si="25">AM5+AN5</f>
        <v>509.48151772557367</v>
      </c>
      <c r="AP5" s="187">
        <f>AR4</f>
        <v>10</v>
      </c>
      <c r="AQ5" s="187">
        <f t="shared" ref="AQ5:AQ7" si="26">AP5*$A5/100</f>
        <v>0.18963035451147278</v>
      </c>
      <c r="AR5" s="188">
        <f t="shared" ref="AR5:AR19" si="27">AP5+AQ5</f>
        <v>10.189630354511472</v>
      </c>
      <c r="AS5" s="186">
        <f t="shared" ref="AS5:AS19" si="28">SUM(C5,I5,L5,O5,R5,U5,X5,AD5,AG5,AJ5,AM5,AP5)</f>
        <v>9190</v>
      </c>
      <c r="AT5" s="187"/>
      <c r="AU5" s="169"/>
      <c r="AV5" s="169"/>
    </row>
    <row r="6" spans="1:48">
      <c r="A6" s="169">
        <f>VLOOKUP(B6,Misc_inputs!$A$3:$B$33,2,0)</f>
        <v>1.8209228570152332</v>
      </c>
      <c r="B6" s="168">
        <v>2017</v>
      </c>
      <c r="C6" s="186" t="str">
        <f>Cost_of_crime_Raw_data!B$43</f>
        <v>not estimated</v>
      </c>
      <c r="D6" s="187" t="e">
        <f t="shared" si="0"/>
        <v>#VALUE!</v>
      </c>
      <c r="E6" s="188" t="e">
        <f t="shared" si="1"/>
        <v>#VALUE!</v>
      </c>
      <c r="F6" s="186" t="str">
        <f>Cost_of_crime_Raw_data!B$44</f>
        <v>not estimated</v>
      </c>
      <c r="G6" s="187" t="e">
        <f t="shared" si="2"/>
        <v>#VALUE!</v>
      </c>
      <c r="H6" s="188" t="e">
        <f t="shared" si="3"/>
        <v>#VALUE!</v>
      </c>
      <c r="I6" s="186" t="str">
        <f>Cost_of_crime_Raw_data!B$45</f>
        <v>not estimated</v>
      </c>
      <c r="J6" s="187" t="e">
        <f t="shared" si="4"/>
        <v>#VALUE!</v>
      </c>
      <c r="K6" s="188" t="e">
        <f t="shared" si="5"/>
        <v>#VALUE!</v>
      </c>
      <c r="L6" s="186" t="str">
        <f>Cost_of_crime_Raw_data!B$46</f>
        <v>not estimated</v>
      </c>
      <c r="M6" s="187" t="e">
        <f t="shared" si="6"/>
        <v>#VALUE!</v>
      </c>
      <c r="N6" s="188" t="e">
        <f t="shared" si="7"/>
        <v>#VALUE!</v>
      </c>
      <c r="O6" s="186" t="str">
        <f>Cost_of_crime_Raw_data!B$47</f>
        <v>not estimated</v>
      </c>
      <c r="P6" s="187" t="e">
        <f t="shared" si="8"/>
        <v>#VALUE!</v>
      </c>
      <c r="Q6" s="188" t="e">
        <f t="shared" si="9"/>
        <v>#VALUE!</v>
      </c>
      <c r="R6" s="187">
        <f t="shared" ref="R6:R19" si="29">T5</f>
        <v>1049.5319265146818</v>
      </c>
      <c r="S6" s="187">
        <f t="shared" si="10"/>
        <v>19.11116674157816</v>
      </c>
      <c r="T6" s="188">
        <f t="shared" si="11"/>
        <v>1068.64309325626</v>
      </c>
      <c r="U6" s="187">
        <f t="shared" ref="U6:U19" si="30">W5</f>
        <v>1426.5482496316063</v>
      </c>
      <c r="V6" s="187">
        <f t="shared" si="12"/>
        <v>25.976343143892645</v>
      </c>
      <c r="W6" s="188">
        <f t="shared" si="13"/>
        <v>1452.5245927754988</v>
      </c>
      <c r="X6" s="187">
        <f t="shared" ref="X6:X19" si="31">Z5</f>
        <v>4218.5069667677499</v>
      </c>
      <c r="Y6" s="187">
        <f t="shared" si="14"/>
        <v>76.815757582653958</v>
      </c>
      <c r="Z6" s="188">
        <f t="shared" si="15"/>
        <v>4295.3227243504034</v>
      </c>
      <c r="AA6" s="187">
        <f t="shared" ref="AA6:AA19" si="32">AC5</f>
        <v>356.63706240790157</v>
      </c>
      <c r="AB6" s="187">
        <f t="shared" si="16"/>
        <v>6.4940857859731613</v>
      </c>
      <c r="AC6" s="188">
        <f t="shared" si="17"/>
        <v>363.13114819387471</v>
      </c>
      <c r="AD6" s="187">
        <f t="shared" ref="AD6:AD19" si="33">AF5</f>
        <v>183.41334638120651</v>
      </c>
      <c r="AE6" s="187">
        <f t="shared" si="18"/>
        <v>3.3398155470719115</v>
      </c>
      <c r="AF6" s="188">
        <f t="shared" si="19"/>
        <v>186.75316192827842</v>
      </c>
      <c r="AG6" s="187">
        <f t="shared" ref="AG6:AG19" si="34">AI5</f>
        <v>1630.3408567218357</v>
      </c>
      <c r="AH6" s="187">
        <f t="shared" si="20"/>
        <v>29.68724930730588</v>
      </c>
      <c r="AI6" s="188">
        <f t="shared" si="21"/>
        <v>1660.0281060291416</v>
      </c>
      <c r="AJ6" s="187">
        <f t="shared" ref="AJ6:AJ19" si="35">AL5</f>
        <v>336.25780169887861</v>
      </c>
      <c r="AK6" s="187">
        <f t="shared" si="22"/>
        <v>6.1229951696318379</v>
      </c>
      <c r="AL6" s="188">
        <f t="shared" si="23"/>
        <v>342.38079686851046</v>
      </c>
      <c r="AM6" s="187">
        <f t="shared" ref="AM6:AM19" si="36">AO5</f>
        <v>509.48151772557367</v>
      </c>
      <c r="AN6" s="187">
        <f t="shared" si="24"/>
        <v>9.2772654085330881</v>
      </c>
      <c r="AO6" s="188">
        <f t="shared" si="25"/>
        <v>518.75878313410681</v>
      </c>
      <c r="AP6" s="187">
        <f t="shared" ref="AP6:AP19" si="37">AR5</f>
        <v>10.189630354511472</v>
      </c>
      <c r="AQ6" s="187">
        <f t="shared" si="26"/>
        <v>0.18554530817066173</v>
      </c>
      <c r="AR6" s="188">
        <f t="shared" si="27"/>
        <v>10.375175662682134</v>
      </c>
      <c r="AS6" s="186">
        <f t="shared" si="28"/>
        <v>9364.2702957960446</v>
      </c>
      <c r="AT6" s="187"/>
      <c r="AU6" s="169"/>
      <c r="AV6" s="169"/>
    </row>
    <row r="7" spans="1:48">
      <c r="A7" s="169">
        <f>VLOOKUP(B7,Misc_inputs!$A$3:$B$33,2,0)</f>
        <v>1.9988242855231282</v>
      </c>
      <c r="B7" s="168">
        <v>2018</v>
      </c>
      <c r="C7" s="186" t="str">
        <f>Cost_of_crime_Raw_data!B$43</f>
        <v>not estimated</v>
      </c>
      <c r="D7" s="187" t="e">
        <f t="shared" si="0"/>
        <v>#VALUE!</v>
      </c>
      <c r="E7" s="188" t="e">
        <f t="shared" si="1"/>
        <v>#VALUE!</v>
      </c>
      <c r="F7" s="186" t="str">
        <f>Cost_of_crime_Raw_data!B$44</f>
        <v>not estimated</v>
      </c>
      <c r="G7" s="187" t="e">
        <f t="shared" si="2"/>
        <v>#VALUE!</v>
      </c>
      <c r="H7" s="188" t="e">
        <f t="shared" si="3"/>
        <v>#VALUE!</v>
      </c>
      <c r="I7" s="186" t="str">
        <f>Cost_of_crime_Raw_data!B$45</f>
        <v>not estimated</v>
      </c>
      <c r="J7" s="187" t="e">
        <f t="shared" si="4"/>
        <v>#VALUE!</v>
      </c>
      <c r="K7" s="188" t="e">
        <f t="shared" si="5"/>
        <v>#VALUE!</v>
      </c>
      <c r="L7" s="186" t="str">
        <f>Cost_of_crime_Raw_data!B$46</f>
        <v>not estimated</v>
      </c>
      <c r="M7" s="187" t="e">
        <f t="shared" si="6"/>
        <v>#VALUE!</v>
      </c>
      <c r="N7" s="188" t="e">
        <f t="shared" si="7"/>
        <v>#VALUE!</v>
      </c>
      <c r="O7" s="186" t="str">
        <f>Cost_of_crime_Raw_data!B$47</f>
        <v>not estimated</v>
      </c>
      <c r="P7" s="187" t="e">
        <f t="shared" si="8"/>
        <v>#VALUE!</v>
      </c>
      <c r="Q7" s="188" t="e">
        <f t="shared" si="9"/>
        <v>#VALUE!</v>
      </c>
      <c r="R7" s="187">
        <f t="shared" si="29"/>
        <v>1068.64309325626</v>
      </c>
      <c r="S7" s="187">
        <f t="shared" si="10"/>
        <v>21.360297673571694</v>
      </c>
      <c r="T7" s="188">
        <f t="shared" si="11"/>
        <v>1090.0033909298318</v>
      </c>
      <c r="U7" s="187">
        <f t="shared" si="30"/>
        <v>1452.5245927754988</v>
      </c>
      <c r="V7" s="187">
        <f t="shared" si="12"/>
        <v>29.033414313592594</v>
      </c>
      <c r="W7" s="188">
        <f t="shared" si="13"/>
        <v>1481.5580070890915</v>
      </c>
      <c r="X7" s="187">
        <f t="shared" si="31"/>
        <v>4295.3227243504034</v>
      </c>
      <c r="Y7" s="187">
        <f t="shared" si="14"/>
        <v>85.855953755909525</v>
      </c>
      <c r="Z7" s="188">
        <f t="shared" si="15"/>
        <v>4381.1786781063129</v>
      </c>
      <c r="AA7" s="187">
        <f t="shared" si="32"/>
        <v>363.13114819387471</v>
      </c>
      <c r="AB7" s="187">
        <f t="shared" si="16"/>
        <v>7.2583535783981485</v>
      </c>
      <c r="AC7" s="188">
        <f t="shared" si="17"/>
        <v>370.38950177227287</v>
      </c>
      <c r="AD7" s="187">
        <f t="shared" si="33"/>
        <v>186.75316192827842</v>
      </c>
      <c r="AE7" s="187">
        <f t="shared" si="18"/>
        <v>3.7328675546047618</v>
      </c>
      <c r="AF7" s="188">
        <f t="shared" si="19"/>
        <v>190.48602948288317</v>
      </c>
      <c r="AG7" s="187">
        <f t="shared" si="34"/>
        <v>1660.0281060291416</v>
      </c>
      <c r="AH7" s="187">
        <f t="shared" si="20"/>
        <v>33.181044929820104</v>
      </c>
      <c r="AI7" s="188">
        <f t="shared" si="21"/>
        <v>1693.2091509589616</v>
      </c>
      <c r="AJ7" s="187">
        <f t="shared" si="35"/>
        <v>342.38079686851046</v>
      </c>
      <c r="AK7" s="187">
        <f t="shared" si="22"/>
        <v>6.8435905167753965</v>
      </c>
      <c r="AL7" s="188">
        <f t="shared" si="23"/>
        <v>349.22438738528587</v>
      </c>
      <c r="AM7" s="187">
        <f t="shared" si="36"/>
        <v>518.75878313410681</v>
      </c>
      <c r="AN7" s="187">
        <f t="shared" si="24"/>
        <v>10.369076540568786</v>
      </c>
      <c r="AO7" s="188">
        <f t="shared" si="25"/>
        <v>529.12785967467562</v>
      </c>
      <c r="AP7" s="187">
        <f t="shared" si="37"/>
        <v>10.375175662682134</v>
      </c>
      <c r="AQ7" s="187">
        <f t="shared" si="26"/>
        <v>0.20738153081137564</v>
      </c>
      <c r="AR7" s="188">
        <f t="shared" si="27"/>
        <v>10.582557193493509</v>
      </c>
      <c r="AS7" s="186">
        <f t="shared" si="28"/>
        <v>9534.7864340048818</v>
      </c>
      <c r="AT7" s="187"/>
      <c r="AU7" s="169"/>
      <c r="AV7" s="169"/>
    </row>
    <row r="8" spans="1:48">
      <c r="A8" s="169">
        <f>VLOOKUP(B8,Misc_inputs!$A$3:$B$33,2,0)</f>
        <v>2.0163202370724722</v>
      </c>
      <c r="B8" s="168">
        <v>2019</v>
      </c>
      <c r="C8" s="186" t="str">
        <f>Cost_of_crime_Raw_data!B$43</f>
        <v>not estimated</v>
      </c>
      <c r="D8" s="187" t="e">
        <f>C8*$A8/100</f>
        <v>#VALUE!</v>
      </c>
      <c r="E8" s="188" t="e">
        <f t="shared" si="1"/>
        <v>#VALUE!</v>
      </c>
      <c r="F8" s="186" t="str">
        <f>Cost_of_crime_Raw_data!B$44</f>
        <v>not estimated</v>
      </c>
      <c r="G8" s="187" t="e">
        <f>F8*$A8/100</f>
        <v>#VALUE!</v>
      </c>
      <c r="H8" s="188" t="e">
        <f t="shared" si="3"/>
        <v>#VALUE!</v>
      </c>
      <c r="I8" s="186" t="str">
        <f>Cost_of_crime_Raw_data!B$45</f>
        <v>not estimated</v>
      </c>
      <c r="J8" s="187" t="e">
        <f>I8*$A8/100</f>
        <v>#VALUE!</v>
      </c>
      <c r="K8" s="188" t="e">
        <f t="shared" si="5"/>
        <v>#VALUE!</v>
      </c>
      <c r="L8" s="186" t="str">
        <f>Cost_of_crime_Raw_data!B$46</f>
        <v>not estimated</v>
      </c>
      <c r="M8" s="187" t="e">
        <f>L8*$A8/100</f>
        <v>#VALUE!</v>
      </c>
      <c r="N8" s="188" t="e">
        <f t="shared" si="7"/>
        <v>#VALUE!</v>
      </c>
      <c r="O8" s="186" t="str">
        <f>Cost_of_crime_Raw_data!B$47</f>
        <v>not estimated</v>
      </c>
      <c r="P8" s="187" t="e">
        <f>O8*$A8/100</f>
        <v>#VALUE!</v>
      </c>
      <c r="Q8" s="188" t="e">
        <f t="shared" si="9"/>
        <v>#VALUE!</v>
      </c>
      <c r="R8" s="187">
        <f t="shared" si="29"/>
        <v>1090.0033909298318</v>
      </c>
      <c r="S8" s="187">
        <f>R8*$A8/100</f>
        <v>21.977958956094373</v>
      </c>
      <c r="T8" s="188">
        <f t="shared" si="11"/>
        <v>1111.9813498859262</v>
      </c>
      <c r="U8" s="187">
        <f t="shared" si="30"/>
        <v>1481.5580070890915</v>
      </c>
      <c r="V8" s="187">
        <f>U8*$A8/100</f>
        <v>29.872953920904965</v>
      </c>
      <c r="W8" s="188">
        <f t="shared" si="13"/>
        <v>1511.4309610099965</v>
      </c>
      <c r="X8" s="187">
        <f t="shared" si="31"/>
        <v>4381.1786781063129</v>
      </c>
      <c r="Y8" s="187">
        <f>X8*$A8/100</f>
        <v>88.338592308961822</v>
      </c>
      <c r="Z8" s="188">
        <f t="shared" si="15"/>
        <v>4469.5172704152747</v>
      </c>
      <c r="AA8" s="187">
        <f t="shared" si="32"/>
        <v>370.38950177227287</v>
      </c>
      <c r="AB8" s="187">
        <f>AA8*$A8/100</f>
        <v>7.4682384802262414</v>
      </c>
      <c r="AC8" s="188">
        <f t="shared" si="17"/>
        <v>377.85774025249913</v>
      </c>
      <c r="AD8" s="187">
        <f t="shared" si="33"/>
        <v>190.48602948288317</v>
      </c>
      <c r="AE8" s="187">
        <f>AD8*$A8/100</f>
        <v>3.8408083612592092</v>
      </c>
      <c r="AF8" s="188">
        <f t="shared" si="19"/>
        <v>194.32683784414237</v>
      </c>
      <c r="AG8" s="187">
        <f t="shared" si="34"/>
        <v>1693.2091509589616</v>
      </c>
      <c r="AH8" s="187">
        <f>AG8*$A8/100</f>
        <v>34.140518766748528</v>
      </c>
      <c r="AI8" s="188">
        <f t="shared" si="21"/>
        <v>1727.3496697257101</v>
      </c>
      <c r="AJ8" s="187">
        <f t="shared" si="35"/>
        <v>349.22438738528587</v>
      </c>
      <c r="AK8" s="187">
        <f>AJ8*$A8/100</f>
        <v>7.0414819956418846</v>
      </c>
      <c r="AL8" s="188">
        <f t="shared" si="23"/>
        <v>356.26586938092777</v>
      </c>
      <c r="AM8" s="187">
        <f t="shared" si="36"/>
        <v>529.12785967467562</v>
      </c>
      <c r="AN8" s="187">
        <f>AM8*$A8/100</f>
        <v>10.668912114608919</v>
      </c>
      <c r="AO8" s="188">
        <f t="shared" si="25"/>
        <v>539.79677178928455</v>
      </c>
      <c r="AP8" s="187">
        <f t="shared" si="37"/>
        <v>10.582557193493509</v>
      </c>
      <c r="AQ8" s="187">
        <f>AP8*$A8/100</f>
        <v>0.21337824229217828</v>
      </c>
      <c r="AR8" s="188">
        <f t="shared" si="27"/>
        <v>10.795935435785687</v>
      </c>
      <c r="AS8" s="186">
        <f t="shared" si="28"/>
        <v>9725.3700608205345</v>
      </c>
      <c r="AT8" s="187"/>
      <c r="AU8" s="169"/>
      <c r="AV8" s="169"/>
    </row>
    <row r="9" spans="1:48">
      <c r="A9" s="169">
        <f>VLOOKUP(B9,Misc_inputs!$A$3:$B$33,2,0)</f>
        <v>5.3200852056836103</v>
      </c>
      <c r="B9" s="168">
        <v>2020</v>
      </c>
      <c r="C9" s="186" t="str">
        <f>Cost_of_crime_Raw_data!B$43</f>
        <v>not estimated</v>
      </c>
      <c r="D9" s="187" t="e">
        <f t="shared" si="0"/>
        <v>#VALUE!</v>
      </c>
      <c r="E9" s="188" t="e">
        <f t="shared" si="1"/>
        <v>#VALUE!</v>
      </c>
      <c r="F9" s="186" t="str">
        <f>Cost_of_crime_Raw_data!B$44</f>
        <v>not estimated</v>
      </c>
      <c r="G9" s="187" t="e">
        <f t="shared" ref="G9:G19" si="38">F9*$A9/100</f>
        <v>#VALUE!</v>
      </c>
      <c r="H9" s="188" t="e">
        <f t="shared" si="3"/>
        <v>#VALUE!</v>
      </c>
      <c r="I9" s="186" t="str">
        <f>Cost_of_crime_Raw_data!B$45</f>
        <v>not estimated</v>
      </c>
      <c r="J9" s="187" t="e">
        <f t="shared" ref="J9:J19" si="39">I9*$A9/100</f>
        <v>#VALUE!</v>
      </c>
      <c r="K9" s="188" t="e">
        <f t="shared" si="5"/>
        <v>#VALUE!</v>
      </c>
      <c r="L9" s="186" t="str">
        <f>Cost_of_crime_Raw_data!B$46</f>
        <v>not estimated</v>
      </c>
      <c r="M9" s="187" t="e">
        <f t="shared" ref="M9:M19" si="40">L9*$A9/100</f>
        <v>#VALUE!</v>
      </c>
      <c r="N9" s="188" t="e">
        <f t="shared" si="7"/>
        <v>#VALUE!</v>
      </c>
      <c r="O9" s="186" t="str">
        <f>Cost_of_crime_Raw_data!B$47</f>
        <v>not estimated</v>
      </c>
      <c r="P9" s="187" t="e">
        <f t="shared" ref="P9:P19" si="41">O9*$A9/100</f>
        <v>#VALUE!</v>
      </c>
      <c r="Q9" s="188" t="e">
        <f t="shared" si="9"/>
        <v>#VALUE!</v>
      </c>
      <c r="R9" s="187">
        <f t="shared" si="29"/>
        <v>1111.9813498859262</v>
      </c>
      <c r="S9" s="187">
        <f t="shared" ref="S9:S19" si="42">R9*$A9/100</f>
        <v>59.15835528524206</v>
      </c>
      <c r="T9" s="188">
        <f t="shared" si="11"/>
        <v>1171.1397051711683</v>
      </c>
      <c r="U9" s="187">
        <f t="shared" si="30"/>
        <v>1511.4309610099965</v>
      </c>
      <c r="V9" s="187">
        <f t="shared" ref="V9:V19" si="43">U9*$A9/100</f>
        <v>80.409414950814437</v>
      </c>
      <c r="W9" s="188">
        <f t="shared" si="13"/>
        <v>1591.8403759608109</v>
      </c>
      <c r="X9" s="187">
        <f t="shared" si="31"/>
        <v>4469.5172704152747</v>
      </c>
      <c r="Y9" s="187">
        <f t="shared" ref="Y9:Y19" si="44">X9*$A9/100</f>
        <v>237.78212706883696</v>
      </c>
      <c r="Z9" s="188">
        <f t="shared" si="15"/>
        <v>4707.299397484112</v>
      </c>
      <c r="AA9" s="187">
        <f t="shared" si="32"/>
        <v>377.85774025249913</v>
      </c>
      <c r="AB9" s="187">
        <f t="shared" ref="AB9:AB19" si="45">AA9*$A9/100</f>
        <v>20.102353737703609</v>
      </c>
      <c r="AC9" s="188">
        <f t="shared" si="17"/>
        <v>397.96009399020272</v>
      </c>
      <c r="AD9" s="187">
        <f t="shared" si="33"/>
        <v>194.32683784414237</v>
      </c>
      <c r="AE9" s="187">
        <f t="shared" ref="AE9:AE19" si="46">AD9*$A9/100</f>
        <v>10.338353350818998</v>
      </c>
      <c r="AF9" s="188">
        <f t="shared" si="19"/>
        <v>204.66519119496138</v>
      </c>
      <c r="AG9" s="187">
        <f t="shared" si="34"/>
        <v>1727.3496697257101</v>
      </c>
      <c r="AH9" s="187">
        <f t="shared" ref="AH9:AH19" si="47">AG9*$A9/100</f>
        <v>91.896474229502203</v>
      </c>
      <c r="AI9" s="188">
        <f t="shared" si="21"/>
        <v>1819.2461439552123</v>
      </c>
      <c r="AJ9" s="187">
        <f t="shared" si="35"/>
        <v>356.26586938092777</v>
      </c>
      <c r="AK9" s="187">
        <f t="shared" ref="AK9:AK19" si="48">AJ9*$A9/100</f>
        <v>18.953647809834834</v>
      </c>
      <c r="AL9" s="188">
        <f t="shared" si="23"/>
        <v>375.21951719076259</v>
      </c>
      <c r="AM9" s="187">
        <f t="shared" si="36"/>
        <v>539.79677178928455</v>
      </c>
      <c r="AN9" s="187">
        <f t="shared" ref="AN9:AN19" si="49">AM9*$A9/100</f>
        <v>28.717648196719448</v>
      </c>
      <c r="AO9" s="188">
        <f t="shared" si="25"/>
        <v>568.51441998600399</v>
      </c>
      <c r="AP9" s="187">
        <f t="shared" si="37"/>
        <v>10.795935435785687</v>
      </c>
      <c r="AQ9" s="187">
        <f t="shared" ref="AQ9:AQ19" si="50">AP9*$A9/100</f>
        <v>0.57435296393438873</v>
      </c>
      <c r="AR9" s="188">
        <f t="shared" si="27"/>
        <v>11.370288399720076</v>
      </c>
      <c r="AS9" s="186">
        <f t="shared" si="28"/>
        <v>9921.4646654870485</v>
      </c>
      <c r="AT9" s="187"/>
      <c r="AU9" s="169"/>
      <c r="AV9" s="169"/>
    </row>
    <row r="10" spans="1:48">
      <c r="A10" s="169">
        <f>VLOOKUP(B10,Misc_inputs!$A$3:$B$33,2,0)</f>
        <v>7.6258108678813302E-2</v>
      </c>
      <c r="B10" s="168">
        <v>2021</v>
      </c>
      <c r="C10" s="186" t="str">
        <f>Cost_of_crime_Raw_data!B$43</f>
        <v>not estimated</v>
      </c>
      <c r="D10" s="187" t="e">
        <f t="shared" si="0"/>
        <v>#VALUE!</v>
      </c>
      <c r="E10" s="188" t="e">
        <f t="shared" si="1"/>
        <v>#VALUE!</v>
      </c>
      <c r="F10" s="186" t="str">
        <f>Cost_of_crime_Raw_data!B$44</f>
        <v>not estimated</v>
      </c>
      <c r="G10" s="187" t="e">
        <f t="shared" si="38"/>
        <v>#VALUE!</v>
      </c>
      <c r="H10" s="188" t="e">
        <f t="shared" si="3"/>
        <v>#VALUE!</v>
      </c>
      <c r="I10" s="186" t="str">
        <f>Cost_of_crime_Raw_data!B$45</f>
        <v>not estimated</v>
      </c>
      <c r="J10" s="187" t="e">
        <f t="shared" si="39"/>
        <v>#VALUE!</v>
      </c>
      <c r="K10" s="188" t="e">
        <f t="shared" si="5"/>
        <v>#VALUE!</v>
      </c>
      <c r="L10" s="186" t="str">
        <f>Cost_of_crime_Raw_data!B$46</f>
        <v>not estimated</v>
      </c>
      <c r="M10" s="187" t="e">
        <f t="shared" si="40"/>
        <v>#VALUE!</v>
      </c>
      <c r="N10" s="188" t="e">
        <f t="shared" si="7"/>
        <v>#VALUE!</v>
      </c>
      <c r="O10" s="186" t="str">
        <f>Cost_of_crime_Raw_data!B$47</f>
        <v>not estimated</v>
      </c>
      <c r="P10" s="187" t="e">
        <f t="shared" si="41"/>
        <v>#VALUE!</v>
      </c>
      <c r="Q10" s="188" t="e">
        <f t="shared" si="9"/>
        <v>#VALUE!</v>
      </c>
      <c r="R10" s="187">
        <f t="shared" si="29"/>
        <v>1171.1397051711683</v>
      </c>
      <c r="S10" s="187">
        <f t="shared" si="42"/>
        <v>0.89308898915016333</v>
      </c>
      <c r="T10" s="188">
        <f t="shared" si="11"/>
        <v>1172.0327941603184</v>
      </c>
      <c r="U10" s="187">
        <f t="shared" si="30"/>
        <v>1591.8403759608109</v>
      </c>
      <c r="V10" s="187">
        <f t="shared" si="43"/>
        <v>1.2139073638934255</v>
      </c>
      <c r="W10" s="188">
        <f t="shared" si="13"/>
        <v>1593.0542833247043</v>
      </c>
      <c r="X10" s="187">
        <f t="shared" si="31"/>
        <v>4707.299397484112</v>
      </c>
      <c r="Y10" s="187">
        <f t="shared" si="44"/>
        <v>3.5896974903705581</v>
      </c>
      <c r="Z10" s="188">
        <f t="shared" si="15"/>
        <v>4710.8890949744828</v>
      </c>
      <c r="AA10" s="187">
        <f t="shared" si="32"/>
        <v>397.96009399020272</v>
      </c>
      <c r="AB10" s="187">
        <f t="shared" si="45"/>
        <v>0.30347684097335637</v>
      </c>
      <c r="AC10" s="188">
        <f t="shared" si="17"/>
        <v>398.26357083117608</v>
      </c>
      <c r="AD10" s="187">
        <f t="shared" si="33"/>
        <v>204.66519119496138</v>
      </c>
      <c r="AE10" s="187">
        <f t="shared" si="46"/>
        <v>0.15607380392915468</v>
      </c>
      <c r="AF10" s="188">
        <f t="shared" si="19"/>
        <v>204.82126499889054</v>
      </c>
      <c r="AG10" s="187">
        <f t="shared" si="34"/>
        <v>1819.2461439552123</v>
      </c>
      <c r="AH10" s="187">
        <f t="shared" si="47"/>
        <v>1.3873227015924861</v>
      </c>
      <c r="AI10" s="188">
        <f t="shared" si="21"/>
        <v>1820.6334666568048</v>
      </c>
      <c r="AJ10" s="187">
        <f t="shared" si="35"/>
        <v>375.21951719076259</v>
      </c>
      <c r="AK10" s="187">
        <f t="shared" si="48"/>
        <v>0.28613530720345026</v>
      </c>
      <c r="AL10" s="188">
        <f t="shared" si="23"/>
        <v>375.50565249796603</v>
      </c>
      <c r="AM10" s="187">
        <f t="shared" si="36"/>
        <v>568.51441998600399</v>
      </c>
      <c r="AN10" s="187">
        <f t="shared" si="49"/>
        <v>0.43353834424765203</v>
      </c>
      <c r="AO10" s="188">
        <f t="shared" si="25"/>
        <v>568.94795833025159</v>
      </c>
      <c r="AP10" s="187">
        <f t="shared" si="37"/>
        <v>11.370288399720076</v>
      </c>
      <c r="AQ10" s="187">
        <f t="shared" si="50"/>
        <v>8.6707668849530378E-3</v>
      </c>
      <c r="AR10" s="188">
        <f t="shared" si="27"/>
        <v>11.378959166605028</v>
      </c>
      <c r="AS10" s="186">
        <f t="shared" si="28"/>
        <v>10449.295039342751</v>
      </c>
      <c r="AT10" s="169"/>
      <c r="AU10" s="169"/>
      <c r="AV10" s="169"/>
    </row>
    <row r="11" spans="1:48">
      <c r="A11" s="169">
        <f>VLOOKUP(B11,Misc_inputs!$A$3:$B$33,2,0)</f>
        <v>2.8492930312000952</v>
      </c>
      <c r="B11" s="168">
        <v>2022</v>
      </c>
      <c r="C11" s="186" t="str">
        <f>Cost_of_crime_Raw_data!B$43</f>
        <v>not estimated</v>
      </c>
      <c r="D11" s="187" t="e">
        <f t="shared" si="0"/>
        <v>#VALUE!</v>
      </c>
      <c r="E11" s="188" t="e">
        <f t="shared" si="1"/>
        <v>#VALUE!</v>
      </c>
      <c r="F11" s="186" t="str">
        <f>Cost_of_crime_Raw_data!B$44</f>
        <v>not estimated</v>
      </c>
      <c r="G11" s="187" t="e">
        <f t="shared" si="38"/>
        <v>#VALUE!</v>
      </c>
      <c r="H11" s="188" t="e">
        <f t="shared" si="3"/>
        <v>#VALUE!</v>
      </c>
      <c r="I11" s="186" t="str">
        <f>Cost_of_crime_Raw_data!B$45</f>
        <v>not estimated</v>
      </c>
      <c r="J11" s="187" t="e">
        <f t="shared" si="39"/>
        <v>#VALUE!</v>
      </c>
      <c r="K11" s="188" t="e">
        <f t="shared" si="5"/>
        <v>#VALUE!</v>
      </c>
      <c r="L11" s="186" t="str">
        <f>Cost_of_crime_Raw_data!B$46</f>
        <v>not estimated</v>
      </c>
      <c r="M11" s="187" t="e">
        <f t="shared" si="40"/>
        <v>#VALUE!</v>
      </c>
      <c r="N11" s="188" t="e">
        <f t="shared" si="7"/>
        <v>#VALUE!</v>
      </c>
      <c r="O11" s="186" t="str">
        <f>Cost_of_crime_Raw_data!B$47</f>
        <v>not estimated</v>
      </c>
      <c r="P11" s="187" t="e">
        <f t="shared" si="41"/>
        <v>#VALUE!</v>
      </c>
      <c r="Q11" s="188" t="e">
        <f t="shared" si="9"/>
        <v>#VALUE!</v>
      </c>
      <c r="R11" s="187">
        <f t="shared" si="29"/>
        <v>1172.0327941603184</v>
      </c>
      <c r="S11" s="187">
        <f t="shared" si="42"/>
        <v>33.394648727389708</v>
      </c>
      <c r="T11" s="188">
        <f t="shared" si="11"/>
        <v>1205.4274428877081</v>
      </c>
      <c r="U11" s="187">
        <f t="shared" si="30"/>
        <v>1593.0542833247043</v>
      </c>
      <c r="V11" s="187">
        <f t="shared" si="43"/>
        <v>45.390784678005417</v>
      </c>
      <c r="W11" s="188">
        <f t="shared" si="13"/>
        <v>1638.4450680027098</v>
      </c>
      <c r="X11" s="187">
        <f t="shared" si="31"/>
        <v>4710.8890949744828</v>
      </c>
      <c r="Y11" s="187">
        <f t="shared" si="44"/>
        <v>134.22703469067318</v>
      </c>
      <c r="Z11" s="188">
        <f t="shared" si="15"/>
        <v>4845.1161296651562</v>
      </c>
      <c r="AA11" s="187">
        <f t="shared" si="32"/>
        <v>398.26357083117608</v>
      </c>
      <c r="AB11" s="187">
        <f t="shared" si="45"/>
        <v>11.347696169501354</v>
      </c>
      <c r="AC11" s="188">
        <f t="shared" si="17"/>
        <v>409.61126700067746</v>
      </c>
      <c r="AD11" s="187">
        <f t="shared" si="33"/>
        <v>204.82126499889054</v>
      </c>
      <c r="AE11" s="187">
        <f t="shared" si="46"/>
        <v>5.8359580300292677</v>
      </c>
      <c r="AF11" s="188">
        <f t="shared" si="19"/>
        <v>210.65722302891982</v>
      </c>
      <c r="AG11" s="187">
        <f t="shared" si="34"/>
        <v>1820.6334666568048</v>
      </c>
      <c r="AH11" s="187">
        <f t="shared" si="47"/>
        <v>51.875182489149047</v>
      </c>
      <c r="AI11" s="188">
        <f t="shared" si="21"/>
        <v>1872.5086491459538</v>
      </c>
      <c r="AJ11" s="187">
        <f t="shared" si="35"/>
        <v>375.50565249796603</v>
      </c>
      <c r="AK11" s="187">
        <f t="shared" si="48"/>
        <v>10.699256388386994</v>
      </c>
      <c r="AL11" s="188">
        <f t="shared" si="23"/>
        <v>386.204908886353</v>
      </c>
      <c r="AM11" s="187">
        <f t="shared" si="36"/>
        <v>568.94795833025159</v>
      </c>
      <c r="AN11" s="187">
        <f t="shared" si="49"/>
        <v>16.210994527859079</v>
      </c>
      <c r="AO11" s="188">
        <f t="shared" si="25"/>
        <v>585.15895285811064</v>
      </c>
      <c r="AP11" s="187">
        <f t="shared" si="37"/>
        <v>11.378959166605028</v>
      </c>
      <c r="AQ11" s="187">
        <f t="shared" si="50"/>
        <v>0.32421989055718148</v>
      </c>
      <c r="AR11" s="188">
        <f t="shared" si="27"/>
        <v>11.70317905716221</v>
      </c>
      <c r="AS11" s="186">
        <f t="shared" si="28"/>
        <v>10457.263474110023</v>
      </c>
      <c r="AT11" s="169"/>
      <c r="AU11" s="169"/>
      <c r="AV11" s="169"/>
    </row>
    <row r="12" spans="1:48">
      <c r="A12" s="169">
        <f>VLOOKUP(B12,Misc_inputs!$A$3:$B$33,2,0)</f>
        <v>3.143440902459993</v>
      </c>
      <c r="B12" s="168">
        <v>2023</v>
      </c>
      <c r="C12" s="186" t="str">
        <f>Cost_of_crime_Raw_data!B$43</f>
        <v>not estimated</v>
      </c>
      <c r="D12" s="187" t="e">
        <f t="shared" si="0"/>
        <v>#VALUE!</v>
      </c>
      <c r="E12" s="188" t="e">
        <f t="shared" si="1"/>
        <v>#VALUE!</v>
      </c>
      <c r="F12" s="186" t="str">
        <f>Cost_of_crime_Raw_data!B$44</f>
        <v>not estimated</v>
      </c>
      <c r="G12" s="187" t="e">
        <f t="shared" si="38"/>
        <v>#VALUE!</v>
      </c>
      <c r="H12" s="188" t="e">
        <f t="shared" si="3"/>
        <v>#VALUE!</v>
      </c>
      <c r="I12" s="186" t="str">
        <f>Cost_of_crime_Raw_data!B$45</f>
        <v>not estimated</v>
      </c>
      <c r="J12" s="187" t="e">
        <f t="shared" si="39"/>
        <v>#VALUE!</v>
      </c>
      <c r="K12" s="188" t="e">
        <f t="shared" si="5"/>
        <v>#VALUE!</v>
      </c>
      <c r="L12" s="186" t="str">
        <f>Cost_of_crime_Raw_data!B$46</f>
        <v>not estimated</v>
      </c>
      <c r="M12" s="187" t="e">
        <f t="shared" si="40"/>
        <v>#VALUE!</v>
      </c>
      <c r="N12" s="188" t="e">
        <f t="shared" si="7"/>
        <v>#VALUE!</v>
      </c>
      <c r="O12" s="186" t="str">
        <f>Cost_of_crime_Raw_data!B$47</f>
        <v>not estimated</v>
      </c>
      <c r="P12" s="187" t="e">
        <f t="shared" si="41"/>
        <v>#VALUE!</v>
      </c>
      <c r="Q12" s="188" t="e">
        <f t="shared" si="9"/>
        <v>#VALUE!</v>
      </c>
      <c r="R12" s="187">
        <f t="shared" si="29"/>
        <v>1205.4274428877081</v>
      </c>
      <c r="S12" s="187">
        <f t="shared" si="42"/>
        <v>37.891899289209789</v>
      </c>
      <c r="T12" s="188">
        <f t="shared" si="11"/>
        <v>1243.3193421769179</v>
      </c>
      <c r="U12" s="187">
        <f t="shared" si="30"/>
        <v>1638.4450680027098</v>
      </c>
      <c r="V12" s="187">
        <f t="shared" si="43"/>
        <v>51.503552431935631</v>
      </c>
      <c r="W12" s="188">
        <f t="shared" si="13"/>
        <v>1689.9486204346454</v>
      </c>
      <c r="X12" s="187">
        <f t="shared" si="31"/>
        <v>4845.1161296651562</v>
      </c>
      <c r="Y12" s="187">
        <f t="shared" si="44"/>
        <v>152.30336219158107</v>
      </c>
      <c r="Z12" s="188">
        <f t="shared" si="15"/>
        <v>4997.4194918567373</v>
      </c>
      <c r="AA12" s="187">
        <f t="shared" si="32"/>
        <v>409.61126700067746</v>
      </c>
      <c r="AB12" s="187">
        <f t="shared" si="45"/>
        <v>12.875888107983908</v>
      </c>
      <c r="AC12" s="188">
        <f t="shared" si="17"/>
        <v>422.48715510866134</v>
      </c>
      <c r="AD12" s="187">
        <f t="shared" si="33"/>
        <v>210.65722302891982</v>
      </c>
      <c r="AE12" s="187">
        <f t="shared" si="46"/>
        <v>6.6218853126774375</v>
      </c>
      <c r="AF12" s="188">
        <f t="shared" si="19"/>
        <v>217.27910834159727</v>
      </c>
      <c r="AG12" s="187">
        <f t="shared" si="34"/>
        <v>1872.5086491459538</v>
      </c>
      <c r="AH12" s="187">
        <f t="shared" si="47"/>
        <v>58.86120277935499</v>
      </c>
      <c r="AI12" s="188">
        <f t="shared" si="21"/>
        <v>1931.3698519253087</v>
      </c>
      <c r="AJ12" s="187">
        <f t="shared" si="35"/>
        <v>386.204908886353</v>
      </c>
      <c r="AK12" s="187">
        <f t="shared" si="48"/>
        <v>12.140123073241968</v>
      </c>
      <c r="AL12" s="188">
        <f t="shared" si="23"/>
        <v>398.34503195959496</v>
      </c>
      <c r="AM12" s="187">
        <f t="shared" si="36"/>
        <v>585.15895285811064</v>
      </c>
      <c r="AN12" s="187">
        <f t="shared" si="49"/>
        <v>18.394125868548439</v>
      </c>
      <c r="AO12" s="188">
        <f t="shared" si="25"/>
        <v>603.55307872665912</v>
      </c>
      <c r="AP12" s="187">
        <f t="shared" si="37"/>
        <v>11.70317905716221</v>
      </c>
      <c r="AQ12" s="187">
        <f t="shared" si="50"/>
        <v>0.36788251737096866</v>
      </c>
      <c r="AR12" s="188">
        <f t="shared" si="27"/>
        <v>12.071061574533179</v>
      </c>
      <c r="AS12" s="186">
        <f t="shared" si="28"/>
        <v>10755.221553532072</v>
      </c>
      <c r="AT12" s="169"/>
      <c r="AU12" s="169"/>
      <c r="AV12" s="169"/>
    </row>
    <row r="13" spans="1:48">
      <c r="A13" s="169">
        <f>VLOOKUP(B13,Misc_inputs!$A$3:$B$33,2,0)</f>
        <v>1.8594732384912049</v>
      </c>
      <c r="B13" s="168">
        <v>2024</v>
      </c>
      <c r="C13" s="186" t="str">
        <f>Cost_of_crime_Raw_data!B$43</f>
        <v>not estimated</v>
      </c>
      <c r="D13" s="187" t="e">
        <f t="shared" si="0"/>
        <v>#VALUE!</v>
      </c>
      <c r="E13" s="188" t="e">
        <f t="shared" si="1"/>
        <v>#VALUE!</v>
      </c>
      <c r="F13" s="186" t="str">
        <f>Cost_of_crime_Raw_data!B$44</f>
        <v>not estimated</v>
      </c>
      <c r="G13" s="187" t="e">
        <f t="shared" si="38"/>
        <v>#VALUE!</v>
      </c>
      <c r="H13" s="188" t="e">
        <f t="shared" si="3"/>
        <v>#VALUE!</v>
      </c>
      <c r="I13" s="186" t="str">
        <f>Cost_of_crime_Raw_data!B$45</f>
        <v>not estimated</v>
      </c>
      <c r="J13" s="187" t="e">
        <f t="shared" si="39"/>
        <v>#VALUE!</v>
      </c>
      <c r="K13" s="188" t="e">
        <f t="shared" si="5"/>
        <v>#VALUE!</v>
      </c>
      <c r="L13" s="186" t="str">
        <f>Cost_of_crime_Raw_data!B$46</f>
        <v>not estimated</v>
      </c>
      <c r="M13" s="187" t="e">
        <f t="shared" si="40"/>
        <v>#VALUE!</v>
      </c>
      <c r="N13" s="188" t="e">
        <f t="shared" si="7"/>
        <v>#VALUE!</v>
      </c>
      <c r="O13" s="186" t="str">
        <f>Cost_of_crime_Raw_data!B$47</f>
        <v>not estimated</v>
      </c>
      <c r="P13" s="187" t="e">
        <f t="shared" si="41"/>
        <v>#VALUE!</v>
      </c>
      <c r="Q13" s="188" t="e">
        <f t="shared" si="9"/>
        <v>#VALUE!</v>
      </c>
      <c r="R13" s="187">
        <f t="shared" si="29"/>
        <v>1243.3193421769179</v>
      </c>
      <c r="S13" s="187">
        <f t="shared" si="42"/>
        <v>23.119190436764679</v>
      </c>
      <c r="T13" s="188">
        <f t="shared" si="11"/>
        <v>1266.4385326136826</v>
      </c>
      <c r="U13" s="187">
        <f t="shared" si="30"/>
        <v>1689.9486204346454</v>
      </c>
      <c r="V13" s="187">
        <f t="shared" si="43"/>
        <v>31.424142341233541</v>
      </c>
      <c r="W13" s="188">
        <f t="shared" si="13"/>
        <v>1721.372762775879</v>
      </c>
      <c r="X13" s="187">
        <f t="shared" si="31"/>
        <v>4997.4194918567373</v>
      </c>
      <c r="Y13" s="187">
        <f t="shared" si="44"/>
        <v>92.925678066219191</v>
      </c>
      <c r="Z13" s="188">
        <f t="shared" si="15"/>
        <v>5090.3451699229563</v>
      </c>
      <c r="AA13" s="187">
        <f t="shared" si="32"/>
        <v>422.48715510866134</v>
      </c>
      <c r="AB13" s="187">
        <f t="shared" si="45"/>
        <v>7.8560355853083852</v>
      </c>
      <c r="AC13" s="188">
        <f t="shared" si="17"/>
        <v>430.34319069396975</v>
      </c>
      <c r="AD13" s="187">
        <f t="shared" si="33"/>
        <v>217.27910834159727</v>
      </c>
      <c r="AE13" s="187">
        <f t="shared" si="46"/>
        <v>4.0402468724443121</v>
      </c>
      <c r="AF13" s="188">
        <f t="shared" si="19"/>
        <v>221.31935521404156</v>
      </c>
      <c r="AG13" s="187">
        <f t="shared" si="34"/>
        <v>1931.3698519253087</v>
      </c>
      <c r="AH13" s="187">
        <f t="shared" si="47"/>
        <v>35.913305532838329</v>
      </c>
      <c r="AI13" s="188">
        <f t="shared" si="21"/>
        <v>1967.2831574581471</v>
      </c>
      <c r="AJ13" s="187">
        <f t="shared" si="35"/>
        <v>398.34503195959496</v>
      </c>
      <c r="AK13" s="187">
        <f t="shared" si="48"/>
        <v>7.4071192661479062</v>
      </c>
      <c r="AL13" s="188">
        <f t="shared" si="23"/>
        <v>405.75215122574286</v>
      </c>
      <c r="AM13" s="187">
        <f t="shared" si="36"/>
        <v>603.55307872665912</v>
      </c>
      <c r="AN13" s="187">
        <f t="shared" si="49"/>
        <v>11.22290797901198</v>
      </c>
      <c r="AO13" s="188">
        <f t="shared" si="25"/>
        <v>614.77598670567113</v>
      </c>
      <c r="AP13" s="187">
        <f t="shared" si="37"/>
        <v>12.071061574533179</v>
      </c>
      <c r="AQ13" s="187">
        <f t="shared" si="50"/>
        <v>0.22445815958023954</v>
      </c>
      <c r="AR13" s="188">
        <f t="shared" si="27"/>
        <v>12.295519734113418</v>
      </c>
      <c r="AS13" s="186">
        <f t="shared" si="28"/>
        <v>11093.305586995995</v>
      </c>
      <c r="AT13" s="169"/>
      <c r="AU13" s="169"/>
      <c r="AV13" s="169"/>
    </row>
    <row r="14" spans="1:48">
      <c r="A14" s="169">
        <f>VLOOKUP(B14,Misc_inputs!$A$3:$B$33,2,0)</f>
        <v>1.892198034308179</v>
      </c>
      <c r="B14" s="168">
        <v>2025</v>
      </c>
      <c r="C14" s="186" t="str">
        <f>Cost_of_crime_Raw_data!B$43</f>
        <v>not estimated</v>
      </c>
      <c r="D14" s="187" t="e">
        <f t="shared" si="0"/>
        <v>#VALUE!</v>
      </c>
      <c r="E14" s="188" t="e">
        <f t="shared" si="1"/>
        <v>#VALUE!</v>
      </c>
      <c r="F14" s="186" t="str">
        <f>Cost_of_crime_Raw_data!B$44</f>
        <v>not estimated</v>
      </c>
      <c r="G14" s="187" t="e">
        <f t="shared" si="38"/>
        <v>#VALUE!</v>
      </c>
      <c r="H14" s="188" t="e">
        <f t="shared" si="3"/>
        <v>#VALUE!</v>
      </c>
      <c r="I14" s="186" t="str">
        <f>Cost_of_crime_Raw_data!B$45</f>
        <v>not estimated</v>
      </c>
      <c r="J14" s="187" t="e">
        <f t="shared" si="39"/>
        <v>#VALUE!</v>
      </c>
      <c r="K14" s="188" t="e">
        <f t="shared" si="5"/>
        <v>#VALUE!</v>
      </c>
      <c r="L14" s="186" t="str">
        <f>Cost_of_crime_Raw_data!B$46</f>
        <v>not estimated</v>
      </c>
      <c r="M14" s="187" t="e">
        <f t="shared" si="40"/>
        <v>#VALUE!</v>
      </c>
      <c r="N14" s="188" t="e">
        <f t="shared" si="7"/>
        <v>#VALUE!</v>
      </c>
      <c r="O14" s="186" t="str">
        <f>Cost_of_crime_Raw_data!B$47</f>
        <v>not estimated</v>
      </c>
      <c r="P14" s="187" t="e">
        <f t="shared" si="41"/>
        <v>#VALUE!</v>
      </c>
      <c r="Q14" s="188" t="e">
        <f t="shared" si="9"/>
        <v>#VALUE!</v>
      </c>
      <c r="R14" s="187">
        <f t="shared" si="29"/>
        <v>1266.4385326136826</v>
      </c>
      <c r="S14" s="187">
        <f t="shared" si="42"/>
        <v>23.963525019837448</v>
      </c>
      <c r="T14" s="188">
        <f t="shared" si="11"/>
        <v>1290.4020576335201</v>
      </c>
      <c r="U14" s="187">
        <f t="shared" si="30"/>
        <v>1721.372762775879</v>
      </c>
      <c r="V14" s="187">
        <f t="shared" si="43"/>
        <v>32.571781580361574</v>
      </c>
      <c r="W14" s="188">
        <f t="shared" si="13"/>
        <v>1753.9445443562406</v>
      </c>
      <c r="X14" s="187">
        <f t="shared" si="31"/>
        <v>5090.3451699229563</v>
      </c>
      <c r="Y14" s="187">
        <f t="shared" si="44"/>
        <v>96.31941124478351</v>
      </c>
      <c r="Z14" s="188">
        <f t="shared" si="15"/>
        <v>5186.6645811677399</v>
      </c>
      <c r="AA14" s="187">
        <f t="shared" si="32"/>
        <v>430.34319069396975</v>
      </c>
      <c r="AB14" s="187">
        <f t="shared" si="45"/>
        <v>8.1429453950903934</v>
      </c>
      <c r="AC14" s="188">
        <f t="shared" si="17"/>
        <v>438.48613608906015</v>
      </c>
      <c r="AD14" s="187">
        <f t="shared" si="33"/>
        <v>221.31935521404156</v>
      </c>
      <c r="AE14" s="187">
        <f t="shared" si="46"/>
        <v>4.1878004889036307</v>
      </c>
      <c r="AF14" s="188">
        <f t="shared" si="19"/>
        <v>225.5071557029452</v>
      </c>
      <c r="AG14" s="187">
        <f t="shared" si="34"/>
        <v>1967.2831574581471</v>
      </c>
      <c r="AH14" s="187">
        <f t="shared" si="47"/>
        <v>37.224893234698939</v>
      </c>
      <c r="AI14" s="188">
        <f t="shared" si="21"/>
        <v>2004.5080506928462</v>
      </c>
      <c r="AJ14" s="187">
        <f t="shared" si="35"/>
        <v>405.75215122574286</v>
      </c>
      <c r="AK14" s="187">
        <f t="shared" si="48"/>
        <v>7.6776342296566567</v>
      </c>
      <c r="AL14" s="188">
        <f t="shared" si="23"/>
        <v>413.4297854553995</v>
      </c>
      <c r="AM14" s="187">
        <f t="shared" si="36"/>
        <v>614.77598670567113</v>
      </c>
      <c r="AN14" s="187">
        <f t="shared" si="49"/>
        <v>11.632779135843421</v>
      </c>
      <c r="AO14" s="188">
        <f t="shared" si="25"/>
        <v>626.40876584151454</v>
      </c>
      <c r="AP14" s="187">
        <f t="shared" si="37"/>
        <v>12.295519734113418</v>
      </c>
      <c r="AQ14" s="187">
        <f t="shared" si="50"/>
        <v>0.23265558271686831</v>
      </c>
      <c r="AR14" s="188">
        <f t="shared" si="27"/>
        <v>12.528175316830286</v>
      </c>
      <c r="AS14" s="186">
        <f t="shared" si="28"/>
        <v>11299.582635650231</v>
      </c>
      <c r="AT14" s="169"/>
      <c r="AU14" s="169"/>
      <c r="AV14" s="169"/>
    </row>
    <row r="15" spans="1:48">
      <c r="A15" s="169">
        <f>VLOOKUP(B15,Misc_inputs!$A$3:$B$33,2,0)</f>
        <v>2.0003592159356653</v>
      </c>
      <c r="B15" s="168">
        <v>2026</v>
      </c>
      <c r="C15" s="186" t="str">
        <f>Cost_of_crime_Raw_data!B$43</f>
        <v>not estimated</v>
      </c>
      <c r="D15" s="187" t="e">
        <f t="shared" si="0"/>
        <v>#VALUE!</v>
      </c>
      <c r="E15" s="188" t="e">
        <f t="shared" si="1"/>
        <v>#VALUE!</v>
      </c>
      <c r="F15" s="186" t="str">
        <f>Cost_of_crime_Raw_data!B$44</f>
        <v>not estimated</v>
      </c>
      <c r="G15" s="187" t="e">
        <f t="shared" si="38"/>
        <v>#VALUE!</v>
      </c>
      <c r="H15" s="188" t="e">
        <f t="shared" si="3"/>
        <v>#VALUE!</v>
      </c>
      <c r="I15" s="186" t="str">
        <f>Cost_of_crime_Raw_data!B$45</f>
        <v>not estimated</v>
      </c>
      <c r="J15" s="187" t="e">
        <f t="shared" si="39"/>
        <v>#VALUE!</v>
      </c>
      <c r="K15" s="188" t="e">
        <f t="shared" si="5"/>
        <v>#VALUE!</v>
      </c>
      <c r="L15" s="186" t="str">
        <f>Cost_of_crime_Raw_data!B$46</f>
        <v>not estimated</v>
      </c>
      <c r="M15" s="187" t="e">
        <f t="shared" si="40"/>
        <v>#VALUE!</v>
      </c>
      <c r="N15" s="188" t="e">
        <f t="shared" si="7"/>
        <v>#VALUE!</v>
      </c>
      <c r="O15" s="186" t="str">
        <f>Cost_of_crime_Raw_data!B$47</f>
        <v>not estimated</v>
      </c>
      <c r="P15" s="187" t="e">
        <f t="shared" si="41"/>
        <v>#VALUE!</v>
      </c>
      <c r="Q15" s="188" t="e">
        <f t="shared" si="9"/>
        <v>#VALUE!</v>
      </c>
      <c r="R15" s="187">
        <f t="shared" si="29"/>
        <v>1290.4020576335201</v>
      </c>
      <c r="S15" s="187">
        <f t="shared" si="42"/>
        <v>25.812676482495576</v>
      </c>
      <c r="T15" s="188">
        <f t="shared" si="11"/>
        <v>1316.2147341160157</v>
      </c>
      <c r="U15" s="187">
        <f t="shared" si="30"/>
        <v>1753.9445443562406</v>
      </c>
      <c r="V15" s="187">
        <f t="shared" si="43"/>
        <v>35.085191335430871</v>
      </c>
      <c r="W15" s="188">
        <f t="shared" si="13"/>
        <v>1789.0297356916715</v>
      </c>
      <c r="X15" s="187">
        <f t="shared" si="31"/>
        <v>5186.6645811677399</v>
      </c>
      <c r="Y15" s="187">
        <f t="shared" si="44"/>
        <v>103.75192294905986</v>
      </c>
      <c r="Z15" s="188">
        <f t="shared" si="15"/>
        <v>5290.4165041167998</v>
      </c>
      <c r="AA15" s="187">
        <f t="shared" si="32"/>
        <v>438.48613608906015</v>
      </c>
      <c r="AB15" s="187">
        <f t="shared" si="45"/>
        <v>8.7712978338577177</v>
      </c>
      <c r="AC15" s="188">
        <f t="shared" si="17"/>
        <v>447.25743392291787</v>
      </c>
      <c r="AD15" s="187">
        <f t="shared" si="33"/>
        <v>225.5071557029452</v>
      </c>
      <c r="AE15" s="187">
        <f t="shared" si="46"/>
        <v>4.5109531716982545</v>
      </c>
      <c r="AF15" s="188">
        <f t="shared" si="19"/>
        <v>230.01810887464345</v>
      </c>
      <c r="AG15" s="187">
        <f t="shared" si="34"/>
        <v>2004.5080506928462</v>
      </c>
      <c r="AH15" s="187">
        <f t="shared" si="47"/>
        <v>40.097361526206704</v>
      </c>
      <c r="AI15" s="188">
        <f t="shared" si="21"/>
        <v>2044.6054122190528</v>
      </c>
      <c r="AJ15" s="187">
        <f t="shared" si="35"/>
        <v>413.4297854553995</v>
      </c>
      <c r="AK15" s="187">
        <f t="shared" si="48"/>
        <v>8.2700808147801332</v>
      </c>
      <c r="AL15" s="188">
        <f t="shared" si="23"/>
        <v>421.69986627017965</v>
      </c>
      <c r="AM15" s="187">
        <f t="shared" si="36"/>
        <v>626.40876584151454</v>
      </c>
      <c r="AN15" s="187">
        <f t="shared" si="49"/>
        <v>12.530425476939596</v>
      </c>
      <c r="AO15" s="188">
        <f t="shared" si="25"/>
        <v>638.93919131845416</v>
      </c>
      <c r="AP15" s="187">
        <f t="shared" si="37"/>
        <v>12.528175316830286</v>
      </c>
      <c r="AQ15" s="187">
        <f t="shared" si="50"/>
        <v>0.25060850953879188</v>
      </c>
      <c r="AR15" s="188">
        <f t="shared" si="27"/>
        <v>12.778783826369077</v>
      </c>
      <c r="AS15" s="186">
        <f t="shared" si="28"/>
        <v>11513.393116167037</v>
      </c>
      <c r="AT15" s="169"/>
      <c r="AU15" s="169"/>
      <c r="AV15" s="169"/>
    </row>
    <row r="16" spans="1:48">
      <c r="A16" s="169">
        <f>VLOOKUP(B16,Misc_inputs!$A$3:$B$33,2,0)</f>
        <v>0</v>
      </c>
      <c r="B16" s="168">
        <v>2027</v>
      </c>
      <c r="C16" s="186" t="str">
        <f>Cost_of_crime_Raw_data!B$43</f>
        <v>not estimated</v>
      </c>
      <c r="D16" s="187" t="e">
        <f t="shared" si="0"/>
        <v>#VALUE!</v>
      </c>
      <c r="E16" s="188" t="e">
        <f t="shared" si="1"/>
        <v>#VALUE!</v>
      </c>
      <c r="F16" s="186" t="str">
        <f>Cost_of_crime_Raw_data!B$44</f>
        <v>not estimated</v>
      </c>
      <c r="G16" s="187" t="e">
        <f t="shared" si="38"/>
        <v>#VALUE!</v>
      </c>
      <c r="H16" s="188" t="e">
        <f t="shared" si="3"/>
        <v>#VALUE!</v>
      </c>
      <c r="I16" s="186" t="str">
        <f>Cost_of_crime_Raw_data!B$45</f>
        <v>not estimated</v>
      </c>
      <c r="J16" s="187" t="e">
        <f t="shared" si="39"/>
        <v>#VALUE!</v>
      </c>
      <c r="K16" s="188" t="e">
        <f t="shared" si="5"/>
        <v>#VALUE!</v>
      </c>
      <c r="L16" s="186" t="str">
        <f>Cost_of_crime_Raw_data!B$46</f>
        <v>not estimated</v>
      </c>
      <c r="M16" s="187" t="e">
        <f t="shared" si="40"/>
        <v>#VALUE!</v>
      </c>
      <c r="N16" s="188" t="e">
        <f t="shared" si="7"/>
        <v>#VALUE!</v>
      </c>
      <c r="O16" s="186" t="str">
        <f>Cost_of_crime_Raw_data!B$47</f>
        <v>not estimated</v>
      </c>
      <c r="P16" s="187" t="e">
        <f t="shared" si="41"/>
        <v>#VALUE!</v>
      </c>
      <c r="Q16" s="188" t="e">
        <f t="shared" si="9"/>
        <v>#VALUE!</v>
      </c>
      <c r="R16" s="187">
        <f t="shared" si="29"/>
        <v>1316.2147341160157</v>
      </c>
      <c r="S16" s="187">
        <f t="shared" si="42"/>
        <v>0</v>
      </c>
      <c r="T16" s="188">
        <f t="shared" si="11"/>
        <v>1316.2147341160157</v>
      </c>
      <c r="U16" s="187">
        <f t="shared" si="30"/>
        <v>1789.0297356916715</v>
      </c>
      <c r="V16" s="187">
        <f t="shared" si="43"/>
        <v>0</v>
      </c>
      <c r="W16" s="188">
        <f t="shared" si="13"/>
        <v>1789.0297356916715</v>
      </c>
      <c r="X16" s="187">
        <f t="shared" si="31"/>
        <v>5290.4165041167998</v>
      </c>
      <c r="Y16" s="187">
        <f t="shared" si="44"/>
        <v>0</v>
      </c>
      <c r="Z16" s="188">
        <f t="shared" si="15"/>
        <v>5290.4165041167998</v>
      </c>
      <c r="AA16" s="187">
        <f t="shared" si="32"/>
        <v>447.25743392291787</v>
      </c>
      <c r="AB16" s="187">
        <f t="shared" si="45"/>
        <v>0</v>
      </c>
      <c r="AC16" s="188">
        <f t="shared" si="17"/>
        <v>447.25743392291787</v>
      </c>
      <c r="AD16" s="187">
        <f t="shared" si="33"/>
        <v>230.01810887464345</v>
      </c>
      <c r="AE16" s="187">
        <f t="shared" si="46"/>
        <v>0</v>
      </c>
      <c r="AF16" s="188">
        <f t="shared" si="19"/>
        <v>230.01810887464345</v>
      </c>
      <c r="AG16" s="187">
        <f t="shared" si="34"/>
        <v>2044.6054122190528</v>
      </c>
      <c r="AH16" s="187">
        <f t="shared" si="47"/>
        <v>0</v>
      </c>
      <c r="AI16" s="188">
        <f t="shared" si="21"/>
        <v>2044.6054122190528</v>
      </c>
      <c r="AJ16" s="187">
        <f t="shared" si="35"/>
        <v>421.69986627017965</v>
      </c>
      <c r="AK16" s="187">
        <f t="shared" si="48"/>
        <v>0</v>
      </c>
      <c r="AL16" s="188">
        <f t="shared" si="23"/>
        <v>421.69986627017965</v>
      </c>
      <c r="AM16" s="187">
        <f t="shared" si="36"/>
        <v>638.93919131845416</v>
      </c>
      <c r="AN16" s="187">
        <f t="shared" si="49"/>
        <v>0</v>
      </c>
      <c r="AO16" s="188">
        <f t="shared" si="25"/>
        <v>638.93919131845416</v>
      </c>
      <c r="AP16" s="187">
        <f t="shared" si="37"/>
        <v>12.778783826369077</v>
      </c>
      <c r="AQ16" s="187">
        <f t="shared" si="50"/>
        <v>0</v>
      </c>
      <c r="AR16" s="188">
        <f t="shared" si="27"/>
        <v>12.778783826369077</v>
      </c>
      <c r="AS16" s="186">
        <f t="shared" si="28"/>
        <v>11743.702336433184</v>
      </c>
      <c r="AT16" s="169"/>
      <c r="AU16" s="169"/>
      <c r="AV16" s="169"/>
    </row>
    <row r="17" spans="1:48">
      <c r="A17" s="169">
        <f>VLOOKUP(B17,Misc_inputs!$A$3:$B$33,2,0)</f>
        <v>0</v>
      </c>
      <c r="B17" s="168">
        <v>2028</v>
      </c>
      <c r="C17" s="186" t="str">
        <f>Cost_of_crime_Raw_data!B$43</f>
        <v>not estimated</v>
      </c>
      <c r="D17" s="187" t="e">
        <f t="shared" si="0"/>
        <v>#VALUE!</v>
      </c>
      <c r="E17" s="188" t="e">
        <f t="shared" si="1"/>
        <v>#VALUE!</v>
      </c>
      <c r="F17" s="186" t="str">
        <f>Cost_of_crime_Raw_data!B$44</f>
        <v>not estimated</v>
      </c>
      <c r="G17" s="187" t="e">
        <f t="shared" si="38"/>
        <v>#VALUE!</v>
      </c>
      <c r="H17" s="188" t="e">
        <f t="shared" si="3"/>
        <v>#VALUE!</v>
      </c>
      <c r="I17" s="186" t="str">
        <f>Cost_of_crime_Raw_data!B$45</f>
        <v>not estimated</v>
      </c>
      <c r="J17" s="187" t="e">
        <f t="shared" si="39"/>
        <v>#VALUE!</v>
      </c>
      <c r="K17" s="188" t="e">
        <f t="shared" si="5"/>
        <v>#VALUE!</v>
      </c>
      <c r="L17" s="186" t="str">
        <f>Cost_of_crime_Raw_data!B$46</f>
        <v>not estimated</v>
      </c>
      <c r="M17" s="187" t="e">
        <f t="shared" si="40"/>
        <v>#VALUE!</v>
      </c>
      <c r="N17" s="188" t="e">
        <f t="shared" si="7"/>
        <v>#VALUE!</v>
      </c>
      <c r="O17" s="186" t="str">
        <f>Cost_of_crime_Raw_data!B$47</f>
        <v>not estimated</v>
      </c>
      <c r="P17" s="187" t="e">
        <f t="shared" si="41"/>
        <v>#VALUE!</v>
      </c>
      <c r="Q17" s="188" t="e">
        <f t="shared" si="9"/>
        <v>#VALUE!</v>
      </c>
      <c r="R17" s="187">
        <f t="shared" si="29"/>
        <v>1316.2147341160157</v>
      </c>
      <c r="S17" s="187">
        <f t="shared" si="42"/>
        <v>0</v>
      </c>
      <c r="T17" s="188">
        <f t="shared" si="11"/>
        <v>1316.2147341160157</v>
      </c>
      <c r="U17" s="187">
        <f t="shared" si="30"/>
        <v>1789.0297356916715</v>
      </c>
      <c r="V17" s="187">
        <f t="shared" si="43"/>
        <v>0</v>
      </c>
      <c r="W17" s="188">
        <f t="shared" si="13"/>
        <v>1789.0297356916715</v>
      </c>
      <c r="X17" s="187">
        <f t="shared" si="31"/>
        <v>5290.4165041167998</v>
      </c>
      <c r="Y17" s="187">
        <f t="shared" si="44"/>
        <v>0</v>
      </c>
      <c r="Z17" s="188">
        <f t="shared" si="15"/>
        <v>5290.4165041167998</v>
      </c>
      <c r="AA17" s="187">
        <f t="shared" si="32"/>
        <v>447.25743392291787</v>
      </c>
      <c r="AB17" s="187">
        <f t="shared" si="45"/>
        <v>0</v>
      </c>
      <c r="AC17" s="188">
        <f t="shared" si="17"/>
        <v>447.25743392291787</v>
      </c>
      <c r="AD17" s="187">
        <f t="shared" si="33"/>
        <v>230.01810887464345</v>
      </c>
      <c r="AE17" s="187">
        <f t="shared" si="46"/>
        <v>0</v>
      </c>
      <c r="AF17" s="188">
        <f t="shared" si="19"/>
        <v>230.01810887464345</v>
      </c>
      <c r="AG17" s="187">
        <f t="shared" si="34"/>
        <v>2044.6054122190528</v>
      </c>
      <c r="AH17" s="187">
        <f t="shared" si="47"/>
        <v>0</v>
      </c>
      <c r="AI17" s="188">
        <f t="shared" si="21"/>
        <v>2044.6054122190528</v>
      </c>
      <c r="AJ17" s="187">
        <f t="shared" si="35"/>
        <v>421.69986627017965</v>
      </c>
      <c r="AK17" s="187">
        <f t="shared" si="48"/>
        <v>0</v>
      </c>
      <c r="AL17" s="188">
        <f t="shared" si="23"/>
        <v>421.69986627017965</v>
      </c>
      <c r="AM17" s="187">
        <f t="shared" si="36"/>
        <v>638.93919131845416</v>
      </c>
      <c r="AN17" s="187">
        <f t="shared" si="49"/>
        <v>0</v>
      </c>
      <c r="AO17" s="188">
        <f t="shared" si="25"/>
        <v>638.93919131845416</v>
      </c>
      <c r="AP17" s="187">
        <f t="shared" si="37"/>
        <v>12.778783826369077</v>
      </c>
      <c r="AQ17" s="187">
        <f t="shared" si="50"/>
        <v>0</v>
      </c>
      <c r="AR17" s="188">
        <f t="shared" si="27"/>
        <v>12.778783826369077</v>
      </c>
      <c r="AS17" s="186">
        <f t="shared" si="28"/>
        <v>11743.702336433184</v>
      </c>
      <c r="AT17" s="169"/>
      <c r="AU17" s="169"/>
      <c r="AV17" s="169"/>
    </row>
    <row r="18" spans="1:48">
      <c r="A18" s="169">
        <f>VLOOKUP(B18,Misc_inputs!$A$3:$B$33,2,0)</f>
        <v>0</v>
      </c>
      <c r="B18" s="168">
        <v>2029</v>
      </c>
      <c r="C18" s="186" t="str">
        <f>Cost_of_crime_Raw_data!B$43</f>
        <v>not estimated</v>
      </c>
      <c r="D18" s="187" t="e">
        <f t="shared" si="0"/>
        <v>#VALUE!</v>
      </c>
      <c r="E18" s="188" t="e">
        <f t="shared" si="1"/>
        <v>#VALUE!</v>
      </c>
      <c r="F18" s="186" t="str">
        <f>Cost_of_crime_Raw_data!B$44</f>
        <v>not estimated</v>
      </c>
      <c r="G18" s="187" t="e">
        <f t="shared" si="38"/>
        <v>#VALUE!</v>
      </c>
      <c r="H18" s="188" t="e">
        <f t="shared" si="3"/>
        <v>#VALUE!</v>
      </c>
      <c r="I18" s="186" t="str">
        <f>Cost_of_crime_Raw_data!B$45</f>
        <v>not estimated</v>
      </c>
      <c r="J18" s="187" t="e">
        <f t="shared" si="39"/>
        <v>#VALUE!</v>
      </c>
      <c r="K18" s="188" t="e">
        <f t="shared" si="5"/>
        <v>#VALUE!</v>
      </c>
      <c r="L18" s="186" t="str">
        <f>Cost_of_crime_Raw_data!B$46</f>
        <v>not estimated</v>
      </c>
      <c r="M18" s="187" t="e">
        <f t="shared" si="40"/>
        <v>#VALUE!</v>
      </c>
      <c r="N18" s="188" t="e">
        <f t="shared" si="7"/>
        <v>#VALUE!</v>
      </c>
      <c r="O18" s="186" t="str">
        <f>Cost_of_crime_Raw_data!B$47</f>
        <v>not estimated</v>
      </c>
      <c r="P18" s="187" t="e">
        <f t="shared" si="41"/>
        <v>#VALUE!</v>
      </c>
      <c r="Q18" s="188" t="e">
        <f t="shared" si="9"/>
        <v>#VALUE!</v>
      </c>
      <c r="R18" s="187">
        <f t="shared" si="29"/>
        <v>1316.2147341160157</v>
      </c>
      <c r="S18" s="187">
        <f t="shared" si="42"/>
        <v>0</v>
      </c>
      <c r="T18" s="188">
        <f t="shared" si="11"/>
        <v>1316.2147341160157</v>
      </c>
      <c r="U18" s="187">
        <f t="shared" si="30"/>
        <v>1789.0297356916715</v>
      </c>
      <c r="V18" s="187">
        <f t="shared" si="43"/>
        <v>0</v>
      </c>
      <c r="W18" s="188">
        <f t="shared" si="13"/>
        <v>1789.0297356916715</v>
      </c>
      <c r="X18" s="187">
        <f t="shared" si="31"/>
        <v>5290.4165041167998</v>
      </c>
      <c r="Y18" s="187">
        <f t="shared" si="44"/>
        <v>0</v>
      </c>
      <c r="Z18" s="188">
        <f t="shared" si="15"/>
        <v>5290.4165041167998</v>
      </c>
      <c r="AA18" s="187">
        <f t="shared" si="32"/>
        <v>447.25743392291787</v>
      </c>
      <c r="AB18" s="187">
        <f t="shared" si="45"/>
        <v>0</v>
      </c>
      <c r="AC18" s="188">
        <f t="shared" si="17"/>
        <v>447.25743392291787</v>
      </c>
      <c r="AD18" s="187">
        <f t="shared" si="33"/>
        <v>230.01810887464345</v>
      </c>
      <c r="AE18" s="187">
        <f t="shared" si="46"/>
        <v>0</v>
      </c>
      <c r="AF18" s="188">
        <f t="shared" si="19"/>
        <v>230.01810887464345</v>
      </c>
      <c r="AG18" s="187">
        <f t="shared" si="34"/>
        <v>2044.6054122190528</v>
      </c>
      <c r="AH18" s="187">
        <f t="shared" si="47"/>
        <v>0</v>
      </c>
      <c r="AI18" s="188">
        <f t="shared" si="21"/>
        <v>2044.6054122190528</v>
      </c>
      <c r="AJ18" s="187">
        <f t="shared" si="35"/>
        <v>421.69986627017965</v>
      </c>
      <c r="AK18" s="187">
        <f t="shared" si="48"/>
        <v>0</v>
      </c>
      <c r="AL18" s="188">
        <f t="shared" si="23"/>
        <v>421.69986627017965</v>
      </c>
      <c r="AM18" s="187">
        <f t="shared" si="36"/>
        <v>638.93919131845416</v>
      </c>
      <c r="AN18" s="187">
        <f t="shared" si="49"/>
        <v>0</v>
      </c>
      <c r="AO18" s="188">
        <f t="shared" si="25"/>
        <v>638.93919131845416</v>
      </c>
      <c r="AP18" s="187">
        <f t="shared" si="37"/>
        <v>12.778783826369077</v>
      </c>
      <c r="AQ18" s="187">
        <f t="shared" si="50"/>
        <v>0</v>
      </c>
      <c r="AR18" s="188">
        <f t="shared" si="27"/>
        <v>12.778783826369077</v>
      </c>
      <c r="AS18" s="186">
        <f t="shared" si="28"/>
        <v>11743.702336433184</v>
      </c>
      <c r="AT18" s="169"/>
      <c r="AU18" s="169"/>
      <c r="AV18" s="169"/>
    </row>
    <row r="19" spans="1:48">
      <c r="A19" s="169">
        <f>VLOOKUP(B19,Misc_inputs!$A$3:$B$33,2,0)</f>
        <v>0</v>
      </c>
      <c r="B19" s="168">
        <v>2030</v>
      </c>
      <c r="C19" s="186" t="str">
        <f>Cost_of_crime_Raw_data!B$43</f>
        <v>not estimated</v>
      </c>
      <c r="D19" s="187" t="e">
        <f t="shared" si="0"/>
        <v>#VALUE!</v>
      </c>
      <c r="E19" s="188" t="e">
        <f t="shared" si="1"/>
        <v>#VALUE!</v>
      </c>
      <c r="F19" s="186" t="str">
        <f>Cost_of_crime_Raw_data!B$44</f>
        <v>not estimated</v>
      </c>
      <c r="G19" s="187" t="e">
        <f t="shared" si="38"/>
        <v>#VALUE!</v>
      </c>
      <c r="H19" s="188" t="e">
        <f t="shared" si="3"/>
        <v>#VALUE!</v>
      </c>
      <c r="I19" s="186" t="str">
        <f>Cost_of_crime_Raw_data!B$45</f>
        <v>not estimated</v>
      </c>
      <c r="J19" s="187" t="e">
        <f t="shared" si="39"/>
        <v>#VALUE!</v>
      </c>
      <c r="K19" s="188" t="e">
        <f t="shared" si="5"/>
        <v>#VALUE!</v>
      </c>
      <c r="L19" s="186" t="str">
        <f>Cost_of_crime_Raw_data!B$46</f>
        <v>not estimated</v>
      </c>
      <c r="M19" s="187" t="e">
        <f t="shared" si="40"/>
        <v>#VALUE!</v>
      </c>
      <c r="N19" s="188" t="e">
        <f t="shared" si="7"/>
        <v>#VALUE!</v>
      </c>
      <c r="O19" s="186" t="str">
        <f>Cost_of_crime_Raw_data!B$47</f>
        <v>not estimated</v>
      </c>
      <c r="P19" s="187" t="e">
        <f t="shared" si="41"/>
        <v>#VALUE!</v>
      </c>
      <c r="Q19" s="188" t="e">
        <f t="shared" si="9"/>
        <v>#VALUE!</v>
      </c>
      <c r="R19" s="187">
        <f t="shared" si="29"/>
        <v>1316.2147341160157</v>
      </c>
      <c r="S19" s="187">
        <f t="shared" si="42"/>
        <v>0</v>
      </c>
      <c r="T19" s="188">
        <f t="shared" si="11"/>
        <v>1316.2147341160157</v>
      </c>
      <c r="U19" s="187">
        <f t="shared" si="30"/>
        <v>1789.0297356916715</v>
      </c>
      <c r="V19" s="187">
        <f t="shared" si="43"/>
        <v>0</v>
      </c>
      <c r="W19" s="188">
        <f t="shared" si="13"/>
        <v>1789.0297356916715</v>
      </c>
      <c r="X19" s="187">
        <f t="shared" si="31"/>
        <v>5290.4165041167998</v>
      </c>
      <c r="Y19" s="187">
        <f t="shared" si="44"/>
        <v>0</v>
      </c>
      <c r="Z19" s="188">
        <f t="shared" si="15"/>
        <v>5290.4165041167998</v>
      </c>
      <c r="AA19" s="187">
        <f t="shared" si="32"/>
        <v>447.25743392291787</v>
      </c>
      <c r="AB19" s="187">
        <f t="shared" si="45"/>
        <v>0</v>
      </c>
      <c r="AC19" s="188">
        <f t="shared" si="17"/>
        <v>447.25743392291787</v>
      </c>
      <c r="AD19" s="187">
        <f t="shared" si="33"/>
        <v>230.01810887464345</v>
      </c>
      <c r="AE19" s="187">
        <f t="shared" si="46"/>
        <v>0</v>
      </c>
      <c r="AF19" s="188">
        <f t="shared" si="19"/>
        <v>230.01810887464345</v>
      </c>
      <c r="AG19" s="187">
        <f t="shared" si="34"/>
        <v>2044.6054122190528</v>
      </c>
      <c r="AH19" s="187">
        <f t="shared" si="47"/>
        <v>0</v>
      </c>
      <c r="AI19" s="188">
        <f t="shared" si="21"/>
        <v>2044.6054122190528</v>
      </c>
      <c r="AJ19" s="187">
        <f t="shared" si="35"/>
        <v>421.69986627017965</v>
      </c>
      <c r="AK19" s="187">
        <f t="shared" si="48"/>
        <v>0</v>
      </c>
      <c r="AL19" s="188">
        <f t="shared" si="23"/>
        <v>421.69986627017965</v>
      </c>
      <c r="AM19" s="187">
        <f t="shared" si="36"/>
        <v>638.93919131845416</v>
      </c>
      <c r="AN19" s="187">
        <f t="shared" si="49"/>
        <v>0</v>
      </c>
      <c r="AO19" s="188">
        <f t="shared" si="25"/>
        <v>638.93919131845416</v>
      </c>
      <c r="AP19" s="187">
        <f t="shared" si="37"/>
        <v>12.778783826369077</v>
      </c>
      <c r="AQ19" s="187">
        <f t="shared" si="50"/>
        <v>0</v>
      </c>
      <c r="AR19" s="188">
        <f t="shared" si="27"/>
        <v>12.778783826369077</v>
      </c>
      <c r="AS19" s="186">
        <f t="shared" si="28"/>
        <v>11743.702336433184</v>
      </c>
      <c r="AT19" s="169"/>
      <c r="AU19" s="169"/>
      <c r="AV19" s="169"/>
    </row>
    <row r="21" spans="1:48" s="190" customFormat="1" ht="23">
      <c r="A21" s="183" t="s">
        <v>575</v>
      </c>
      <c r="B21" s="189"/>
      <c r="C21" s="189"/>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row>
    <row r="22" spans="1:48" s="173" customFormat="1" ht="63.75" customHeight="1">
      <c r="A22" s="173" t="s">
        <v>539</v>
      </c>
      <c r="B22" s="172" t="s">
        <v>342</v>
      </c>
      <c r="C22" s="172" t="str">
        <f>Cost_of_crime_Raw_data!A21</f>
        <v>Commercial robbery</v>
      </c>
      <c r="D22" s="184" t="s">
        <v>540</v>
      </c>
      <c r="E22" s="185" t="s">
        <v>541</v>
      </c>
      <c r="F22" s="172" t="str">
        <f>Cost_of_crime_Raw_data!A22</f>
        <v>Commercial burglary</v>
      </c>
      <c r="G22" s="184" t="s">
        <v>540</v>
      </c>
      <c r="H22" s="185" t="s">
        <v>541</v>
      </c>
      <c r="I22" s="172" t="str">
        <f>Cost_of_crime_Raw_data!A23</f>
        <v>Commercial theft</v>
      </c>
      <c r="J22" s="184" t="s">
        <v>540</v>
      </c>
      <c r="K22" s="185" t="s">
        <v>541</v>
      </c>
      <c r="L22" s="172" t="str">
        <f>Cost_of_crime_Raw_data!A24</f>
        <v>Theft of commercial vehicle</v>
      </c>
      <c r="M22" s="184" t="s">
        <v>540</v>
      </c>
      <c r="N22" s="185" t="s">
        <v>541</v>
      </c>
      <c r="O22" s="172" t="str">
        <f>Cost_of_crime_Raw_data!A25</f>
        <v>Theft from commercial vehicle</v>
      </c>
      <c r="P22" s="184" t="s">
        <v>540</v>
      </c>
      <c r="Q22" s="185" t="s">
        <v>541</v>
      </c>
      <c r="R22" s="172" t="str">
        <f>Cost_of_crime_Raw_data!A26</f>
        <v>Commercial criminal damage - arson</v>
      </c>
      <c r="S22" s="184" t="s">
        <v>540</v>
      </c>
      <c r="T22" s="185" t="s">
        <v>541</v>
      </c>
      <c r="U22" s="172" t="str">
        <f>Cost_of_crime_Raw_data!A27</f>
        <v>Commercial criminal damage - other</v>
      </c>
      <c r="V22" s="184" t="s">
        <v>540</v>
      </c>
      <c r="W22" s="185" t="s">
        <v>541</v>
      </c>
      <c r="X22" s="191" t="s">
        <v>412</v>
      </c>
      <c r="Y22" s="172"/>
      <c r="Z22" s="192"/>
      <c r="AA22" s="172"/>
      <c r="AB22" s="172"/>
      <c r="AC22" s="192"/>
      <c r="AD22" s="172"/>
      <c r="AE22" s="172"/>
      <c r="AF22" s="192"/>
      <c r="AG22" s="172"/>
      <c r="AH22" s="172"/>
      <c r="AI22" s="192"/>
      <c r="AJ22" s="172"/>
      <c r="AK22" s="172"/>
      <c r="AL22" s="192"/>
      <c r="AM22" s="172"/>
      <c r="AN22" s="172"/>
      <c r="AO22" s="192"/>
      <c r="AP22" s="172"/>
      <c r="AQ22" s="172"/>
      <c r="AR22" s="192"/>
      <c r="AS22" s="172"/>
      <c r="AT22" s="172"/>
      <c r="AU22" s="192"/>
      <c r="AV22" s="172"/>
    </row>
    <row r="23" spans="1:48">
      <c r="B23" s="168">
        <v>2015</v>
      </c>
      <c r="C23" s="186">
        <f>IF(Cost_of_crime_Raw_data!B59="not estimated","0",Cost_of_crime_Raw_data!B59)</f>
        <v>980</v>
      </c>
      <c r="D23" s="187">
        <f>C23*$A23/100</f>
        <v>0</v>
      </c>
      <c r="E23" s="188">
        <f>C23+D23</f>
        <v>980</v>
      </c>
      <c r="F23" s="186">
        <f>IF(Cost_of_crime_Raw_data!B60="not estimated","0",Cost_of_crime_Raw_data!B60)</f>
        <v>3600</v>
      </c>
      <c r="G23" s="187">
        <f>F23*$A23/100</f>
        <v>0</v>
      </c>
      <c r="H23" s="188">
        <f>F23+G23</f>
        <v>3600</v>
      </c>
      <c r="I23" s="186">
        <f>IF(Cost_of_crime_Raw_data!B61="not estimated","0",Cost_of_crime_Raw_data!B61)</f>
        <v>510</v>
      </c>
      <c r="J23" s="187">
        <f>I23*$A23/100</f>
        <v>0</v>
      </c>
      <c r="K23" s="188">
        <f>I23+J23</f>
        <v>510</v>
      </c>
      <c r="L23" s="186">
        <f>IF(Cost_of_crime_Raw_data!B62="not estimated","0",Cost_of_crime_Raw_data!B62)</f>
        <v>24800</v>
      </c>
      <c r="M23" s="187">
        <f>L23*$A23/100</f>
        <v>0</v>
      </c>
      <c r="N23" s="188">
        <f>L23+M23</f>
        <v>24800</v>
      </c>
      <c r="O23" s="186">
        <f>IF(Cost_of_crime_Raw_data!B63="not estimated","0",Cost_of_crime_Raw_data!B63)</f>
        <v>1280</v>
      </c>
      <c r="P23" s="187">
        <f>O23*$A23/100</f>
        <v>0</v>
      </c>
      <c r="Q23" s="188">
        <f>O23+P23</f>
        <v>1280</v>
      </c>
      <c r="R23" s="186">
        <f>IF(Cost_of_crime_Raw_data!B64="not estimated","0",Cost_of_crime_Raw_data!B64)</f>
        <v>2230</v>
      </c>
      <c r="S23" s="187">
        <f>R23*$A23/100</f>
        <v>0</v>
      </c>
      <c r="T23" s="188">
        <f>R23+S23</f>
        <v>2230</v>
      </c>
      <c r="U23" s="186">
        <f>IF(Cost_of_crime_Raw_data!B65="not estimated","0",Cost_of_crime_Raw_data!B65)</f>
        <v>460</v>
      </c>
      <c r="V23" s="187">
        <f>U23*$A23/100</f>
        <v>0</v>
      </c>
      <c r="W23" s="188">
        <f>U23+V23</f>
        <v>460</v>
      </c>
      <c r="X23" s="187">
        <f>SUM(W23,T23,Q23,N23,K23,H23,E23)</f>
        <v>33860</v>
      </c>
    </row>
    <row r="24" spans="1:48">
      <c r="A24" s="169">
        <f>VLOOKUP(B24,Misc_inputs!$A$3:$B$33,2,0)</f>
        <v>1.8963035451147277</v>
      </c>
      <c r="B24" s="168">
        <v>2016</v>
      </c>
      <c r="C24" s="187">
        <f>E23</f>
        <v>980</v>
      </c>
      <c r="D24" s="187">
        <f t="shared" ref="D24:D38" si="51">C24*$A24/100</f>
        <v>18.58377474212433</v>
      </c>
      <c r="E24" s="188">
        <f t="shared" ref="E24:E38" si="52">C24+D24</f>
        <v>998.58377474212432</v>
      </c>
      <c r="F24" s="187">
        <f>H23</f>
        <v>3600</v>
      </c>
      <c r="G24" s="187">
        <f t="shared" ref="G24:G38" si="53">F24*$A24/100</f>
        <v>68.26692762413019</v>
      </c>
      <c r="H24" s="188">
        <f t="shared" ref="H24:H38" si="54">F24+G24</f>
        <v>3668.2669276241304</v>
      </c>
      <c r="I24" s="187">
        <f>K23</f>
        <v>510</v>
      </c>
      <c r="J24" s="187">
        <f t="shared" ref="J24:J38" si="55">I24*$A24/100</f>
        <v>9.6711480800851106</v>
      </c>
      <c r="K24" s="188">
        <f t="shared" ref="K24:K38" si="56">I24+J24</f>
        <v>519.67114808008512</v>
      </c>
      <c r="L24" s="187">
        <f>N23</f>
        <v>24800</v>
      </c>
      <c r="M24" s="187">
        <f t="shared" ref="M24:M38" si="57">L24*$A24/100</f>
        <v>470.28327918845241</v>
      </c>
      <c r="N24" s="188">
        <f t="shared" ref="N24:N38" si="58">L24+M24</f>
        <v>25270.283279188454</v>
      </c>
      <c r="O24" s="187">
        <f>Q23</f>
        <v>1280</v>
      </c>
      <c r="P24" s="187">
        <f t="shared" ref="P24:P38" si="59">O24*$A24/100</f>
        <v>24.272685377468516</v>
      </c>
      <c r="Q24" s="188">
        <f t="shared" ref="Q24:Q38" si="60">O24+P24</f>
        <v>1304.2726853774684</v>
      </c>
      <c r="R24" s="187">
        <f>T23</f>
        <v>2230</v>
      </c>
      <c r="S24" s="187">
        <f t="shared" ref="S24:S38" si="61">R24*$A24/100</f>
        <v>42.28756905605843</v>
      </c>
      <c r="T24" s="188">
        <f t="shared" ref="T24:T38" si="62">R24+S24</f>
        <v>2272.2875690560586</v>
      </c>
      <c r="U24" s="187">
        <f>W23</f>
        <v>460</v>
      </c>
      <c r="V24" s="187">
        <f t="shared" ref="V24:V38" si="63">U24*$A24/100</f>
        <v>8.7229963075277475</v>
      </c>
      <c r="W24" s="188">
        <f t="shared" ref="W24:W38" si="64">U24+V24</f>
        <v>468.72299630752775</v>
      </c>
      <c r="X24" s="187">
        <f t="shared" ref="X24:X38" si="65">SUM(W24,T24,Q24,N24,K24,H24,E24)</f>
        <v>34502.088380375848</v>
      </c>
    </row>
    <row r="25" spans="1:48">
      <c r="A25" s="169">
        <f>VLOOKUP(B25,Misc_inputs!$A$3:$B$33,2,0)</f>
        <v>1.8209228570152332</v>
      </c>
      <c r="B25" s="168">
        <v>2017</v>
      </c>
      <c r="C25" s="187">
        <f t="shared" ref="C25:C38" si="66">E24</f>
        <v>998.58377474212432</v>
      </c>
      <c r="D25" s="187">
        <f t="shared" si="51"/>
        <v>18.183440200724853</v>
      </c>
      <c r="E25" s="188">
        <f t="shared" si="52"/>
        <v>1016.7672149428491</v>
      </c>
      <c r="F25" s="187">
        <f t="shared" ref="F25:F38" si="67">H24</f>
        <v>3668.2669276241304</v>
      </c>
      <c r="G25" s="187">
        <f t="shared" si="53"/>
        <v>66.796310941438236</v>
      </c>
      <c r="H25" s="188">
        <f t="shared" si="54"/>
        <v>3735.0632385655686</v>
      </c>
      <c r="I25" s="187">
        <f t="shared" ref="I25:I38" si="68">K24</f>
        <v>519.67114808008512</v>
      </c>
      <c r="J25" s="187">
        <f t="shared" si="55"/>
        <v>9.4628107167037498</v>
      </c>
      <c r="K25" s="188">
        <f t="shared" si="56"/>
        <v>529.13395879678887</v>
      </c>
      <c r="L25" s="187">
        <f t="shared" ref="L25:L38" si="69">N24</f>
        <v>25270.283279188454</v>
      </c>
      <c r="M25" s="187">
        <f t="shared" si="57"/>
        <v>460.15236426324111</v>
      </c>
      <c r="N25" s="188">
        <f t="shared" si="58"/>
        <v>25730.435643451696</v>
      </c>
      <c r="O25" s="187">
        <f t="shared" ref="O25:O38" si="70">Q24</f>
        <v>1304.2726853774684</v>
      </c>
      <c r="P25" s="187">
        <f t="shared" si="59"/>
        <v>23.749799445844701</v>
      </c>
      <c r="Q25" s="188">
        <f t="shared" si="60"/>
        <v>1328.0224848233131</v>
      </c>
      <c r="R25" s="187">
        <f t="shared" ref="R25:R38" si="71">T24</f>
        <v>2272.2875690560586</v>
      </c>
      <c r="S25" s="187">
        <f t="shared" si="61"/>
        <v>41.376603722057574</v>
      </c>
      <c r="T25" s="188">
        <f t="shared" si="62"/>
        <v>2313.6641727781162</v>
      </c>
      <c r="U25" s="187">
        <f t="shared" ref="U25:U38" si="72">W24</f>
        <v>468.72299630752775</v>
      </c>
      <c r="V25" s="187">
        <f t="shared" si="63"/>
        <v>8.5350841758504394</v>
      </c>
      <c r="W25" s="188">
        <f t="shared" si="64"/>
        <v>477.25808048337819</v>
      </c>
      <c r="X25" s="187">
        <f t="shared" si="65"/>
        <v>35130.344793841708</v>
      </c>
    </row>
    <row r="26" spans="1:48">
      <c r="A26" s="169">
        <f>VLOOKUP(B26,Misc_inputs!$A$3:$B$33,2,0)</f>
        <v>1.9988242855231282</v>
      </c>
      <c r="B26" s="168">
        <v>2018</v>
      </c>
      <c r="C26" s="187">
        <f t="shared" si="66"/>
        <v>1016.7672149428491</v>
      </c>
      <c r="D26" s="187">
        <f t="shared" si="51"/>
        <v>20.323390019514814</v>
      </c>
      <c r="E26" s="188">
        <f t="shared" si="52"/>
        <v>1037.0906049623638</v>
      </c>
      <c r="F26" s="187">
        <f t="shared" si="67"/>
        <v>3735.0632385655686</v>
      </c>
      <c r="G26" s="187">
        <f t="shared" si="53"/>
        <v>74.65735109209524</v>
      </c>
      <c r="H26" s="188">
        <f t="shared" si="54"/>
        <v>3809.7205896576638</v>
      </c>
      <c r="I26" s="187">
        <f t="shared" si="68"/>
        <v>529.13395879678887</v>
      </c>
      <c r="J26" s="187">
        <f t="shared" si="55"/>
        <v>10.576458071380159</v>
      </c>
      <c r="K26" s="188">
        <f t="shared" si="56"/>
        <v>539.71041686816898</v>
      </c>
      <c r="L26" s="187">
        <f t="shared" si="69"/>
        <v>25730.435643451696</v>
      </c>
      <c r="M26" s="187">
        <f t="shared" si="57"/>
        <v>514.30619641221165</v>
      </c>
      <c r="N26" s="188">
        <f t="shared" si="58"/>
        <v>26244.741839863906</v>
      </c>
      <c r="O26" s="187">
        <f t="shared" si="70"/>
        <v>1328.0224848233131</v>
      </c>
      <c r="P26" s="187">
        <f t="shared" si="59"/>
        <v>26.544835943856082</v>
      </c>
      <c r="Q26" s="188">
        <f t="shared" si="60"/>
        <v>1354.5673207671691</v>
      </c>
      <c r="R26" s="187">
        <f t="shared" si="71"/>
        <v>2313.6641727781162</v>
      </c>
      <c r="S26" s="187">
        <f t="shared" si="61"/>
        <v>46.246081370936771</v>
      </c>
      <c r="T26" s="188">
        <f t="shared" si="62"/>
        <v>2359.9102541490529</v>
      </c>
      <c r="U26" s="187">
        <f t="shared" si="72"/>
        <v>477.25808048337819</v>
      </c>
      <c r="V26" s="187">
        <f t="shared" si="63"/>
        <v>9.5395504173232801</v>
      </c>
      <c r="W26" s="188">
        <f t="shared" si="64"/>
        <v>486.79763090070145</v>
      </c>
      <c r="X26" s="187">
        <f t="shared" si="65"/>
        <v>35832.538657169032</v>
      </c>
    </row>
    <row r="27" spans="1:48">
      <c r="A27" s="169">
        <f>VLOOKUP(B27,Misc_inputs!$A$3:$B$33,2,0)</f>
        <v>2.0163202370724722</v>
      </c>
      <c r="B27" s="168">
        <v>2019</v>
      </c>
      <c r="C27" s="187">
        <f t="shared" si="66"/>
        <v>1037.0906049623638</v>
      </c>
      <c r="D27" s="187">
        <f t="shared" si="51"/>
        <v>20.911067744633471</v>
      </c>
      <c r="E27" s="188">
        <f t="shared" si="52"/>
        <v>1058.0016727069974</v>
      </c>
      <c r="F27" s="187">
        <f t="shared" si="67"/>
        <v>3809.7205896576638</v>
      </c>
      <c r="G27" s="187">
        <f t="shared" si="53"/>
        <v>76.816167225184188</v>
      </c>
      <c r="H27" s="188">
        <f t="shared" si="54"/>
        <v>3886.5367568828478</v>
      </c>
      <c r="I27" s="187">
        <f t="shared" si="68"/>
        <v>539.71041686816898</v>
      </c>
      <c r="J27" s="187">
        <f t="shared" si="55"/>
        <v>10.882290356901091</v>
      </c>
      <c r="K27" s="188">
        <f t="shared" si="56"/>
        <v>550.59270722507006</v>
      </c>
      <c r="L27" s="187">
        <f t="shared" si="69"/>
        <v>26244.741839863906</v>
      </c>
      <c r="M27" s="187">
        <f t="shared" si="57"/>
        <v>529.17804088460218</v>
      </c>
      <c r="N27" s="188">
        <f t="shared" si="58"/>
        <v>26773.919880748508</v>
      </c>
      <c r="O27" s="187">
        <f t="shared" si="70"/>
        <v>1354.5673207671691</v>
      </c>
      <c r="P27" s="187">
        <f t="shared" si="59"/>
        <v>27.312415013398819</v>
      </c>
      <c r="Q27" s="188">
        <f t="shared" si="60"/>
        <v>1381.8797357805679</v>
      </c>
      <c r="R27" s="187">
        <f t="shared" si="71"/>
        <v>2359.9102541490529</v>
      </c>
      <c r="S27" s="187">
        <f t="shared" si="61"/>
        <v>47.583348031155765</v>
      </c>
      <c r="T27" s="188">
        <f t="shared" si="62"/>
        <v>2407.4936021802087</v>
      </c>
      <c r="U27" s="187">
        <f t="shared" si="72"/>
        <v>486.79763090070145</v>
      </c>
      <c r="V27" s="187">
        <f t="shared" si="63"/>
        <v>9.8153991454402014</v>
      </c>
      <c r="W27" s="188">
        <f t="shared" si="64"/>
        <v>496.61303004614166</v>
      </c>
      <c r="X27" s="187">
        <f t="shared" si="65"/>
        <v>36555.037385570344</v>
      </c>
    </row>
    <row r="28" spans="1:48">
      <c r="A28" s="169">
        <f>VLOOKUP(B28,Misc_inputs!$A$3:$B$33,2,0)</f>
        <v>5.3200852056836103</v>
      </c>
      <c r="B28" s="168">
        <v>2020</v>
      </c>
      <c r="C28" s="187">
        <f t="shared" si="66"/>
        <v>1058.0016727069974</v>
      </c>
      <c r="D28" s="187">
        <f t="shared" si="51"/>
        <v>56.2865904655701</v>
      </c>
      <c r="E28" s="188">
        <f t="shared" si="52"/>
        <v>1114.2882631725674</v>
      </c>
      <c r="F28" s="187">
        <f t="shared" si="67"/>
        <v>3886.5367568828478</v>
      </c>
      <c r="G28" s="187">
        <f t="shared" si="53"/>
        <v>206.76706701638</v>
      </c>
      <c r="H28" s="188">
        <f t="shared" si="54"/>
        <v>4093.3038238992276</v>
      </c>
      <c r="I28" s="187">
        <f t="shared" si="68"/>
        <v>550.59270722507006</v>
      </c>
      <c r="J28" s="187">
        <f t="shared" si="55"/>
        <v>29.292001160653825</v>
      </c>
      <c r="K28" s="188">
        <f t="shared" si="56"/>
        <v>579.88470838572391</v>
      </c>
      <c r="L28" s="187">
        <f t="shared" si="69"/>
        <v>26773.919880748508</v>
      </c>
      <c r="M28" s="187">
        <f t="shared" si="57"/>
        <v>1424.3953505572842</v>
      </c>
      <c r="N28" s="188">
        <f t="shared" si="58"/>
        <v>28198.315231305791</v>
      </c>
      <c r="O28" s="187">
        <f t="shared" si="70"/>
        <v>1381.8797357805679</v>
      </c>
      <c r="P28" s="187">
        <f t="shared" si="59"/>
        <v>73.517179383601757</v>
      </c>
      <c r="Q28" s="188">
        <f t="shared" si="60"/>
        <v>1455.3969151641697</v>
      </c>
      <c r="R28" s="187">
        <f t="shared" si="71"/>
        <v>2407.4936021802087</v>
      </c>
      <c r="S28" s="187">
        <f t="shared" si="61"/>
        <v>128.08071095736872</v>
      </c>
      <c r="T28" s="188">
        <f t="shared" si="62"/>
        <v>2535.5743131375775</v>
      </c>
      <c r="U28" s="187">
        <f t="shared" si="72"/>
        <v>496.61303004614166</v>
      </c>
      <c r="V28" s="187">
        <f t="shared" si="63"/>
        <v>26.420236340981887</v>
      </c>
      <c r="W28" s="188">
        <f t="shared" si="64"/>
        <v>523.0332663871236</v>
      </c>
      <c r="X28" s="187">
        <f t="shared" si="65"/>
        <v>38499.796521452183</v>
      </c>
    </row>
    <row r="29" spans="1:48">
      <c r="A29" s="169">
        <f>VLOOKUP(B29,Misc_inputs!$A$3:$B$33,2,0)</f>
        <v>7.6258108678813302E-2</v>
      </c>
      <c r="B29" s="168">
        <v>2021</v>
      </c>
      <c r="C29" s="187">
        <f t="shared" si="66"/>
        <v>1114.2882631725674</v>
      </c>
      <c r="D29" s="187">
        <f t="shared" si="51"/>
        <v>0.84973515472539762</v>
      </c>
      <c r="E29" s="188">
        <f t="shared" si="52"/>
        <v>1115.1379983272927</v>
      </c>
      <c r="F29" s="187">
        <f t="shared" si="67"/>
        <v>4093.3038238992276</v>
      </c>
      <c r="G29" s="187">
        <f t="shared" si="53"/>
        <v>3.1214760785830937</v>
      </c>
      <c r="H29" s="188">
        <f t="shared" si="54"/>
        <v>4096.4252999778109</v>
      </c>
      <c r="I29" s="187">
        <f t="shared" si="68"/>
        <v>579.88470838572391</v>
      </c>
      <c r="J29" s="187">
        <f t="shared" si="55"/>
        <v>0.44220911113260492</v>
      </c>
      <c r="K29" s="188">
        <f t="shared" si="56"/>
        <v>580.32691749685648</v>
      </c>
      <c r="L29" s="187">
        <f t="shared" si="69"/>
        <v>28198.315231305791</v>
      </c>
      <c r="M29" s="187">
        <f t="shared" si="57"/>
        <v>21.503501874683533</v>
      </c>
      <c r="N29" s="188">
        <f t="shared" si="58"/>
        <v>28219.818733180473</v>
      </c>
      <c r="O29" s="187">
        <f t="shared" si="70"/>
        <v>1455.3969151641697</v>
      </c>
      <c r="P29" s="187">
        <f t="shared" si="59"/>
        <v>1.1098581612739888</v>
      </c>
      <c r="Q29" s="188">
        <f t="shared" si="60"/>
        <v>1456.5067733254436</v>
      </c>
      <c r="R29" s="187">
        <f t="shared" si="71"/>
        <v>2535.5743131375775</v>
      </c>
      <c r="S29" s="187">
        <f t="shared" si="61"/>
        <v>1.9335810153445276</v>
      </c>
      <c r="T29" s="188">
        <f t="shared" si="62"/>
        <v>2537.5078941529218</v>
      </c>
      <c r="U29" s="187">
        <f t="shared" si="72"/>
        <v>523.0332663871236</v>
      </c>
      <c r="V29" s="187">
        <f t="shared" si="63"/>
        <v>0.39885527670783977</v>
      </c>
      <c r="W29" s="188">
        <f t="shared" si="64"/>
        <v>523.43212166383148</v>
      </c>
      <c r="X29" s="187">
        <f t="shared" si="65"/>
        <v>38529.155738124631</v>
      </c>
    </row>
    <row r="30" spans="1:48">
      <c r="A30" s="169">
        <f>VLOOKUP(B30,Misc_inputs!$A$3:$B$33,2,0)</f>
        <v>2.8492930312000952</v>
      </c>
      <c r="B30" s="168">
        <v>2022</v>
      </c>
      <c r="C30" s="187">
        <f t="shared" si="66"/>
        <v>1115.1379983272927</v>
      </c>
      <c r="D30" s="187">
        <f t="shared" si="51"/>
        <v>31.773549274603788</v>
      </c>
      <c r="E30" s="188">
        <f t="shared" si="52"/>
        <v>1146.9115476018965</v>
      </c>
      <c r="F30" s="187">
        <f t="shared" si="67"/>
        <v>4096.4252999778109</v>
      </c>
      <c r="G30" s="187">
        <f t="shared" si="53"/>
        <v>116.71916060058537</v>
      </c>
      <c r="H30" s="188">
        <f t="shared" si="54"/>
        <v>4213.1444605783963</v>
      </c>
      <c r="I30" s="187">
        <f t="shared" si="68"/>
        <v>580.32691749685648</v>
      </c>
      <c r="J30" s="187">
        <f t="shared" si="55"/>
        <v>16.53521441841626</v>
      </c>
      <c r="K30" s="188">
        <f t="shared" si="56"/>
        <v>596.8621319152727</v>
      </c>
      <c r="L30" s="187">
        <f t="shared" si="69"/>
        <v>28219.818733180473</v>
      </c>
      <c r="M30" s="187">
        <f t="shared" si="57"/>
        <v>804.06532858181015</v>
      </c>
      <c r="N30" s="188">
        <f t="shared" si="58"/>
        <v>29023.884061762285</v>
      </c>
      <c r="O30" s="187">
        <f t="shared" si="70"/>
        <v>1456.5067733254436</v>
      </c>
      <c r="P30" s="187">
        <f t="shared" si="59"/>
        <v>41.500145991319229</v>
      </c>
      <c r="Q30" s="188">
        <f t="shared" si="60"/>
        <v>1498.0069193167628</v>
      </c>
      <c r="R30" s="187">
        <f t="shared" si="71"/>
        <v>2537.5078941529218</v>
      </c>
      <c r="S30" s="187">
        <f t="shared" si="61"/>
        <v>72.301035594251488</v>
      </c>
      <c r="T30" s="188">
        <f t="shared" si="62"/>
        <v>2609.8089297471734</v>
      </c>
      <c r="U30" s="187">
        <f t="shared" si="72"/>
        <v>523.43212166383148</v>
      </c>
      <c r="V30" s="187">
        <f t="shared" si="63"/>
        <v>14.914114965630354</v>
      </c>
      <c r="W30" s="188">
        <f t="shared" si="64"/>
        <v>538.34623662946183</v>
      </c>
      <c r="X30" s="187">
        <f t="shared" si="65"/>
        <v>39626.964287551251</v>
      </c>
    </row>
    <row r="31" spans="1:48">
      <c r="A31" s="169">
        <f>VLOOKUP(B31,Misc_inputs!$A$3:$B$33,2,0)</f>
        <v>3.143440902459993</v>
      </c>
      <c r="B31" s="168">
        <v>2023</v>
      </c>
      <c r="C31" s="187">
        <f t="shared" si="66"/>
        <v>1146.9115476018965</v>
      </c>
      <c r="D31" s="187">
        <f t="shared" si="51"/>
        <v>36.052486702354926</v>
      </c>
      <c r="E31" s="188">
        <f t="shared" si="52"/>
        <v>1182.9640343042513</v>
      </c>
      <c r="F31" s="187">
        <f t="shared" si="67"/>
        <v>4213.1444605783963</v>
      </c>
      <c r="G31" s="187">
        <f t="shared" si="53"/>
        <v>132.43770625354875</v>
      </c>
      <c r="H31" s="188">
        <f t="shared" si="54"/>
        <v>4345.582166831945</v>
      </c>
      <c r="I31" s="187">
        <f t="shared" si="68"/>
        <v>596.8621319152727</v>
      </c>
      <c r="J31" s="187">
        <f t="shared" si="55"/>
        <v>18.762008385919401</v>
      </c>
      <c r="K31" s="188">
        <f t="shared" si="56"/>
        <v>615.62414030119214</v>
      </c>
      <c r="L31" s="187">
        <f t="shared" si="69"/>
        <v>29023.884061762285</v>
      </c>
      <c r="M31" s="187">
        <f t="shared" si="57"/>
        <v>912.34864308000238</v>
      </c>
      <c r="N31" s="188">
        <f t="shared" si="58"/>
        <v>29936.232704842289</v>
      </c>
      <c r="O31" s="187">
        <f t="shared" si="70"/>
        <v>1498.0069193167628</v>
      </c>
      <c r="P31" s="187">
        <f t="shared" si="59"/>
        <v>47.088962223483989</v>
      </c>
      <c r="Q31" s="188">
        <f t="shared" si="60"/>
        <v>1545.0958815402469</v>
      </c>
      <c r="R31" s="187">
        <f t="shared" si="71"/>
        <v>2609.8089297471734</v>
      </c>
      <c r="S31" s="187">
        <f t="shared" si="61"/>
        <v>82.03780137372604</v>
      </c>
      <c r="T31" s="188">
        <f t="shared" si="62"/>
        <v>2691.8467311208992</v>
      </c>
      <c r="U31" s="187">
        <f t="shared" si="72"/>
        <v>538.34623662946183</v>
      </c>
      <c r="V31" s="187">
        <f t="shared" si="63"/>
        <v>16.922595799064563</v>
      </c>
      <c r="W31" s="188">
        <f t="shared" si="64"/>
        <v>555.26883242852637</v>
      </c>
      <c r="X31" s="187">
        <f t="shared" si="65"/>
        <v>40872.61449136935</v>
      </c>
    </row>
    <row r="32" spans="1:48">
      <c r="A32" s="169">
        <f>VLOOKUP(B32,Misc_inputs!$A$3:$B$33,2,0)</f>
        <v>1.8594732384912049</v>
      </c>
      <c r="B32" s="168">
        <v>2024</v>
      </c>
      <c r="C32" s="187">
        <f t="shared" si="66"/>
        <v>1182.9640343042513</v>
      </c>
      <c r="D32" s="187">
        <f t="shared" si="51"/>
        <v>21.996899638863468</v>
      </c>
      <c r="E32" s="188">
        <f t="shared" si="52"/>
        <v>1204.9609339431147</v>
      </c>
      <c r="F32" s="187">
        <f t="shared" si="67"/>
        <v>4345.582166831945</v>
      </c>
      <c r="G32" s="187">
        <f t="shared" si="53"/>
        <v>80.804937448886236</v>
      </c>
      <c r="H32" s="188">
        <f t="shared" si="54"/>
        <v>4426.3871042808314</v>
      </c>
      <c r="I32" s="187">
        <f t="shared" si="68"/>
        <v>615.62414030119214</v>
      </c>
      <c r="J32" s="187">
        <f t="shared" si="55"/>
        <v>11.447366138592217</v>
      </c>
      <c r="K32" s="188">
        <f t="shared" si="56"/>
        <v>627.07150643978434</v>
      </c>
      <c r="L32" s="187">
        <f t="shared" si="69"/>
        <v>29936.232704842289</v>
      </c>
      <c r="M32" s="187">
        <f t="shared" si="57"/>
        <v>556.65623575899417</v>
      </c>
      <c r="N32" s="188">
        <f t="shared" si="58"/>
        <v>30492.888940601282</v>
      </c>
      <c r="O32" s="187">
        <f t="shared" si="70"/>
        <v>1545.0958815402469</v>
      </c>
      <c r="P32" s="187">
        <f t="shared" si="59"/>
        <v>28.730644426270661</v>
      </c>
      <c r="Q32" s="188">
        <f t="shared" si="60"/>
        <v>1573.8265259665175</v>
      </c>
      <c r="R32" s="187">
        <f t="shared" si="71"/>
        <v>2691.8467311208992</v>
      </c>
      <c r="S32" s="187">
        <f t="shared" si="61"/>
        <v>50.054169586393421</v>
      </c>
      <c r="T32" s="188">
        <f t="shared" si="62"/>
        <v>2741.9009007072927</v>
      </c>
      <c r="U32" s="187">
        <f t="shared" si="72"/>
        <v>555.26883242852637</v>
      </c>
      <c r="V32" s="187">
        <f t="shared" si="63"/>
        <v>10.325075340691022</v>
      </c>
      <c r="W32" s="188">
        <f t="shared" si="64"/>
        <v>565.59390776921737</v>
      </c>
      <c r="X32" s="187">
        <f t="shared" si="65"/>
        <v>41632.629819708032</v>
      </c>
    </row>
    <row r="33" spans="1:48">
      <c r="A33" s="169">
        <f>VLOOKUP(B33,Misc_inputs!$A$3:$B$33,2,0)</f>
        <v>1.892198034308179</v>
      </c>
      <c r="B33" s="168">
        <v>2025</v>
      </c>
      <c r="C33" s="187">
        <f t="shared" si="66"/>
        <v>1204.9609339431147</v>
      </c>
      <c r="D33" s="187">
        <f t="shared" si="51"/>
        <v>22.800247106253092</v>
      </c>
      <c r="E33" s="188">
        <f t="shared" si="52"/>
        <v>1227.7611810493677</v>
      </c>
      <c r="F33" s="187">
        <f t="shared" si="67"/>
        <v>4426.3871042808314</v>
      </c>
      <c r="G33" s="187">
        <f t="shared" si="53"/>
        <v>83.756009778072624</v>
      </c>
      <c r="H33" s="188">
        <f t="shared" si="54"/>
        <v>4510.1431140589038</v>
      </c>
      <c r="I33" s="187">
        <f t="shared" si="68"/>
        <v>627.07150643978434</v>
      </c>
      <c r="J33" s="187">
        <f t="shared" si="55"/>
        <v>11.865434718560287</v>
      </c>
      <c r="K33" s="188">
        <f t="shared" si="56"/>
        <v>638.93694115834467</v>
      </c>
      <c r="L33" s="187">
        <f t="shared" si="69"/>
        <v>30492.888940601282</v>
      </c>
      <c r="M33" s="187">
        <f t="shared" si="57"/>
        <v>576.98584513783362</v>
      </c>
      <c r="N33" s="188">
        <f t="shared" si="58"/>
        <v>31069.874785739117</v>
      </c>
      <c r="O33" s="187">
        <f t="shared" si="70"/>
        <v>1573.8265259665175</v>
      </c>
      <c r="P33" s="187">
        <f t="shared" si="59"/>
        <v>29.779914587759144</v>
      </c>
      <c r="Q33" s="188">
        <f t="shared" si="60"/>
        <v>1603.6064405542766</v>
      </c>
      <c r="R33" s="187">
        <f t="shared" si="71"/>
        <v>2741.9009007072927</v>
      </c>
      <c r="S33" s="187">
        <f t="shared" si="61"/>
        <v>51.882194945861649</v>
      </c>
      <c r="T33" s="188">
        <f t="shared" si="62"/>
        <v>2793.7830956531543</v>
      </c>
      <c r="U33" s="187">
        <f t="shared" si="72"/>
        <v>565.59390776921737</v>
      </c>
      <c r="V33" s="187">
        <f t="shared" si="63"/>
        <v>10.702156804975946</v>
      </c>
      <c r="W33" s="188">
        <f t="shared" si="64"/>
        <v>576.29606457419334</v>
      </c>
      <c r="X33" s="187">
        <f t="shared" si="65"/>
        <v>42420.401622787358</v>
      </c>
    </row>
    <row r="34" spans="1:48">
      <c r="A34" s="169">
        <f>VLOOKUP(B34,Misc_inputs!$A$3:$B$33,2,0)</f>
        <v>2.0003592159356653</v>
      </c>
      <c r="B34" s="168">
        <v>2026</v>
      </c>
      <c r="C34" s="187">
        <f t="shared" si="66"/>
        <v>1227.7611810493677</v>
      </c>
      <c r="D34" s="187">
        <f t="shared" si="51"/>
        <v>24.559633934801596</v>
      </c>
      <c r="E34" s="188">
        <f t="shared" si="52"/>
        <v>1252.3208149841694</v>
      </c>
      <c r="F34" s="187">
        <f t="shared" si="67"/>
        <v>4510.1431140589038</v>
      </c>
      <c r="G34" s="187">
        <f t="shared" si="53"/>
        <v>90.21906343396509</v>
      </c>
      <c r="H34" s="188">
        <f t="shared" si="54"/>
        <v>4600.3621774928688</v>
      </c>
      <c r="I34" s="187">
        <f t="shared" si="68"/>
        <v>638.93694115834467</v>
      </c>
      <c r="J34" s="187">
        <f t="shared" si="55"/>
        <v>12.781033986478388</v>
      </c>
      <c r="K34" s="188">
        <f t="shared" si="56"/>
        <v>651.71797514482307</v>
      </c>
      <c r="L34" s="187">
        <f t="shared" si="69"/>
        <v>31069.874785739117</v>
      </c>
      <c r="M34" s="187">
        <f t="shared" si="57"/>
        <v>621.50910365620405</v>
      </c>
      <c r="N34" s="188">
        <f t="shared" si="58"/>
        <v>31691.383889395322</v>
      </c>
      <c r="O34" s="187">
        <f t="shared" si="70"/>
        <v>1603.6064405542766</v>
      </c>
      <c r="P34" s="187">
        <f t="shared" si="59"/>
        <v>32.077889220965361</v>
      </c>
      <c r="Q34" s="188">
        <f t="shared" si="60"/>
        <v>1635.6843297752418</v>
      </c>
      <c r="R34" s="187">
        <f t="shared" si="71"/>
        <v>2793.7830956531543</v>
      </c>
      <c r="S34" s="187">
        <f t="shared" si="61"/>
        <v>55.885697627150591</v>
      </c>
      <c r="T34" s="188">
        <f t="shared" si="62"/>
        <v>2849.6687932803047</v>
      </c>
      <c r="U34" s="187">
        <f t="shared" si="72"/>
        <v>576.29606457419334</v>
      </c>
      <c r="V34" s="187">
        <f t="shared" si="63"/>
        <v>11.527991438784429</v>
      </c>
      <c r="W34" s="188">
        <f t="shared" si="64"/>
        <v>587.82405601297774</v>
      </c>
      <c r="X34" s="187">
        <f t="shared" si="65"/>
        <v>43268.962036085701</v>
      </c>
    </row>
    <row r="35" spans="1:48">
      <c r="A35" s="169">
        <f>VLOOKUP(B35,Misc_inputs!$A$3:$B$33,2,0)</f>
        <v>0</v>
      </c>
      <c r="B35" s="168">
        <v>2027</v>
      </c>
      <c r="C35" s="187">
        <f t="shared" si="66"/>
        <v>1252.3208149841694</v>
      </c>
      <c r="D35" s="187">
        <f t="shared" si="51"/>
        <v>0</v>
      </c>
      <c r="E35" s="188">
        <f t="shared" si="52"/>
        <v>1252.3208149841694</v>
      </c>
      <c r="F35" s="187">
        <f t="shared" si="67"/>
        <v>4600.3621774928688</v>
      </c>
      <c r="G35" s="187">
        <f t="shared" si="53"/>
        <v>0</v>
      </c>
      <c r="H35" s="188">
        <f t="shared" si="54"/>
        <v>4600.3621774928688</v>
      </c>
      <c r="I35" s="187">
        <f t="shared" si="68"/>
        <v>651.71797514482307</v>
      </c>
      <c r="J35" s="187">
        <f t="shared" si="55"/>
        <v>0</v>
      </c>
      <c r="K35" s="188">
        <f t="shared" si="56"/>
        <v>651.71797514482307</v>
      </c>
      <c r="L35" s="187">
        <f t="shared" si="69"/>
        <v>31691.383889395322</v>
      </c>
      <c r="M35" s="187">
        <f t="shared" si="57"/>
        <v>0</v>
      </c>
      <c r="N35" s="188">
        <f t="shared" si="58"/>
        <v>31691.383889395322</v>
      </c>
      <c r="O35" s="187">
        <f t="shared" si="70"/>
        <v>1635.6843297752418</v>
      </c>
      <c r="P35" s="187">
        <f t="shared" si="59"/>
        <v>0</v>
      </c>
      <c r="Q35" s="188">
        <f t="shared" si="60"/>
        <v>1635.6843297752418</v>
      </c>
      <c r="R35" s="187">
        <f t="shared" si="71"/>
        <v>2849.6687932803047</v>
      </c>
      <c r="S35" s="187">
        <f t="shared" si="61"/>
        <v>0</v>
      </c>
      <c r="T35" s="188">
        <f t="shared" si="62"/>
        <v>2849.6687932803047</v>
      </c>
      <c r="U35" s="187">
        <f t="shared" si="72"/>
        <v>587.82405601297774</v>
      </c>
      <c r="V35" s="187">
        <f t="shared" si="63"/>
        <v>0</v>
      </c>
      <c r="W35" s="188">
        <f t="shared" si="64"/>
        <v>587.82405601297774</v>
      </c>
      <c r="X35" s="187">
        <f t="shared" si="65"/>
        <v>43268.962036085701</v>
      </c>
    </row>
    <row r="36" spans="1:48">
      <c r="A36" s="169">
        <f>VLOOKUP(B36,Misc_inputs!$A$3:$B$33,2,0)</f>
        <v>0</v>
      </c>
      <c r="B36" s="168">
        <v>2028</v>
      </c>
      <c r="C36" s="187">
        <f t="shared" si="66"/>
        <v>1252.3208149841694</v>
      </c>
      <c r="D36" s="187">
        <f t="shared" si="51"/>
        <v>0</v>
      </c>
      <c r="E36" s="188">
        <f t="shared" si="52"/>
        <v>1252.3208149841694</v>
      </c>
      <c r="F36" s="187">
        <f t="shared" si="67"/>
        <v>4600.3621774928688</v>
      </c>
      <c r="G36" s="187">
        <f t="shared" si="53"/>
        <v>0</v>
      </c>
      <c r="H36" s="188">
        <f t="shared" si="54"/>
        <v>4600.3621774928688</v>
      </c>
      <c r="I36" s="187">
        <f t="shared" si="68"/>
        <v>651.71797514482307</v>
      </c>
      <c r="J36" s="187">
        <f t="shared" si="55"/>
        <v>0</v>
      </c>
      <c r="K36" s="188">
        <f t="shared" si="56"/>
        <v>651.71797514482307</v>
      </c>
      <c r="L36" s="187">
        <f t="shared" si="69"/>
        <v>31691.383889395322</v>
      </c>
      <c r="M36" s="187">
        <f t="shared" si="57"/>
        <v>0</v>
      </c>
      <c r="N36" s="188">
        <f t="shared" si="58"/>
        <v>31691.383889395322</v>
      </c>
      <c r="O36" s="187">
        <f t="shared" si="70"/>
        <v>1635.6843297752418</v>
      </c>
      <c r="P36" s="187">
        <f t="shared" si="59"/>
        <v>0</v>
      </c>
      <c r="Q36" s="188">
        <f t="shared" si="60"/>
        <v>1635.6843297752418</v>
      </c>
      <c r="R36" s="187">
        <f t="shared" si="71"/>
        <v>2849.6687932803047</v>
      </c>
      <c r="S36" s="187">
        <f t="shared" si="61"/>
        <v>0</v>
      </c>
      <c r="T36" s="188">
        <f t="shared" si="62"/>
        <v>2849.6687932803047</v>
      </c>
      <c r="U36" s="187">
        <f t="shared" si="72"/>
        <v>587.82405601297774</v>
      </c>
      <c r="V36" s="187">
        <f t="shared" si="63"/>
        <v>0</v>
      </c>
      <c r="W36" s="188">
        <f t="shared" si="64"/>
        <v>587.82405601297774</v>
      </c>
      <c r="X36" s="187">
        <f t="shared" si="65"/>
        <v>43268.962036085701</v>
      </c>
    </row>
    <row r="37" spans="1:48">
      <c r="A37" s="169">
        <f>VLOOKUP(B37,Misc_inputs!$A$3:$B$33,2,0)</f>
        <v>0</v>
      </c>
      <c r="B37" s="168">
        <v>2029</v>
      </c>
      <c r="C37" s="187">
        <f t="shared" si="66"/>
        <v>1252.3208149841694</v>
      </c>
      <c r="D37" s="187">
        <f t="shared" si="51"/>
        <v>0</v>
      </c>
      <c r="E37" s="188">
        <f t="shared" si="52"/>
        <v>1252.3208149841694</v>
      </c>
      <c r="F37" s="187">
        <f t="shared" si="67"/>
        <v>4600.3621774928688</v>
      </c>
      <c r="G37" s="187">
        <f t="shared" si="53"/>
        <v>0</v>
      </c>
      <c r="H37" s="188">
        <f t="shared" si="54"/>
        <v>4600.3621774928688</v>
      </c>
      <c r="I37" s="187">
        <f t="shared" si="68"/>
        <v>651.71797514482307</v>
      </c>
      <c r="J37" s="187">
        <f t="shared" si="55"/>
        <v>0</v>
      </c>
      <c r="K37" s="188">
        <f t="shared" si="56"/>
        <v>651.71797514482307</v>
      </c>
      <c r="L37" s="187">
        <f t="shared" si="69"/>
        <v>31691.383889395322</v>
      </c>
      <c r="M37" s="187">
        <f t="shared" si="57"/>
        <v>0</v>
      </c>
      <c r="N37" s="188">
        <f t="shared" si="58"/>
        <v>31691.383889395322</v>
      </c>
      <c r="O37" s="187">
        <f t="shared" si="70"/>
        <v>1635.6843297752418</v>
      </c>
      <c r="P37" s="187">
        <f t="shared" si="59"/>
        <v>0</v>
      </c>
      <c r="Q37" s="188">
        <f t="shared" si="60"/>
        <v>1635.6843297752418</v>
      </c>
      <c r="R37" s="187">
        <f t="shared" si="71"/>
        <v>2849.6687932803047</v>
      </c>
      <c r="S37" s="187">
        <f t="shared" si="61"/>
        <v>0</v>
      </c>
      <c r="T37" s="188">
        <f t="shared" si="62"/>
        <v>2849.6687932803047</v>
      </c>
      <c r="U37" s="187">
        <f t="shared" si="72"/>
        <v>587.82405601297774</v>
      </c>
      <c r="V37" s="187">
        <f t="shared" si="63"/>
        <v>0</v>
      </c>
      <c r="W37" s="188">
        <f t="shared" si="64"/>
        <v>587.82405601297774</v>
      </c>
      <c r="X37" s="187">
        <f t="shared" si="65"/>
        <v>43268.962036085701</v>
      </c>
    </row>
    <row r="38" spans="1:48">
      <c r="A38" s="169">
        <f>VLOOKUP(B38,Misc_inputs!$A$3:$B$33,2,0)</f>
        <v>0</v>
      </c>
      <c r="B38" s="168">
        <v>2030</v>
      </c>
      <c r="C38" s="187">
        <f t="shared" si="66"/>
        <v>1252.3208149841694</v>
      </c>
      <c r="D38" s="187">
        <f t="shared" si="51"/>
        <v>0</v>
      </c>
      <c r="E38" s="188">
        <f t="shared" si="52"/>
        <v>1252.3208149841694</v>
      </c>
      <c r="F38" s="187">
        <f t="shared" si="67"/>
        <v>4600.3621774928688</v>
      </c>
      <c r="G38" s="187">
        <f t="shared" si="53"/>
        <v>0</v>
      </c>
      <c r="H38" s="188">
        <f t="shared" si="54"/>
        <v>4600.3621774928688</v>
      </c>
      <c r="I38" s="187">
        <f t="shared" si="68"/>
        <v>651.71797514482307</v>
      </c>
      <c r="J38" s="187">
        <f t="shared" si="55"/>
        <v>0</v>
      </c>
      <c r="K38" s="188">
        <f t="shared" si="56"/>
        <v>651.71797514482307</v>
      </c>
      <c r="L38" s="187">
        <f t="shared" si="69"/>
        <v>31691.383889395322</v>
      </c>
      <c r="M38" s="187">
        <f t="shared" si="57"/>
        <v>0</v>
      </c>
      <c r="N38" s="188">
        <f t="shared" si="58"/>
        <v>31691.383889395322</v>
      </c>
      <c r="O38" s="187">
        <f t="shared" si="70"/>
        <v>1635.6843297752418</v>
      </c>
      <c r="P38" s="187">
        <f t="shared" si="59"/>
        <v>0</v>
      </c>
      <c r="Q38" s="188">
        <f t="shared" si="60"/>
        <v>1635.6843297752418</v>
      </c>
      <c r="R38" s="187">
        <f t="shared" si="71"/>
        <v>2849.6687932803047</v>
      </c>
      <c r="S38" s="187">
        <f t="shared" si="61"/>
        <v>0</v>
      </c>
      <c r="T38" s="188">
        <f t="shared" si="62"/>
        <v>2849.6687932803047</v>
      </c>
      <c r="U38" s="187">
        <f t="shared" si="72"/>
        <v>587.82405601297774</v>
      </c>
      <c r="V38" s="187">
        <f t="shared" si="63"/>
        <v>0</v>
      </c>
      <c r="W38" s="188">
        <f t="shared" si="64"/>
        <v>587.82405601297774</v>
      </c>
      <c r="X38" s="187">
        <f t="shared" si="65"/>
        <v>43268.962036085701</v>
      </c>
    </row>
    <row r="40" spans="1:48" s="190" customFormat="1" ht="23">
      <c r="A40" s="183" t="s">
        <v>419</v>
      </c>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row>
    <row r="41" spans="1:48" ht="93">
      <c r="A41" s="173" t="s">
        <v>539</v>
      </c>
      <c r="B41" s="172" t="s">
        <v>342</v>
      </c>
      <c r="C41" s="172" t="str">
        <f>Cost_of_crime_Raw_data!A68</f>
        <v>Drug offences (e.g. driving under the influence of drugs)</v>
      </c>
      <c r="D41" s="184" t="s">
        <v>540</v>
      </c>
      <c r="E41" s="185" t="s">
        <v>541</v>
      </c>
      <c r="F41" s="172" t="str">
        <f>Cost_of_crime_Raw_data!A69</f>
        <v>Alcohol offences (e.g. driving under the influence of alcohol)</v>
      </c>
      <c r="G41" s="184" t="s">
        <v>540</v>
      </c>
      <c r="H41" s="185" t="s">
        <v>541</v>
      </c>
      <c r="I41" s="172" t="str">
        <f>Cost_of_crime_Raw_data!A70</f>
        <v>Other indictable non- motoring offences</v>
      </c>
      <c r="J41" s="184" t="s">
        <v>540</v>
      </c>
      <c r="K41" s="185" t="s">
        <v>541</v>
      </c>
      <c r="L41" s="172" t="str">
        <f>Cost_of_crime_Raw_data!A71</f>
        <v>Indictable motoring offences</v>
      </c>
      <c r="M41" s="184" t="s">
        <v>540</v>
      </c>
      <c r="N41" s="185" t="s">
        <v>541</v>
      </c>
      <c r="O41" s="172" t="str">
        <f>Cost_of_crime_Raw_data!A72</f>
        <v>Summary non-motoring offences</v>
      </c>
      <c r="P41" s="184" t="s">
        <v>540</v>
      </c>
      <c r="Q41" s="185" t="s">
        <v>541</v>
      </c>
      <c r="R41" s="172" t="str">
        <f>Cost_of_crime_Raw_data!A73</f>
        <v>Summary motoring offences</v>
      </c>
      <c r="S41" s="184" t="s">
        <v>540</v>
      </c>
      <c r="T41" s="185" t="s">
        <v>541</v>
      </c>
      <c r="U41" s="172" t="str">
        <f>Cost_of_crime_Raw_data!A74</f>
        <v>TOTAL TRAFFIC/ MOTORING/ OTHER</v>
      </c>
    </row>
    <row r="42" spans="1:48">
      <c r="B42" s="168">
        <v>2000</v>
      </c>
      <c r="C42" s="169" t="s">
        <v>429</v>
      </c>
      <c r="D42" s="187" t="e">
        <f>C42*$A42/100</f>
        <v>#VALUE!</v>
      </c>
      <c r="E42" s="188" t="e">
        <f>C42+D42</f>
        <v>#VALUE!</v>
      </c>
      <c r="F42" s="169" t="s">
        <v>429</v>
      </c>
      <c r="G42" s="187" t="e">
        <f>F42*$A42/100</f>
        <v>#VALUE!</v>
      </c>
      <c r="H42" s="188" t="e">
        <f>F42+G42</f>
        <v>#VALUE!</v>
      </c>
      <c r="I42" s="169" t="s">
        <v>429</v>
      </c>
      <c r="J42" s="187" t="e">
        <f>I42*$A42/100</f>
        <v>#VALUE!</v>
      </c>
      <c r="K42" s="188" t="e">
        <f>I42+J42</f>
        <v>#VALUE!</v>
      </c>
      <c r="L42" s="169" t="s">
        <v>429</v>
      </c>
      <c r="M42" s="187" t="e">
        <f>L42*$A42/100</f>
        <v>#VALUE!</v>
      </c>
      <c r="N42" s="188" t="e">
        <f>L42+M42</f>
        <v>#VALUE!</v>
      </c>
      <c r="O42" s="169" t="s">
        <v>429</v>
      </c>
      <c r="P42" s="187" t="e">
        <f>O42*$A42/100</f>
        <v>#VALUE!</v>
      </c>
      <c r="Q42" s="188" t="e">
        <f>O42+P42</f>
        <v>#VALUE!</v>
      </c>
      <c r="R42" s="169" t="s">
        <v>429</v>
      </c>
      <c r="S42" s="187" t="e">
        <f>R42*$A42/100</f>
        <v>#VALUE!</v>
      </c>
      <c r="T42" s="188" t="e">
        <f>R42+S42</f>
        <v>#VALUE!</v>
      </c>
      <c r="U42" s="187" t="e">
        <f>SUM(T42,Q42,N42,K42,H42,E42)</f>
        <v>#VALUE!</v>
      </c>
    </row>
    <row r="43" spans="1:48">
      <c r="A43" s="169">
        <f>VLOOKUP(B43,Misc_inputs!$A$3:$B$33,2,0)</f>
        <v>1.8509525763893939</v>
      </c>
      <c r="B43" s="168">
        <v>2001</v>
      </c>
      <c r="C43" s="169" t="s">
        <v>429</v>
      </c>
      <c r="D43" s="187" t="e">
        <f>C43*$A43/100</f>
        <v>#VALUE!</v>
      </c>
      <c r="E43" s="188" t="e">
        <f>C43+D43</f>
        <v>#VALUE!</v>
      </c>
      <c r="F43" s="169" t="s">
        <v>429</v>
      </c>
      <c r="G43" s="187" t="e">
        <f>F43*$A43/100</f>
        <v>#VALUE!</v>
      </c>
      <c r="H43" s="188" t="e">
        <f>F43+G43</f>
        <v>#VALUE!</v>
      </c>
      <c r="I43" s="169" t="s">
        <v>429</v>
      </c>
      <c r="J43" s="187" t="e">
        <f>I43*$A43/100</f>
        <v>#VALUE!</v>
      </c>
      <c r="K43" s="188" t="e">
        <f>I43+J43</f>
        <v>#VALUE!</v>
      </c>
      <c r="L43" s="169" t="s">
        <v>429</v>
      </c>
      <c r="M43" s="187" t="e">
        <f>L43*$A43/100</f>
        <v>#VALUE!</v>
      </c>
      <c r="N43" s="188" t="e">
        <f>L43+M43</f>
        <v>#VALUE!</v>
      </c>
      <c r="O43" s="169" t="s">
        <v>429</v>
      </c>
      <c r="P43" s="187" t="e">
        <f>O43*$A43/100</f>
        <v>#VALUE!</v>
      </c>
      <c r="Q43" s="188" t="e">
        <f>O43+P43</f>
        <v>#VALUE!</v>
      </c>
      <c r="R43" s="169" t="s">
        <v>429</v>
      </c>
      <c r="S43" s="187" t="e">
        <f>R43*$A43/100</f>
        <v>#VALUE!</v>
      </c>
      <c r="T43" s="188" t="e">
        <f>R43+S43</f>
        <v>#VALUE!</v>
      </c>
      <c r="U43" s="187" t="e">
        <f t="shared" ref="U43:U72" si="73">SUM(T43,Q43,N43,K43,H43,E43)</f>
        <v>#VALUE!</v>
      </c>
    </row>
    <row r="44" spans="1:48">
      <c r="A44" s="169">
        <f>VLOOKUP(B44,Misc_inputs!$A$3:$B$33,2,0)</f>
        <v>2.0601670280994799</v>
      </c>
      <c r="B44" s="168">
        <v>2002</v>
      </c>
      <c r="C44" s="169" t="s">
        <v>429</v>
      </c>
      <c r="D44" s="187" t="e">
        <f t="shared" ref="D44:D55" si="74">C44*$A44/100</f>
        <v>#VALUE!</v>
      </c>
      <c r="E44" s="188" t="e">
        <f t="shared" ref="E44:E72" si="75">C44+D44</f>
        <v>#VALUE!</v>
      </c>
      <c r="F44" s="169" t="s">
        <v>429</v>
      </c>
      <c r="G44" s="187" t="e">
        <f t="shared" ref="G44:G55" si="76">F44*$A44/100</f>
        <v>#VALUE!</v>
      </c>
      <c r="H44" s="188" t="e">
        <f t="shared" ref="H44:H72" si="77">F44+G44</f>
        <v>#VALUE!</v>
      </c>
      <c r="I44" s="169" t="s">
        <v>429</v>
      </c>
      <c r="J44" s="187" t="e">
        <f t="shared" ref="J44:J55" si="78">I44*$A44/100</f>
        <v>#VALUE!</v>
      </c>
      <c r="K44" s="188" t="e">
        <f t="shared" ref="K44:K72" si="79">I44+J44</f>
        <v>#VALUE!</v>
      </c>
      <c r="L44" s="169" t="s">
        <v>429</v>
      </c>
      <c r="M44" s="187" t="e">
        <f t="shared" ref="M44:M55" si="80">L44*$A44/100</f>
        <v>#VALUE!</v>
      </c>
      <c r="N44" s="188" t="e">
        <f t="shared" ref="N44:N72" si="81">L44+M44</f>
        <v>#VALUE!</v>
      </c>
      <c r="O44" s="169" t="s">
        <v>429</v>
      </c>
      <c r="P44" s="187" t="e">
        <f t="shared" ref="P44:P55" si="82">O44*$A44/100</f>
        <v>#VALUE!</v>
      </c>
      <c r="Q44" s="188" t="e">
        <f t="shared" ref="Q44:Q72" si="83">O44+P44</f>
        <v>#VALUE!</v>
      </c>
      <c r="R44" s="169" t="s">
        <v>429</v>
      </c>
      <c r="S44" s="187" t="e">
        <f t="shared" ref="S44:S55" si="84">R44*$A44/100</f>
        <v>#VALUE!</v>
      </c>
      <c r="T44" s="188" t="e">
        <f t="shared" ref="T44:T72" si="85">R44+S44</f>
        <v>#VALUE!</v>
      </c>
      <c r="U44" s="187" t="e">
        <f t="shared" si="73"/>
        <v>#VALUE!</v>
      </c>
    </row>
    <row r="45" spans="1:48">
      <c r="A45" s="169">
        <f>VLOOKUP(B45,Misc_inputs!$A$3:$B$33,2,0)</f>
        <v>2.7352938960343987</v>
      </c>
      <c r="B45" s="168">
        <v>2003</v>
      </c>
      <c r="C45" s="169" t="s">
        <v>429</v>
      </c>
      <c r="D45" s="187" t="e">
        <f t="shared" si="74"/>
        <v>#VALUE!</v>
      </c>
      <c r="E45" s="188" t="e">
        <f t="shared" si="75"/>
        <v>#VALUE!</v>
      </c>
      <c r="F45" s="169" t="s">
        <v>429</v>
      </c>
      <c r="G45" s="187" t="e">
        <f t="shared" si="76"/>
        <v>#VALUE!</v>
      </c>
      <c r="H45" s="188" t="e">
        <f t="shared" si="77"/>
        <v>#VALUE!</v>
      </c>
      <c r="I45" s="169" t="s">
        <v>429</v>
      </c>
      <c r="J45" s="187" t="e">
        <f t="shared" si="78"/>
        <v>#VALUE!</v>
      </c>
      <c r="K45" s="188" t="e">
        <f t="shared" si="79"/>
        <v>#VALUE!</v>
      </c>
      <c r="L45" s="169" t="s">
        <v>429</v>
      </c>
      <c r="M45" s="187" t="e">
        <f t="shared" si="80"/>
        <v>#VALUE!</v>
      </c>
      <c r="N45" s="188" t="e">
        <f t="shared" si="81"/>
        <v>#VALUE!</v>
      </c>
      <c r="O45" s="169" t="s">
        <v>429</v>
      </c>
      <c r="P45" s="187" t="e">
        <f t="shared" si="82"/>
        <v>#VALUE!</v>
      </c>
      <c r="Q45" s="188" t="e">
        <f t="shared" si="83"/>
        <v>#VALUE!</v>
      </c>
      <c r="R45" s="169" t="s">
        <v>429</v>
      </c>
      <c r="S45" s="187" t="e">
        <f t="shared" si="84"/>
        <v>#VALUE!</v>
      </c>
      <c r="T45" s="188" t="e">
        <f t="shared" si="85"/>
        <v>#VALUE!</v>
      </c>
      <c r="U45" s="187" t="e">
        <f t="shared" si="73"/>
        <v>#VALUE!</v>
      </c>
    </row>
    <row r="46" spans="1:48">
      <c r="A46" s="169">
        <f>VLOOKUP(B46,Misc_inputs!$A$3:$B$33,2,0)</f>
        <v>2.5734301841181981</v>
      </c>
      <c r="B46" s="168">
        <v>2004</v>
      </c>
      <c r="C46" s="169" t="s">
        <v>429</v>
      </c>
      <c r="D46" s="187" t="e">
        <f t="shared" si="74"/>
        <v>#VALUE!</v>
      </c>
      <c r="E46" s="188" t="e">
        <f t="shared" si="75"/>
        <v>#VALUE!</v>
      </c>
      <c r="F46" s="169" t="s">
        <v>429</v>
      </c>
      <c r="G46" s="187" t="e">
        <f t="shared" si="76"/>
        <v>#VALUE!</v>
      </c>
      <c r="H46" s="188" t="e">
        <f t="shared" si="77"/>
        <v>#VALUE!</v>
      </c>
      <c r="I46" s="169" t="s">
        <v>429</v>
      </c>
      <c r="J46" s="187" t="e">
        <f t="shared" si="78"/>
        <v>#VALUE!</v>
      </c>
      <c r="K46" s="188" t="e">
        <f t="shared" si="79"/>
        <v>#VALUE!</v>
      </c>
      <c r="L46" s="169" t="s">
        <v>429</v>
      </c>
      <c r="M46" s="187" t="e">
        <f t="shared" si="80"/>
        <v>#VALUE!</v>
      </c>
      <c r="N46" s="188" t="e">
        <f t="shared" si="81"/>
        <v>#VALUE!</v>
      </c>
      <c r="O46" s="169" t="s">
        <v>429</v>
      </c>
      <c r="P46" s="187" t="e">
        <f t="shared" si="82"/>
        <v>#VALUE!</v>
      </c>
      <c r="Q46" s="188" t="e">
        <f t="shared" si="83"/>
        <v>#VALUE!</v>
      </c>
      <c r="R46" s="169" t="s">
        <v>429</v>
      </c>
      <c r="S46" s="187" t="e">
        <f t="shared" si="84"/>
        <v>#VALUE!</v>
      </c>
      <c r="T46" s="188" t="e">
        <f t="shared" si="85"/>
        <v>#VALUE!</v>
      </c>
      <c r="U46" s="187" t="e">
        <f t="shared" si="73"/>
        <v>#VALUE!</v>
      </c>
    </row>
    <row r="47" spans="1:48">
      <c r="A47" s="169">
        <f>VLOOKUP(B47,Misc_inputs!$A$3:$B$33,2,0)</f>
        <v>3.1315066925981085</v>
      </c>
      <c r="B47" s="168">
        <v>2005</v>
      </c>
      <c r="C47" s="169" t="s">
        <v>429</v>
      </c>
      <c r="D47" s="187" t="e">
        <f t="shared" si="74"/>
        <v>#VALUE!</v>
      </c>
      <c r="E47" s="188" t="e">
        <f t="shared" si="75"/>
        <v>#VALUE!</v>
      </c>
      <c r="F47" s="169" t="s">
        <v>429</v>
      </c>
      <c r="G47" s="187" t="e">
        <f t="shared" si="76"/>
        <v>#VALUE!</v>
      </c>
      <c r="H47" s="188" t="e">
        <f t="shared" si="77"/>
        <v>#VALUE!</v>
      </c>
      <c r="I47" s="169" t="s">
        <v>429</v>
      </c>
      <c r="J47" s="187" t="e">
        <f t="shared" si="78"/>
        <v>#VALUE!</v>
      </c>
      <c r="K47" s="188" t="e">
        <f t="shared" si="79"/>
        <v>#VALUE!</v>
      </c>
      <c r="L47" s="169" t="s">
        <v>429</v>
      </c>
      <c r="M47" s="187" t="e">
        <f t="shared" si="80"/>
        <v>#VALUE!</v>
      </c>
      <c r="N47" s="188" t="e">
        <f t="shared" si="81"/>
        <v>#VALUE!</v>
      </c>
      <c r="O47" s="169" t="s">
        <v>429</v>
      </c>
      <c r="P47" s="187" t="e">
        <f t="shared" si="82"/>
        <v>#VALUE!</v>
      </c>
      <c r="Q47" s="188" t="e">
        <f t="shared" si="83"/>
        <v>#VALUE!</v>
      </c>
      <c r="R47" s="169" t="s">
        <v>429</v>
      </c>
      <c r="S47" s="187" t="e">
        <f t="shared" si="84"/>
        <v>#VALUE!</v>
      </c>
      <c r="T47" s="188" t="e">
        <f t="shared" si="85"/>
        <v>#VALUE!</v>
      </c>
      <c r="U47" s="187" t="e">
        <f t="shared" si="73"/>
        <v>#VALUE!</v>
      </c>
    </row>
    <row r="48" spans="1:48">
      <c r="A48" s="169">
        <f>VLOOKUP(B48,Misc_inputs!$A$3:$B$33,2,0)</f>
        <v>2.853248435199073</v>
      </c>
      <c r="B48" s="168">
        <v>2006</v>
      </c>
      <c r="C48" s="169" t="s">
        <v>429</v>
      </c>
      <c r="D48" s="187" t="e">
        <f t="shared" si="74"/>
        <v>#VALUE!</v>
      </c>
      <c r="E48" s="188" t="e">
        <f t="shared" si="75"/>
        <v>#VALUE!</v>
      </c>
      <c r="F48" s="169" t="s">
        <v>429</v>
      </c>
      <c r="G48" s="187" t="e">
        <f t="shared" si="76"/>
        <v>#VALUE!</v>
      </c>
      <c r="H48" s="188" t="e">
        <f t="shared" si="77"/>
        <v>#VALUE!</v>
      </c>
      <c r="I48" s="169" t="s">
        <v>429</v>
      </c>
      <c r="J48" s="187" t="e">
        <f t="shared" si="78"/>
        <v>#VALUE!</v>
      </c>
      <c r="K48" s="188" t="e">
        <f t="shared" si="79"/>
        <v>#VALUE!</v>
      </c>
      <c r="L48" s="169" t="s">
        <v>429</v>
      </c>
      <c r="M48" s="187" t="e">
        <f t="shared" si="80"/>
        <v>#VALUE!</v>
      </c>
      <c r="N48" s="188" t="e">
        <f t="shared" si="81"/>
        <v>#VALUE!</v>
      </c>
      <c r="O48" s="169" t="s">
        <v>429</v>
      </c>
      <c r="P48" s="187" t="e">
        <f t="shared" si="82"/>
        <v>#VALUE!</v>
      </c>
      <c r="Q48" s="188" t="e">
        <f t="shared" si="83"/>
        <v>#VALUE!</v>
      </c>
      <c r="R48" s="169" t="s">
        <v>429</v>
      </c>
      <c r="S48" s="187" t="e">
        <f t="shared" si="84"/>
        <v>#VALUE!</v>
      </c>
      <c r="T48" s="188" t="e">
        <f t="shared" si="85"/>
        <v>#VALUE!</v>
      </c>
      <c r="U48" s="187" t="e">
        <f t="shared" si="73"/>
        <v>#VALUE!</v>
      </c>
    </row>
    <row r="49" spans="1:21">
      <c r="A49" s="169">
        <f>VLOOKUP(B49,Misc_inputs!$A$3:$B$33,2,0)</f>
        <v>2.7960714791272023</v>
      </c>
      <c r="B49" s="168">
        <v>2007</v>
      </c>
      <c r="C49" s="169" t="s">
        <v>429</v>
      </c>
      <c r="D49" s="187" t="e">
        <f t="shared" si="74"/>
        <v>#VALUE!</v>
      </c>
      <c r="E49" s="188" t="e">
        <f t="shared" si="75"/>
        <v>#VALUE!</v>
      </c>
      <c r="F49" s="169" t="s">
        <v>429</v>
      </c>
      <c r="G49" s="187" t="e">
        <f t="shared" si="76"/>
        <v>#VALUE!</v>
      </c>
      <c r="H49" s="188" t="e">
        <f t="shared" si="77"/>
        <v>#VALUE!</v>
      </c>
      <c r="I49" s="169" t="s">
        <v>429</v>
      </c>
      <c r="J49" s="187" t="e">
        <f t="shared" si="78"/>
        <v>#VALUE!</v>
      </c>
      <c r="K49" s="188" t="e">
        <f t="shared" si="79"/>
        <v>#VALUE!</v>
      </c>
      <c r="L49" s="169" t="s">
        <v>429</v>
      </c>
      <c r="M49" s="187" t="e">
        <f t="shared" si="80"/>
        <v>#VALUE!</v>
      </c>
      <c r="N49" s="188" t="e">
        <f t="shared" si="81"/>
        <v>#VALUE!</v>
      </c>
      <c r="O49" s="169" t="s">
        <v>429</v>
      </c>
      <c r="P49" s="187" t="e">
        <f t="shared" si="82"/>
        <v>#VALUE!</v>
      </c>
      <c r="Q49" s="188" t="e">
        <f t="shared" si="83"/>
        <v>#VALUE!</v>
      </c>
      <c r="R49" s="169" t="s">
        <v>429</v>
      </c>
      <c r="S49" s="187" t="e">
        <f t="shared" si="84"/>
        <v>#VALUE!</v>
      </c>
      <c r="T49" s="188" t="e">
        <f t="shared" si="85"/>
        <v>#VALUE!</v>
      </c>
      <c r="U49" s="187" t="e">
        <f t="shared" si="73"/>
        <v>#VALUE!</v>
      </c>
    </row>
    <row r="50" spans="1:21">
      <c r="A50" s="169">
        <f>VLOOKUP(B50,Misc_inputs!$A$3:$B$33,2,0)</f>
        <v>3.2489393373071294</v>
      </c>
      <c r="B50" s="168">
        <v>2008</v>
      </c>
      <c r="C50" s="169" t="s">
        <v>429</v>
      </c>
      <c r="D50" s="187" t="e">
        <f t="shared" si="74"/>
        <v>#VALUE!</v>
      </c>
      <c r="E50" s="188" t="e">
        <f t="shared" si="75"/>
        <v>#VALUE!</v>
      </c>
      <c r="F50" s="169" t="s">
        <v>429</v>
      </c>
      <c r="G50" s="187" t="e">
        <f t="shared" si="76"/>
        <v>#VALUE!</v>
      </c>
      <c r="H50" s="188" t="e">
        <f t="shared" si="77"/>
        <v>#VALUE!</v>
      </c>
      <c r="I50" s="169" t="s">
        <v>429</v>
      </c>
      <c r="J50" s="187" t="e">
        <f t="shared" si="78"/>
        <v>#VALUE!</v>
      </c>
      <c r="K50" s="188" t="e">
        <f t="shared" si="79"/>
        <v>#VALUE!</v>
      </c>
      <c r="L50" s="169" t="s">
        <v>429</v>
      </c>
      <c r="M50" s="187" t="e">
        <f t="shared" si="80"/>
        <v>#VALUE!</v>
      </c>
      <c r="N50" s="188" t="e">
        <f t="shared" si="81"/>
        <v>#VALUE!</v>
      </c>
      <c r="O50" s="169" t="s">
        <v>429</v>
      </c>
      <c r="P50" s="187" t="e">
        <f t="shared" si="82"/>
        <v>#VALUE!</v>
      </c>
      <c r="Q50" s="188" t="e">
        <f t="shared" si="83"/>
        <v>#VALUE!</v>
      </c>
      <c r="R50" s="169" t="s">
        <v>429</v>
      </c>
      <c r="S50" s="187" t="e">
        <f t="shared" si="84"/>
        <v>#VALUE!</v>
      </c>
      <c r="T50" s="188" t="e">
        <f t="shared" si="85"/>
        <v>#VALUE!</v>
      </c>
      <c r="U50" s="187" t="e">
        <f t="shared" si="73"/>
        <v>#VALUE!</v>
      </c>
    </row>
    <row r="51" spans="1:21">
      <c r="A51" s="169">
        <f>VLOOKUP(B51,Misc_inputs!$A$3:$B$33,2,0)</f>
        <v>1.7010725699507729</v>
      </c>
      <c r="B51" s="168">
        <v>2009</v>
      </c>
      <c r="C51" s="169" t="s">
        <v>429</v>
      </c>
      <c r="D51" s="187" t="e">
        <f t="shared" si="74"/>
        <v>#VALUE!</v>
      </c>
      <c r="E51" s="188" t="e">
        <f t="shared" si="75"/>
        <v>#VALUE!</v>
      </c>
      <c r="F51" s="169" t="s">
        <v>429</v>
      </c>
      <c r="G51" s="187" t="e">
        <f t="shared" si="76"/>
        <v>#VALUE!</v>
      </c>
      <c r="H51" s="188" t="e">
        <f t="shared" si="77"/>
        <v>#VALUE!</v>
      </c>
      <c r="I51" s="169" t="s">
        <v>429</v>
      </c>
      <c r="J51" s="187" t="e">
        <f t="shared" si="78"/>
        <v>#VALUE!</v>
      </c>
      <c r="K51" s="188" t="e">
        <f t="shared" si="79"/>
        <v>#VALUE!</v>
      </c>
      <c r="L51" s="169" t="s">
        <v>429</v>
      </c>
      <c r="M51" s="187" t="e">
        <f t="shared" si="80"/>
        <v>#VALUE!</v>
      </c>
      <c r="N51" s="188" t="e">
        <f t="shared" si="81"/>
        <v>#VALUE!</v>
      </c>
      <c r="O51" s="169" t="s">
        <v>429</v>
      </c>
      <c r="P51" s="187" t="e">
        <f t="shared" si="82"/>
        <v>#VALUE!</v>
      </c>
      <c r="Q51" s="188" t="e">
        <f t="shared" si="83"/>
        <v>#VALUE!</v>
      </c>
      <c r="R51" s="169" t="s">
        <v>429</v>
      </c>
      <c r="S51" s="187" t="e">
        <f t="shared" si="84"/>
        <v>#VALUE!</v>
      </c>
      <c r="T51" s="188" t="e">
        <f t="shared" si="85"/>
        <v>#VALUE!</v>
      </c>
      <c r="U51" s="187" t="e">
        <f t="shared" si="73"/>
        <v>#VALUE!</v>
      </c>
    </row>
    <row r="52" spans="1:21">
      <c r="A52" s="169">
        <f>VLOOKUP(B52,Misc_inputs!$A$3:$B$33,2,0)</f>
        <v>1.3734918692079017</v>
      </c>
      <c r="B52" s="168">
        <v>2010</v>
      </c>
      <c r="C52" s="169" t="s">
        <v>429</v>
      </c>
      <c r="D52" s="187" t="e">
        <f t="shared" si="74"/>
        <v>#VALUE!</v>
      </c>
      <c r="E52" s="188" t="e">
        <f t="shared" si="75"/>
        <v>#VALUE!</v>
      </c>
      <c r="F52" s="169" t="s">
        <v>429</v>
      </c>
      <c r="G52" s="187" t="e">
        <f t="shared" si="76"/>
        <v>#VALUE!</v>
      </c>
      <c r="H52" s="188" t="e">
        <f t="shared" si="77"/>
        <v>#VALUE!</v>
      </c>
      <c r="I52" s="169" t="s">
        <v>429</v>
      </c>
      <c r="J52" s="187" t="e">
        <f t="shared" si="78"/>
        <v>#VALUE!</v>
      </c>
      <c r="K52" s="188" t="e">
        <f t="shared" si="79"/>
        <v>#VALUE!</v>
      </c>
      <c r="L52" s="169" t="s">
        <v>429</v>
      </c>
      <c r="M52" s="187" t="e">
        <f t="shared" si="80"/>
        <v>#VALUE!</v>
      </c>
      <c r="N52" s="188" t="e">
        <f t="shared" si="81"/>
        <v>#VALUE!</v>
      </c>
      <c r="O52" s="169" t="s">
        <v>429</v>
      </c>
      <c r="P52" s="187" t="e">
        <f t="shared" si="82"/>
        <v>#VALUE!</v>
      </c>
      <c r="Q52" s="188" t="e">
        <f t="shared" si="83"/>
        <v>#VALUE!</v>
      </c>
      <c r="R52" s="169" t="s">
        <v>429</v>
      </c>
      <c r="S52" s="187" t="e">
        <f t="shared" si="84"/>
        <v>#VALUE!</v>
      </c>
      <c r="T52" s="188" t="e">
        <f t="shared" si="85"/>
        <v>#VALUE!</v>
      </c>
      <c r="U52" s="187" t="e">
        <f t="shared" si="73"/>
        <v>#VALUE!</v>
      </c>
    </row>
    <row r="53" spans="1:21">
      <c r="A53" s="169">
        <f>VLOOKUP(B53,Misc_inputs!$A$3:$B$33,2,0)</f>
        <v>2.0688542081199257</v>
      </c>
      <c r="B53" s="168">
        <v>2011</v>
      </c>
      <c r="C53" s="169" t="s">
        <v>429</v>
      </c>
      <c r="D53" s="187" t="e">
        <f t="shared" si="74"/>
        <v>#VALUE!</v>
      </c>
      <c r="E53" s="188" t="e">
        <f t="shared" si="75"/>
        <v>#VALUE!</v>
      </c>
      <c r="F53" s="169" t="s">
        <v>429</v>
      </c>
      <c r="G53" s="187" t="e">
        <f t="shared" si="76"/>
        <v>#VALUE!</v>
      </c>
      <c r="H53" s="188" t="e">
        <f t="shared" si="77"/>
        <v>#VALUE!</v>
      </c>
      <c r="I53" s="169" t="s">
        <v>429</v>
      </c>
      <c r="J53" s="187" t="e">
        <f t="shared" si="78"/>
        <v>#VALUE!</v>
      </c>
      <c r="K53" s="188" t="e">
        <f t="shared" si="79"/>
        <v>#VALUE!</v>
      </c>
      <c r="L53" s="169" t="s">
        <v>429</v>
      </c>
      <c r="M53" s="187" t="e">
        <f t="shared" si="80"/>
        <v>#VALUE!</v>
      </c>
      <c r="N53" s="188" t="e">
        <f t="shared" si="81"/>
        <v>#VALUE!</v>
      </c>
      <c r="O53" s="169" t="s">
        <v>429</v>
      </c>
      <c r="P53" s="187" t="e">
        <f t="shared" si="82"/>
        <v>#VALUE!</v>
      </c>
      <c r="Q53" s="188" t="e">
        <f t="shared" si="83"/>
        <v>#VALUE!</v>
      </c>
      <c r="R53" s="169" t="s">
        <v>429</v>
      </c>
      <c r="S53" s="187" t="e">
        <f t="shared" si="84"/>
        <v>#VALUE!</v>
      </c>
      <c r="T53" s="188" t="e">
        <f t="shared" si="85"/>
        <v>#VALUE!</v>
      </c>
      <c r="U53" s="187" t="e">
        <f t="shared" si="73"/>
        <v>#VALUE!</v>
      </c>
    </row>
    <row r="54" spans="1:21">
      <c r="A54" s="169">
        <f>VLOOKUP(B54,Misc_inputs!$A$3:$B$33,2,0)</f>
        <v>1.6091515591183065</v>
      </c>
      <c r="B54" s="168">
        <v>2012</v>
      </c>
      <c r="C54" s="169" t="s">
        <v>429</v>
      </c>
      <c r="D54" s="187" t="e">
        <f t="shared" si="74"/>
        <v>#VALUE!</v>
      </c>
      <c r="E54" s="188" t="e">
        <f t="shared" si="75"/>
        <v>#VALUE!</v>
      </c>
      <c r="F54" s="169" t="s">
        <v>429</v>
      </c>
      <c r="G54" s="187" t="e">
        <f t="shared" si="76"/>
        <v>#VALUE!</v>
      </c>
      <c r="H54" s="188" t="e">
        <f t="shared" si="77"/>
        <v>#VALUE!</v>
      </c>
      <c r="I54" s="169" t="s">
        <v>429</v>
      </c>
      <c r="J54" s="187" t="e">
        <f t="shared" si="78"/>
        <v>#VALUE!</v>
      </c>
      <c r="K54" s="188" t="e">
        <f t="shared" si="79"/>
        <v>#VALUE!</v>
      </c>
      <c r="L54" s="169" t="s">
        <v>429</v>
      </c>
      <c r="M54" s="187" t="e">
        <f t="shared" si="80"/>
        <v>#VALUE!</v>
      </c>
      <c r="N54" s="188" t="e">
        <f t="shared" si="81"/>
        <v>#VALUE!</v>
      </c>
      <c r="O54" s="169" t="s">
        <v>429</v>
      </c>
      <c r="P54" s="187" t="e">
        <f t="shared" si="82"/>
        <v>#VALUE!</v>
      </c>
      <c r="Q54" s="188" t="e">
        <f t="shared" si="83"/>
        <v>#VALUE!</v>
      </c>
      <c r="R54" s="169" t="s">
        <v>429</v>
      </c>
      <c r="S54" s="187" t="e">
        <f t="shared" si="84"/>
        <v>#VALUE!</v>
      </c>
      <c r="T54" s="188" t="e">
        <f t="shared" si="85"/>
        <v>#VALUE!</v>
      </c>
      <c r="U54" s="187" t="e">
        <f t="shared" si="73"/>
        <v>#VALUE!</v>
      </c>
    </row>
    <row r="55" spans="1:21">
      <c r="A55" s="169">
        <f>VLOOKUP(B55,Misc_inputs!$A$3:$B$33,2,0)</f>
        <v>2.2357385540164949</v>
      </c>
      <c r="B55" s="168">
        <v>2013</v>
      </c>
      <c r="C55" s="169" t="s">
        <v>429</v>
      </c>
      <c r="D55" s="187" t="e">
        <f t="shared" si="74"/>
        <v>#VALUE!</v>
      </c>
      <c r="E55" s="188" t="e">
        <f t="shared" si="75"/>
        <v>#VALUE!</v>
      </c>
      <c r="F55" s="169" t="s">
        <v>429</v>
      </c>
      <c r="G55" s="187" t="e">
        <f t="shared" si="76"/>
        <v>#VALUE!</v>
      </c>
      <c r="H55" s="188" t="e">
        <f t="shared" si="77"/>
        <v>#VALUE!</v>
      </c>
      <c r="I55" s="169" t="s">
        <v>429</v>
      </c>
      <c r="J55" s="187" t="e">
        <f t="shared" si="78"/>
        <v>#VALUE!</v>
      </c>
      <c r="K55" s="188" t="e">
        <f t="shared" si="79"/>
        <v>#VALUE!</v>
      </c>
      <c r="L55" s="169" t="s">
        <v>429</v>
      </c>
      <c r="M55" s="187" t="e">
        <f t="shared" si="80"/>
        <v>#VALUE!</v>
      </c>
      <c r="N55" s="188" t="e">
        <f t="shared" si="81"/>
        <v>#VALUE!</v>
      </c>
      <c r="O55" s="169" t="s">
        <v>429</v>
      </c>
      <c r="P55" s="187" t="e">
        <f t="shared" si="82"/>
        <v>#VALUE!</v>
      </c>
      <c r="Q55" s="188" t="e">
        <f t="shared" si="83"/>
        <v>#VALUE!</v>
      </c>
      <c r="R55" s="169" t="s">
        <v>429</v>
      </c>
      <c r="S55" s="187" t="e">
        <f t="shared" si="84"/>
        <v>#VALUE!</v>
      </c>
      <c r="T55" s="188" t="e">
        <f t="shared" si="85"/>
        <v>#VALUE!</v>
      </c>
      <c r="U55" s="187" t="e">
        <f t="shared" si="73"/>
        <v>#VALUE!</v>
      </c>
    </row>
    <row r="56" spans="1:21">
      <c r="A56" s="169">
        <f>VLOOKUP(B56,Misc_inputs!$A$3:$B$33,2,0)</f>
        <v>1.5952823611433897</v>
      </c>
      <c r="B56" s="168">
        <v>2014</v>
      </c>
      <c r="C56" s="169" t="s">
        <v>429</v>
      </c>
      <c r="D56" s="187" t="e">
        <f>C56*$A56/100</f>
        <v>#VALUE!</v>
      </c>
      <c r="E56" s="188" t="e">
        <f t="shared" si="75"/>
        <v>#VALUE!</v>
      </c>
      <c r="F56" s="169" t="s">
        <v>429</v>
      </c>
      <c r="G56" s="187" t="e">
        <f>F56*$A56/100</f>
        <v>#VALUE!</v>
      </c>
      <c r="H56" s="188" t="e">
        <f t="shared" si="77"/>
        <v>#VALUE!</v>
      </c>
      <c r="I56" s="169" t="s">
        <v>429</v>
      </c>
      <c r="J56" s="187" t="e">
        <f>I56*$A56/100</f>
        <v>#VALUE!</v>
      </c>
      <c r="K56" s="188" t="e">
        <f t="shared" si="79"/>
        <v>#VALUE!</v>
      </c>
      <c r="L56" s="169" t="s">
        <v>429</v>
      </c>
      <c r="M56" s="187" t="e">
        <f>L56*$A56/100</f>
        <v>#VALUE!</v>
      </c>
      <c r="N56" s="188" t="e">
        <f t="shared" si="81"/>
        <v>#VALUE!</v>
      </c>
      <c r="O56" s="169" t="s">
        <v>429</v>
      </c>
      <c r="P56" s="187" t="e">
        <f>O56*$A56/100</f>
        <v>#VALUE!</v>
      </c>
      <c r="Q56" s="188" t="e">
        <f t="shared" si="83"/>
        <v>#VALUE!</v>
      </c>
      <c r="R56" s="169" t="s">
        <v>429</v>
      </c>
      <c r="S56" s="187" t="e">
        <f>R56*$A56/100</f>
        <v>#VALUE!</v>
      </c>
      <c r="T56" s="188" t="e">
        <f t="shared" si="85"/>
        <v>#VALUE!</v>
      </c>
      <c r="U56" s="187" t="e">
        <f t="shared" si="73"/>
        <v>#VALUE!</v>
      </c>
    </row>
    <row r="57" spans="1:21">
      <c r="A57" s="169">
        <f>VLOOKUP(B57,Misc_inputs!$A$3:$B$33,2,0)</f>
        <v>0.51307917271416026</v>
      </c>
      <c r="B57" s="168">
        <v>2015</v>
      </c>
      <c r="C57" s="169" t="s">
        <v>429</v>
      </c>
      <c r="D57" s="187" t="e">
        <f t="shared" ref="D57:D72" si="86">C57*$A57/100</f>
        <v>#VALUE!</v>
      </c>
      <c r="E57" s="188" t="e">
        <f t="shared" si="75"/>
        <v>#VALUE!</v>
      </c>
      <c r="F57" s="169" t="s">
        <v>429</v>
      </c>
      <c r="G57" s="187" t="e">
        <f t="shared" ref="G57:G72" si="87">F57*$A57/100</f>
        <v>#VALUE!</v>
      </c>
      <c r="H57" s="188" t="e">
        <f t="shared" si="77"/>
        <v>#VALUE!</v>
      </c>
      <c r="I57" s="169" t="s">
        <v>429</v>
      </c>
      <c r="J57" s="187" t="e">
        <f t="shared" ref="J57:J72" si="88">I57*$A57/100</f>
        <v>#VALUE!</v>
      </c>
      <c r="K57" s="188" t="e">
        <f t="shared" si="79"/>
        <v>#VALUE!</v>
      </c>
      <c r="L57" s="169" t="s">
        <v>429</v>
      </c>
      <c r="M57" s="187" t="e">
        <f t="shared" ref="M57:M72" si="89">L57*$A57/100</f>
        <v>#VALUE!</v>
      </c>
      <c r="N57" s="188" t="e">
        <f t="shared" si="81"/>
        <v>#VALUE!</v>
      </c>
      <c r="O57" s="169" t="s">
        <v>429</v>
      </c>
      <c r="P57" s="187" t="e">
        <f t="shared" ref="P57:P72" si="90">O57*$A57/100</f>
        <v>#VALUE!</v>
      </c>
      <c r="Q57" s="188" t="e">
        <f t="shared" si="83"/>
        <v>#VALUE!</v>
      </c>
      <c r="R57" s="169" t="s">
        <v>429</v>
      </c>
      <c r="S57" s="187" t="e">
        <f t="shared" ref="S57:S72" si="91">R57*$A57/100</f>
        <v>#VALUE!</v>
      </c>
      <c r="T57" s="188" t="e">
        <f t="shared" si="85"/>
        <v>#VALUE!</v>
      </c>
      <c r="U57" s="187" t="e">
        <f t="shared" si="73"/>
        <v>#VALUE!</v>
      </c>
    </row>
    <row r="58" spans="1:21">
      <c r="A58" s="169">
        <f>VLOOKUP(B58,Misc_inputs!$A$3:$B$33,2,0)</f>
        <v>1.8963035451147277</v>
      </c>
      <c r="B58" s="168">
        <v>2016</v>
      </c>
      <c r="C58" s="169" t="s">
        <v>429</v>
      </c>
      <c r="D58" s="187" t="e">
        <f t="shared" si="86"/>
        <v>#VALUE!</v>
      </c>
      <c r="E58" s="188" t="e">
        <f t="shared" si="75"/>
        <v>#VALUE!</v>
      </c>
      <c r="F58" s="169" t="s">
        <v>429</v>
      </c>
      <c r="G58" s="187" t="e">
        <f t="shared" si="87"/>
        <v>#VALUE!</v>
      </c>
      <c r="H58" s="188" t="e">
        <f t="shared" si="77"/>
        <v>#VALUE!</v>
      </c>
      <c r="I58" s="169" t="s">
        <v>429</v>
      </c>
      <c r="J58" s="187" t="e">
        <f t="shared" si="88"/>
        <v>#VALUE!</v>
      </c>
      <c r="K58" s="188" t="e">
        <f t="shared" si="79"/>
        <v>#VALUE!</v>
      </c>
      <c r="L58" s="169" t="s">
        <v>429</v>
      </c>
      <c r="M58" s="187" t="e">
        <f t="shared" si="89"/>
        <v>#VALUE!</v>
      </c>
      <c r="N58" s="188" t="e">
        <f t="shared" si="81"/>
        <v>#VALUE!</v>
      </c>
      <c r="O58" s="169" t="s">
        <v>429</v>
      </c>
      <c r="P58" s="187" t="e">
        <f t="shared" si="90"/>
        <v>#VALUE!</v>
      </c>
      <c r="Q58" s="188" t="e">
        <f t="shared" si="83"/>
        <v>#VALUE!</v>
      </c>
      <c r="R58" s="169" t="s">
        <v>429</v>
      </c>
      <c r="S58" s="187" t="e">
        <f t="shared" si="91"/>
        <v>#VALUE!</v>
      </c>
      <c r="T58" s="188" t="e">
        <f t="shared" si="85"/>
        <v>#VALUE!</v>
      </c>
      <c r="U58" s="187" t="e">
        <f t="shared" si="73"/>
        <v>#VALUE!</v>
      </c>
    </row>
    <row r="59" spans="1:21">
      <c r="A59" s="169">
        <f>VLOOKUP(B59,Misc_inputs!$A$3:$B$33,2,0)</f>
        <v>1.8209228570152332</v>
      </c>
      <c r="B59" s="168">
        <v>2017</v>
      </c>
      <c r="C59" s="169" t="s">
        <v>429</v>
      </c>
      <c r="D59" s="187" t="e">
        <f t="shared" si="86"/>
        <v>#VALUE!</v>
      </c>
      <c r="E59" s="188" t="e">
        <f t="shared" si="75"/>
        <v>#VALUE!</v>
      </c>
      <c r="F59" s="169" t="s">
        <v>429</v>
      </c>
      <c r="G59" s="187" t="e">
        <f t="shared" si="87"/>
        <v>#VALUE!</v>
      </c>
      <c r="H59" s="188" t="e">
        <f t="shared" si="77"/>
        <v>#VALUE!</v>
      </c>
      <c r="I59" s="169" t="s">
        <v>429</v>
      </c>
      <c r="J59" s="187" t="e">
        <f t="shared" si="88"/>
        <v>#VALUE!</v>
      </c>
      <c r="K59" s="188" t="e">
        <f t="shared" si="79"/>
        <v>#VALUE!</v>
      </c>
      <c r="L59" s="169" t="s">
        <v>429</v>
      </c>
      <c r="M59" s="187" t="e">
        <f t="shared" si="89"/>
        <v>#VALUE!</v>
      </c>
      <c r="N59" s="188" t="e">
        <f t="shared" si="81"/>
        <v>#VALUE!</v>
      </c>
      <c r="O59" s="169" t="s">
        <v>429</v>
      </c>
      <c r="P59" s="187" t="e">
        <f t="shared" si="90"/>
        <v>#VALUE!</v>
      </c>
      <c r="Q59" s="188" t="e">
        <f t="shared" si="83"/>
        <v>#VALUE!</v>
      </c>
      <c r="R59" s="169" t="s">
        <v>429</v>
      </c>
      <c r="S59" s="187" t="e">
        <f t="shared" si="91"/>
        <v>#VALUE!</v>
      </c>
      <c r="T59" s="188" t="e">
        <f t="shared" si="85"/>
        <v>#VALUE!</v>
      </c>
      <c r="U59" s="187" t="e">
        <f t="shared" si="73"/>
        <v>#VALUE!</v>
      </c>
    </row>
    <row r="60" spans="1:21">
      <c r="A60" s="169">
        <f>VLOOKUP(B60,Misc_inputs!$A$3:$B$33,2,0)</f>
        <v>1.9988242855231282</v>
      </c>
      <c r="B60" s="168">
        <v>2018</v>
      </c>
      <c r="C60" s="169" t="s">
        <v>429</v>
      </c>
      <c r="D60" s="187" t="e">
        <f t="shared" si="86"/>
        <v>#VALUE!</v>
      </c>
      <c r="E60" s="188" t="e">
        <f t="shared" si="75"/>
        <v>#VALUE!</v>
      </c>
      <c r="F60" s="169" t="s">
        <v>429</v>
      </c>
      <c r="G60" s="187" t="e">
        <f t="shared" si="87"/>
        <v>#VALUE!</v>
      </c>
      <c r="H60" s="188" t="e">
        <f t="shared" si="77"/>
        <v>#VALUE!</v>
      </c>
      <c r="I60" s="169" t="s">
        <v>429</v>
      </c>
      <c r="J60" s="187" t="e">
        <f t="shared" si="88"/>
        <v>#VALUE!</v>
      </c>
      <c r="K60" s="188" t="e">
        <f t="shared" si="79"/>
        <v>#VALUE!</v>
      </c>
      <c r="L60" s="169" t="s">
        <v>429</v>
      </c>
      <c r="M60" s="187" t="e">
        <f t="shared" si="89"/>
        <v>#VALUE!</v>
      </c>
      <c r="N60" s="188" t="e">
        <f t="shared" si="81"/>
        <v>#VALUE!</v>
      </c>
      <c r="O60" s="169" t="s">
        <v>429</v>
      </c>
      <c r="P60" s="187" t="e">
        <f t="shared" si="90"/>
        <v>#VALUE!</v>
      </c>
      <c r="Q60" s="188" t="e">
        <f t="shared" si="83"/>
        <v>#VALUE!</v>
      </c>
      <c r="R60" s="169" t="s">
        <v>429</v>
      </c>
      <c r="S60" s="187" t="e">
        <f t="shared" si="91"/>
        <v>#VALUE!</v>
      </c>
      <c r="T60" s="188" t="e">
        <f t="shared" si="85"/>
        <v>#VALUE!</v>
      </c>
      <c r="U60" s="187" t="e">
        <f t="shared" si="73"/>
        <v>#VALUE!</v>
      </c>
    </row>
    <row r="61" spans="1:21">
      <c r="A61" s="169">
        <f>VLOOKUP(B61,Misc_inputs!$A$3:$B$33,2,0)</f>
        <v>2.0163202370724722</v>
      </c>
      <c r="B61" s="168">
        <v>2019</v>
      </c>
      <c r="C61" s="169" t="s">
        <v>429</v>
      </c>
      <c r="D61" s="187" t="e">
        <f t="shared" si="86"/>
        <v>#VALUE!</v>
      </c>
      <c r="E61" s="188" t="e">
        <f t="shared" si="75"/>
        <v>#VALUE!</v>
      </c>
      <c r="F61" s="169" t="s">
        <v>429</v>
      </c>
      <c r="G61" s="187" t="e">
        <f t="shared" si="87"/>
        <v>#VALUE!</v>
      </c>
      <c r="H61" s="188" t="e">
        <f t="shared" si="77"/>
        <v>#VALUE!</v>
      </c>
      <c r="I61" s="169" t="s">
        <v>429</v>
      </c>
      <c r="J61" s="187" t="e">
        <f t="shared" si="88"/>
        <v>#VALUE!</v>
      </c>
      <c r="K61" s="188" t="e">
        <f t="shared" si="79"/>
        <v>#VALUE!</v>
      </c>
      <c r="L61" s="169" t="s">
        <v>429</v>
      </c>
      <c r="M61" s="187" t="e">
        <f t="shared" si="89"/>
        <v>#VALUE!</v>
      </c>
      <c r="N61" s="188" t="e">
        <f t="shared" si="81"/>
        <v>#VALUE!</v>
      </c>
      <c r="O61" s="169" t="s">
        <v>429</v>
      </c>
      <c r="P61" s="187" t="e">
        <f t="shared" si="90"/>
        <v>#VALUE!</v>
      </c>
      <c r="Q61" s="188" t="e">
        <f t="shared" si="83"/>
        <v>#VALUE!</v>
      </c>
      <c r="R61" s="169" t="s">
        <v>429</v>
      </c>
      <c r="S61" s="187" t="e">
        <f t="shared" si="91"/>
        <v>#VALUE!</v>
      </c>
      <c r="T61" s="188" t="e">
        <f t="shared" si="85"/>
        <v>#VALUE!</v>
      </c>
      <c r="U61" s="187" t="e">
        <f t="shared" si="73"/>
        <v>#VALUE!</v>
      </c>
    </row>
    <row r="62" spans="1:21">
      <c r="A62" s="169">
        <f>VLOOKUP(B62,Misc_inputs!$A$3:$B$33,2,0)</f>
        <v>5.3200852056836103</v>
      </c>
      <c r="B62" s="168">
        <v>2020</v>
      </c>
      <c r="C62" s="169" t="s">
        <v>429</v>
      </c>
      <c r="D62" s="187" t="e">
        <f t="shared" si="86"/>
        <v>#VALUE!</v>
      </c>
      <c r="E62" s="188" t="e">
        <f t="shared" si="75"/>
        <v>#VALUE!</v>
      </c>
      <c r="F62" s="169" t="s">
        <v>429</v>
      </c>
      <c r="G62" s="187" t="e">
        <f t="shared" si="87"/>
        <v>#VALUE!</v>
      </c>
      <c r="H62" s="188" t="e">
        <f t="shared" si="77"/>
        <v>#VALUE!</v>
      </c>
      <c r="I62" s="169" t="s">
        <v>429</v>
      </c>
      <c r="J62" s="187" t="e">
        <f t="shared" si="88"/>
        <v>#VALUE!</v>
      </c>
      <c r="K62" s="188" t="e">
        <f t="shared" si="79"/>
        <v>#VALUE!</v>
      </c>
      <c r="L62" s="169" t="s">
        <v>429</v>
      </c>
      <c r="M62" s="187" t="e">
        <f t="shared" si="89"/>
        <v>#VALUE!</v>
      </c>
      <c r="N62" s="188" t="e">
        <f t="shared" si="81"/>
        <v>#VALUE!</v>
      </c>
      <c r="O62" s="169" t="s">
        <v>429</v>
      </c>
      <c r="P62" s="187" t="e">
        <f t="shared" si="90"/>
        <v>#VALUE!</v>
      </c>
      <c r="Q62" s="188" t="e">
        <f t="shared" si="83"/>
        <v>#VALUE!</v>
      </c>
      <c r="R62" s="169" t="s">
        <v>429</v>
      </c>
      <c r="S62" s="187" t="e">
        <f t="shared" si="91"/>
        <v>#VALUE!</v>
      </c>
      <c r="T62" s="188" t="e">
        <f t="shared" si="85"/>
        <v>#VALUE!</v>
      </c>
      <c r="U62" s="187" t="e">
        <f t="shared" si="73"/>
        <v>#VALUE!</v>
      </c>
    </row>
    <row r="63" spans="1:21">
      <c r="A63" s="169">
        <f>VLOOKUP(B63,Misc_inputs!$A$3:$B$33,2,0)</f>
        <v>7.6258108678813302E-2</v>
      </c>
      <c r="B63" s="168">
        <v>2021</v>
      </c>
      <c r="C63" s="169" t="s">
        <v>429</v>
      </c>
      <c r="D63" s="187" t="e">
        <f t="shared" si="86"/>
        <v>#VALUE!</v>
      </c>
      <c r="E63" s="188" t="e">
        <f t="shared" si="75"/>
        <v>#VALUE!</v>
      </c>
      <c r="F63" s="169" t="s">
        <v>429</v>
      </c>
      <c r="G63" s="187" t="e">
        <f t="shared" si="87"/>
        <v>#VALUE!</v>
      </c>
      <c r="H63" s="188" t="e">
        <f t="shared" si="77"/>
        <v>#VALUE!</v>
      </c>
      <c r="I63" s="169" t="s">
        <v>429</v>
      </c>
      <c r="J63" s="187" t="e">
        <f t="shared" si="88"/>
        <v>#VALUE!</v>
      </c>
      <c r="K63" s="188" t="e">
        <f t="shared" si="79"/>
        <v>#VALUE!</v>
      </c>
      <c r="L63" s="169" t="s">
        <v>429</v>
      </c>
      <c r="M63" s="187" t="e">
        <f t="shared" si="89"/>
        <v>#VALUE!</v>
      </c>
      <c r="N63" s="188" t="e">
        <f t="shared" si="81"/>
        <v>#VALUE!</v>
      </c>
      <c r="O63" s="169" t="s">
        <v>429</v>
      </c>
      <c r="P63" s="187" t="e">
        <f t="shared" si="90"/>
        <v>#VALUE!</v>
      </c>
      <c r="Q63" s="188" t="e">
        <f t="shared" si="83"/>
        <v>#VALUE!</v>
      </c>
      <c r="R63" s="169" t="s">
        <v>429</v>
      </c>
      <c r="S63" s="187" t="e">
        <f t="shared" si="91"/>
        <v>#VALUE!</v>
      </c>
      <c r="T63" s="188" t="e">
        <f t="shared" si="85"/>
        <v>#VALUE!</v>
      </c>
      <c r="U63" s="187" t="e">
        <f t="shared" si="73"/>
        <v>#VALUE!</v>
      </c>
    </row>
    <row r="64" spans="1:21">
      <c r="A64" s="169">
        <f>VLOOKUP(B64,Misc_inputs!$A$3:$B$33,2,0)</f>
        <v>2.8492930312000952</v>
      </c>
      <c r="B64" s="168">
        <v>2022</v>
      </c>
      <c r="C64" s="169" t="s">
        <v>429</v>
      </c>
      <c r="D64" s="187" t="e">
        <f t="shared" si="86"/>
        <v>#VALUE!</v>
      </c>
      <c r="E64" s="188" t="e">
        <f t="shared" si="75"/>
        <v>#VALUE!</v>
      </c>
      <c r="F64" s="169" t="s">
        <v>429</v>
      </c>
      <c r="G64" s="187" t="e">
        <f t="shared" si="87"/>
        <v>#VALUE!</v>
      </c>
      <c r="H64" s="188" t="e">
        <f t="shared" si="77"/>
        <v>#VALUE!</v>
      </c>
      <c r="I64" s="169" t="s">
        <v>429</v>
      </c>
      <c r="J64" s="187" t="e">
        <f t="shared" si="88"/>
        <v>#VALUE!</v>
      </c>
      <c r="K64" s="188" t="e">
        <f t="shared" si="79"/>
        <v>#VALUE!</v>
      </c>
      <c r="L64" s="169" t="s">
        <v>429</v>
      </c>
      <c r="M64" s="187" t="e">
        <f t="shared" si="89"/>
        <v>#VALUE!</v>
      </c>
      <c r="N64" s="188" t="e">
        <f t="shared" si="81"/>
        <v>#VALUE!</v>
      </c>
      <c r="O64" s="169" t="s">
        <v>429</v>
      </c>
      <c r="P64" s="187" t="e">
        <f t="shared" si="90"/>
        <v>#VALUE!</v>
      </c>
      <c r="Q64" s="188" t="e">
        <f t="shared" si="83"/>
        <v>#VALUE!</v>
      </c>
      <c r="R64" s="169" t="s">
        <v>429</v>
      </c>
      <c r="S64" s="187" t="e">
        <f t="shared" si="91"/>
        <v>#VALUE!</v>
      </c>
      <c r="T64" s="188" t="e">
        <f t="shared" si="85"/>
        <v>#VALUE!</v>
      </c>
      <c r="U64" s="187" t="e">
        <f t="shared" si="73"/>
        <v>#VALUE!</v>
      </c>
    </row>
    <row r="65" spans="1:21">
      <c r="A65" s="169">
        <f>VLOOKUP(B65,Misc_inputs!$A$3:$B$33,2,0)</f>
        <v>3.143440902459993</v>
      </c>
      <c r="B65" s="168">
        <v>2023</v>
      </c>
      <c r="C65" s="169" t="s">
        <v>429</v>
      </c>
      <c r="D65" s="187" t="e">
        <f t="shared" si="86"/>
        <v>#VALUE!</v>
      </c>
      <c r="E65" s="188" t="e">
        <f t="shared" si="75"/>
        <v>#VALUE!</v>
      </c>
      <c r="F65" s="169" t="s">
        <v>429</v>
      </c>
      <c r="G65" s="187" t="e">
        <f t="shared" si="87"/>
        <v>#VALUE!</v>
      </c>
      <c r="H65" s="188" t="e">
        <f t="shared" si="77"/>
        <v>#VALUE!</v>
      </c>
      <c r="I65" s="169" t="s">
        <v>429</v>
      </c>
      <c r="J65" s="187" t="e">
        <f t="shared" si="88"/>
        <v>#VALUE!</v>
      </c>
      <c r="K65" s="188" t="e">
        <f t="shared" si="79"/>
        <v>#VALUE!</v>
      </c>
      <c r="L65" s="169" t="s">
        <v>429</v>
      </c>
      <c r="M65" s="187" t="e">
        <f t="shared" si="89"/>
        <v>#VALUE!</v>
      </c>
      <c r="N65" s="188" t="e">
        <f t="shared" si="81"/>
        <v>#VALUE!</v>
      </c>
      <c r="O65" s="169" t="s">
        <v>429</v>
      </c>
      <c r="P65" s="187" t="e">
        <f t="shared" si="90"/>
        <v>#VALUE!</v>
      </c>
      <c r="Q65" s="188" t="e">
        <f t="shared" si="83"/>
        <v>#VALUE!</v>
      </c>
      <c r="R65" s="169" t="s">
        <v>429</v>
      </c>
      <c r="S65" s="187" t="e">
        <f t="shared" si="91"/>
        <v>#VALUE!</v>
      </c>
      <c r="T65" s="188" t="e">
        <f t="shared" si="85"/>
        <v>#VALUE!</v>
      </c>
      <c r="U65" s="187" t="e">
        <f t="shared" si="73"/>
        <v>#VALUE!</v>
      </c>
    </row>
    <row r="66" spans="1:21">
      <c r="A66" s="169">
        <f>VLOOKUP(B66,Misc_inputs!$A$3:$B$33,2,0)</f>
        <v>1.8594732384912049</v>
      </c>
      <c r="B66" s="168">
        <v>2024</v>
      </c>
      <c r="C66" s="169" t="s">
        <v>429</v>
      </c>
      <c r="D66" s="187" t="e">
        <f t="shared" si="86"/>
        <v>#VALUE!</v>
      </c>
      <c r="E66" s="188" t="e">
        <f t="shared" si="75"/>
        <v>#VALUE!</v>
      </c>
      <c r="F66" s="169" t="s">
        <v>429</v>
      </c>
      <c r="G66" s="187" t="e">
        <f t="shared" si="87"/>
        <v>#VALUE!</v>
      </c>
      <c r="H66" s="188" t="e">
        <f t="shared" si="77"/>
        <v>#VALUE!</v>
      </c>
      <c r="I66" s="169" t="s">
        <v>429</v>
      </c>
      <c r="J66" s="187" t="e">
        <f t="shared" si="88"/>
        <v>#VALUE!</v>
      </c>
      <c r="K66" s="188" t="e">
        <f t="shared" si="79"/>
        <v>#VALUE!</v>
      </c>
      <c r="L66" s="169" t="s">
        <v>429</v>
      </c>
      <c r="M66" s="187" t="e">
        <f t="shared" si="89"/>
        <v>#VALUE!</v>
      </c>
      <c r="N66" s="188" t="e">
        <f t="shared" si="81"/>
        <v>#VALUE!</v>
      </c>
      <c r="O66" s="169" t="s">
        <v>429</v>
      </c>
      <c r="P66" s="187" t="e">
        <f t="shared" si="90"/>
        <v>#VALUE!</v>
      </c>
      <c r="Q66" s="188" t="e">
        <f t="shared" si="83"/>
        <v>#VALUE!</v>
      </c>
      <c r="R66" s="169" t="s">
        <v>429</v>
      </c>
      <c r="S66" s="187" t="e">
        <f t="shared" si="91"/>
        <v>#VALUE!</v>
      </c>
      <c r="T66" s="188" t="e">
        <f t="shared" si="85"/>
        <v>#VALUE!</v>
      </c>
      <c r="U66" s="187" t="e">
        <f t="shared" si="73"/>
        <v>#VALUE!</v>
      </c>
    </row>
    <row r="67" spans="1:21">
      <c r="A67" s="169">
        <f>VLOOKUP(B67,Misc_inputs!$A$3:$B$33,2,0)</f>
        <v>1.892198034308179</v>
      </c>
      <c r="B67" s="168">
        <v>2025</v>
      </c>
      <c r="C67" s="169" t="s">
        <v>429</v>
      </c>
      <c r="D67" s="187" t="e">
        <f t="shared" si="86"/>
        <v>#VALUE!</v>
      </c>
      <c r="E67" s="188" t="e">
        <f t="shared" si="75"/>
        <v>#VALUE!</v>
      </c>
      <c r="F67" s="169" t="s">
        <v>429</v>
      </c>
      <c r="G67" s="187" t="e">
        <f t="shared" si="87"/>
        <v>#VALUE!</v>
      </c>
      <c r="H67" s="188" t="e">
        <f t="shared" si="77"/>
        <v>#VALUE!</v>
      </c>
      <c r="I67" s="169" t="s">
        <v>429</v>
      </c>
      <c r="J67" s="187" t="e">
        <f t="shared" si="88"/>
        <v>#VALUE!</v>
      </c>
      <c r="K67" s="188" t="e">
        <f t="shared" si="79"/>
        <v>#VALUE!</v>
      </c>
      <c r="L67" s="169" t="s">
        <v>429</v>
      </c>
      <c r="M67" s="187" t="e">
        <f t="shared" si="89"/>
        <v>#VALUE!</v>
      </c>
      <c r="N67" s="188" t="e">
        <f t="shared" si="81"/>
        <v>#VALUE!</v>
      </c>
      <c r="O67" s="169" t="s">
        <v>429</v>
      </c>
      <c r="P67" s="187" t="e">
        <f t="shared" si="90"/>
        <v>#VALUE!</v>
      </c>
      <c r="Q67" s="188" t="e">
        <f t="shared" si="83"/>
        <v>#VALUE!</v>
      </c>
      <c r="R67" s="169" t="s">
        <v>429</v>
      </c>
      <c r="S67" s="187" t="e">
        <f t="shared" si="91"/>
        <v>#VALUE!</v>
      </c>
      <c r="T67" s="188" t="e">
        <f t="shared" si="85"/>
        <v>#VALUE!</v>
      </c>
      <c r="U67" s="187" t="e">
        <f t="shared" si="73"/>
        <v>#VALUE!</v>
      </c>
    </row>
    <row r="68" spans="1:21">
      <c r="A68" s="169">
        <f>VLOOKUP(B68,Misc_inputs!$A$3:$B$33,2,0)</f>
        <v>2.0003592159356653</v>
      </c>
      <c r="B68" s="168">
        <v>2026</v>
      </c>
      <c r="C68" s="169" t="s">
        <v>429</v>
      </c>
      <c r="D68" s="187" t="e">
        <f t="shared" si="86"/>
        <v>#VALUE!</v>
      </c>
      <c r="E68" s="188" t="e">
        <f t="shared" si="75"/>
        <v>#VALUE!</v>
      </c>
      <c r="F68" s="169" t="s">
        <v>429</v>
      </c>
      <c r="G68" s="187" t="e">
        <f t="shared" si="87"/>
        <v>#VALUE!</v>
      </c>
      <c r="H68" s="188" t="e">
        <f t="shared" si="77"/>
        <v>#VALUE!</v>
      </c>
      <c r="I68" s="169" t="s">
        <v>429</v>
      </c>
      <c r="J68" s="187" t="e">
        <f t="shared" si="88"/>
        <v>#VALUE!</v>
      </c>
      <c r="K68" s="188" t="e">
        <f t="shared" si="79"/>
        <v>#VALUE!</v>
      </c>
      <c r="L68" s="169" t="s">
        <v>429</v>
      </c>
      <c r="M68" s="187" t="e">
        <f t="shared" si="89"/>
        <v>#VALUE!</v>
      </c>
      <c r="N68" s="188" t="e">
        <f t="shared" si="81"/>
        <v>#VALUE!</v>
      </c>
      <c r="O68" s="169" t="s">
        <v>429</v>
      </c>
      <c r="P68" s="187" t="e">
        <f t="shared" si="90"/>
        <v>#VALUE!</v>
      </c>
      <c r="Q68" s="188" t="e">
        <f t="shared" si="83"/>
        <v>#VALUE!</v>
      </c>
      <c r="R68" s="169" t="s">
        <v>429</v>
      </c>
      <c r="S68" s="187" t="e">
        <f t="shared" si="91"/>
        <v>#VALUE!</v>
      </c>
      <c r="T68" s="188" t="e">
        <f t="shared" si="85"/>
        <v>#VALUE!</v>
      </c>
      <c r="U68" s="187" t="e">
        <f t="shared" si="73"/>
        <v>#VALUE!</v>
      </c>
    </row>
    <row r="69" spans="1:21">
      <c r="A69" s="169">
        <f>VLOOKUP(B69,Misc_inputs!$A$3:$B$33,2,0)</f>
        <v>0</v>
      </c>
      <c r="B69" s="168">
        <v>2027</v>
      </c>
      <c r="C69" s="169" t="s">
        <v>429</v>
      </c>
      <c r="D69" s="187" t="e">
        <f t="shared" si="86"/>
        <v>#VALUE!</v>
      </c>
      <c r="E69" s="188" t="e">
        <f t="shared" si="75"/>
        <v>#VALUE!</v>
      </c>
      <c r="F69" s="169" t="s">
        <v>429</v>
      </c>
      <c r="G69" s="187" t="e">
        <f t="shared" si="87"/>
        <v>#VALUE!</v>
      </c>
      <c r="H69" s="188" t="e">
        <f t="shared" si="77"/>
        <v>#VALUE!</v>
      </c>
      <c r="I69" s="169" t="s">
        <v>429</v>
      </c>
      <c r="J69" s="187" t="e">
        <f t="shared" si="88"/>
        <v>#VALUE!</v>
      </c>
      <c r="K69" s="188" t="e">
        <f t="shared" si="79"/>
        <v>#VALUE!</v>
      </c>
      <c r="L69" s="169" t="s">
        <v>429</v>
      </c>
      <c r="M69" s="187" t="e">
        <f t="shared" si="89"/>
        <v>#VALUE!</v>
      </c>
      <c r="N69" s="188" t="e">
        <f t="shared" si="81"/>
        <v>#VALUE!</v>
      </c>
      <c r="O69" s="169" t="s">
        <v>429</v>
      </c>
      <c r="P69" s="187" t="e">
        <f t="shared" si="90"/>
        <v>#VALUE!</v>
      </c>
      <c r="Q69" s="188" t="e">
        <f t="shared" si="83"/>
        <v>#VALUE!</v>
      </c>
      <c r="R69" s="169" t="s">
        <v>429</v>
      </c>
      <c r="S69" s="187" t="e">
        <f t="shared" si="91"/>
        <v>#VALUE!</v>
      </c>
      <c r="T69" s="188" t="e">
        <f t="shared" si="85"/>
        <v>#VALUE!</v>
      </c>
      <c r="U69" s="187" t="e">
        <f t="shared" si="73"/>
        <v>#VALUE!</v>
      </c>
    </row>
    <row r="70" spans="1:21">
      <c r="A70" s="169">
        <f>VLOOKUP(B70,Misc_inputs!$A$3:$B$33,2,0)</f>
        <v>0</v>
      </c>
      <c r="B70" s="168">
        <v>2028</v>
      </c>
      <c r="C70" s="169" t="s">
        <v>429</v>
      </c>
      <c r="D70" s="187" t="e">
        <f t="shared" si="86"/>
        <v>#VALUE!</v>
      </c>
      <c r="E70" s="188" t="e">
        <f t="shared" si="75"/>
        <v>#VALUE!</v>
      </c>
      <c r="F70" s="169" t="s">
        <v>429</v>
      </c>
      <c r="G70" s="187" t="e">
        <f t="shared" si="87"/>
        <v>#VALUE!</v>
      </c>
      <c r="H70" s="188" t="e">
        <f t="shared" si="77"/>
        <v>#VALUE!</v>
      </c>
      <c r="I70" s="169" t="s">
        <v>429</v>
      </c>
      <c r="J70" s="187" t="e">
        <f t="shared" si="88"/>
        <v>#VALUE!</v>
      </c>
      <c r="K70" s="188" t="e">
        <f t="shared" si="79"/>
        <v>#VALUE!</v>
      </c>
      <c r="L70" s="169" t="s">
        <v>429</v>
      </c>
      <c r="M70" s="187" t="e">
        <f t="shared" si="89"/>
        <v>#VALUE!</v>
      </c>
      <c r="N70" s="188" t="e">
        <f t="shared" si="81"/>
        <v>#VALUE!</v>
      </c>
      <c r="O70" s="169" t="s">
        <v>429</v>
      </c>
      <c r="P70" s="187" t="e">
        <f t="shared" si="90"/>
        <v>#VALUE!</v>
      </c>
      <c r="Q70" s="188" t="e">
        <f t="shared" si="83"/>
        <v>#VALUE!</v>
      </c>
      <c r="R70" s="169" t="s">
        <v>429</v>
      </c>
      <c r="S70" s="187" t="e">
        <f t="shared" si="91"/>
        <v>#VALUE!</v>
      </c>
      <c r="T70" s="188" t="e">
        <f t="shared" si="85"/>
        <v>#VALUE!</v>
      </c>
      <c r="U70" s="187" t="e">
        <f t="shared" si="73"/>
        <v>#VALUE!</v>
      </c>
    </row>
    <row r="71" spans="1:21">
      <c r="A71" s="169">
        <f>VLOOKUP(B71,Misc_inputs!$A$3:$B$33,2,0)</f>
        <v>0</v>
      </c>
      <c r="B71" s="168">
        <v>2029</v>
      </c>
      <c r="C71" s="169" t="s">
        <v>429</v>
      </c>
      <c r="D71" s="187" t="e">
        <f t="shared" si="86"/>
        <v>#VALUE!</v>
      </c>
      <c r="E71" s="188" t="e">
        <f t="shared" si="75"/>
        <v>#VALUE!</v>
      </c>
      <c r="F71" s="169" t="s">
        <v>429</v>
      </c>
      <c r="G71" s="187" t="e">
        <f t="shared" si="87"/>
        <v>#VALUE!</v>
      </c>
      <c r="H71" s="188" t="e">
        <f t="shared" si="77"/>
        <v>#VALUE!</v>
      </c>
      <c r="I71" s="169" t="s">
        <v>429</v>
      </c>
      <c r="J71" s="187" t="e">
        <f t="shared" si="88"/>
        <v>#VALUE!</v>
      </c>
      <c r="K71" s="188" t="e">
        <f t="shared" si="79"/>
        <v>#VALUE!</v>
      </c>
      <c r="L71" s="169" t="s">
        <v>429</v>
      </c>
      <c r="M71" s="187" t="e">
        <f t="shared" si="89"/>
        <v>#VALUE!</v>
      </c>
      <c r="N71" s="188" t="e">
        <f t="shared" si="81"/>
        <v>#VALUE!</v>
      </c>
      <c r="O71" s="169" t="s">
        <v>429</v>
      </c>
      <c r="P71" s="187" t="e">
        <f t="shared" si="90"/>
        <v>#VALUE!</v>
      </c>
      <c r="Q71" s="188" t="e">
        <f t="shared" si="83"/>
        <v>#VALUE!</v>
      </c>
      <c r="R71" s="169" t="s">
        <v>429</v>
      </c>
      <c r="S71" s="187" t="e">
        <f t="shared" si="91"/>
        <v>#VALUE!</v>
      </c>
      <c r="T71" s="188" t="e">
        <f t="shared" si="85"/>
        <v>#VALUE!</v>
      </c>
      <c r="U71" s="187" t="e">
        <f t="shared" si="73"/>
        <v>#VALUE!</v>
      </c>
    </row>
    <row r="72" spans="1:21">
      <c r="A72" s="169">
        <f>VLOOKUP(B72,Misc_inputs!$A$3:$B$33,2,0)</f>
        <v>0</v>
      </c>
      <c r="B72" s="168">
        <v>2030</v>
      </c>
      <c r="C72" s="169" t="s">
        <v>429</v>
      </c>
      <c r="D72" s="187" t="e">
        <f t="shared" si="86"/>
        <v>#VALUE!</v>
      </c>
      <c r="E72" s="188" t="e">
        <f t="shared" si="75"/>
        <v>#VALUE!</v>
      </c>
      <c r="F72" s="169" t="s">
        <v>429</v>
      </c>
      <c r="G72" s="187" t="e">
        <f t="shared" si="87"/>
        <v>#VALUE!</v>
      </c>
      <c r="H72" s="188" t="e">
        <f t="shared" si="77"/>
        <v>#VALUE!</v>
      </c>
      <c r="I72" s="169" t="s">
        <v>429</v>
      </c>
      <c r="J72" s="187" t="e">
        <f t="shared" si="88"/>
        <v>#VALUE!</v>
      </c>
      <c r="K72" s="188" t="e">
        <f t="shared" si="79"/>
        <v>#VALUE!</v>
      </c>
      <c r="L72" s="169" t="s">
        <v>429</v>
      </c>
      <c r="M72" s="187" t="e">
        <f t="shared" si="89"/>
        <v>#VALUE!</v>
      </c>
      <c r="N72" s="188" t="e">
        <f t="shared" si="81"/>
        <v>#VALUE!</v>
      </c>
      <c r="O72" s="169" t="s">
        <v>429</v>
      </c>
      <c r="P72" s="187" t="e">
        <f t="shared" si="90"/>
        <v>#VALUE!</v>
      </c>
      <c r="Q72" s="188" t="e">
        <f t="shared" si="83"/>
        <v>#VALUE!</v>
      </c>
      <c r="R72" s="169" t="s">
        <v>429</v>
      </c>
      <c r="S72" s="187" t="e">
        <f t="shared" si="91"/>
        <v>#VALUE!</v>
      </c>
      <c r="T72" s="188" t="e">
        <f t="shared" si="85"/>
        <v>#VALUE!</v>
      </c>
      <c r="U72" s="187" t="e">
        <f t="shared" si="73"/>
        <v>#VALUE!</v>
      </c>
    </row>
    <row r="75" spans="1:21" s="222" customFormat="1">
      <c r="A75" s="222" t="s">
        <v>697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tabColor rgb="FF0070C0"/>
  </sheetPr>
  <dimension ref="A1:AV75"/>
  <sheetViews>
    <sheetView workbookViewId="0"/>
  </sheetViews>
  <sheetFormatPr defaultColWidth="10.921875" defaultRowHeight="15.5"/>
  <cols>
    <col min="1" max="1" width="10.921875" style="169"/>
    <col min="2" max="2" width="10.921875" style="168"/>
    <col min="3" max="3" width="14.61328125" style="168" customWidth="1"/>
    <col min="4" max="4" width="11.4609375" style="168" customWidth="1"/>
    <col min="5" max="5" width="14.23046875" style="193" customWidth="1"/>
    <col min="6" max="6" width="12.921875" style="168" customWidth="1"/>
    <col min="7" max="7" width="11.4609375" style="168" customWidth="1"/>
    <col min="8" max="8" width="14.23046875" style="193" customWidth="1"/>
    <col min="9" max="10" width="10.921875" style="168"/>
    <col min="11" max="11" width="10.921875" style="193"/>
    <col min="12" max="12" width="11.69140625" style="168" customWidth="1"/>
    <col min="13" max="13" width="10.921875" style="168"/>
    <col min="14" max="14" width="11.4609375" style="193" customWidth="1"/>
    <col min="15" max="16" width="10.921875" style="168"/>
    <col min="17" max="17" width="10.921875" style="193"/>
    <col min="18" max="18" width="13.69140625" style="168" customWidth="1"/>
    <col min="19" max="19" width="10.921875" style="168"/>
    <col min="20" max="20" width="11.4609375" style="193" customWidth="1"/>
    <col min="21" max="22" width="10.921875" style="168"/>
    <col min="23" max="23" width="10.921875" style="193"/>
    <col min="24" max="24" width="14.4609375" style="168" customWidth="1"/>
    <col min="25" max="25" width="10.921875" style="168"/>
    <col min="26" max="26" width="10.921875" style="193"/>
    <col min="27" max="28" width="10.921875" style="168"/>
    <col min="29" max="29" width="10.921875" style="193"/>
    <col min="30" max="31" width="10.921875" style="168"/>
    <col min="32" max="32" width="10.921875" style="193"/>
    <col min="33" max="34" width="10.921875" style="168"/>
    <col min="35" max="35" width="10.921875" style="193"/>
    <col min="36" max="37" width="10.921875" style="168"/>
    <col min="38" max="38" width="10.921875" style="193"/>
    <col min="39" max="40" width="10.921875" style="168"/>
    <col min="41" max="41" width="10.921875" style="193"/>
    <col min="42" max="43" width="10.921875" style="168"/>
    <col min="44" max="44" width="10.921875" style="193"/>
    <col min="45" max="45" width="15.4609375" style="168" customWidth="1"/>
    <col min="46" max="46" width="10.921875" style="168"/>
    <col min="47" max="47" width="10.921875" style="193"/>
    <col min="48" max="48" width="15.4609375" style="168" customWidth="1"/>
    <col min="49" max="16384" width="10.921875" style="169"/>
  </cols>
  <sheetData>
    <row r="1" spans="1:48" s="182" customFormat="1" ht="37.5" customHeight="1">
      <c r="A1" s="179" t="str">
        <f>Cost_of_crime_Raw_data!C40</f>
        <v>Physical and Emotional Harm (PEH)</v>
      </c>
      <c r="B1" s="180"/>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row>
    <row r="2" spans="1:48" s="182" customFormat="1" ht="37.5" customHeight="1">
      <c r="A2" s="183" t="s">
        <v>574</v>
      </c>
      <c r="B2" s="180"/>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row>
    <row r="3" spans="1:48" s="173" customFormat="1" ht="46.5">
      <c r="A3" s="173" t="s">
        <v>539</v>
      </c>
      <c r="B3" s="172" t="s">
        <v>342</v>
      </c>
      <c r="C3" s="184" t="s">
        <v>290</v>
      </c>
      <c r="D3" s="184" t="s">
        <v>540</v>
      </c>
      <c r="E3" s="185" t="s">
        <v>541</v>
      </c>
      <c r="F3" s="184" t="s">
        <v>542</v>
      </c>
      <c r="G3" s="184" t="s">
        <v>540</v>
      </c>
      <c r="H3" s="185" t="s">
        <v>541</v>
      </c>
      <c r="I3" s="184" t="s">
        <v>543</v>
      </c>
      <c r="J3" s="184" t="s">
        <v>540</v>
      </c>
      <c r="K3" s="185" t="s">
        <v>541</v>
      </c>
      <c r="L3" s="184" t="s">
        <v>544</v>
      </c>
      <c r="M3" s="184" t="s">
        <v>540</v>
      </c>
      <c r="N3" s="185" t="s">
        <v>541</v>
      </c>
      <c r="O3" s="184" t="s">
        <v>545</v>
      </c>
      <c r="P3" s="184" t="s">
        <v>540</v>
      </c>
      <c r="Q3" s="185" t="s">
        <v>541</v>
      </c>
      <c r="R3" s="184" t="s">
        <v>292</v>
      </c>
      <c r="S3" s="184" t="s">
        <v>540</v>
      </c>
      <c r="T3" s="185" t="s">
        <v>541</v>
      </c>
      <c r="U3" s="184" t="s">
        <v>546</v>
      </c>
      <c r="V3" s="184" t="s">
        <v>540</v>
      </c>
      <c r="W3" s="185" t="s">
        <v>541</v>
      </c>
      <c r="X3" s="184" t="s">
        <v>547</v>
      </c>
      <c r="Y3" s="184" t="s">
        <v>540</v>
      </c>
      <c r="Z3" s="185" t="s">
        <v>541</v>
      </c>
      <c r="AA3" s="184" t="s">
        <v>548</v>
      </c>
      <c r="AB3" s="184" t="s">
        <v>540</v>
      </c>
      <c r="AC3" s="185" t="s">
        <v>541</v>
      </c>
      <c r="AD3" s="184" t="s">
        <v>549</v>
      </c>
      <c r="AE3" s="184" t="s">
        <v>540</v>
      </c>
      <c r="AF3" s="185" t="s">
        <v>541</v>
      </c>
      <c r="AG3" s="184" t="s">
        <v>550</v>
      </c>
      <c r="AH3" s="184" t="s">
        <v>540</v>
      </c>
      <c r="AI3" s="185" t="s">
        <v>541</v>
      </c>
      <c r="AJ3" s="184" t="s">
        <v>551</v>
      </c>
      <c r="AK3" s="184" t="s">
        <v>540</v>
      </c>
      <c r="AL3" s="185" t="s">
        <v>541</v>
      </c>
      <c r="AM3" s="184" t="s">
        <v>424</v>
      </c>
      <c r="AN3" s="184" t="s">
        <v>540</v>
      </c>
      <c r="AO3" s="185" t="s">
        <v>541</v>
      </c>
      <c r="AP3" s="184" t="s">
        <v>552</v>
      </c>
      <c r="AQ3" s="184" t="s">
        <v>540</v>
      </c>
      <c r="AR3" s="185" t="s">
        <v>541</v>
      </c>
      <c r="AS3" s="184" t="s">
        <v>425</v>
      </c>
    </row>
    <row r="4" spans="1:48">
      <c r="B4" s="168">
        <v>2015</v>
      </c>
      <c r="C4" s="186">
        <f>IF(Cost_of_crime_Raw_data!C43="not estimated","0",IF(Cost_of_crime_Raw_data!C43="N/A","0",Cost_of_crime_Raw_data!C43))</f>
        <v>2082430</v>
      </c>
      <c r="D4" s="187">
        <f>C4*$A4/100</f>
        <v>0</v>
      </c>
      <c r="E4" s="188">
        <f>C4+D4</f>
        <v>2082430</v>
      </c>
      <c r="F4" s="186">
        <f>IF(Cost_of_crime_Raw_data!C44="not estimated","0",IF(Cost_of_crime_Raw_data!C44="N/A","0",Cost_of_crime_Raw_data!C44))</f>
        <v>8240</v>
      </c>
      <c r="G4" s="187">
        <f>F4*$A4/100</f>
        <v>0</v>
      </c>
      <c r="H4" s="188">
        <f>F4+G4</f>
        <v>8240</v>
      </c>
      <c r="I4" s="186">
        <f>IF(Cost_of_crime_Raw_data!C45="not estimated","0",IF(Cost_of_crime_Raw_data!C45="N/A","0",Cost_of_crime_Raw_data!C45))</f>
        <v>2810</v>
      </c>
      <c r="J4" s="187">
        <f>I4*$A4/100</f>
        <v>0</v>
      </c>
      <c r="K4" s="188">
        <f>I4+J4</f>
        <v>2810</v>
      </c>
      <c r="L4" s="186">
        <f>IF(Cost_of_crime_Raw_data!C46="not estimated","0",IF(Cost_of_crime_Raw_data!C46="N/A","0",Cost_of_crime_Raw_data!C46))</f>
        <v>24390</v>
      </c>
      <c r="M4" s="187">
        <f>L4*$A4/100</f>
        <v>0</v>
      </c>
      <c r="N4" s="188">
        <f>L4+M4</f>
        <v>24390</v>
      </c>
      <c r="O4" s="186">
        <f>IF(Cost_of_crime_Raw_data!C47="not estimated","0",IF(Cost_of_crime_Raw_data!C47="N/A","0",Cost_of_crime_Raw_data!C47))</f>
        <v>3700</v>
      </c>
      <c r="P4" s="187">
        <f>O4*$A4/100</f>
        <v>0</v>
      </c>
      <c r="Q4" s="188">
        <f>O4+P4</f>
        <v>3700</v>
      </c>
      <c r="R4" s="186">
        <f>IF(Cost_of_crime_Raw_data!C48="not estimated","0",IF(Cost_of_crime_Raw_data!C48="N/A","0",Cost_of_crime_Raw_data!C48))</f>
        <v>3590</v>
      </c>
      <c r="S4" s="187">
        <f>R4*$A4/100</f>
        <v>0</v>
      </c>
      <c r="T4" s="188">
        <f>R4+S4</f>
        <v>3590</v>
      </c>
      <c r="U4" s="186">
        <f>IF(Cost_of_crime_Raw_data!C49="not estimated","0",IF(Cost_of_crime_Raw_data!C49="N/A","0",Cost_of_crime_Raw_data!C49))</f>
        <v>1190</v>
      </c>
      <c r="V4" s="187">
        <f>U4*$A4/100</f>
        <v>0</v>
      </c>
      <c r="W4" s="188">
        <f>U4+V4</f>
        <v>1190</v>
      </c>
      <c r="X4" s="186">
        <f>Cost_of_crime_Raw_data!C50</f>
        <v>270</v>
      </c>
      <c r="Y4" s="187">
        <f>X4*$A4/100</f>
        <v>0</v>
      </c>
      <c r="Z4" s="188">
        <f>X4+Y4</f>
        <v>270</v>
      </c>
      <c r="AA4" s="186">
        <f>Cost_of_crime_Raw_data!C51</f>
        <v>140</v>
      </c>
      <c r="AB4" s="187">
        <f>AA4*$A4/100</f>
        <v>0</v>
      </c>
      <c r="AC4" s="188">
        <f>AA4+AB4</f>
        <v>140</v>
      </c>
      <c r="AD4" s="186">
        <f>Cost_of_crime_Raw_data!C52</f>
        <v>410</v>
      </c>
      <c r="AE4" s="187">
        <f>AD4*$A4/100</f>
        <v>0</v>
      </c>
      <c r="AF4" s="188">
        <f>AD4+AE4</f>
        <v>410</v>
      </c>
      <c r="AG4" s="186">
        <f>Cost_of_crime_Raw_data!C53</f>
        <v>980</v>
      </c>
      <c r="AH4" s="187">
        <f>AG4*$A4/100</f>
        <v>0</v>
      </c>
      <c r="AI4" s="188">
        <f>AG4+AH4</f>
        <v>980</v>
      </c>
      <c r="AJ4" s="186">
        <f>Cost_of_crime_Raw_data!C54</f>
        <v>270</v>
      </c>
      <c r="AK4" s="187">
        <f>AJ4*$A4/100</f>
        <v>0</v>
      </c>
      <c r="AL4" s="188">
        <f>AJ4+AK4</f>
        <v>270</v>
      </c>
      <c r="AM4" s="186">
        <f>IF(Cost_of_crime_Raw_data!C55="not estimated","0",IF(Cost_of_crime_Raw_data!C55="N/A","0",Cost_of_crime_Raw_data!C55))</f>
        <v>200</v>
      </c>
      <c r="AN4" s="187">
        <f>AM4*$A4/100</f>
        <v>0</v>
      </c>
      <c r="AO4" s="188">
        <f>AM4+AN4</f>
        <v>200</v>
      </c>
      <c r="AP4" s="186">
        <f>IF(Cost_of_crime_Raw_data!C56="not estimated","0",IF(Cost_of_crime_Raw_data!C56="N/A","0",Cost_of_crime_Raw_data!C56))</f>
        <v>150</v>
      </c>
      <c r="AQ4" s="187">
        <f>AP4*$A4/100</f>
        <v>0</v>
      </c>
      <c r="AR4" s="188">
        <f>AP4+AQ4</f>
        <v>150</v>
      </c>
      <c r="AS4" s="186">
        <f>SUM(C4,I4,L4,O4,R4,U4,X4,AD4,AG4,AJ4,AM4,AP4)</f>
        <v>2120390</v>
      </c>
      <c r="AT4" s="169"/>
      <c r="AU4" s="169"/>
      <c r="AV4" s="169"/>
    </row>
    <row r="5" spans="1:48">
      <c r="A5" s="169">
        <f>VLOOKUP(B5,Misc_inputs!$A$3:$B$33,2,0)</f>
        <v>1.8963035451147277</v>
      </c>
      <c r="B5" s="168">
        <v>2016</v>
      </c>
      <c r="C5" s="187">
        <f>E4</f>
        <v>2082430</v>
      </c>
      <c r="D5" s="187">
        <f t="shared" ref="D5" si="0">C5*$A5/100</f>
        <v>39489.193914532625</v>
      </c>
      <c r="E5" s="188">
        <f t="shared" ref="E5" si="1">C5+D5</f>
        <v>2121919.1939145327</v>
      </c>
      <c r="F5" s="187">
        <f>H4</f>
        <v>8240</v>
      </c>
      <c r="G5" s="187">
        <f t="shared" ref="G5" si="2">F5*$A5/100</f>
        <v>156.25541211745357</v>
      </c>
      <c r="H5" s="188">
        <f t="shared" ref="H5" si="3">F5+G5</f>
        <v>8396.2554121174544</v>
      </c>
      <c r="I5" s="187">
        <f>K4</f>
        <v>2810</v>
      </c>
      <c r="J5" s="187">
        <f t="shared" ref="J5" si="4">I5*$A5/100</f>
        <v>53.286129617723844</v>
      </c>
      <c r="K5" s="188">
        <f t="shared" ref="K5" si="5">I5+J5</f>
        <v>2863.2861296177239</v>
      </c>
      <c r="L5" s="187">
        <f>N4</f>
        <v>24390</v>
      </c>
      <c r="M5" s="187">
        <f t="shared" ref="M5" si="6">L5*$A5/100</f>
        <v>462.50843465348208</v>
      </c>
      <c r="N5" s="188">
        <f t="shared" ref="N5" si="7">L5+M5</f>
        <v>24852.508434653482</v>
      </c>
      <c r="O5" s="187">
        <f>Q4</f>
        <v>3700</v>
      </c>
      <c r="P5" s="187">
        <f t="shared" ref="P5" si="8">O5*$A5/100</f>
        <v>70.163231169244924</v>
      </c>
      <c r="Q5" s="188">
        <f t="shared" ref="Q5" si="9">O5+P5</f>
        <v>3770.1632311692451</v>
      </c>
      <c r="R5" s="187">
        <f>T4</f>
        <v>3590</v>
      </c>
      <c r="S5" s="187">
        <f t="shared" ref="S5" si="10">R5*$A5/100</f>
        <v>68.077297269618725</v>
      </c>
      <c r="T5" s="188">
        <f t="shared" ref="T5" si="11">R5+S5</f>
        <v>3658.0772972696186</v>
      </c>
      <c r="U5" s="187">
        <f>W4</f>
        <v>1190</v>
      </c>
      <c r="V5" s="187">
        <f t="shared" ref="V5" si="12">U5*$A5/100</f>
        <v>22.566012186865258</v>
      </c>
      <c r="W5" s="188">
        <f t="shared" ref="W5" si="13">U5+V5</f>
        <v>1212.5660121868652</v>
      </c>
      <c r="X5" s="187">
        <f>Z4</f>
        <v>270</v>
      </c>
      <c r="Y5" s="187">
        <f t="shared" ref="Y5" si="14">X5*$A5/100</f>
        <v>5.1200195718097641</v>
      </c>
      <c r="Z5" s="188">
        <f t="shared" ref="Z5" si="15">X5+Y5</f>
        <v>275.12001957180979</v>
      </c>
      <c r="AA5" s="187">
        <f>AC4</f>
        <v>140</v>
      </c>
      <c r="AB5" s="187">
        <f t="shared" ref="AB5" si="16">AA5*$A5/100</f>
        <v>2.6548249631606189</v>
      </c>
      <c r="AC5" s="188">
        <f t="shared" ref="AC5" si="17">AA5+AB5</f>
        <v>142.65482496316062</v>
      </c>
      <c r="AD5" s="187">
        <f>AF4</f>
        <v>410</v>
      </c>
      <c r="AE5" s="187">
        <f t="shared" ref="AE5" si="18">AD5*$A5/100</f>
        <v>7.7748445349703834</v>
      </c>
      <c r="AF5" s="188">
        <f t="shared" ref="AF5" si="19">AD5+AE5</f>
        <v>417.77484453497038</v>
      </c>
      <c r="AG5" s="187">
        <f>AI4</f>
        <v>980</v>
      </c>
      <c r="AH5" s="187">
        <f t="shared" ref="AH5" si="20">AG5*$A5/100</f>
        <v>18.58377474212433</v>
      </c>
      <c r="AI5" s="188">
        <f t="shared" ref="AI5" si="21">AG5+AH5</f>
        <v>998.58377474212432</v>
      </c>
      <c r="AJ5" s="187">
        <f>AL4</f>
        <v>270</v>
      </c>
      <c r="AK5" s="187">
        <f t="shared" ref="AK5" si="22">AJ5*$A5/100</f>
        <v>5.1200195718097641</v>
      </c>
      <c r="AL5" s="188">
        <f t="shared" ref="AL5" si="23">AJ5+AK5</f>
        <v>275.12001957180979</v>
      </c>
      <c r="AM5" s="187">
        <f>AO4</f>
        <v>200</v>
      </c>
      <c r="AN5" s="187">
        <f t="shared" ref="AN5" si="24">AM5*$A5/100</f>
        <v>3.7926070902294553</v>
      </c>
      <c r="AO5" s="188">
        <f t="shared" ref="AO5" si="25">AM5+AN5</f>
        <v>203.79260709022947</v>
      </c>
      <c r="AP5" s="187">
        <f>AR4</f>
        <v>150</v>
      </c>
      <c r="AQ5" s="187">
        <f t="shared" ref="AQ5" si="26">AP5*$A5/100</f>
        <v>2.8444553176720917</v>
      </c>
      <c r="AR5" s="188">
        <f t="shared" ref="AR5" si="27">AP5+AQ5</f>
        <v>152.8444553176721</v>
      </c>
      <c r="AS5" s="186">
        <f t="shared" ref="AS5" si="28">SUM(C5,I5,L5,O5,R5,U5,X5,AD5,AG5,AJ5,AM5,AP5)</f>
        <v>2120390</v>
      </c>
      <c r="AT5" s="187"/>
      <c r="AU5" s="169"/>
      <c r="AV5" s="169"/>
    </row>
    <row r="6" spans="1:48">
      <c r="A6" s="169">
        <f>VLOOKUP(B6,Misc_inputs!$A$3:$B$33,2,0)</f>
        <v>1.8209228570152332</v>
      </c>
      <c r="B6" s="168">
        <v>2017</v>
      </c>
      <c r="C6" s="187">
        <f t="shared" ref="C6:C19" si="29">E5</f>
        <v>2121919.1939145327</v>
      </c>
      <c r="D6" s="187">
        <f t="shared" ref="D6:D19" si="30">C6*$A6/100</f>
        <v>38638.511609383117</v>
      </c>
      <c r="E6" s="188">
        <f t="shared" ref="E6:E19" si="31">C6+D6</f>
        <v>2160557.7055239156</v>
      </c>
      <c r="F6" s="187">
        <f t="shared" ref="F6:F19" si="32">H5</f>
        <v>8396.2554121174544</v>
      </c>
      <c r="G6" s="187">
        <f t="shared" ref="G6:G7" si="33">F6*$A6/100</f>
        <v>152.88933393262528</v>
      </c>
      <c r="H6" s="188">
        <f t="shared" ref="H6:H19" si="34">F6+G6</f>
        <v>8549.1447460500804</v>
      </c>
      <c r="I6" s="187">
        <f t="shared" ref="I6:I19" si="35">K5</f>
        <v>2863.2861296177239</v>
      </c>
      <c r="J6" s="187">
        <f t="shared" ref="J6:J7" si="36">I6*$A6/100</f>
        <v>52.138231595955951</v>
      </c>
      <c r="K6" s="188">
        <f t="shared" ref="K6:K19" si="37">I6+J6</f>
        <v>2915.4243612136797</v>
      </c>
      <c r="L6" s="187">
        <f t="shared" ref="L6:L19" si="38">N5</f>
        <v>24852.508434653482</v>
      </c>
      <c r="M6" s="187">
        <f t="shared" ref="M6:M7" si="39">L6*$A6/100</f>
        <v>452.54500662824398</v>
      </c>
      <c r="N6" s="188">
        <f t="shared" ref="N6:N19" si="40">L6+M6</f>
        <v>25305.053441281725</v>
      </c>
      <c r="O6" s="187">
        <f t="shared" ref="O6:O19" si="41">Q5</f>
        <v>3770.1632311692451</v>
      </c>
      <c r="P6" s="187">
        <f t="shared" ref="P6:P7" si="42">O6*$A6/100</f>
        <v>68.65176402314485</v>
      </c>
      <c r="Q6" s="188">
        <f t="shared" ref="Q6:Q19" si="43">O6+P6</f>
        <v>3838.8149951923901</v>
      </c>
      <c r="R6" s="187">
        <f t="shared" ref="R6:R19" si="44">T5</f>
        <v>3658.0772972696186</v>
      </c>
      <c r="S6" s="187">
        <f t="shared" ref="S6:S7" si="45">R6*$A6/100</f>
        <v>66.610765633267562</v>
      </c>
      <c r="T6" s="188">
        <f t="shared" ref="T6:T19" si="46">R6+S6</f>
        <v>3724.688062902886</v>
      </c>
      <c r="U6" s="187">
        <f t="shared" ref="U6:U19" si="47">W5</f>
        <v>1212.5660121868652</v>
      </c>
      <c r="V6" s="187">
        <f t="shared" ref="V6:V7" si="48">U6*$A6/100</f>
        <v>22.079891672308744</v>
      </c>
      <c r="W6" s="188">
        <f t="shared" ref="W6:W19" si="49">U6+V6</f>
        <v>1234.645903859174</v>
      </c>
      <c r="X6" s="187">
        <f t="shared" ref="X6:X19" si="50">Z5</f>
        <v>275.12001957180979</v>
      </c>
      <c r="Y6" s="187">
        <f t="shared" ref="Y6:Y7" si="51">X6*$A6/100</f>
        <v>5.0097233206078675</v>
      </c>
      <c r="Z6" s="188">
        <f t="shared" ref="Z6:Z19" si="52">X6+Y6</f>
        <v>280.12974289241765</v>
      </c>
      <c r="AA6" s="187">
        <f t="shared" ref="AA6:AA19" si="53">AC5</f>
        <v>142.65482496316062</v>
      </c>
      <c r="AB6" s="187">
        <f t="shared" ref="AB6:AB7" si="54">AA6*$A6/100</f>
        <v>2.5976343143892642</v>
      </c>
      <c r="AC6" s="188">
        <f t="shared" ref="AC6:AC19" si="55">AA6+AB6</f>
        <v>145.25245927754989</v>
      </c>
      <c r="AD6" s="187">
        <f t="shared" ref="AD6:AD19" si="56">AF5</f>
        <v>417.77484453497038</v>
      </c>
      <c r="AE6" s="187">
        <f t="shared" ref="AE6:AE7" si="57">AD6*$A6/100</f>
        <v>7.6073576349971317</v>
      </c>
      <c r="AF6" s="188">
        <f t="shared" ref="AF6:AF19" si="58">AD6+AE6</f>
        <v>425.38220216996751</v>
      </c>
      <c r="AG6" s="187">
        <f t="shared" ref="AG6:AG19" si="59">AI5</f>
        <v>998.58377474212432</v>
      </c>
      <c r="AH6" s="187">
        <f t="shared" ref="AH6:AH7" si="60">AG6*$A6/100</f>
        <v>18.183440200724853</v>
      </c>
      <c r="AI6" s="188">
        <f t="shared" ref="AI6:AI19" si="61">AG6+AH6</f>
        <v>1016.7672149428491</v>
      </c>
      <c r="AJ6" s="187">
        <f t="shared" ref="AJ6:AJ19" si="62">AL5</f>
        <v>275.12001957180979</v>
      </c>
      <c r="AK6" s="187">
        <f t="shared" ref="AK6:AK7" si="63">AJ6*$A6/100</f>
        <v>5.0097233206078675</v>
      </c>
      <c r="AL6" s="188">
        <f t="shared" ref="AL6:AL19" si="64">AJ6+AK6</f>
        <v>280.12974289241765</v>
      </c>
      <c r="AM6" s="187">
        <f t="shared" ref="AM6:AM19" si="65">AO5</f>
        <v>203.79260709022947</v>
      </c>
      <c r="AN6" s="187">
        <f t="shared" ref="AN6:AN7" si="66">AM6*$A6/100</f>
        <v>3.710906163413235</v>
      </c>
      <c r="AO6" s="188">
        <f t="shared" ref="AO6:AO19" si="67">AM6+AN6</f>
        <v>207.50351325364269</v>
      </c>
      <c r="AP6" s="187">
        <f t="shared" ref="AP6:AP19" si="68">AR5</f>
        <v>152.8444553176721</v>
      </c>
      <c r="AQ6" s="187">
        <f t="shared" ref="AQ6:AQ7" si="69">AP6*$A6/100</f>
        <v>2.7831796225599263</v>
      </c>
      <c r="AR6" s="188">
        <f t="shared" ref="AR6:AR19" si="70">AP6+AQ6</f>
        <v>155.62763494023201</v>
      </c>
      <c r="AS6" s="186">
        <f t="shared" ref="AS6:AS19" si="71">SUM(C6,I6,L6,O6,R6,U6,X6,AD6,AG6,AJ6,AM6,AP6)</f>
        <v>2160599.0307402587</v>
      </c>
      <c r="AT6" s="187"/>
      <c r="AU6" s="169"/>
      <c r="AV6" s="169"/>
    </row>
    <row r="7" spans="1:48">
      <c r="A7" s="169">
        <f>VLOOKUP(B7,Misc_inputs!$A$3:$B$33,2,0)</f>
        <v>1.9988242855231282</v>
      </c>
      <c r="B7" s="168">
        <v>2018</v>
      </c>
      <c r="C7" s="187">
        <f t="shared" si="29"/>
        <v>2160557.7055239156</v>
      </c>
      <c r="D7" s="187">
        <f t="shared" si="30"/>
        <v>43185.752120753292</v>
      </c>
      <c r="E7" s="188">
        <f t="shared" si="31"/>
        <v>2203743.4576446689</v>
      </c>
      <c r="F7" s="187">
        <f t="shared" si="32"/>
        <v>8549.1447460500804</v>
      </c>
      <c r="G7" s="187">
        <f t="shared" si="33"/>
        <v>170.88238138857355</v>
      </c>
      <c r="H7" s="188">
        <f t="shared" si="34"/>
        <v>8720.0271274386541</v>
      </c>
      <c r="I7" s="187">
        <f t="shared" si="35"/>
        <v>2915.4243612136797</v>
      </c>
      <c r="J7" s="187">
        <f t="shared" si="36"/>
        <v>58.274210157996556</v>
      </c>
      <c r="K7" s="188">
        <f t="shared" si="37"/>
        <v>2973.6985713716763</v>
      </c>
      <c r="L7" s="187">
        <f t="shared" si="38"/>
        <v>25305.053441281725</v>
      </c>
      <c r="M7" s="187">
        <f t="shared" si="39"/>
        <v>505.80355364894524</v>
      </c>
      <c r="N7" s="188">
        <f t="shared" si="40"/>
        <v>25810.856994930669</v>
      </c>
      <c r="O7" s="187">
        <f t="shared" si="41"/>
        <v>3838.8149951923901</v>
      </c>
      <c r="P7" s="187">
        <f t="shared" si="42"/>
        <v>76.731166400209005</v>
      </c>
      <c r="Q7" s="188">
        <f t="shared" si="43"/>
        <v>3915.5461615925992</v>
      </c>
      <c r="R7" s="187">
        <f t="shared" si="44"/>
        <v>3724.688062902886</v>
      </c>
      <c r="S7" s="187">
        <f t="shared" si="45"/>
        <v>74.449969561283851</v>
      </c>
      <c r="T7" s="188">
        <f t="shared" si="46"/>
        <v>3799.13803246417</v>
      </c>
      <c r="U7" s="187">
        <f t="shared" si="47"/>
        <v>1234.645903859174</v>
      </c>
      <c r="V7" s="187">
        <f t="shared" si="48"/>
        <v>24.678402166553706</v>
      </c>
      <c r="W7" s="188">
        <f t="shared" si="49"/>
        <v>1259.3243060257278</v>
      </c>
      <c r="X7" s="187">
        <f t="shared" si="50"/>
        <v>280.12974289241765</v>
      </c>
      <c r="Y7" s="187">
        <f t="shared" si="51"/>
        <v>5.5993013319071432</v>
      </c>
      <c r="Z7" s="188">
        <f t="shared" si="52"/>
        <v>285.72904422432481</v>
      </c>
      <c r="AA7" s="187">
        <f t="shared" si="53"/>
        <v>145.25245927754989</v>
      </c>
      <c r="AB7" s="187">
        <f t="shared" si="54"/>
        <v>2.9033414313592596</v>
      </c>
      <c r="AC7" s="188">
        <f t="shared" si="55"/>
        <v>148.15580070890914</v>
      </c>
      <c r="AD7" s="187">
        <f t="shared" si="56"/>
        <v>425.38220216996751</v>
      </c>
      <c r="AE7" s="187">
        <f t="shared" si="57"/>
        <v>8.502642763266401</v>
      </c>
      <c r="AF7" s="188">
        <f t="shared" si="58"/>
        <v>433.88484493323392</v>
      </c>
      <c r="AG7" s="187">
        <f t="shared" si="59"/>
        <v>1016.7672149428491</v>
      </c>
      <c r="AH7" s="187">
        <f t="shared" si="60"/>
        <v>20.323390019514814</v>
      </c>
      <c r="AI7" s="188">
        <f t="shared" si="61"/>
        <v>1037.0906049623638</v>
      </c>
      <c r="AJ7" s="187">
        <f t="shared" si="62"/>
        <v>280.12974289241765</v>
      </c>
      <c r="AK7" s="187">
        <f t="shared" si="63"/>
        <v>5.5993013319071432</v>
      </c>
      <c r="AL7" s="188">
        <f t="shared" si="64"/>
        <v>285.72904422432481</v>
      </c>
      <c r="AM7" s="187">
        <f t="shared" si="65"/>
        <v>207.50351325364269</v>
      </c>
      <c r="AN7" s="187">
        <f t="shared" si="66"/>
        <v>4.1476306162275129</v>
      </c>
      <c r="AO7" s="188">
        <f t="shared" si="67"/>
        <v>211.6511438698702</v>
      </c>
      <c r="AP7" s="187">
        <f t="shared" si="68"/>
        <v>155.62763494023201</v>
      </c>
      <c r="AQ7" s="187">
        <f t="shared" si="69"/>
        <v>3.1107229621706347</v>
      </c>
      <c r="AR7" s="188">
        <f t="shared" si="70"/>
        <v>158.73835790240264</v>
      </c>
      <c r="AS7" s="186">
        <f t="shared" si="71"/>
        <v>2199941.8723394573</v>
      </c>
      <c r="AT7" s="187"/>
      <c r="AU7" s="169"/>
      <c r="AV7" s="169"/>
    </row>
    <row r="8" spans="1:48">
      <c r="A8" s="169">
        <f>VLOOKUP(B8,Misc_inputs!$A$3:$B$33,2,0)</f>
        <v>2.0163202370724722</v>
      </c>
      <c r="B8" s="168">
        <v>2019</v>
      </c>
      <c r="C8" s="187">
        <f t="shared" si="29"/>
        <v>2203743.4576446689</v>
      </c>
      <c r="D8" s="187">
        <f>C8*$A8/100</f>
        <v>44434.525309650089</v>
      </c>
      <c r="E8" s="188">
        <f t="shared" si="31"/>
        <v>2248177.9829543191</v>
      </c>
      <c r="F8" s="187">
        <f t="shared" si="32"/>
        <v>8720.0271274386541</v>
      </c>
      <c r="G8" s="187">
        <f>F8*$A8/100</f>
        <v>175.82367164875498</v>
      </c>
      <c r="H8" s="188">
        <f t="shared" si="34"/>
        <v>8895.8507990874095</v>
      </c>
      <c r="I8" s="187">
        <f t="shared" si="35"/>
        <v>2973.6985713716763</v>
      </c>
      <c r="J8" s="187">
        <f>I8*$A8/100</f>
        <v>59.959286084102104</v>
      </c>
      <c r="K8" s="188">
        <f t="shared" si="37"/>
        <v>3033.6578574557784</v>
      </c>
      <c r="L8" s="187">
        <f t="shared" si="38"/>
        <v>25810.856994930669</v>
      </c>
      <c r="M8" s="187">
        <f>L8*$A8/100</f>
        <v>520.42953295062284</v>
      </c>
      <c r="N8" s="188">
        <f t="shared" si="40"/>
        <v>26331.286527881293</v>
      </c>
      <c r="O8" s="187">
        <f t="shared" si="41"/>
        <v>3915.5461615925992</v>
      </c>
      <c r="P8" s="187">
        <f>O8*$A8/100</f>
        <v>78.949949648105985</v>
      </c>
      <c r="Q8" s="188">
        <f t="shared" si="43"/>
        <v>3994.4961112407054</v>
      </c>
      <c r="R8" s="187">
        <f t="shared" si="44"/>
        <v>3799.13803246417</v>
      </c>
      <c r="S8" s="187">
        <f>R8*$A8/100</f>
        <v>76.602788982892008</v>
      </c>
      <c r="T8" s="188">
        <f t="shared" si="46"/>
        <v>3875.740821447062</v>
      </c>
      <c r="U8" s="187">
        <f t="shared" si="47"/>
        <v>1259.3243060257278</v>
      </c>
      <c r="V8" s="187">
        <f>U8*$A8/100</f>
        <v>25.39201083276922</v>
      </c>
      <c r="W8" s="188">
        <f t="shared" si="49"/>
        <v>1284.7163168584971</v>
      </c>
      <c r="X8" s="187">
        <f t="shared" si="50"/>
        <v>285.72904422432481</v>
      </c>
      <c r="Y8" s="187">
        <f>X8*$A8/100</f>
        <v>5.7612125418888152</v>
      </c>
      <c r="Z8" s="188">
        <f t="shared" si="52"/>
        <v>291.49025676621363</v>
      </c>
      <c r="AA8" s="187">
        <f t="shared" si="53"/>
        <v>148.15580070890914</v>
      </c>
      <c r="AB8" s="187">
        <f>AA8*$A8/100</f>
        <v>2.9872953920904961</v>
      </c>
      <c r="AC8" s="188">
        <f t="shared" si="55"/>
        <v>151.14309610099963</v>
      </c>
      <c r="AD8" s="187">
        <f t="shared" si="56"/>
        <v>433.88484493323392</v>
      </c>
      <c r="AE8" s="187">
        <f>AD8*$A8/100</f>
        <v>8.7485079339793099</v>
      </c>
      <c r="AF8" s="188">
        <f t="shared" si="58"/>
        <v>442.6333528672132</v>
      </c>
      <c r="AG8" s="187">
        <f t="shared" si="59"/>
        <v>1037.0906049623638</v>
      </c>
      <c r="AH8" s="187">
        <f>AG8*$A8/100</f>
        <v>20.911067744633471</v>
      </c>
      <c r="AI8" s="188">
        <f t="shared" si="61"/>
        <v>1058.0016727069974</v>
      </c>
      <c r="AJ8" s="187">
        <f t="shared" si="62"/>
        <v>285.72904422432481</v>
      </c>
      <c r="AK8" s="187">
        <f>AJ8*$A8/100</f>
        <v>5.7612125418888152</v>
      </c>
      <c r="AL8" s="188">
        <f t="shared" si="64"/>
        <v>291.49025676621363</v>
      </c>
      <c r="AM8" s="187">
        <f t="shared" si="65"/>
        <v>211.6511438698702</v>
      </c>
      <c r="AN8" s="187">
        <f>AM8*$A8/100</f>
        <v>4.267564845843566</v>
      </c>
      <c r="AO8" s="188">
        <f t="shared" si="67"/>
        <v>215.91870871571376</v>
      </c>
      <c r="AP8" s="187">
        <f t="shared" si="68"/>
        <v>158.73835790240264</v>
      </c>
      <c r="AQ8" s="187">
        <f>AP8*$A8/100</f>
        <v>3.200673634382674</v>
      </c>
      <c r="AR8" s="188">
        <f t="shared" si="70"/>
        <v>161.93903153678531</v>
      </c>
      <c r="AS8" s="186">
        <f t="shared" si="71"/>
        <v>2243914.8447511699</v>
      </c>
      <c r="AT8" s="187"/>
      <c r="AU8" s="169"/>
      <c r="AV8" s="169"/>
    </row>
    <row r="9" spans="1:48">
      <c r="A9" s="169">
        <f>VLOOKUP(B9,Misc_inputs!$A$3:$B$33,2,0)</f>
        <v>5.3200852056836103</v>
      </c>
      <c r="B9" s="168">
        <v>2020</v>
      </c>
      <c r="C9" s="187">
        <f t="shared" si="29"/>
        <v>2248177.9829543191</v>
      </c>
      <c r="D9" s="187">
        <f t="shared" si="30"/>
        <v>119604.98426858893</v>
      </c>
      <c r="E9" s="188">
        <f t="shared" si="31"/>
        <v>2367782.967222908</v>
      </c>
      <c r="F9" s="187">
        <f t="shared" si="32"/>
        <v>8895.8507990874095</v>
      </c>
      <c r="G9" s="187">
        <f t="shared" ref="G9:G19" si="72">F9*$A9/100</f>
        <v>473.26684228193648</v>
      </c>
      <c r="H9" s="188">
        <f t="shared" si="34"/>
        <v>9369.1176413693465</v>
      </c>
      <c r="I9" s="187">
        <f t="shared" si="35"/>
        <v>3033.6578574557784</v>
      </c>
      <c r="J9" s="187">
        <f t="shared" ref="J9:J19" si="73">I9*$A9/100</f>
        <v>161.39318286556326</v>
      </c>
      <c r="K9" s="188">
        <f t="shared" si="37"/>
        <v>3195.0510403213416</v>
      </c>
      <c r="L9" s="187">
        <f t="shared" si="38"/>
        <v>26331.286527881293</v>
      </c>
      <c r="M9" s="187">
        <f t="shared" ref="M9:M19" si="74">L9*$A9/100</f>
        <v>1400.8468790359743</v>
      </c>
      <c r="N9" s="188">
        <f t="shared" si="40"/>
        <v>27732.133406917266</v>
      </c>
      <c r="O9" s="187">
        <f t="shared" si="41"/>
        <v>3994.4961112407054</v>
      </c>
      <c r="P9" s="187">
        <f t="shared" ref="P9:P19" si="75">O9*$A9/100</f>
        <v>212.5105966557239</v>
      </c>
      <c r="Q9" s="188">
        <f t="shared" si="43"/>
        <v>4207.0067078964294</v>
      </c>
      <c r="R9" s="187">
        <f t="shared" si="44"/>
        <v>3875.740821447062</v>
      </c>
      <c r="S9" s="187">
        <f t="shared" ref="S9:S19" si="76">R9*$A9/100</f>
        <v>206.19271405244558</v>
      </c>
      <c r="T9" s="188">
        <f t="shared" si="46"/>
        <v>4081.9335354995073</v>
      </c>
      <c r="U9" s="187">
        <f t="shared" si="47"/>
        <v>1284.7163168584971</v>
      </c>
      <c r="V9" s="187">
        <f t="shared" ref="V9:V19" si="77">U9*$A9/100</f>
        <v>68.348002708192283</v>
      </c>
      <c r="W9" s="188">
        <f t="shared" si="49"/>
        <v>1353.0643195666894</v>
      </c>
      <c r="X9" s="187">
        <f t="shared" si="50"/>
        <v>291.49025676621363</v>
      </c>
      <c r="Y9" s="187">
        <f t="shared" ref="Y9:Y19" si="78">X9*$A9/100</f>
        <v>15.507530026228501</v>
      </c>
      <c r="Z9" s="188">
        <f t="shared" si="52"/>
        <v>306.99778679244213</v>
      </c>
      <c r="AA9" s="187">
        <f t="shared" si="53"/>
        <v>151.14309610099963</v>
      </c>
      <c r="AB9" s="187">
        <f t="shared" ref="AB9:AB19" si="79">AA9*$A9/100</f>
        <v>8.0409414950814426</v>
      </c>
      <c r="AC9" s="188">
        <f t="shared" si="55"/>
        <v>159.18403759608108</v>
      </c>
      <c r="AD9" s="187">
        <f t="shared" si="56"/>
        <v>442.6333528672132</v>
      </c>
      <c r="AE9" s="187">
        <f t="shared" ref="AE9:AE19" si="80">AD9*$A9/100</f>
        <v>23.548471521309938</v>
      </c>
      <c r="AF9" s="188">
        <f t="shared" si="58"/>
        <v>466.18182438852313</v>
      </c>
      <c r="AG9" s="187">
        <f t="shared" si="59"/>
        <v>1058.0016727069974</v>
      </c>
      <c r="AH9" s="187">
        <f t="shared" ref="AH9:AH19" si="81">AG9*$A9/100</f>
        <v>56.2865904655701</v>
      </c>
      <c r="AI9" s="188">
        <f t="shared" si="61"/>
        <v>1114.2882631725674</v>
      </c>
      <c r="AJ9" s="187">
        <f t="shared" si="62"/>
        <v>291.49025676621363</v>
      </c>
      <c r="AK9" s="187">
        <f t="shared" ref="AK9:AK19" si="82">AJ9*$A9/100</f>
        <v>15.507530026228501</v>
      </c>
      <c r="AL9" s="188">
        <f t="shared" si="64"/>
        <v>306.99778679244213</v>
      </c>
      <c r="AM9" s="187">
        <f t="shared" si="65"/>
        <v>215.91870871571376</v>
      </c>
      <c r="AN9" s="187">
        <f t="shared" ref="AN9:AN19" si="83">AM9*$A9/100</f>
        <v>11.487059278687775</v>
      </c>
      <c r="AO9" s="188">
        <f t="shared" si="67"/>
        <v>227.40576799440154</v>
      </c>
      <c r="AP9" s="187">
        <f t="shared" si="68"/>
        <v>161.93903153678531</v>
      </c>
      <c r="AQ9" s="187">
        <f t="shared" ref="AQ9:AQ19" si="84">AP9*$A9/100</f>
        <v>8.615294459015832</v>
      </c>
      <c r="AR9" s="188">
        <f t="shared" si="70"/>
        <v>170.55432599580115</v>
      </c>
      <c r="AS9" s="186">
        <f t="shared" si="71"/>
        <v>2289159.3538685618</v>
      </c>
      <c r="AT9" s="187"/>
      <c r="AU9" s="169"/>
      <c r="AV9" s="169"/>
    </row>
    <row r="10" spans="1:48">
      <c r="A10" s="169">
        <f>VLOOKUP(B10,Misc_inputs!$A$3:$B$33,2,0)</f>
        <v>7.6258108678813302E-2</v>
      </c>
      <c r="B10" s="168">
        <v>2021</v>
      </c>
      <c r="C10" s="187">
        <f t="shared" si="29"/>
        <v>2367782.967222908</v>
      </c>
      <c r="D10" s="187">
        <f t="shared" si="30"/>
        <v>1805.6265084232757</v>
      </c>
      <c r="E10" s="188">
        <f t="shared" si="31"/>
        <v>2369588.5937313312</v>
      </c>
      <c r="F10" s="187">
        <f t="shared" si="32"/>
        <v>9369.1176413693465</v>
      </c>
      <c r="G10" s="187">
        <f t="shared" si="72"/>
        <v>7.1447119132013066</v>
      </c>
      <c r="H10" s="188">
        <f t="shared" si="34"/>
        <v>9376.2623532825473</v>
      </c>
      <c r="I10" s="187">
        <f t="shared" si="35"/>
        <v>3195.0510403213416</v>
      </c>
      <c r="J10" s="187">
        <f t="shared" si="73"/>
        <v>2.4364854946718038</v>
      </c>
      <c r="K10" s="188">
        <f t="shared" si="37"/>
        <v>3197.4875258160132</v>
      </c>
      <c r="L10" s="187">
        <f t="shared" si="38"/>
        <v>27732.133406917266</v>
      </c>
      <c r="M10" s="187">
        <f t="shared" si="74"/>
        <v>21.148000432400458</v>
      </c>
      <c r="N10" s="188">
        <f t="shared" si="40"/>
        <v>27753.281407349667</v>
      </c>
      <c r="O10" s="187">
        <f t="shared" si="41"/>
        <v>4207.0067078964294</v>
      </c>
      <c r="P10" s="187">
        <f t="shared" si="75"/>
        <v>3.2081837474326251</v>
      </c>
      <c r="Q10" s="188">
        <f t="shared" si="43"/>
        <v>4210.2148916438618</v>
      </c>
      <c r="R10" s="187">
        <f t="shared" si="44"/>
        <v>4081.9335354995073</v>
      </c>
      <c r="S10" s="187">
        <f t="shared" si="76"/>
        <v>3.1128053116981405</v>
      </c>
      <c r="T10" s="188">
        <f t="shared" si="46"/>
        <v>4085.0463408112055</v>
      </c>
      <c r="U10" s="187">
        <f t="shared" si="47"/>
        <v>1353.0643195666894</v>
      </c>
      <c r="V10" s="187">
        <f t="shared" si="77"/>
        <v>1.0318212593094116</v>
      </c>
      <c r="W10" s="188">
        <f t="shared" si="49"/>
        <v>1354.0961408259989</v>
      </c>
      <c r="X10" s="187">
        <f t="shared" si="50"/>
        <v>306.99778679244213</v>
      </c>
      <c r="Y10" s="187">
        <f t="shared" si="78"/>
        <v>0.23411070589373206</v>
      </c>
      <c r="Z10" s="188">
        <f t="shared" si="52"/>
        <v>307.23189749833585</v>
      </c>
      <c r="AA10" s="187">
        <f t="shared" si="53"/>
        <v>159.18403759608108</v>
      </c>
      <c r="AB10" s="187">
        <f t="shared" si="79"/>
        <v>0.12139073638934254</v>
      </c>
      <c r="AC10" s="188">
        <f t="shared" si="55"/>
        <v>159.30542833247043</v>
      </c>
      <c r="AD10" s="187">
        <f t="shared" si="56"/>
        <v>466.18182438852313</v>
      </c>
      <c r="AE10" s="187">
        <f t="shared" si="80"/>
        <v>0.35550144228307451</v>
      </c>
      <c r="AF10" s="188">
        <f t="shared" si="58"/>
        <v>466.5373258308062</v>
      </c>
      <c r="AG10" s="187">
        <f t="shared" si="59"/>
        <v>1114.2882631725674</v>
      </c>
      <c r="AH10" s="187">
        <f t="shared" si="81"/>
        <v>0.84973515472539762</v>
      </c>
      <c r="AI10" s="188">
        <f t="shared" si="61"/>
        <v>1115.1379983272927</v>
      </c>
      <c r="AJ10" s="187">
        <f t="shared" si="62"/>
        <v>306.99778679244213</v>
      </c>
      <c r="AK10" s="187">
        <f t="shared" si="82"/>
        <v>0.23411070589373206</v>
      </c>
      <c r="AL10" s="188">
        <f t="shared" si="64"/>
        <v>307.23189749833585</v>
      </c>
      <c r="AM10" s="187">
        <f t="shared" si="65"/>
        <v>227.40576799440154</v>
      </c>
      <c r="AN10" s="187">
        <f t="shared" si="83"/>
        <v>0.17341533769906076</v>
      </c>
      <c r="AO10" s="188">
        <f t="shared" si="67"/>
        <v>227.5791833321006</v>
      </c>
      <c r="AP10" s="187">
        <f t="shared" si="68"/>
        <v>170.55432599580115</v>
      </c>
      <c r="AQ10" s="187">
        <f t="shared" si="84"/>
        <v>0.13006150327429558</v>
      </c>
      <c r="AR10" s="188">
        <f t="shared" si="70"/>
        <v>170.68438749907546</v>
      </c>
      <c r="AS10" s="186">
        <f t="shared" si="71"/>
        <v>2410944.5819882452</v>
      </c>
      <c r="AT10" s="169"/>
      <c r="AU10" s="169"/>
      <c r="AV10" s="169"/>
    </row>
    <row r="11" spans="1:48">
      <c r="A11" s="169">
        <f>VLOOKUP(B11,Misc_inputs!$A$3:$B$33,2,0)</f>
        <v>2.8492930312000952</v>
      </c>
      <c r="B11" s="168">
        <v>2022</v>
      </c>
      <c r="C11" s="187">
        <f t="shared" si="29"/>
        <v>2369588.5937313312</v>
      </c>
      <c r="D11" s="187">
        <f t="shared" si="30"/>
        <v>67516.522669299156</v>
      </c>
      <c r="E11" s="188">
        <f t="shared" si="31"/>
        <v>2437105.1164006302</v>
      </c>
      <c r="F11" s="187">
        <f t="shared" si="32"/>
        <v>9376.2623532825473</v>
      </c>
      <c r="G11" s="187">
        <f t="shared" si="72"/>
        <v>267.15718981911766</v>
      </c>
      <c r="H11" s="188">
        <f t="shared" si="34"/>
        <v>9643.4195431016651</v>
      </c>
      <c r="I11" s="187">
        <f t="shared" si="35"/>
        <v>3197.4875258160132</v>
      </c>
      <c r="J11" s="187">
        <f t="shared" si="73"/>
        <v>91.105789246568023</v>
      </c>
      <c r="K11" s="188">
        <f t="shared" si="37"/>
        <v>3288.593315062581</v>
      </c>
      <c r="L11" s="187">
        <f t="shared" si="38"/>
        <v>27753.281407349667</v>
      </c>
      <c r="M11" s="187">
        <f t="shared" si="74"/>
        <v>790.77231306896579</v>
      </c>
      <c r="N11" s="188">
        <f t="shared" si="40"/>
        <v>28544.053720418633</v>
      </c>
      <c r="O11" s="187">
        <f t="shared" si="41"/>
        <v>4210.2148916438618</v>
      </c>
      <c r="P11" s="187">
        <f t="shared" si="75"/>
        <v>119.96135950615721</v>
      </c>
      <c r="Q11" s="188">
        <f t="shared" si="43"/>
        <v>4330.1762511500192</v>
      </c>
      <c r="R11" s="187">
        <f t="shared" si="44"/>
        <v>4085.0463408112055</v>
      </c>
      <c r="S11" s="187">
        <f t="shared" si="76"/>
        <v>116.39494071002817</v>
      </c>
      <c r="T11" s="188">
        <f t="shared" si="46"/>
        <v>4201.4412815212336</v>
      </c>
      <c r="U11" s="187">
        <f t="shared" si="47"/>
        <v>1354.0961408259989</v>
      </c>
      <c r="V11" s="187">
        <f t="shared" si="77"/>
        <v>38.582166976304613</v>
      </c>
      <c r="W11" s="188">
        <f t="shared" si="49"/>
        <v>1392.6783078023034</v>
      </c>
      <c r="X11" s="187">
        <f t="shared" si="50"/>
        <v>307.23189749833585</v>
      </c>
      <c r="Y11" s="187">
        <f t="shared" si="78"/>
        <v>8.7539370450439034</v>
      </c>
      <c r="Z11" s="188">
        <f t="shared" si="52"/>
        <v>315.98583454337978</v>
      </c>
      <c r="AA11" s="187">
        <f t="shared" si="53"/>
        <v>159.30542833247043</v>
      </c>
      <c r="AB11" s="187">
        <f t="shared" si="79"/>
        <v>4.5390784678005414</v>
      </c>
      <c r="AC11" s="188">
        <f t="shared" si="55"/>
        <v>163.84450680027098</v>
      </c>
      <c r="AD11" s="187">
        <f t="shared" si="56"/>
        <v>466.5373258308062</v>
      </c>
      <c r="AE11" s="187">
        <f t="shared" si="80"/>
        <v>13.293015512844443</v>
      </c>
      <c r="AF11" s="188">
        <f t="shared" si="58"/>
        <v>479.83034134365062</v>
      </c>
      <c r="AG11" s="187">
        <f t="shared" si="59"/>
        <v>1115.1379983272927</v>
      </c>
      <c r="AH11" s="187">
        <f t="shared" si="81"/>
        <v>31.773549274603788</v>
      </c>
      <c r="AI11" s="188">
        <f t="shared" si="61"/>
        <v>1146.9115476018965</v>
      </c>
      <c r="AJ11" s="187">
        <f t="shared" si="62"/>
        <v>307.23189749833585</v>
      </c>
      <c r="AK11" s="187">
        <f t="shared" si="82"/>
        <v>8.7539370450439034</v>
      </c>
      <c r="AL11" s="188">
        <f t="shared" si="64"/>
        <v>315.98583454337978</v>
      </c>
      <c r="AM11" s="187">
        <f t="shared" si="65"/>
        <v>227.5791833321006</v>
      </c>
      <c r="AN11" s="187">
        <f t="shared" si="83"/>
        <v>6.4843978111436309</v>
      </c>
      <c r="AO11" s="188">
        <f t="shared" si="67"/>
        <v>234.06358114324422</v>
      </c>
      <c r="AP11" s="187">
        <f t="shared" si="68"/>
        <v>170.68438749907546</v>
      </c>
      <c r="AQ11" s="187">
        <f t="shared" si="84"/>
        <v>4.8632983583577234</v>
      </c>
      <c r="AR11" s="188">
        <f t="shared" si="70"/>
        <v>175.54768585743318</v>
      </c>
      <c r="AS11" s="186">
        <f t="shared" si="71"/>
        <v>2412783.1227277638</v>
      </c>
      <c r="AT11" s="169"/>
      <c r="AU11" s="169"/>
      <c r="AV11" s="169"/>
    </row>
    <row r="12" spans="1:48">
      <c r="A12" s="169">
        <f>VLOOKUP(B12,Misc_inputs!$A$3:$B$33,2,0)</f>
        <v>3.143440902459993</v>
      </c>
      <c r="B12" s="168">
        <v>2023</v>
      </c>
      <c r="C12" s="187">
        <f t="shared" si="29"/>
        <v>2437105.1164006302</v>
      </c>
      <c r="D12" s="187">
        <f t="shared" si="30"/>
        <v>76608.959064882627</v>
      </c>
      <c r="E12" s="188">
        <f t="shared" si="31"/>
        <v>2513714.0754655129</v>
      </c>
      <c r="F12" s="187">
        <f t="shared" si="32"/>
        <v>9643.4195431016651</v>
      </c>
      <c r="G12" s="187">
        <f t="shared" si="72"/>
        <v>303.13519431367831</v>
      </c>
      <c r="H12" s="188">
        <f t="shared" si="34"/>
        <v>9946.554737415343</v>
      </c>
      <c r="I12" s="187">
        <f t="shared" si="35"/>
        <v>3288.593315062581</v>
      </c>
      <c r="J12" s="187">
        <f t="shared" si="73"/>
        <v>103.37498738124219</v>
      </c>
      <c r="K12" s="188">
        <f t="shared" si="37"/>
        <v>3391.9683024438232</v>
      </c>
      <c r="L12" s="187">
        <f t="shared" si="38"/>
        <v>28544.053720418633</v>
      </c>
      <c r="M12" s="187">
        <f t="shared" si="74"/>
        <v>897.26545986779263</v>
      </c>
      <c r="N12" s="188">
        <f t="shared" si="40"/>
        <v>29441.319180286424</v>
      </c>
      <c r="O12" s="187">
        <f t="shared" si="41"/>
        <v>4330.1762511500192</v>
      </c>
      <c r="P12" s="187">
        <f t="shared" si="75"/>
        <v>136.11653142725845</v>
      </c>
      <c r="Q12" s="188">
        <f t="shared" si="43"/>
        <v>4466.2927825772776</v>
      </c>
      <c r="R12" s="187">
        <f t="shared" si="44"/>
        <v>4201.4412815212336</v>
      </c>
      <c r="S12" s="187">
        <f t="shared" si="76"/>
        <v>132.06982373617774</v>
      </c>
      <c r="T12" s="188">
        <f t="shared" si="46"/>
        <v>4333.5111052574111</v>
      </c>
      <c r="U12" s="187">
        <f t="shared" si="47"/>
        <v>1392.6783078023034</v>
      </c>
      <c r="V12" s="187">
        <f t="shared" si="77"/>
        <v>43.778019567145286</v>
      </c>
      <c r="W12" s="188">
        <f t="shared" si="49"/>
        <v>1436.4563273694487</v>
      </c>
      <c r="X12" s="187">
        <f t="shared" si="50"/>
        <v>315.98583454337978</v>
      </c>
      <c r="Y12" s="187">
        <f t="shared" si="78"/>
        <v>9.9328279690161576</v>
      </c>
      <c r="Z12" s="188">
        <f t="shared" si="52"/>
        <v>325.91866251239594</v>
      </c>
      <c r="AA12" s="187">
        <f t="shared" si="53"/>
        <v>163.84450680027098</v>
      </c>
      <c r="AB12" s="187">
        <f t="shared" si="79"/>
        <v>5.1503552431935624</v>
      </c>
      <c r="AC12" s="188">
        <f t="shared" si="55"/>
        <v>168.99486204346454</v>
      </c>
      <c r="AD12" s="187">
        <f t="shared" si="56"/>
        <v>479.83034134365062</v>
      </c>
      <c r="AE12" s="187">
        <f t="shared" si="80"/>
        <v>15.083183212209715</v>
      </c>
      <c r="AF12" s="188">
        <f t="shared" si="58"/>
        <v>494.91352455586031</v>
      </c>
      <c r="AG12" s="187">
        <f t="shared" si="59"/>
        <v>1146.9115476018965</v>
      </c>
      <c r="AH12" s="187">
        <f t="shared" si="81"/>
        <v>36.052486702354926</v>
      </c>
      <c r="AI12" s="188">
        <f t="shared" si="61"/>
        <v>1182.9640343042513</v>
      </c>
      <c r="AJ12" s="187">
        <f t="shared" si="62"/>
        <v>315.98583454337978</v>
      </c>
      <c r="AK12" s="187">
        <f t="shared" si="82"/>
        <v>9.9328279690161576</v>
      </c>
      <c r="AL12" s="188">
        <f t="shared" si="64"/>
        <v>325.91866251239594</v>
      </c>
      <c r="AM12" s="187">
        <f t="shared" si="65"/>
        <v>234.06358114324422</v>
      </c>
      <c r="AN12" s="187">
        <f t="shared" si="83"/>
        <v>7.3576503474193737</v>
      </c>
      <c r="AO12" s="188">
        <f t="shared" si="67"/>
        <v>241.42123149066359</v>
      </c>
      <c r="AP12" s="187">
        <f t="shared" si="68"/>
        <v>175.54768585743318</v>
      </c>
      <c r="AQ12" s="187">
        <f t="shared" si="84"/>
        <v>5.5182377605645305</v>
      </c>
      <c r="AR12" s="188">
        <f t="shared" si="70"/>
        <v>181.0659236179977</v>
      </c>
      <c r="AS12" s="186">
        <f t="shared" si="71"/>
        <v>2481530.3841016185</v>
      </c>
      <c r="AT12" s="169"/>
      <c r="AU12" s="169"/>
      <c r="AV12" s="169"/>
    </row>
    <row r="13" spans="1:48">
      <c r="A13" s="169">
        <f>VLOOKUP(B13,Misc_inputs!$A$3:$B$33,2,0)</f>
        <v>1.8594732384912049</v>
      </c>
      <c r="B13" s="168">
        <v>2024</v>
      </c>
      <c r="C13" s="187">
        <f t="shared" si="29"/>
        <v>2513714.0754655129</v>
      </c>
      <c r="D13" s="187">
        <f t="shared" si="30"/>
        <v>46741.840525467822</v>
      </c>
      <c r="E13" s="188">
        <f t="shared" si="31"/>
        <v>2560455.9159909808</v>
      </c>
      <c r="F13" s="187">
        <f t="shared" si="32"/>
        <v>9946.554737415343</v>
      </c>
      <c r="G13" s="187">
        <f t="shared" si="72"/>
        <v>184.95352349411743</v>
      </c>
      <c r="H13" s="188">
        <f t="shared" si="34"/>
        <v>10131.508260909461</v>
      </c>
      <c r="I13" s="187">
        <f t="shared" si="35"/>
        <v>3391.9683024438232</v>
      </c>
      <c r="J13" s="187">
        <f t="shared" si="73"/>
        <v>63.072742842047312</v>
      </c>
      <c r="K13" s="188">
        <f t="shared" si="37"/>
        <v>3455.0410452858705</v>
      </c>
      <c r="L13" s="187">
        <f t="shared" si="38"/>
        <v>29441.319180286424</v>
      </c>
      <c r="M13" s="187">
        <f t="shared" si="74"/>
        <v>547.45345121620426</v>
      </c>
      <c r="N13" s="188">
        <f t="shared" si="40"/>
        <v>29988.772631502627</v>
      </c>
      <c r="O13" s="187">
        <f t="shared" si="41"/>
        <v>4466.2927825772776</v>
      </c>
      <c r="P13" s="187">
        <f t="shared" si="75"/>
        <v>83.049519044688665</v>
      </c>
      <c r="Q13" s="188">
        <f t="shared" si="43"/>
        <v>4549.3423016219667</v>
      </c>
      <c r="R13" s="187">
        <f t="shared" si="44"/>
        <v>4333.5111052574111</v>
      </c>
      <c r="S13" s="187">
        <f t="shared" si="76"/>
        <v>80.580479289305998</v>
      </c>
      <c r="T13" s="188">
        <f t="shared" si="46"/>
        <v>4414.0915845467171</v>
      </c>
      <c r="U13" s="187">
        <f t="shared" si="47"/>
        <v>1436.4563273694487</v>
      </c>
      <c r="V13" s="187">
        <f t="shared" si="77"/>
        <v>26.710520990048511</v>
      </c>
      <c r="W13" s="188">
        <f t="shared" si="49"/>
        <v>1463.1668483594972</v>
      </c>
      <c r="X13" s="187">
        <f t="shared" si="50"/>
        <v>325.91866251239594</v>
      </c>
      <c r="Y13" s="187">
        <f t="shared" si="78"/>
        <v>6.06037030866647</v>
      </c>
      <c r="Z13" s="188">
        <f t="shared" si="52"/>
        <v>331.97903282106239</v>
      </c>
      <c r="AA13" s="187">
        <f t="shared" si="53"/>
        <v>168.99486204346454</v>
      </c>
      <c r="AB13" s="187">
        <f t="shared" si="79"/>
        <v>3.1424142341233541</v>
      </c>
      <c r="AC13" s="188">
        <f t="shared" si="55"/>
        <v>172.13727627758789</v>
      </c>
      <c r="AD13" s="187">
        <f t="shared" si="56"/>
        <v>494.91352455586031</v>
      </c>
      <c r="AE13" s="187">
        <f t="shared" si="80"/>
        <v>9.2027845427898214</v>
      </c>
      <c r="AF13" s="188">
        <f t="shared" si="58"/>
        <v>504.11630909865011</v>
      </c>
      <c r="AG13" s="187">
        <f t="shared" si="59"/>
        <v>1182.9640343042513</v>
      </c>
      <c r="AH13" s="187">
        <f t="shared" si="81"/>
        <v>21.996899638863468</v>
      </c>
      <c r="AI13" s="188">
        <f t="shared" si="61"/>
        <v>1204.9609339431147</v>
      </c>
      <c r="AJ13" s="187">
        <f t="shared" si="62"/>
        <v>325.91866251239594</v>
      </c>
      <c r="AK13" s="187">
        <f t="shared" si="82"/>
        <v>6.06037030866647</v>
      </c>
      <c r="AL13" s="188">
        <f t="shared" si="64"/>
        <v>331.97903282106239</v>
      </c>
      <c r="AM13" s="187">
        <f t="shared" si="65"/>
        <v>241.42123149066359</v>
      </c>
      <c r="AN13" s="187">
        <f t="shared" si="83"/>
        <v>4.4891631916047912</v>
      </c>
      <c r="AO13" s="188">
        <f t="shared" si="67"/>
        <v>245.91039468226839</v>
      </c>
      <c r="AP13" s="187">
        <f t="shared" si="68"/>
        <v>181.0659236179977</v>
      </c>
      <c r="AQ13" s="187">
        <f t="shared" si="84"/>
        <v>3.3668723937035936</v>
      </c>
      <c r="AR13" s="188">
        <f t="shared" si="70"/>
        <v>184.4327960117013</v>
      </c>
      <c r="AS13" s="186">
        <f t="shared" si="71"/>
        <v>2559535.8252024404</v>
      </c>
      <c r="AT13" s="169"/>
      <c r="AU13" s="169"/>
      <c r="AV13" s="169"/>
    </row>
    <row r="14" spans="1:48">
      <c r="A14" s="169">
        <f>VLOOKUP(B14,Misc_inputs!$A$3:$B$33,2,0)</f>
        <v>1.892198034308179</v>
      </c>
      <c r="B14" s="168">
        <v>2025</v>
      </c>
      <c r="C14" s="187">
        <f t="shared" si="29"/>
        <v>2560455.9159909808</v>
      </c>
      <c r="D14" s="187">
        <f t="shared" si="30"/>
        <v>48448.896511708816</v>
      </c>
      <c r="E14" s="188">
        <f t="shared" si="31"/>
        <v>2608904.8125026897</v>
      </c>
      <c r="F14" s="187">
        <f t="shared" si="32"/>
        <v>10131.508260909461</v>
      </c>
      <c r="G14" s="187">
        <f t="shared" si="72"/>
        <v>191.70820015869958</v>
      </c>
      <c r="H14" s="188">
        <f t="shared" si="34"/>
        <v>10323.216461068161</v>
      </c>
      <c r="I14" s="187">
        <f t="shared" si="35"/>
        <v>3455.0410452858705</v>
      </c>
      <c r="J14" s="187">
        <f t="shared" si="73"/>
        <v>65.376218743440006</v>
      </c>
      <c r="K14" s="188">
        <f t="shared" si="37"/>
        <v>3520.4172640293104</v>
      </c>
      <c r="L14" s="187">
        <f t="shared" si="38"/>
        <v>29988.772631502627</v>
      </c>
      <c r="M14" s="187">
        <f t="shared" si="74"/>
        <v>567.44696624644189</v>
      </c>
      <c r="N14" s="188">
        <f t="shared" si="40"/>
        <v>30556.21959774907</v>
      </c>
      <c r="O14" s="187">
        <f t="shared" si="41"/>
        <v>4549.3423016219667</v>
      </c>
      <c r="P14" s="187">
        <f t="shared" si="75"/>
        <v>86.082565605241328</v>
      </c>
      <c r="Q14" s="188">
        <f t="shared" si="43"/>
        <v>4635.4248672272079</v>
      </c>
      <c r="R14" s="187">
        <f t="shared" si="44"/>
        <v>4414.0915845467171</v>
      </c>
      <c r="S14" s="187">
        <f t="shared" si="76"/>
        <v>83.523354195355736</v>
      </c>
      <c r="T14" s="188">
        <f t="shared" si="46"/>
        <v>4497.6149387420728</v>
      </c>
      <c r="U14" s="187">
        <f t="shared" si="47"/>
        <v>1463.1668483594972</v>
      </c>
      <c r="V14" s="187">
        <f t="shared" si="77"/>
        <v>27.686014343307338</v>
      </c>
      <c r="W14" s="188">
        <f t="shared" si="49"/>
        <v>1490.8528627028045</v>
      </c>
      <c r="X14" s="187">
        <f t="shared" si="50"/>
        <v>331.97903282106239</v>
      </c>
      <c r="Y14" s="187">
        <f t="shared" si="78"/>
        <v>6.2817007333554464</v>
      </c>
      <c r="Z14" s="188">
        <f t="shared" si="52"/>
        <v>338.26073355441781</v>
      </c>
      <c r="AA14" s="187">
        <f t="shared" si="53"/>
        <v>172.13727627758789</v>
      </c>
      <c r="AB14" s="187">
        <f t="shared" si="79"/>
        <v>3.2571781580361572</v>
      </c>
      <c r="AC14" s="188">
        <f t="shared" si="55"/>
        <v>175.39445443562406</v>
      </c>
      <c r="AD14" s="187">
        <f t="shared" si="56"/>
        <v>504.11630909865011</v>
      </c>
      <c r="AE14" s="187">
        <f t="shared" si="80"/>
        <v>9.5388788913916009</v>
      </c>
      <c r="AF14" s="188">
        <f t="shared" si="58"/>
        <v>513.65518799004167</v>
      </c>
      <c r="AG14" s="187">
        <f t="shared" si="59"/>
        <v>1204.9609339431147</v>
      </c>
      <c r="AH14" s="187">
        <f t="shared" si="81"/>
        <v>22.800247106253092</v>
      </c>
      <c r="AI14" s="188">
        <f t="shared" si="61"/>
        <v>1227.7611810493677</v>
      </c>
      <c r="AJ14" s="187">
        <f t="shared" si="62"/>
        <v>331.97903282106239</v>
      </c>
      <c r="AK14" s="187">
        <f t="shared" si="82"/>
        <v>6.2817007333554464</v>
      </c>
      <c r="AL14" s="188">
        <f t="shared" si="64"/>
        <v>338.26073355441781</v>
      </c>
      <c r="AM14" s="187">
        <f t="shared" si="65"/>
        <v>245.91039468226839</v>
      </c>
      <c r="AN14" s="187">
        <f t="shared" si="83"/>
        <v>4.6531116543373674</v>
      </c>
      <c r="AO14" s="188">
        <f t="shared" si="67"/>
        <v>250.56350633660577</v>
      </c>
      <c r="AP14" s="187">
        <f t="shared" si="68"/>
        <v>184.4327960117013</v>
      </c>
      <c r="AQ14" s="187">
        <f t="shared" si="84"/>
        <v>3.4898337407530255</v>
      </c>
      <c r="AR14" s="188">
        <f t="shared" si="70"/>
        <v>187.92262975245433</v>
      </c>
      <c r="AS14" s="186">
        <f t="shared" si="71"/>
        <v>2607129.708901675</v>
      </c>
      <c r="AT14" s="169"/>
      <c r="AU14" s="169"/>
      <c r="AV14" s="169"/>
    </row>
    <row r="15" spans="1:48">
      <c r="A15" s="169">
        <f>VLOOKUP(B15,Misc_inputs!$A$3:$B$33,2,0)</f>
        <v>2.0003592159356653</v>
      </c>
      <c r="B15" s="168">
        <v>2026</v>
      </c>
      <c r="C15" s="187">
        <f t="shared" si="29"/>
        <v>2608904.8125026897</v>
      </c>
      <c r="D15" s="187">
        <f t="shared" si="30"/>
        <v>52187.467851886649</v>
      </c>
      <c r="E15" s="188">
        <f t="shared" si="31"/>
        <v>2661092.2803545762</v>
      </c>
      <c r="F15" s="187">
        <f t="shared" si="32"/>
        <v>10323.216461068161</v>
      </c>
      <c r="G15" s="187">
        <f t="shared" si="72"/>
        <v>206.50141185996461</v>
      </c>
      <c r="H15" s="188">
        <f t="shared" si="34"/>
        <v>10529.717872928126</v>
      </c>
      <c r="I15" s="187">
        <f t="shared" si="35"/>
        <v>3520.4172640293104</v>
      </c>
      <c r="J15" s="187">
        <f t="shared" si="73"/>
        <v>70.42099118040052</v>
      </c>
      <c r="K15" s="188">
        <f t="shared" si="37"/>
        <v>3590.838255209711</v>
      </c>
      <c r="L15" s="187">
        <f t="shared" si="38"/>
        <v>30556.21959774907</v>
      </c>
      <c r="M15" s="187">
        <f t="shared" si="74"/>
        <v>611.23415476511343</v>
      </c>
      <c r="N15" s="188">
        <f t="shared" si="40"/>
        <v>31167.453752514182</v>
      </c>
      <c r="O15" s="187">
        <f t="shared" si="41"/>
        <v>4635.4248672272079</v>
      </c>
      <c r="P15" s="187">
        <f t="shared" si="75"/>
        <v>92.725148529353021</v>
      </c>
      <c r="Q15" s="188">
        <f t="shared" si="43"/>
        <v>4728.1500157565606</v>
      </c>
      <c r="R15" s="187">
        <f t="shared" si="44"/>
        <v>4497.6149387420728</v>
      </c>
      <c r="S15" s="187">
        <f t="shared" si="76"/>
        <v>89.968454924426283</v>
      </c>
      <c r="T15" s="188">
        <f t="shared" si="46"/>
        <v>4587.5833936664994</v>
      </c>
      <c r="U15" s="187">
        <f t="shared" si="47"/>
        <v>1490.8528627028045</v>
      </c>
      <c r="V15" s="187">
        <f t="shared" si="77"/>
        <v>29.822412635116244</v>
      </c>
      <c r="W15" s="188">
        <f t="shared" si="49"/>
        <v>1520.6752753379208</v>
      </c>
      <c r="X15" s="187">
        <f t="shared" si="50"/>
        <v>338.26073355441781</v>
      </c>
      <c r="Y15" s="187">
        <f t="shared" si="78"/>
        <v>6.7664297575473826</v>
      </c>
      <c r="Z15" s="188">
        <f t="shared" si="52"/>
        <v>345.02716331196518</v>
      </c>
      <c r="AA15" s="187">
        <f t="shared" si="53"/>
        <v>175.39445443562406</v>
      </c>
      <c r="AB15" s="187">
        <f t="shared" si="79"/>
        <v>3.508519133543087</v>
      </c>
      <c r="AC15" s="188">
        <f t="shared" si="55"/>
        <v>178.90297356916713</v>
      </c>
      <c r="AD15" s="187">
        <f t="shared" si="56"/>
        <v>513.65518799004167</v>
      </c>
      <c r="AE15" s="187">
        <f t="shared" si="80"/>
        <v>10.274948891090464</v>
      </c>
      <c r="AF15" s="188">
        <f t="shared" si="58"/>
        <v>523.93013688113217</v>
      </c>
      <c r="AG15" s="187">
        <f t="shared" si="59"/>
        <v>1227.7611810493677</v>
      </c>
      <c r="AH15" s="187">
        <f t="shared" si="81"/>
        <v>24.559633934801596</v>
      </c>
      <c r="AI15" s="188">
        <f t="shared" si="61"/>
        <v>1252.3208149841694</v>
      </c>
      <c r="AJ15" s="187">
        <f t="shared" si="62"/>
        <v>338.26073355441781</v>
      </c>
      <c r="AK15" s="187">
        <f t="shared" si="82"/>
        <v>6.7664297575473826</v>
      </c>
      <c r="AL15" s="188">
        <f t="shared" si="64"/>
        <v>345.02716331196518</v>
      </c>
      <c r="AM15" s="187">
        <f t="shared" si="65"/>
        <v>250.56350633660577</v>
      </c>
      <c r="AN15" s="187">
        <f t="shared" si="83"/>
        <v>5.012170190775838</v>
      </c>
      <c r="AO15" s="188">
        <f t="shared" si="67"/>
        <v>255.5756765273816</v>
      </c>
      <c r="AP15" s="187">
        <f t="shared" si="68"/>
        <v>187.92262975245433</v>
      </c>
      <c r="AQ15" s="187">
        <f t="shared" si="84"/>
        <v>3.7591276430818787</v>
      </c>
      <c r="AR15" s="188">
        <f t="shared" si="70"/>
        <v>191.68175739553621</v>
      </c>
      <c r="AS15" s="186">
        <f t="shared" si="71"/>
        <v>2656461.7660053778</v>
      </c>
      <c r="AT15" s="169"/>
      <c r="AU15" s="169"/>
      <c r="AV15" s="169"/>
    </row>
    <row r="16" spans="1:48">
      <c r="A16" s="169">
        <f>VLOOKUP(B16,Misc_inputs!$A$3:$B$33,2,0)</f>
        <v>0</v>
      </c>
      <c r="B16" s="168">
        <v>2027</v>
      </c>
      <c r="C16" s="187">
        <f t="shared" si="29"/>
        <v>2661092.2803545762</v>
      </c>
      <c r="D16" s="187">
        <f t="shared" si="30"/>
        <v>0</v>
      </c>
      <c r="E16" s="188">
        <f t="shared" si="31"/>
        <v>2661092.2803545762</v>
      </c>
      <c r="F16" s="187">
        <f t="shared" si="32"/>
        <v>10529.717872928126</v>
      </c>
      <c r="G16" s="187">
        <f t="shared" si="72"/>
        <v>0</v>
      </c>
      <c r="H16" s="188">
        <f t="shared" si="34"/>
        <v>10529.717872928126</v>
      </c>
      <c r="I16" s="187">
        <f t="shared" si="35"/>
        <v>3590.838255209711</v>
      </c>
      <c r="J16" s="187">
        <f t="shared" si="73"/>
        <v>0</v>
      </c>
      <c r="K16" s="188">
        <f t="shared" si="37"/>
        <v>3590.838255209711</v>
      </c>
      <c r="L16" s="187">
        <f t="shared" si="38"/>
        <v>31167.453752514182</v>
      </c>
      <c r="M16" s="187">
        <f t="shared" si="74"/>
        <v>0</v>
      </c>
      <c r="N16" s="188">
        <f t="shared" si="40"/>
        <v>31167.453752514182</v>
      </c>
      <c r="O16" s="187">
        <f t="shared" si="41"/>
        <v>4728.1500157565606</v>
      </c>
      <c r="P16" s="187">
        <f t="shared" si="75"/>
        <v>0</v>
      </c>
      <c r="Q16" s="188">
        <f t="shared" si="43"/>
        <v>4728.1500157565606</v>
      </c>
      <c r="R16" s="187">
        <f t="shared" si="44"/>
        <v>4587.5833936664994</v>
      </c>
      <c r="S16" s="187">
        <f t="shared" si="76"/>
        <v>0</v>
      </c>
      <c r="T16" s="188">
        <f t="shared" si="46"/>
        <v>4587.5833936664994</v>
      </c>
      <c r="U16" s="187">
        <f t="shared" si="47"/>
        <v>1520.6752753379208</v>
      </c>
      <c r="V16" s="187">
        <f t="shared" si="77"/>
        <v>0</v>
      </c>
      <c r="W16" s="188">
        <f t="shared" si="49"/>
        <v>1520.6752753379208</v>
      </c>
      <c r="X16" s="187">
        <f t="shared" si="50"/>
        <v>345.02716331196518</v>
      </c>
      <c r="Y16" s="187">
        <f t="shared" si="78"/>
        <v>0</v>
      </c>
      <c r="Z16" s="188">
        <f t="shared" si="52"/>
        <v>345.02716331196518</v>
      </c>
      <c r="AA16" s="187">
        <f t="shared" si="53"/>
        <v>178.90297356916713</v>
      </c>
      <c r="AB16" s="187">
        <f t="shared" si="79"/>
        <v>0</v>
      </c>
      <c r="AC16" s="188">
        <f t="shared" si="55"/>
        <v>178.90297356916713</v>
      </c>
      <c r="AD16" s="187">
        <f t="shared" si="56"/>
        <v>523.93013688113217</v>
      </c>
      <c r="AE16" s="187">
        <f t="shared" si="80"/>
        <v>0</v>
      </c>
      <c r="AF16" s="188">
        <f t="shared" si="58"/>
        <v>523.93013688113217</v>
      </c>
      <c r="AG16" s="187">
        <f t="shared" si="59"/>
        <v>1252.3208149841694</v>
      </c>
      <c r="AH16" s="187">
        <f t="shared" si="81"/>
        <v>0</v>
      </c>
      <c r="AI16" s="188">
        <f t="shared" si="61"/>
        <v>1252.3208149841694</v>
      </c>
      <c r="AJ16" s="187">
        <f t="shared" si="62"/>
        <v>345.02716331196518</v>
      </c>
      <c r="AK16" s="187">
        <f t="shared" si="82"/>
        <v>0</v>
      </c>
      <c r="AL16" s="188">
        <f t="shared" si="64"/>
        <v>345.02716331196518</v>
      </c>
      <c r="AM16" s="187">
        <f t="shared" si="65"/>
        <v>255.5756765273816</v>
      </c>
      <c r="AN16" s="187">
        <f t="shared" si="83"/>
        <v>0</v>
      </c>
      <c r="AO16" s="188">
        <f t="shared" si="67"/>
        <v>255.5756765273816</v>
      </c>
      <c r="AP16" s="187">
        <f t="shared" si="68"/>
        <v>191.68175739553621</v>
      </c>
      <c r="AQ16" s="187">
        <f t="shared" si="84"/>
        <v>0</v>
      </c>
      <c r="AR16" s="188">
        <f t="shared" si="70"/>
        <v>191.68175739553621</v>
      </c>
      <c r="AS16" s="186">
        <f t="shared" si="71"/>
        <v>2709600.5437594731</v>
      </c>
      <c r="AT16" s="169"/>
      <c r="AU16" s="169"/>
      <c r="AV16" s="169"/>
    </row>
    <row r="17" spans="1:48">
      <c r="A17" s="169">
        <f>VLOOKUP(B17,Misc_inputs!$A$3:$B$33,2,0)</f>
        <v>0</v>
      </c>
      <c r="B17" s="168">
        <v>2028</v>
      </c>
      <c r="C17" s="187">
        <f t="shared" si="29"/>
        <v>2661092.2803545762</v>
      </c>
      <c r="D17" s="187">
        <f t="shared" si="30"/>
        <v>0</v>
      </c>
      <c r="E17" s="188">
        <f t="shared" si="31"/>
        <v>2661092.2803545762</v>
      </c>
      <c r="F17" s="187">
        <f t="shared" si="32"/>
        <v>10529.717872928126</v>
      </c>
      <c r="G17" s="187">
        <f t="shared" si="72"/>
        <v>0</v>
      </c>
      <c r="H17" s="188">
        <f t="shared" si="34"/>
        <v>10529.717872928126</v>
      </c>
      <c r="I17" s="187">
        <f t="shared" si="35"/>
        <v>3590.838255209711</v>
      </c>
      <c r="J17" s="187">
        <f t="shared" si="73"/>
        <v>0</v>
      </c>
      <c r="K17" s="188">
        <f t="shared" si="37"/>
        <v>3590.838255209711</v>
      </c>
      <c r="L17" s="187">
        <f t="shared" si="38"/>
        <v>31167.453752514182</v>
      </c>
      <c r="M17" s="187">
        <f t="shared" si="74"/>
        <v>0</v>
      </c>
      <c r="N17" s="188">
        <f t="shared" si="40"/>
        <v>31167.453752514182</v>
      </c>
      <c r="O17" s="187">
        <f t="shared" si="41"/>
        <v>4728.1500157565606</v>
      </c>
      <c r="P17" s="187">
        <f t="shared" si="75"/>
        <v>0</v>
      </c>
      <c r="Q17" s="188">
        <f t="shared" si="43"/>
        <v>4728.1500157565606</v>
      </c>
      <c r="R17" s="187">
        <f t="shared" si="44"/>
        <v>4587.5833936664994</v>
      </c>
      <c r="S17" s="187">
        <f t="shared" si="76"/>
        <v>0</v>
      </c>
      <c r="T17" s="188">
        <f t="shared" si="46"/>
        <v>4587.5833936664994</v>
      </c>
      <c r="U17" s="187">
        <f t="shared" si="47"/>
        <v>1520.6752753379208</v>
      </c>
      <c r="V17" s="187">
        <f t="shared" si="77"/>
        <v>0</v>
      </c>
      <c r="W17" s="188">
        <f t="shared" si="49"/>
        <v>1520.6752753379208</v>
      </c>
      <c r="X17" s="187">
        <f t="shared" si="50"/>
        <v>345.02716331196518</v>
      </c>
      <c r="Y17" s="187">
        <f t="shared" si="78"/>
        <v>0</v>
      </c>
      <c r="Z17" s="188">
        <f t="shared" si="52"/>
        <v>345.02716331196518</v>
      </c>
      <c r="AA17" s="187">
        <f t="shared" si="53"/>
        <v>178.90297356916713</v>
      </c>
      <c r="AB17" s="187">
        <f t="shared" si="79"/>
        <v>0</v>
      </c>
      <c r="AC17" s="188">
        <f t="shared" si="55"/>
        <v>178.90297356916713</v>
      </c>
      <c r="AD17" s="187">
        <f t="shared" si="56"/>
        <v>523.93013688113217</v>
      </c>
      <c r="AE17" s="187">
        <f t="shared" si="80"/>
        <v>0</v>
      </c>
      <c r="AF17" s="188">
        <f t="shared" si="58"/>
        <v>523.93013688113217</v>
      </c>
      <c r="AG17" s="187">
        <f t="shared" si="59"/>
        <v>1252.3208149841694</v>
      </c>
      <c r="AH17" s="187">
        <f t="shared" si="81"/>
        <v>0</v>
      </c>
      <c r="AI17" s="188">
        <f t="shared" si="61"/>
        <v>1252.3208149841694</v>
      </c>
      <c r="AJ17" s="187">
        <f t="shared" si="62"/>
        <v>345.02716331196518</v>
      </c>
      <c r="AK17" s="187">
        <f t="shared" si="82"/>
        <v>0</v>
      </c>
      <c r="AL17" s="188">
        <f t="shared" si="64"/>
        <v>345.02716331196518</v>
      </c>
      <c r="AM17" s="187">
        <f t="shared" si="65"/>
        <v>255.5756765273816</v>
      </c>
      <c r="AN17" s="187">
        <f t="shared" si="83"/>
        <v>0</v>
      </c>
      <c r="AO17" s="188">
        <f t="shared" si="67"/>
        <v>255.5756765273816</v>
      </c>
      <c r="AP17" s="187">
        <f t="shared" si="68"/>
        <v>191.68175739553621</v>
      </c>
      <c r="AQ17" s="187">
        <f t="shared" si="84"/>
        <v>0</v>
      </c>
      <c r="AR17" s="188">
        <f t="shared" si="70"/>
        <v>191.68175739553621</v>
      </c>
      <c r="AS17" s="186">
        <f t="shared" si="71"/>
        <v>2709600.5437594731</v>
      </c>
      <c r="AT17" s="169"/>
      <c r="AU17" s="169"/>
      <c r="AV17" s="169"/>
    </row>
    <row r="18" spans="1:48">
      <c r="A18" s="169">
        <f>VLOOKUP(B18,Misc_inputs!$A$3:$B$33,2,0)</f>
        <v>0</v>
      </c>
      <c r="B18" s="168">
        <v>2029</v>
      </c>
      <c r="C18" s="187">
        <f t="shared" si="29"/>
        <v>2661092.2803545762</v>
      </c>
      <c r="D18" s="187">
        <f t="shared" si="30"/>
        <v>0</v>
      </c>
      <c r="E18" s="188">
        <f t="shared" si="31"/>
        <v>2661092.2803545762</v>
      </c>
      <c r="F18" s="187">
        <f t="shared" si="32"/>
        <v>10529.717872928126</v>
      </c>
      <c r="G18" s="187">
        <f t="shared" si="72"/>
        <v>0</v>
      </c>
      <c r="H18" s="188">
        <f t="shared" si="34"/>
        <v>10529.717872928126</v>
      </c>
      <c r="I18" s="187">
        <f t="shared" si="35"/>
        <v>3590.838255209711</v>
      </c>
      <c r="J18" s="187">
        <f t="shared" si="73"/>
        <v>0</v>
      </c>
      <c r="K18" s="188">
        <f t="shared" si="37"/>
        <v>3590.838255209711</v>
      </c>
      <c r="L18" s="187">
        <f t="shared" si="38"/>
        <v>31167.453752514182</v>
      </c>
      <c r="M18" s="187">
        <f t="shared" si="74"/>
        <v>0</v>
      </c>
      <c r="N18" s="188">
        <f t="shared" si="40"/>
        <v>31167.453752514182</v>
      </c>
      <c r="O18" s="187">
        <f t="shared" si="41"/>
        <v>4728.1500157565606</v>
      </c>
      <c r="P18" s="187">
        <f t="shared" si="75"/>
        <v>0</v>
      </c>
      <c r="Q18" s="188">
        <f t="shared" si="43"/>
        <v>4728.1500157565606</v>
      </c>
      <c r="R18" s="187">
        <f t="shared" si="44"/>
        <v>4587.5833936664994</v>
      </c>
      <c r="S18" s="187">
        <f t="shared" si="76"/>
        <v>0</v>
      </c>
      <c r="T18" s="188">
        <f t="shared" si="46"/>
        <v>4587.5833936664994</v>
      </c>
      <c r="U18" s="187">
        <f t="shared" si="47"/>
        <v>1520.6752753379208</v>
      </c>
      <c r="V18" s="187">
        <f t="shared" si="77"/>
        <v>0</v>
      </c>
      <c r="W18" s="188">
        <f t="shared" si="49"/>
        <v>1520.6752753379208</v>
      </c>
      <c r="X18" s="187">
        <f t="shared" si="50"/>
        <v>345.02716331196518</v>
      </c>
      <c r="Y18" s="187">
        <f t="shared" si="78"/>
        <v>0</v>
      </c>
      <c r="Z18" s="188">
        <f t="shared" si="52"/>
        <v>345.02716331196518</v>
      </c>
      <c r="AA18" s="187">
        <f t="shared" si="53"/>
        <v>178.90297356916713</v>
      </c>
      <c r="AB18" s="187">
        <f t="shared" si="79"/>
        <v>0</v>
      </c>
      <c r="AC18" s="188">
        <f t="shared" si="55"/>
        <v>178.90297356916713</v>
      </c>
      <c r="AD18" s="187">
        <f t="shared" si="56"/>
        <v>523.93013688113217</v>
      </c>
      <c r="AE18" s="187">
        <f t="shared" si="80"/>
        <v>0</v>
      </c>
      <c r="AF18" s="188">
        <f t="shared" si="58"/>
        <v>523.93013688113217</v>
      </c>
      <c r="AG18" s="187">
        <f t="shared" si="59"/>
        <v>1252.3208149841694</v>
      </c>
      <c r="AH18" s="187">
        <f t="shared" si="81"/>
        <v>0</v>
      </c>
      <c r="AI18" s="188">
        <f t="shared" si="61"/>
        <v>1252.3208149841694</v>
      </c>
      <c r="AJ18" s="187">
        <f t="shared" si="62"/>
        <v>345.02716331196518</v>
      </c>
      <c r="AK18" s="187">
        <f t="shared" si="82"/>
        <v>0</v>
      </c>
      <c r="AL18" s="188">
        <f t="shared" si="64"/>
        <v>345.02716331196518</v>
      </c>
      <c r="AM18" s="187">
        <f t="shared" si="65"/>
        <v>255.5756765273816</v>
      </c>
      <c r="AN18" s="187">
        <f t="shared" si="83"/>
        <v>0</v>
      </c>
      <c r="AO18" s="188">
        <f t="shared" si="67"/>
        <v>255.5756765273816</v>
      </c>
      <c r="AP18" s="187">
        <f t="shared" si="68"/>
        <v>191.68175739553621</v>
      </c>
      <c r="AQ18" s="187">
        <f t="shared" si="84"/>
        <v>0</v>
      </c>
      <c r="AR18" s="188">
        <f t="shared" si="70"/>
        <v>191.68175739553621</v>
      </c>
      <c r="AS18" s="186">
        <f t="shared" si="71"/>
        <v>2709600.5437594731</v>
      </c>
      <c r="AT18" s="169"/>
      <c r="AU18" s="169"/>
      <c r="AV18" s="169"/>
    </row>
    <row r="19" spans="1:48">
      <c r="A19" s="169">
        <f>VLOOKUP(B19,Misc_inputs!$A$3:$B$33,2,0)</f>
        <v>0</v>
      </c>
      <c r="B19" s="168">
        <v>2030</v>
      </c>
      <c r="C19" s="187">
        <f t="shared" si="29"/>
        <v>2661092.2803545762</v>
      </c>
      <c r="D19" s="187">
        <f t="shared" si="30"/>
        <v>0</v>
      </c>
      <c r="E19" s="188">
        <f t="shared" si="31"/>
        <v>2661092.2803545762</v>
      </c>
      <c r="F19" s="187">
        <f t="shared" si="32"/>
        <v>10529.717872928126</v>
      </c>
      <c r="G19" s="187">
        <f t="shared" si="72"/>
        <v>0</v>
      </c>
      <c r="H19" s="188">
        <f t="shared" si="34"/>
        <v>10529.717872928126</v>
      </c>
      <c r="I19" s="187">
        <f t="shared" si="35"/>
        <v>3590.838255209711</v>
      </c>
      <c r="J19" s="187">
        <f t="shared" si="73"/>
        <v>0</v>
      </c>
      <c r="K19" s="188">
        <f t="shared" si="37"/>
        <v>3590.838255209711</v>
      </c>
      <c r="L19" s="187">
        <f t="shared" si="38"/>
        <v>31167.453752514182</v>
      </c>
      <c r="M19" s="187">
        <f t="shared" si="74"/>
        <v>0</v>
      </c>
      <c r="N19" s="188">
        <f t="shared" si="40"/>
        <v>31167.453752514182</v>
      </c>
      <c r="O19" s="187">
        <f t="shared" si="41"/>
        <v>4728.1500157565606</v>
      </c>
      <c r="P19" s="187">
        <f t="shared" si="75"/>
        <v>0</v>
      </c>
      <c r="Q19" s="188">
        <f t="shared" si="43"/>
        <v>4728.1500157565606</v>
      </c>
      <c r="R19" s="187">
        <f t="shared" si="44"/>
        <v>4587.5833936664994</v>
      </c>
      <c r="S19" s="187">
        <f t="shared" si="76"/>
        <v>0</v>
      </c>
      <c r="T19" s="188">
        <f t="shared" si="46"/>
        <v>4587.5833936664994</v>
      </c>
      <c r="U19" s="187">
        <f t="shared" si="47"/>
        <v>1520.6752753379208</v>
      </c>
      <c r="V19" s="187">
        <f t="shared" si="77"/>
        <v>0</v>
      </c>
      <c r="W19" s="188">
        <f t="shared" si="49"/>
        <v>1520.6752753379208</v>
      </c>
      <c r="X19" s="187">
        <f t="shared" si="50"/>
        <v>345.02716331196518</v>
      </c>
      <c r="Y19" s="187">
        <f t="shared" si="78"/>
        <v>0</v>
      </c>
      <c r="Z19" s="188">
        <f t="shared" si="52"/>
        <v>345.02716331196518</v>
      </c>
      <c r="AA19" s="187">
        <f t="shared" si="53"/>
        <v>178.90297356916713</v>
      </c>
      <c r="AB19" s="187">
        <f t="shared" si="79"/>
        <v>0</v>
      </c>
      <c r="AC19" s="188">
        <f t="shared" si="55"/>
        <v>178.90297356916713</v>
      </c>
      <c r="AD19" s="187">
        <f t="shared" si="56"/>
        <v>523.93013688113217</v>
      </c>
      <c r="AE19" s="187">
        <f t="shared" si="80"/>
        <v>0</v>
      </c>
      <c r="AF19" s="188">
        <f t="shared" si="58"/>
        <v>523.93013688113217</v>
      </c>
      <c r="AG19" s="187">
        <f t="shared" si="59"/>
        <v>1252.3208149841694</v>
      </c>
      <c r="AH19" s="187">
        <f t="shared" si="81"/>
        <v>0</v>
      </c>
      <c r="AI19" s="188">
        <f t="shared" si="61"/>
        <v>1252.3208149841694</v>
      </c>
      <c r="AJ19" s="187">
        <f t="shared" si="62"/>
        <v>345.02716331196518</v>
      </c>
      <c r="AK19" s="187">
        <f t="shared" si="82"/>
        <v>0</v>
      </c>
      <c r="AL19" s="188">
        <f t="shared" si="64"/>
        <v>345.02716331196518</v>
      </c>
      <c r="AM19" s="187">
        <f t="shared" si="65"/>
        <v>255.5756765273816</v>
      </c>
      <c r="AN19" s="187">
        <f t="shared" si="83"/>
        <v>0</v>
      </c>
      <c r="AO19" s="188">
        <f t="shared" si="67"/>
        <v>255.5756765273816</v>
      </c>
      <c r="AP19" s="187">
        <f t="shared" si="68"/>
        <v>191.68175739553621</v>
      </c>
      <c r="AQ19" s="187">
        <f t="shared" si="84"/>
        <v>0</v>
      </c>
      <c r="AR19" s="188">
        <f t="shared" si="70"/>
        <v>191.68175739553621</v>
      </c>
      <c r="AS19" s="186">
        <f t="shared" si="71"/>
        <v>2709600.5437594731</v>
      </c>
      <c r="AT19" s="169"/>
      <c r="AU19" s="169"/>
      <c r="AV19" s="169"/>
    </row>
    <row r="21" spans="1:48" s="190" customFormat="1" ht="23">
      <c r="A21" s="183" t="s">
        <v>575</v>
      </c>
      <c r="B21" s="189"/>
      <c r="C21" s="189"/>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row>
    <row r="22" spans="1:48" s="173" customFormat="1" ht="63.75" customHeight="1">
      <c r="A22" s="173" t="s">
        <v>539</v>
      </c>
      <c r="B22" s="172" t="s">
        <v>342</v>
      </c>
      <c r="C22" s="172" t="str">
        <f>Cost_of_crime_Raw_data!A21</f>
        <v>Commercial robbery</v>
      </c>
      <c r="D22" s="184" t="s">
        <v>540</v>
      </c>
      <c r="E22" s="185" t="s">
        <v>541</v>
      </c>
      <c r="F22" s="172" t="str">
        <f>Cost_of_crime_Raw_data!A22</f>
        <v>Commercial burglary</v>
      </c>
      <c r="G22" s="184" t="s">
        <v>540</v>
      </c>
      <c r="H22" s="185" t="s">
        <v>541</v>
      </c>
      <c r="I22" s="172" t="str">
        <f>Cost_of_crime_Raw_data!A23</f>
        <v>Commercial theft</v>
      </c>
      <c r="J22" s="184" t="s">
        <v>540</v>
      </c>
      <c r="K22" s="185" t="s">
        <v>541</v>
      </c>
      <c r="L22" s="172" t="str">
        <f>Cost_of_crime_Raw_data!A24</f>
        <v>Theft of commercial vehicle</v>
      </c>
      <c r="M22" s="184" t="s">
        <v>540</v>
      </c>
      <c r="N22" s="185" t="s">
        <v>541</v>
      </c>
      <c r="O22" s="172" t="str">
        <f>Cost_of_crime_Raw_data!A25</f>
        <v>Theft from commercial vehicle</v>
      </c>
      <c r="P22" s="184" t="s">
        <v>540</v>
      </c>
      <c r="Q22" s="185" t="s">
        <v>541</v>
      </c>
      <c r="R22" s="172" t="str">
        <f>Cost_of_crime_Raw_data!A26</f>
        <v>Commercial criminal damage - arson</v>
      </c>
      <c r="S22" s="184" t="s">
        <v>540</v>
      </c>
      <c r="T22" s="185" t="s">
        <v>541</v>
      </c>
      <c r="U22" s="172" t="str">
        <f>Cost_of_crime_Raw_data!A27</f>
        <v>Commercial criminal damage - other</v>
      </c>
      <c r="V22" s="184" t="s">
        <v>540</v>
      </c>
      <c r="W22" s="185" t="s">
        <v>541</v>
      </c>
      <c r="X22" s="191" t="s">
        <v>412</v>
      </c>
      <c r="Y22" s="172"/>
      <c r="Z22" s="192"/>
      <c r="AA22" s="172"/>
      <c r="AB22" s="172"/>
      <c r="AC22" s="192"/>
      <c r="AD22" s="172"/>
      <c r="AE22" s="172"/>
      <c r="AF22" s="192"/>
      <c r="AG22" s="172"/>
      <c r="AH22" s="172"/>
      <c r="AI22" s="192"/>
      <c r="AJ22" s="172"/>
      <c r="AK22" s="172"/>
      <c r="AL22" s="192"/>
      <c r="AM22" s="172"/>
      <c r="AN22" s="172"/>
      <c r="AO22" s="192"/>
      <c r="AP22" s="172"/>
      <c r="AQ22" s="172"/>
      <c r="AR22" s="192"/>
      <c r="AS22" s="172"/>
      <c r="AT22" s="172"/>
      <c r="AU22" s="192"/>
      <c r="AV22" s="172"/>
    </row>
    <row r="23" spans="1:48">
      <c r="B23" s="168">
        <v>2015</v>
      </c>
      <c r="C23" s="186">
        <f>IF(Cost_of_crime_Raw_data!C59="not estimated","0",Cost_of_crime_Raw_data!C59)</f>
        <v>4170</v>
      </c>
      <c r="D23" s="187">
        <f>C23*$A23/100</f>
        <v>0</v>
      </c>
      <c r="E23" s="188">
        <f>C23+D23</f>
        <v>4170</v>
      </c>
      <c r="F23" s="186">
        <f>IF(Cost_of_crime_Raw_data!C60="not estimated","0",Cost_of_crime_Raw_data!C60)</f>
        <v>510</v>
      </c>
      <c r="G23" s="187">
        <f>F23*$A23/100</f>
        <v>0</v>
      </c>
      <c r="H23" s="188">
        <f>F23+G23</f>
        <v>510</v>
      </c>
      <c r="I23" s="186">
        <f>IF(Cost_of_crime_Raw_data!C61="not estimated","0",Cost_of_crime_Raw_data!C61)</f>
        <v>0</v>
      </c>
      <c r="J23" s="187">
        <f>I23*$A23/100</f>
        <v>0</v>
      </c>
      <c r="K23" s="188">
        <f>I23+J23</f>
        <v>0</v>
      </c>
      <c r="L23" s="186">
        <f>IF(Cost_of_crime_Raw_data!C62="not estimated","0",Cost_of_crime_Raw_data!C62)</f>
        <v>360</v>
      </c>
      <c r="M23" s="187">
        <f>L23*$A23/100</f>
        <v>0</v>
      </c>
      <c r="N23" s="188">
        <f>L23+M23</f>
        <v>360</v>
      </c>
      <c r="O23" s="186">
        <f>IF(Cost_of_crime_Raw_data!C63="not estimated","0",Cost_of_crime_Raw_data!C63)</f>
        <v>100</v>
      </c>
      <c r="P23" s="187">
        <f>O23*$A23/100</f>
        <v>0</v>
      </c>
      <c r="Q23" s="188">
        <f>O23+P23</f>
        <v>100</v>
      </c>
      <c r="R23" s="186">
        <f>IF(Cost_of_crime_Raw_data!C64="not estimated","0",Cost_of_crime_Raw_data!C64)</f>
        <v>1010</v>
      </c>
      <c r="S23" s="187">
        <f>R23*$A23/100</f>
        <v>0</v>
      </c>
      <c r="T23" s="188">
        <f>R23+S23</f>
        <v>1010</v>
      </c>
      <c r="U23" s="186">
        <f>IF(Cost_of_crime_Raw_data!C65="not estimated","0",Cost_of_crime_Raw_data!C65)</f>
        <v>60</v>
      </c>
      <c r="V23" s="187">
        <f>U23*$A23/100</f>
        <v>0</v>
      </c>
      <c r="W23" s="188">
        <f>U23+V23</f>
        <v>60</v>
      </c>
      <c r="X23" s="187">
        <f>SUM(W23,T23,Q23,N23,K23,H23,E23)</f>
        <v>6210</v>
      </c>
    </row>
    <row r="24" spans="1:48">
      <c r="A24" s="169">
        <f>VLOOKUP(B24,Misc_inputs!$A$3:$B$33,2,0)</f>
        <v>1.8963035451147277</v>
      </c>
      <c r="B24" s="168">
        <v>2016</v>
      </c>
      <c r="C24" s="187">
        <f>E23</f>
        <v>4170</v>
      </c>
      <c r="D24" s="187">
        <f t="shared" ref="D24" si="85">C24*$A24/100</f>
        <v>79.075857831284154</v>
      </c>
      <c r="E24" s="188">
        <f t="shared" ref="E24" si="86">C24+D24</f>
        <v>4249.0758578312843</v>
      </c>
      <c r="F24" s="187">
        <f>H23</f>
        <v>510</v>
      </c>
      <c r="G24" s="187">
        <f t="shared" ref="G24" si="87">F24*$A24/100</f>
        <v>9.6711480800851106</v>
      </c>
      <c r="H24" s="188">
        <f t="shared" ref="H24" si="88">F24+G24</f>
        <v>519.67114808008512</v>
      </c>
      <c r="I24" s="187">
        <f>K23</f>
        <v>0</v>
      </c>
      <c r="J24" s="187">
        <f t="shared" ref="J24" si="89">I24*$A24/100</f>
        <v>0</v>
      </c>
      <c r="K24" s="188">
        <f t="shared" ref="K24" si="90">I24+J24</f>
        <v>0</v>
      </c>
      <c r="L24" s="187">
        <f>N23</f>
        <v>360</v>
      </c>
      <c r="M24" s="187">
        <f t="shared" ref="M24" si="91">L24*$A24/100</f>
        <v>6.8266927624130203</v>
      </c>
      <c r="N24" s="188">
        <f t="shared" ref="N24" si="92">L24+M24</f>
        <v>366.82669276241302</v>
      </c>
      <c r="O24" s="187">
        <f>Q23</f>
        <v>100</v>
      </c>
      <c r="P24" s="187">
        <f t="shared" ref="P24" si="93">O24*$A24/100</f>
        <v>1.8963035451147277</v>
      </c>
      <c r="Q24" s="188">
        <f t="shared" ref="Q24" si="94">O24+P24</f>
        <v>101.89630354511473</v>
      </c>
      <c r="R24" s="187">
        <f>T23</f>
        <v>1010</v>
      </c>
      <c r="S24" s="187">
        <f t="shared" ref="S24" si="95">R24*$A24/100</f>
        <v>19.152665805658749</v>
      </c>
      <c r="T24" s="188">
        <f t="shared" ref="T24" si="96">R24+S24</f>
        <v>1029.1526658056587</v>
      </c>
      <c r="U24" s="187">
        <f>W23</f>
        <v>60</v>
      </c>
      <c r="V24" s="187">
        <f t="shared" ref="V24" si="97">U24*$A24/100</f>
        <v>1.1377821270688366</v>
      </c>
      <c r="W24" s="188">
        <f t="shared" ref="W24" si="98">U24+V24</f>
        <v>61.137782127068839</v>
      </c>
      <c r="X24" s="187">
        <f t="shared" ref="X24" si="99">SUM(W24,T24,Q24,N24,K24,H24,E24)</f>
        <v>6327.7604501516253</v>
      </c>
    </row>
    <row r="25" spans="1:48">
      <c r="A25" s="169">
        <f>VLOOKUP(B25,Misc_inputs!$A$3:$B$33,2,0)</f>
        <v>1.8209228570152332</v>
      </c>
      <c r="B25" s="168">
        <v>2017</v>
      </c>
      <c r="C25" s="187">
        <f t="shared" ref="C25:C38" si="100">E24</f>
        <v>4249.0758578312843</v>
      </c>
      <c r="D25" s="187">
        <f t="shared" ref="D25:D38" si="101">C25*$A25/100</f>
        <v>77.372393507165953</v>
      </c>
      <c r="E25" s="188">
        <f t="shared" ref="E25:E38" si="102">C25+D25</f>
        <v>4326.4482513384501</v>
      </c>
      <c r="F25" s="187">
        <f t="shared" ref="F25:F38" si="103">H24</f>
        <v>519.67114808008512</v>
      </c>
      <c r="G25" s="187">
        <f t="shared" ref="G25:G38" si="104">F25*$A25/100</f>
        <v>9.4628107167037498</v>
      </c>
      <c r="H25" s="188">
        <f t="shared" ref="H25:H38" si="105">F25+G25</f>
        <v>529.13395879678887</v>
      </c>
      <c r="I25" s="187">
        <f t="shared" ref="I25:I38" si="106">K24</f>
        <v>0</v>
      </c>
      <c r="J25" s="187">
        <f t="shared" ref="J25:J38" si="107">I25*$A25/100</f>
        <v>0</v>
      </c>
      <c r="K25" s="188">
        <f t="shared" ref="K25:K38" si="108">I25+J25</f>
        <v>0</v>
      </c>
      <c r="L25" s="187">
        <f t="shared" ref="L25:L38" si="109">N24</f>
        <v>366.82669276241302</v>
      </c>
      <c r="M25" s="187">
        <f t="shared" ref="M25:M38" si="110">L25*$A25/100</f>
        <v>6.6796310941438231</v>
      </c>
      <c r="N25" s="188">
        <f t="shared" ref="N25:N38" si="111">L25+M25</f>
        <v>373.50632385655683</v>
      </c>
      <c r="O25" s="187">
        <f t="shared" ref="O25:O38" si="112">Q24</f>
        <v>101.89630354511473</v>
      </c>
      <c r="P25" s="187">
        <f t="shared" ref="P25:P38" si="113">O25*$A25/100</f>
        <v>1.8554530817066175</v>
      </c>
      <c r="Q25" s="188">
        <f t="shared" ref="Q25:Q38" si="114">O25+P25</f>
        <v>103.75175662682135</v>
      </c>
      <c r="R25" s="187">
        <f t="shared" ref="R25:R38" si="115">T24</f>
        <v>1029.1526658056587</v>
      </c>
      <c r="S25" s="187">
        <f t="shared" ref="S25:S38" si="116">R25*$A25/100</f>
        <v>18.740076125236836</v>
      </c>
      <c r="T25" s="188">
        <f t="shared" ref="T25:T38" si="117">R25+S25</f>
        <v>1047.8927419308955</v>
      </c>
      <c r="U25" s="187">
        <f t="shared" ref="U25:U38" si="118">W24</f>
        <v>61.137782127068839</v>
      </c>
      <c r="V25" s="187">
        <f t="shared" ref="V25:V38" si="119">U25*$A25/100</f>
        <v>1.1132718490239706</v>
      </c>
      <c r="W25" s="188">
        <f t="shared" ref="W25:W38" si="120">U25+V25</f>
        <v>62.251053976092813</v>
      </c>
      <c r="X25" s="187">
        <f t="shared" ref="X25:X38" si="121">SUM(W25,T25,Q25,N25,K25,H25,E25)</f>
        <v>6442.9840865256056</v>
      </c>
    </row>
    <row r="26" spans="1:48">
      <c r="A26" s="169">
        <f>VLOOKUP(B26,Misc_inputs!$A$3:$B$33,2,0)</f>
        <v>1.9988242855231282</v>
      </c>
      <c r="B26" s="168">
        <v>2018</v>
      </c>
      <c r="C26" s="187">
        <f t="shared" si="100"/>
        <v>4326.4482513384501</v>
      </c>
      <c r="D26" s="187">
        <f t="shared" si="101"/>
        <v>86.47809834834365</v>
      </c>
      <c r="E26" s="188">
        <f t="shared" si="102"/>
        <v>4412.9263496867934</v>
      </c>
      <c r="F26" s="187">
        <f t="shared" si="103"/>
        <v>529.13395879678887</v>
      </c>
      <c r="G26" s="187">
        <f t="shared" si="104"/>
        <v>10.576458071380159</v>
      </c>
      <c r="H26" s="188">
        <f t="shared" si="105"/>
        <v>539.71041686816898</v>
      </c>
      <c r="I26" s="187">
        <f t="shared" si="106"/>
        <v>0</v>
      </c>
      <c r="J26" s="187">
        <f t="shared" si="107"/>
        <v>0</v>
      </c>
      <c r="K26" s="188">
        <f t="shared" si="108"/>
        <v>0</v>
      </c>
      <c r="L26" s="187">
        <f t="shared" si="109"/>
        <v>373.50632385655683</v>
      </c>
      <c r="M26" s="187">
        <f t="shared" si="110"/>
        <v>7.4657351092095237</v>
      </c>
      <c r="N26" s="188">
        <f t="shared" si="111"/>
        <v>380.97205896576634</v>
      </c>
      <c r="O26" s="187">
        <f t="shared" si="112"/>
        <v>103.75175662682135</v>
      </c>
      <c r="P26" s="187">
        <f t="shared" si="113"/>
        <v>2.0738153081137565</v>
      </c>
      <c r="Q26" s="188">
        <f t="shared" si="114"/>
        <v>105.8255719349351</v>
      </c>
      <c r="R26" s="187">
        <f t="shared" si="115"/>
        <v>1047.8927419308955</v>
      </c>
      <c r="S26" s="187">
        <f t="shared" si="116"/>
        <v>20.945534611948936</v>
      </c>
      <c r="T26" s="188">
        <f t="shared" si="117"/>
        <v>1068.8382765428444</v>
      </c>
      <c r="U26" s="187">
        <f t="shared" si="118"/>
        <v>62.251053976092813</v>
      </c>
      <c r="V26" s="187">
        <f t="shared" si="119"/>
        <v>1.244289184868254</v>
      </c>
      <c r="W26" s="188">
        <f t="shared" si="120"/>
        <v>63.495343160961063</v>
      </c>
      <c r="X26" s="187">
        <f t="shared" si="121"/>
        <v>6571.7680171594693</v>
      </c>
    </row>
    <row r="27" spans="1:48">
      <c r="A27" s="169">
        <f>VLOOKUP(B27,Misc_inputs!$A$3:$B$33,2,0)</f>
        <v>2.0163202370724722</v>
      </c>
      <c r="B27" s="168">
        <v>2019</v>
      </c>
      <c r="C27" s="187">
        <f t="shared" si="100"/>
        <v>4412.9263496867934</v>
      </c>
      <c r="D27" s="187">
        <f t="shared" si="101"/>
        <v>88.978727035838347</v>
      </c>
      <c r="E27" s="188">
        <f t="shared" si="102"/>
        <v>4501.9050767226317</v>
      </c>
      <c r="F27" s="187">
        <f t="shared" si="103"/>
        <v>539.71041686816898</v>
      </c>
      <c r="G27" s="187">
        <f t="shared" si="104"/>
        <v>10.882290356901091</v>
      </c>
      <c r="H27" s="188">
        <f t="shared" si="105"/>
        <v>550.59270722507006</v>
      </c>
      <c r="I27" s="187">
        <f t="shared" si="106"/>
        <v>0</v>
      </c>
      <c r="J27" s="187">
        <f t="shared" si="107"/>
        <v>0</v>
      </c>
      <c r="K27" s="188">
        <f t="shared" si="108"/>
        <v>0</v>
      </c>
      <c r="L27" s="187">
        <f t="shared" si="109"/>
        <v>380.97205896576634</v>
      </c>
      <c r="M27" s="187">
        <f t="shared" si="110"/>
        <v>7.6816167225184184</v>
      </c>
      <c r="N27" s="188">
        <f t="shared" si="111"/>
        <v>388.65367568828475</v>
      </c>
      <c r="O27" s="187">
        <f t="shared" si="112"/>
        <v>105.8255719349351</v>
      </c>
      <c r="P27" s="187">
        <f t="shared" si="113"/>
        <v>2.133782422921783</v>
      </c>
      <c r="Q27" s="188">
        <f t="shared" si="114"/>
        <v>107.95935435785688</v>
      </c>
      <c r="R27" s="187">
        <f t="shared" si="115"/>
        <v>1068.8382765428444</v>
      </c>
      <c r="S27" s="187">
        <f t="shared" si="116"/>
        <v>21.551202471510006</v>
      </c>
      <c r="T27" s="188">
        <f t="shared" si="117"/>
        <v>1090.3894790143543</v>
      </c>
      <c r="U27" s="187">
        <f t="shared" si="118"/>
        <v>63.495343160961063</v>
      </c>
      <c r="V27" s="187">
        <f t="shared" si="119"/>
        <v>1.2802694537530699</v>
      </c>
      <c r="W27" s="188">
        <f t="shared" si="120"/>
        <v>64.775612614714134</v>
      </c>
      <c r="X27" s="187">
        <f t="shared" si="121"/>
        <v>6704.2759056229115</v>
      </c>
    </row>
    <row r="28" spans="1:48">
      <c r="A28" s="169">
        <f>VLOOKUP(B28,Misc_inputs!$A$3:$B$33,2,0)</f>
        <v>5.3200852056836103</v>
      </c>
      <c r="B28" s="168">
        <v>2020</v>
      </c>
      <c r="C28" s="187">
        <f t="shared" si="100"/>
        <v>4501.9050767226317</v>
      </c>
      <c r="D28" s="187">
        <f t="shared" si="101"/>
        <v>239.50518596064012</v>
      </c>
      <c r="E28" s="188">
        <f t="shared" si="102"/>
        <v>4741.4102626832719</v>
      </c>
      <c r="F28" s="187">
        <f t="shared" si="103"/>
        <v>550.59270722507006</v>
      </c>
      <c r="G28" s="187">
        <f t="shared" si="104"/>
        <v>29.292001160653825</v>
      </c>
      <c r="H28" s="188">
        <f t="shared" si="105"/>
        <v>579.88470838572391</v>
      </c>
      <c r="I28" s="187">
        <f t="shared" si="106"/>
        <v>0</v>
      </c>
      <c r="J28" s="187">
        <f t="shared" si="107"/>
        <v>0</v>
      </c>
      <c r="K28" s="188">
        <f t="shared" si="108"/>
        <v>0</v>
      </c>
      <c r="L28" s="187">
        <f t="shared" si="109"/>
        <v>388.65367568828475</v>
      </c>
      <c r="M28" s="187">
        <f t="shared" si="110"/>
        <v>20.676706701637997</v>
      </c>
      <c r="N28" s="188">
        <f t="shared" si="111"/>
        <v>409.33038238992276</v>
      </c>
      <c r="O28" s="187">
        <f t="shared" si="112"/>
        <v>107.95935435785688</v>
      </c>
      <c r="P28" s="187">
        <f t="shared" si="113"/>
        <v>5.7435296393438877</v>
      </c>
      <c r="Q28" s="188">
        <f t="shared" si="114"/>
        <v>113.70288399720077</v>
      </c>
      <c r="R28" s="187">
        <f t="shared" si="115"/>
        <v>1090.3894790143543</v>
      </c>
      <c r="S28" s="187">
        <f t="shared" si="116"/>
        <v>58.009649357373256</v>
      </c>
      <c r="T28" s="188">
        <f t="shared" si="117"/>
        <v>1148.3991283717276</v>
      </c>
      <c r="U28" s="187">
        <f t="shared" si="118"/>
        <v>64.775612614714134</v>
      </c>
      <c r="V28" s="187">
        <f t="shared" si="119"/>
        <v>3.4461177836063333</v>
      </c>
      <c r="W28" s="188">
        <f t="shared" si="120"/>
        <v>68.221730398320474</v>
      </c>
      <c r="X28" s="187">
        <f t="shared" si="121"/>
        <v>7060.949096226168</v>
      </c>
    </row>
    <row r="29" spans="1:48">
      <c r="A29" s="169">
        <f>VLOOKUP(B29,Misc_inputs!$A$3:$B$33,2,0)</f>
        <v>7.6258108678813302E-2</v>
      </c>
      <c r="B29" s="168">
        <v>2021</v>
      </c>
      <c r="C29" s="187">
        <f t="shared" si="100"/>
        <v>4741.4102626832719</v>
      </c>
      <c r="D29" s="187">
        <f t="shared" si="101"/>
        <v>3.615709791025417</v>
      </c>
      <c r="E29" s="188">
        <f t="shared" si="102"/>
        <v>4745.0259724742973</v>
      </c>
      <c r="F29" s="187">
        <f t="shared" si="103"/>
        <v>579.88470838572391</v>
      </c>
      <c r="G29" s="187">
        <f t="shared" si="104"/>
        <v>0.44220911113260492</v>
      </c>
      <c r="H29" s="188">
        <f t="shared" si="105"/>
        <v>580.32691749685648</v>
      </c>
      <c r="I29" s="187">
        <f t="shared" si="106"/>
        <v>0</v>
      </c>
      <c r="J29" s="187">
        <f t="shared" si="107"/>
        <v>0</v>
      </c>
      <c r="K29" s="188">
        <f t="shared" si="108"/>
        <v>0</v>
      </c>
      <c r="L29" s="187">
        <f t="shared" si="109"/>
        <v>409.33038238992276</v>
      </c>
      <c r="M29" s="187">
        <f t="shared" si="110"/>
        <v>0.31214760785830936</v>
      </c>
      <c r="N29" s="188">
        <f t="shared" si="111"/>
        <v>409.64252999778108</v>
      </c>
      <c r="O29" s="187">
        <f t="shared" si="112"/>
        <v>113.70288399720077</v>
      </c>
      <c r="P29" s="187">
        <f t="shared" si="113"/>
        <v>8.6707668849530378E-2</v>
      </c>
      <c r="Q29" s="188">
        <f t="shared" si="114"/>
        <v>113.7895916660503</v>
      </c>
      <c r="R29" s="187">
        <f t="shared" si="115"/>
        <v>1148.3991283717276</v>
      </c>
      <c r="S29" s="187">
        <f t="shared" si="116"/>
        <v>0.87574745538025667</v>
      </c>
      <c r="T29" s="188">
        <f t="shared" si="117"/>
        <v>1149.2748758271077</v>
      </c>
      <c r="U29" s="187">
        <f t="shared" si="118"/>
        <v>68.221730398320474</v>
      </c>
      <c r="V29" s="187">
        <f t="shared" si="119"/>
        <v>5.2024601309718241E-2</v>
      </c>
      <c r="W29" s="188">
        <f t="shared" si="120"/>
        <v>68.273754999630199</v>
      </c>
      <c r="X29" s="187">
        <f t="shared" si="121"/>
        <v>7066.3336424617228</v>
      </c>
    </row>
    <row r="30" spans="1:48">
      <c r="A30" s="169">
        <f>VLOOKUP(B30,Misc_inputs!$A$3:$B$33,2,0)</f>
        <v>2.8492930312000952</v>
      </c>
      <c r="B30" s="168">
        <v>2022</v>
      </c>
      <c r="C30" s="187">
        <f t="shared" si="100"/>
        <v>4745.0259724742973</v>
      </c>
      <c r="D30" s="187">
        <f t="shared" si="101"/>
        <v>135.1996943623447</v>
      </c>
      <c r="E30" s="188">
        <f t="shared" si="102"/>
        <v>4880.2256668366417</v>
      </c>
      <c r="F30" s="187">
        <f t="shared" si="103"/>
        <v>580.32691749685648</v>
      </c>
      <c r="G30" s="187">
        <f t="shared" si="104"/>
        <v>16.53521441841626</v>
      </c>
      <c r="H30" s="188">
        <f t="shared" si="105"/>
        <v>596.8621319152727</v>
      </c>
      <c r="I30" s="187">
        <f t="shared" si="106"/>
        <v>0</v>
      </c>
      <c r="J30" s="187">
        <f t="shared" si="107"/>
        <v>0</v>
      </c>
      <c r="K30" s="188">
        <f t="shared" si="108"/>
        <v>0</v>
      </c>
      <c r="L30" s="187">
        <f t="shared" si="109"/>
        <v>409.64252999778108</v>
      </c>
      <c r="M30" s="187">
        <f t="shared" si="110"/>
        <v>11.671916060058535</v>
      </c>
      <c r="N30" s="188">
        <f t="shared" si="111"/>
        <v>421.31444605783963</v>
      </c>
      <c r="O30" s="187">
        <f t="shared" si="112"/>
        <v>113.7895916660503</v>
      </c>
      <c r="P30" s="187">
        <f t="shared" si="113"/>
        <v>3.2421989055718154</v>
      </c>
      <c r="Q30" s="188">
        <f t="shared" si="114"/>
        <v>117.03179057162211</v>
      </c>
      <c r="R30" s="187">
        <f t="shared" si="115"/>
        <v>1149.2748758271077</v>
      </c>
      <c r="S30" s="187">
        <f t="shared" si="116"/>
        <v>32.746208946275331</v>
      </c>
      <c r="T30" s="188">
        <f t="shared" si="117"/>
        <v>1182.0210847733831</v>
      </c>
      <c r="U30" s="187">
        <f t="shared" si="118"/>
        <v>68.273754999630199</v>
      </c>
      <c r="V30" s="187">
        <f t="shared" si="119"/>
        <v>1.94531934334309</v>
      </c>
      <c r="W30" s="188">
        <f t="shared" si="120"/>
        <v>70.219074342973286</v>
      </c>
      <c r="X30" s="187">
        <f t="shared" si="121"/>
        <v>7267.674194497733</v>
      </c>
    </row>
    <row r="31" spans="1:48">
      <c r="A31" s="169">
        <f>VLOOKUP(B31,Misc_inputs!$A$3:$B$33,2,0)</f>
        <v>3.143440902459993</v>
      </c>
      <c r="B31" s="168">
        <v>2023</v>
      </c>
      <c r="C31" s="187">
        <f t="shared" si="100"/>
        <v>4880.2256668366417</v>
      </c>
      <c r="D31" s="187">
        <f t="shared" si="101"/>
        <v>153.40700974369395</v>
      </c>
      <c r="E31" s="188">
        <f t="shared" si="102"/>
        <v>5033.632676580336</v>
      </c>
      <c r="F31" s="187">
        <f t="shared" si="103"/>
        <v>596.8621319152727</v>
      </c>
      <c r="G31" s="187">
        <f t="shared" si="104"/>
        <v>18.762008385919401</v>
      </c>
      <c r="H31" s="188">
        <f t="shared" si="105"/>
        <v>615.62414030119214</v>
      </c>
      <c r="I31" s="187">
        <f t="shared" si="106"/>
        <v>0</v>
      </c>
      <c r="J31" s="187">
        <f t="shared" si="107"/>
        <v>0</v>
      </c>
      <c r="K31" s="188">
        <f t="shared" si="108"/>
        <v>0</v>
      </c>
      <c r="L31" s="187">
        <f t="shared" si="109"/>
        <v>421.31444605783963</v>
      </c>
      <c r="M31" s="187">
        <f t="shared" si="110"/>
        <v>13.243770625354875</v>
      </c>
      <c r="N31" s="188">
        <f t="shared" si="111"/>
        <v>434.55821668319453</v>
      </c>
      <c r="O31" s="187">
        <f t="shared" si="112"/>
        <v>117.03179057162211</v>
      </c>
      <c r="P31" s="187">
        <f t="shared" si="113"/>
        <v>3.6788251737096869</v>
      </c>
      <c r="Q31" s="188">
        <f t="shared" si="114"/>
        <v>120.71061574533179</v>
      </c>
      <c r="R31" s="187">
        <f t="shared" si="115"/>
        <v>1182.0210847733831</v>
      </c>
      <c r="S31" s="187">
        <f t="shared" si="116"/>
        <v>37.156134254467837</v>
      </c>
      <c r="T31" s="188">
        <f t="shared" si="117"/>
        <v>1219.1772190278509</v>
      </c>
      <c r="U31" s="187">
        <f t="shared" si="118"/>
        <v>70.219074342973286</v>
      </c>
      <c r="V31" s="187">
        <f t="shared" si="119"/>
        <v>2.2072951042258127</v>
      </c>
      <c r="W31" s="188">
        <f t="shared" si="120"/>
        <v>72.426369447199093</v>
      </c>
      <c r="X31" s="187">
        <f t="shared" si="121"/>
        <v>7496.1292377851041</v>
      </c>
    </row>
    <row r="32" spans="1:48">
      <c r="A32" s="169">
        <f>VLOOKUP(B32,Misc_inputs!$A$3:$B$33,2,0)</f>
        <v>1.8594732384912049</v>
      </c>
      <c r="B32" s="168">
        <v>2024</v>
      </c>
      <c r="C32" s="187">
        <f t="shared" si="100"/>
        <v>5033.632676580336</v>
      </c>
      <c r="D32" s="187">
        <f t="shared" si="101"/>
        <v>93.599052544959889</v>
      </c>
      <c r="E32" s="188">
        <f t="shared" si="102"/>
        <v>5127.2317291252957</v>
      </c>
      <c r="F32" s="187">
        <f t="shared" si="103"/>
        <v>615.62414030119214</v>
      </c>
      <c r="G32" s="187">
        <f t="shared" si="104"/>
        <v>11.447366138592217</v>
      </c>
      <c r="H32" s="188">
        <f t="shared" si="105"/>
        <v>627.07150643978434</v>
      </c>
      <c r="I32" s="187">
        <f t="shared" si="106"/>
        <v>0</v>
      </c>
      <c r="J32" s="187">
        <f t="shared" si="107"/>
        <v>0</v>
      </c>
      <c r="K32" s="188">
        <f t="shared" si="108"/>
        <v>0</v>
      </c>
      <c r="L32" s="187">
        <f t="shared" si="109"/>
        <v>434.55821668319453</v>
      </c>
      <c r="M32" s="187">
        <f t="shared" si="110"/>
        <v>8.0804937448886243</v>
      </c>
      <c r="N32" s="188">
        <f t="shared" si="111"/>
        <v>442.63871042808313</v>
      </c>
      <c r="O32" s="187">
        <f t="shared" si="112"/>
        <v>120.71061574533179</v>
      </c>
      <c r="P32" s="187">
        <f t="shared" si="113"/>
        <v>2.2445815958023956</v>
      </c>
      <c r="Q32" s="188">
        <f t="shared" si="114"/>
        <v>122.95519734113419</v>
      </c>
      <c r="R32" s="187">
        <f t="shared" si="115"/>
        <v>1219.1772190278509</v>
      </c>
      <c r="S32" s="187">
        <f t="shared" si="116"/>
        <v>22.67027411760419</v>
      </c>
      <c r="T32" s="188">
        <f t="shared" si="117"/>
        <v>1241.847493145455</v>
      </c>
      <c r="U32" s="187">
        <f t="shared" si="118"/>
        <v>72.426369447199093</v>
      </c>
      <c r="V32" s="187">
        <f t="shared" si="119"/>
        <v>1.3467489574814377</v>
      </c>
      <c r="W32" s="188">
        <f t="shared" si="120"/>
        <v>73.773118404680531</v>
      </c>
      <c r="X32" s="187">
        <f t="shared" si="121"/>
        <v>7635.5177548844331</v>
      </c>
    </row>
    <row r="33" spans="1:48">
      <c r="A33" s="169">
        <f>VLOOKUP(B33,Misc_inputs!$A$3:$B$33,2,0)</f>
        <v>1.892198034308179</v>
      </c>
      <c r="B33" s="168">
        <v>2025</v>
      </c>
      <c r="C33" s="187">
        <f t="shared" si="100"/>
        <v>5127.2317291252957</v>
      </c>
      <c r="D33" s="187">
        <f t="shared" si="101"/>
        <v>97.017377992934101</v>
      </c>
      <c r="E33" s="188">
        <f t="shared" si="102"/>
        <v>5224.2491071182294</v>
      </c>
      <c r="F33" s="187">
        <f t="shared" si="103"/>
        <v>627.07150643978434</v>
      </c>
      <c r="G33" s="187">
        <f t="shared" si="104"/>
        <v>11.865434718560287</v>
      </c>
      <c r="H33" s="188">
        <f t="shared" si="105"/>
        <v>638.93694115834467</v>
      </c>
      <c r="I33" s="187">
        <f t="shared" si="106"/>
        <v>0</v>
      </c>
      <c r="J33" s="187">
        <f t="shared" si="107"/>
        <v>0</v>
      </c>
      <c r="K33" s="188">
        <f t="shared" si="108"/>
        <v>0</v>
      </c>
      <c r="L33" s="187">
        <f t="shared" si="109"/>
        <v>442.63871042808313</v>
      </c>
      <c r="M33" s="187">
        <f t="shared" si="110"/>
        <v>8.3756009778072613</v>
      </c>
      <c r="N33" s="188">
        <f t="shared" si="111"/>
        <v>451.0143114058904</v>
      </c>
      <c r="O33" s="187">
        <f t="shared" si="112"/>
        <v>122.95519734113419</v>
      </c>
      <c r="P33" s="187">
        <f t="shared" si="113"/>
        <v>2.3265558271686837</v>
      </c>
      <c r="Q33" s="188">
        <f t="shared" si="114"/>
        <v>125.28175316830288</v>
      </c>
      <c r="R33" s="187">
        <f t="shared" si="115"/>
        <v>1241.847493145455</v>
      </c>
      <c r="S33" s="187">
        <f t="shared" si="116"/>
        <v>23.498213854403698</v>
      </c>
      <c r="T33" s="188">
        <f t="shared" si="117"/>
        <v>1265.3457069998587</v>
      </c>
      <c r="U33" s="187">
        <f t="shared" si="118"/>
        <v>73.773118404680531</v>
      </c>
      <c r="V33" s="187">
        <f t="shared" si="119"/>
        <v>1.3959334963012104</v>
      </c>
      <c r="W33" s="188">
        <f t="shared" si="120"/>
        <v>75.169051900981742</v>
      </c>
      <c r="X33" s="187">
        <f t="shared" si="121"/>
        <v>7779.9968717516076</v>
      </c>
    </row>
    <row r="34" spans="1:48">
      <c r="A34" s="169">
        <f>VLOOKUP(B34,Misc_inputs!$A$3:$B$33,2,0)</f>
        <v>2.0003592159356653</v>
      </c>
      <c r="B34" s="168">
        <v>2026</v>
      </c>
      <c r="C34" s="187">
        <f t="shared" si="100"/>
        <v>5224.2491071182294</v>
      </c>
      <c r="D34" s="187">
        <f t="shared" si="101"/>
        <v>104.50374847767621</v>
      </c>
      <c r="E34" s="188">
        <f t="shared" si="102"/>
        <v>5328.7528555959052</v>
      </c>
      <c r="F34" s="187">
        <f t="shared" si="103"/>
        <v>638.93694115834467</v>
      </c>
      <c r="G34" s="187">
        <f t="shared" si="104"/>
        <v>12.781033986478388</v>
      </c>
      <c r="H34" s="188">
        <f t="shared" si="105"/>
        <v>651.71797514482307</v>
      </c>
      <c r="I34" s="187">
        <f t="shared" si="106"/>
        <v>0</v>
      </c>
      <c r="J34" s="187">
        <f t="shared" si="107"/>
        <v>0</v>
      </c>
      <c r="K34" s="188">
        <f t="shared" si="108"/>
        <v>0</v>
      </c>
      <c r="L34" s="187">
        <f t="shared" si="109"/>
        <v>451.0143114058904</v>
      </c>
      <c r="M34" s="187">
        <f t="shared" si="110"/>
        <v>9.021906343396509</v>
      </c>
      <c r="N34" s="188">
        <f t="shared" si="111"/>
        <v>460.03621774928689</v>
      </c>
      <c r="O34" s="187">
        <f t="shared" si="112"/>
        <v>125.28175316830288</v>
      </c>
      <c r="P34" s="187">
        <f t="shared" si="113"/>
        <v>2.506085095387919</v>
      </c>
      <c r="Q34" s="188">
        <f t="shared" si="114"/>
        <v>127.7878382636908</v>
      </c>
      <c r="R34" s="187">
        <f t="shared" si="115"/>
        <v>1265.3457069998587</v>
      </c>
      <c r="S34" s="187">
        <f t="shared" si="116"/>
        <v>25.311459463417979</v>
      </c>
      <c r="T34" s="188">
        <f t="shared" si="117"/>
        <v>1290.6571664632768</v>
      </c>
      <c r="U34" s="187">
        <f t="shared" si="118"/>
        <v>75.169051900981742</v>
      </c>
      <c r="V34" s="187">
        <f t="shared" si="119"/>
        <v>1.5036510572327517</v>
      </c>
      <c r="W34" s="188">
        <f t="shared" si="120"/>
        <v>76.672702958214501</v>
      </c>
      <c r="X34" s="187">
        <f t="shared" si="121"/>
        <v>7935.624756175197</v>
      </c>
    </row>
    <row r="35" spans="1:48">
      <c r="A35" s="169">
        <f>VLOOKUP(B35,Misc_inputs!$A$3:$B$33,2,0)</f>
        <v>0</v>
      </c>
      <c r="B35" s="168">
        <v>2027</v>
      </c>
      <c r="C35" s="187">
        <f t="shared" si="100"/>
        <v>5328.7528555959052</v>
      </c>
      <c r="D35" s="187">
        <f t="shared" si="101"/>
        <v>0</v>
      </c>
      <c r="E35" s="188">
        <f t="shared" si="102"/>
        <v>5328.7528555959052</v>
      </c>
      <c r="F35" s="187">
        <f t="shared" si="103"/>
        <v>651.71797514482307</v>
      </c>
      <c r="G35" s="187">
        <f t="shared" si="104"/>
        <v>0</v>
      </c>
      <c r="H35" s="188">
        <f t="shared" si="105"/>
        <v>651.71797514482307</v>
      </c>
      <c r="I35" s="187">
        <f t="shared" si="106"/>
        <v>0</v>
      </c>
      <c r="J35" s="187">
        <f t="shared" si="107"/>
        <v>0</v>
      </c>
      <c r="K35" s="188">
        <f t="shared" si="108"/>
        <v>0</v>
      </c>
      <c r="L35" s="187">
        <f t="shared" si="109"/>
        <v>460.03621774928689</v>
      </c>
      <c r="M35" s="187">
        <f t="shared" si="110"/>
        <v>0</v>
      </c>
      <c r="N35" s="188">
        <f t="shared" si="111"/>
        <v>460.03621774928689</v>
      </c>
      <c r="O35" s="187">
        <f t="shared" si="112"/>
        <v>127.7878382636908</v>
      </c>
      <c r="P35" s="187">
        <f t="shared" si="113"/>
        <v>0</v>
      </c>
      <c r="Q35" s="188">
        <f t="shared" si="114"/>
        <v>127.7878382636908</v>
      </c>
      <c r="R35" s="187">
        <f t="shared" si="115"/>
        <v>1290.6571664632768</v>
      </c>
      <c r="S35" s="187">
        <f t="shared" si="116"/>
        <v>0</v>
      </c>
      <c r="T35" s="188">
        <f t="shared" si="117"/>
        <v>1290.6571664632768</v>
      </c>
      <c r="U35" s="187">
        <f t="shared" si="118"/>
        <v>76.672702958214501</v>
      </c>
      <c r="V35" s="187">
        <f t="shared" si="119"/>
        <v>0</v>
      </c>
      <c r="W35" s="188">
        <f t="shared" si="120"/>
        <v>76.672702958214501</v>
      </c>
      <c r="X35" s="187">
        <f t="shared" si="121"/>
        <v>7935.624756175197</v>
      </c>
    </row>
    <row r="36" spans="1:48">
      <c r="A36" s="169">
        <f>VLOOKUP(B36,Misc_inputs!$A$3:$B$33,2,0)</f>
        <v>0</v>
      </c>
      <c r="B36" s="168">
        <v>2028</v>
      </c>
      <c r="C36" s="187">
        <f t="shared" si="100"/>
        <v>5328.7528555959052</v>
      </c>
      <c r="D36" s="187">
        <f t="shared" si="101"/>
        <v>0</v>
      </c>
      <c r="E36" s="188">
        <f t="shared" si="102"/>
        <v>5328.7528555959052</v>
      </c>
      <c r="F36" s="187">
        <f t="shared" si="103"/>
        <v>651.71797514482307</v>
      </c>
      <c r="G36" s="187">
        <f t="shared" si="104"/>
        <v>0</v>
      </c>
      <c r="H36" s="188">
        <f t="shared" si="105"/>
        <v>651.71797514482307</v>
      </c>
      <c r="I36" s="187">
        <f t="shared" si="106"/>
        <v>0</v>
      </c>
      <c r="J36" s="187">
        <f t="shared" si="107"/>
        <v>0</v>
      </c>
      <c r="K36" s="188">
        <f t="shared" si="108"/>
        <v>0</v>
      </c>
      <c r="L36" s="187">
        <f t="shared" si="109"/>
        <v>460.03621774928689</v>
      </c>
      <c r="M36" s="187">
        <f t="shared" si="110"/>
        <v>0</v>
      </c>
      <c r="N36" s="188">
        <f t="shared" si="111"/>
        <v>460.03621774928689</v>
      </c>
      <c r="O36" s="187">
        <f t="shared" si="112"/>
        <v>127.7878382636908</v>
      </c>
      <c r="P36" s="187">
        <f t="shared" si="113"/>
        <v>0</v>
      </c>
      <c r="Q36" s="188">
        <f t="shared" si="114"/>
        <v>127.7878382636908</v>
      </c>
      <c r="R36" s="187">
        <f t="shared" si="115"/>
        <v>1290.6571664632768</v>
      </c>
      <c r="S36" s="187">
        <f t="shared" si="116"/>
        <v>0</v>
      </c>
      <c r="T36" s="188">
        <f t="shared" si="117"/>
        <v>1290.6571664632768</v>
      </c>
      <c r="U36" s="187">
        <f t="shared" si="118"/>
        <v>76.672702958214501</v>
      </c>
      <c r="V36" s="187">
        <f t="shared" si="119"/>
        <v>0</v>
      </c>
      <c r="W36" s="188">
        <f t="shared" si="120"/>
        <v>76.672702958214501</v>
      </c>
      <c r="X36" s="187">
        <f t="shared" si="121"/>
        <v>7935.624756175197</v>
      </c>
    </row>
    <row r="37" spans="1:48">
      <c r="A37" s="169">
        <f>VLOOKUP(B37,Misc_inputs!$A$3:$B$33,2,0)</f>
        <v>0</v>
      </c>
      <c r="B37" s="168">
        <v>2029</v>
      </c>
      <c r="C37" s="187">
        <f t="shared" si="100"/>
        <v>5328.7528555959052</v>
      </c>
      <c r="D37" s="187">
        <f t="shared" si="101"/>
        <v>0</v>
      </c>
      <c r="E37" s="188">
        <f t="shared" si="102"/>
        <v>5328.7528555959052</v>
      </c>
      <c r="F37" s="187">
        <f t="shared" si="103"/>
        <v>651.71797514482307</v>
      </c>
      <c r="G37" s="187">
        <f t="shared" si="104"/>
        <v>0</v>
      </c>
      <c r="H37" s="188">
        <f t="shared" si="105"/>
        <v>651.71797514482307</v>
      </c>
      <c r="I37" s="187">
        <f t="shared" si="106"/>
        <v>0</v>
      </c>
      <c r="J37" s="187">
        <f t="shared" si="107"/>
        <v>0</v>
      </c>
      <c r="K37" s="188">
        <f t="shared" si="108"/>
        <v>0</v>
      </c>
      <c r="L37" s="187">
        <f t="shared" si="109"/>
        <v>460.03621774928689</v>
      </c>
      <c r="M37" s="187">
        <f t="shared" si="110"/>
        <v>0</v>
      </c>
      <c r="N37" s="188">
        <f t="shared" si="111"/>
        <v>460.03621774928689</v>
      </c>
      <c r="O37" s="187">
        <f t="shared" si="112"/>
        <v>127.7878382636908</v>
      </c>
      <c r="P37" s="187">
        <f t="shared" si="113"/>
        <v>0</v>
      </c>
      <c r="Q37" s="188">
        <f t="shared" si="114"/>
        <v>127.7878382636908</v>
      </c>
      <c r="R37" s="187">
        <f t="shared" si="115"/>
        <v>1290.6571664632768</v>
      </c>
      <c r="S37" s="187">
        <f t="shared" si="116"/>
        <v>0</v>
      </c>
      <c r="T37" s="188">
        <f t="shared" si="117"/>
        <v>1290.6571664632768</v>
      </c>
      <c r="U37" s="187">
        <f t="shared" si="118"/>
        <v>76.672702958214501</v>
      </c>
      <c r="V37" s="187">
        <f t="shared" si="119"/>
        <v>0</v>
      </c>
      <c r="W37" s="188">
        <f t="shared" si="120"/>
        <v>76.672702958214501</v>
      </c>
      <c r="X37" s="187">
        <f t="shared" si="121"/>
        <v>7935.624756175197</v>
      </c>
    </row>
    <row r="38" spans="1:48">
      <c r="A38" s="169">
        <f>VLOOKUP(B38,Misc_inputs!$A$3:$B$33,2,0)</f>
        <v>0</v>
      </c>
      <c r="B38" s="168">
        <v>2030</v>
      </c>
      <c r="C38" s="187">
        <f t="shared" si="100"/>
        <v>5328.7528555959052</v>
      </c>
      <c r="D38" s="187">
        <f t="shared" si="101"/>
        <v>0</v>
      </c>
      <c r="E38" s="188">
        <f t="shared" si="102"/>
        <v>5328.7528555959052</v>
      </c>
      <c r="F38" s="187">
        <f t="shared" si="103"/>
        <v>651.71797514482307</v>
      </c>
      <c r="G38" s="187">
        <f t="shared" si="104"/>
        <v>0</v>
      </c>
      <c r="H38" s="188">
        <f t="shared" si="105"/>
        <v>651.71797514482307</v>
      </c>
      <c r="I38" s="187">
        <f t="shared" si="106"/>
        <v>0</v>
      </c>
      <c r="J38" s="187">
        <f t="shared" si="107"/>
        <v>0</v>
      </c>
      <c r="K38" s="188">
        <f t="shared" si="108"/>
        <v>0</v>
      </c>
      <c r="L38" s="187">
        <f t="shared" si="109"/>
        <v>460.03621774928689</v>
      </c>
      <c r="M38" s="187">
        <f t="shared" si="110"/>
        <v>0</v>
      </c>
      <c r="N38" s="188">
        <f t="shared" si="111"/>
        <v>460.03621774928689</v>
      </c>
      <c r="O38" s="187">
        <f t="shared" si="112"/>
        <v>127.7878382636908</v>
      </c>
      <c r="P38" s="187">
        <f t="shared" si="113"/>
        <v>0</v>
      </c>
      <c r="Q38" s="188">
        <f t="shared" si="114"/>
        <v>127.7878382636908</v>
      </c>
      <c r="R38" s="187">
        <f t="shared" si="115"/>
        <v>1290.6571664632768</v>
      </c>
      <c r="S38" s="187">
        <f t="shared" si="116"/>
        <v>0</v>
      </c>
      <c r="T38" s="188">
        <f t="shared" si="117"/>
        <v>1290.6571664632768</v>
      </c>
      <c r="U38" s="187">
        <f t="shared" si="118"/>
        <v>76.672702958214501</v>
      </c>
      <c r="V38" s="187">
        <f t="shared" si="119"/>
        <v>0</v>
      </c>
      <c r="W38" s="188">
        <f t="shared" si="120"/>
        <v>76.672702958214501</v>
      </c>
      <c r="X38" s="187">
        <f t="shared" si="121"/>
        <v>7935.624756175197</v>
      </c>
    </row>
    <row r="40" spans="1:48" s="190" customFormat="1" ht="23">
      <c r="A40" s="183" t="s">
        <v>419</v>
      </c>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row>
    <row r="41" spans="1:48" ht="77.5">
      <c r="A41" s="173" t="s">
        <v>539</v>
      </c>
      <c r="B41" s="172" t="s">
        <v>342</v>
      </c>
      <c r="C41" s="172" t="str">
        <f>Cost_of_crime_Raw_data!A68</f>
        <v>Drug offences (e.g. driving under the influence of drugs)</v>
      </c>
      <c r="D41" s="184" t="s">
        <v>540</v>
      </c>
      <c r="E41" s="185" t="s">
        <v>541</v>
      </c>
      <c r="F41" s="172" t="str">
        <f>Cost_of_crime_Raw_data!A69</f>
        <v>Alcohol offences (e.g. driving under the influence of alcohol)</v>
      </c>
      <c r="G41" s="184" t="s">
        <v>540</v>
      </c>
      <c r="H41" s="185" t="s">
        <v>541</v>
      </c>
      <c r="I41" s="172" t="str">
        <f>Cost_of_crime_Raw_data!A70</f>
        <v>Other indictable non- motoring offences</v>
      </c>
      <c r="J41" s="184" t="s">
        <v>540</v>
      </c>
      <c r="K41" s="185" t="s">
        <v>541</v>
      </c>
      <c r="L41" s="172" t="str">
        <f>Cost_of_crime_Raw_data!A71</f>
        <v>Indictable motoring offences</v>
      </c>
      <c r="M41" s="184" t="s">
        <v>540</v>
      </c>
      <c r="N41" s="185" t="s">
        <v>541</v>
      </c>
      <c r="O41" s="172" t="str">
        <f>Cost_of_crime_Raw_data!A72</f>
        <v>Summary non-motoring offences</v>
      </c>
      <c r="P41" s="184" t="s">
        <v>540</v>
      </c>
      <c r="Q41" s="185" t="s">
        <v>541</v>
      </c>
      <c r="R41" s="172" t="str">
        <f>Cost_of_crime_Raw_data!A73</f>
        <v>Summary motoring offences</v>
      </c>
      <c r="S41" s="184" t="s">
        <v>540</v>
      </c>
      <c r="T41" s="185" t="s">
        <v>541</v>
      </c>
      <c r="U41" s="172" t="str">
        <f>Cost_of_crime_Raw_data!A74</f>
        <v>TOTAL TRAFFIC/ MOTORING/ OTHER</v>
      </c>
    </row>
    <row r="42" spans="1:48">
      <c r="B42" s="168">
        <v>2000</v>
      </c>
      <c r="C42" s="169" t="s">
        <v>429</v>
      </c>
      <c r="D42" s="187" t="e">
        <f>C42*$A42/100</f>
        <v>#VALUE!</v>
      </c>
      <c r="E42" s="188" t="e">
        <f>C42+D42</f>
        <v>#VALUE!</v>
      </c>
      <c r="F42" s="169" t="s">
        <v>429</v>
      </c>
      <c r="G42" s="187" t="e">
        <f>F42*$A42/100</f>
        <v>#VALUE!</v>
      </c>
      <c r="H42" s="188" t="e">
        <f>F42+G42</f>
        <v>#VALUE!</v>
      </c>
      <c r="I42" s="169" t="s">
        <v>429</v>
      </c>
      <c r="J42" s="187" t="e">
        <f>I42*$A42/100</f>
        <v>#VALUE!</v>
      </c>
      <c r="K42" s="188" t="e">
        <f>I42+J42</f>
        <v>#VALUE!</v>
      </c>
      <c r="L42" s="169" t="s">
        <v>429</v>
      </c>
      <c r="M42" s="187" t="e">
        <f>L42*$A42/100</f>
        <v>#VALUE!</v>
      </c>
      <c r="N42" s="188" t="e">
        <f>L42+M42</f>
        <v>#VALUE!</v>
      </c>
      <c r="O42" s="169" t="s">
        <v>429</v>
      </c>
      <c r="P42" s="187" t="e">
        <f>O42*$A42/100</f>
        <v>#VALUE!</v>
      </c>
      <c r="Q42" s="188" t="e">
        <f>O42+P42</f>
        <v>#VALUE!</v>
      </c>
      <c r="R42" s="169" t="s">
        <v>429</v>
      </c>
      <c r="S42" s="187" t="e">
        <f>R42*$A42/100</f>
        <v>#VALUE!</v>
      </c>
      <c r="T42" s="188" t="e">
        <f>R42+S42</f>
        <v>#VALUE!</v>
      </c>
      <c r="U42" s="187" t="e">
        <f>SUM(T42,Q42,N42,K42,H42,E42)</f>
        <v>#VALUE!</v>
      </c>
    </row>
    <row r="43" spans="1:48">
      <c r="A43" s="169">
        <f>VLOOKUP(B43,Misc_inputs!$A$3:$B$33,2,0)</f>
        <v>1.8509525763893939</v>
      </c>
      <c r="B43" s="168">
        <v>2001</v>
      </c>
      <c r="C43" s="169" t="s">
        <v>429</v>
      </c>
      <c r="D43" s="187" t="e">
        <f>C43*$A43/100</f>
        <v>#VALUE!</v>
      </c>
      <c r="E43" s="188" t="e">
        <f>C43+D43</f>
        <v>#VALUE!</v>
      </c>
      <c r="F43" s="169" t="s">
        <v>429</v>
      </c>
      <c r="G43" s="187" t="e">
        <f>F43*$A43/100</f>
        <v>#VALUE!</v>
      </c>
      <c r="H43" s="188" t="e">
        <f>F43+G43</f>
        <v>#VALUE!</v>
      </c>
      <c r="I43" s="169" t="s">
        <v>429</v>
      </c>
      <c r="J43" s="187" t="e">
        <f>I43*$A43/100</f>
        <v>#VALUE!</v>
      </c>
      <c r="K43" s="188" t="e">
        <f>I43+J43</f>
        <v>#VALUE!</v>
      </c>
      <c r="L43" s="169" t="s">
        <v>429</v>
      </c>
      <c r="M43" s="187" t="e">
        <f>L43*$A43/100</f>
        <v>#VALUE!</v>
      </c>
      <c r="N43" s="188" t="e">
        <f>L43+M43</f>
        <v>#VALUE!</v>
      </c>
      <c r="O43" s="169" t="s">
        <v>429</v>
      </c>
      <c r="P43" s="187" t="e">
        <f>O43*$A43/100</f>
        <v>#VALUE!</v>
      </c>
      <c r="Q43" s="188" t="e">
        <f>O43+P43</f>
        <v>#VALUE!</v>
      </c>
      <c r="R43" s="169" t="s">
        <v>429</v>
      </c>
      <c r="S43" s="187" t="e">
        <f>R43*$A43/100</f>
        <v>#VALUE!</v>
      </c>
      <c r="T43" s="188" t="e">
        <f>R43+S43</f>
        <v>#VALUE!</v>
      </c>
      <c r="U43" s="187" t="e">
        <f t="shared" ref="U43:U72" si="122">SUM(T43,Q43,N43,K43,H43,E43)</f>
        <v>#VALUE!</v>
      </c>
    </row>
    <row r="44" spans="1:48">
      <c r="A44" s="169">
        <f>VLOOKUP(B44,Misc_inputs!$A$3:$B$33,2,0)</f>
        <v>2.0601670280994799</v>
      </c>
      <c r="B44" s="168">
        <v>2002</v>
      </c>
      <c r="C44" s="169" t="s">
        <v>429</v>
      </c>
      <c r="D44" s="187" t="e">
        <f t="shared" ref="D44:D55" si="123">C44*$A44/100</f>
        <v>#VALUE!</v>
      </c>
      <c r="E44" s="188" t="e">
        <f t="shared" ref="E44:E72" si="124">C44+D44</f>
        <v>#VALUE!</v>
      </c>
      <c r="F44" s="169" t="s">
        <v>429</v>
      </c>
      <c r="G44" s="187" t="e">
        <f t="shared" ref="G44:G55" si="125">F44*$A44/100</f>
        <v>#VALUE!</v>
      </c>
      <c r="H44" s="188" t="e">
        <f t="shared" ref="H44:H72" si="126">F44+G44</f>
        <v>#VALUE!</v>
      </c>
      <c r="I44" s="169" t="s">
        <v>429</v>
      </c>
      <c r="J44" s="187" t="e">
        <f t="shared" ref="J44:J55" si="127">I44*$A44/100</f>
        <v>#VALUE!</v>
      </c>
      <c r="K44" s="188" t="e">
        <f t="shared" ref="K44:K72" si="128">I44+J44</f>
        <v>#VALUE!</v>
      </c>
      <c r="L44" s="169" t="s">
        <v>429</v>
      </c>
      <c r="M44" s="187" t="e">
        <f t="shared" ref="M44:M55" si="129">L44*$A44/100</f>
        <v>#VALUE!</v>
      </c>
      <c r="N44" s="188" t="e">
        <f t="shared" ref="N44:N72" si="130">L44+M44</f>
        <v>#VALUE!</v>
      </c>
      <c r="O44" s="169" t="s">
        <v>429</v>
      </c>
      <c r="P44" s="187" t="e">
        <f t="shared" ref="P44:P55" si="131">O44*$A44/100</f>
        <v>#VALUE!</v>
      </c>
      <c r="Q44" s="188" t="e">
        <f t="shared" ref="Q44:Q72" si="132">O44+P44</f>
        <v>#VALUE!</v>
      </c>
      <c r="R44" s="169" t="s">
        <v>429</v>
      </c>
      <c r="S44" s="187" t="e">
        <f t="shared" ref="S44:S55" si="133">R44*$A44/100</f>
        <v>#VALUE!</v>
      </c>
      <c r="T44" s="188" t="e">
        <f t="shared" ref="T44:T72" si="134">R44+S44</f>
        <v>#VALUE!</v>
      </c>
      <c r="U44" s="187" t="e">
        <f t="shared" si="122"/>
        <v>#VALUE!</v>
      </c>
    </row>
    <row r="45" spans="1:48">
      <c r="A45" s="169">
        <f>VLOOKUP(B45,Misc_inputs!$A$3:$B$33,2,0)</f>
        <v>2.7352938960343987</v>
      </c>
      <c r="B45" s="168">
        <v>2003</v>
      </c>
      <c r="C45" s="169" t="s">
        <v>429</v>
      </c>
      <c r="D45" s="187" t="e">
        <f t="shared" si="123"/>
        <v>#VALUE!</v>
      </c>
      <c r="E45" s="188" t="e">
        <f t="shared" si="124"/>
        <v>#VALUE!</v>
      </c>
      <c r="F45" s="169" t="s">
        <v>429</v>
      </c>
      <c r="G45" s="187" t="e">
        <f t="shared" si="125"/>
        <v>#VALUE!</v>
      </c>
      <c r="H45" s="188" t="e">
        <f t="shared" si="126"/>
        <v>#VALUE!</v>
      </c>
      <c r="I45" s="169" t="s">
        <v>429</v>
      </c>
      <c r="J45" s="187" t="e">
        <f t="shared" si="127"/>
        <v>#VALUE!</v>
      </c>
      <c r="K45" s="188" t="e">
        <f t="shared" si="128"/>
        <v>#VALUE!</v>
      </c>
      <c r="L45" s="169" t="s">
        <v>429</v>
      </c>
      <c r="M45" s="187" t="e">
        <f t="shared" si="129"/>
        <v>#VALUE!</v>
      </c>
      <c r="N45" s="188" t="e">
        <f t="shared" si="130"/>
        <v>#VALUE!</v>
      </c>
      <c r="O45" s="169" t="s">
        <v>429</v>
      </c>
      <c r="P45" s="187" t="e">
        <f t="shared" si="131"/>
        <v>#VALUE!</v>
      </c>
      <c r="Q45" s="188" t="e">
        <f t="shared" si="132"/>
        <v>#VALUE!</v>
      </c>
      <c r="R45" s="169" t="s">
        <v>429</v>
      </c>
      <c r="S45" s="187" t="e">
        <f t="shared" si="133"/>
        <v>#VALUE!</v>
      </c>
      <c r="T45" s="188" t="e">
        <f t="shared" si="134"/>
        <v>#VALUE!</v>
      </c>
      <c r="U45" s="187" t="e">
        <f t="shared" si="122"/>
        <v>#VALUE!</v>
      </c>
    </row>
    <row r="46" spans="1:48">
      <c r="A46" s="169">
        <f>VLOOKUP(B46,Misc_inputs!$A$3:$B$33,2,0)</f>
        <v>2.5734301841181981</v>
      </c>
      <c r="B46" s="168">
        <v>2004</v>
      </c>
      <c r="C46" s="169" t="s">
        <v>429</v>
      </c>
      <c r="D46" s="187" t="e">
        <f t="shared" si="123"/>
        <v>#VALUE!</v>
      </c>
      <c r="E46" s="188" t="e">
        <f t="shared" si="124"/>
        <v>#VALUE!</v>
      </c>
      <c r="F46" s="169" t="s">
        <v>429</v>
      </c>
      <c r="G46" s="187" t="e">
        <f t="shared" si="125"/>
        <v>#VALUE!</v>
      </c>
      <c r="H46" s="188" t="e">
        <f t="shared" si="126"/>
        <v>#VALUE!</v>
      </c>
      <c r="I46" s="169" t="s">
        <v>429</v>
      </c>
      <c r="J46" s="187" t="e">
        <f t="shared" si="127"/>
        <v>#VALUE!</v>
      </c>
      <c r="K46" s="188" t="e">
        <f t="shared" si="128"/>
        <v>#VALUE!</v>
      </c>
      <c r="L46" s="169" t="s">
        <v>429</v>
      </c>
      <c r="M46" s="187" t="e">
        <f t="shared" si="129"/>
        <v>#VALUE!</v>
      </c>
      <c r="N46" s="188" t="e">
        <f t="shared" si="130"/>
        <v>#VALUE!</v>
      </c>
      <c r="O46" s="169" t="s">
        <v>429</v>
      </c>
      <c r="P46" s="187" t="e">
        <f t="shared" si="131"/>
        <v>#VALUE!</v>
      </c>
      <c r="Q46" s="188" t="e">
        <f t="shared" si="132"/>
        <v>#VALUE!</v>
      </c>
      <c r="R46" s="169" t="s">
        <v>429</v>
      </c>
      <c r="S46" s="187" t="e">
        <f t="shared" si="133"/>
        <v>#VALUE!</v>
      </c>
      <c r="T46" s="188" t="e">
        <f t="shared" si="134"/>
        <v>#VALUE!</v>
      </c>
      <c r="U46" s="187" t="e">
        <f t="shared" si="122"/>
        <v>#VALUE!</v>
      </c>
    </row>
    <row r="47" spans="1:48">
      <c r="A47" s="169">
        <f>VLOOKUP(B47,Misc_inputs!$A$3:$B$33,2,0)</f>
        <v>3.1315066925981085</v>
      </c>
      <c r="B47" s="168">
        <v>2005</v>
      </c>
      <c r="C47" s="169" t="s">
        <v>429</v>
      </c>
      <c r="D47" s="187" t="e">
        <f t="shared" si="123"/>
        <v>#VALUE!</v>
      </c>
      <c r="E47" s="188" t="e">
        <f t="shared" si="124"/>
        <v>#VALUE!</v>
      </c>
      <c r="F47" s="169" t="s">
        <v>429</v>
      </c>
      <c r="G47" s="187" t="e">
        <f t="shared" si="125"/>
        <v>#VALUE!</v>
      </c>
      <c r="H47" s="188" t="e">
        <f t="shared" si="126"/>
        <v>#VALUE!</v>
      </c>
      <c r="I47" s="169" t="s">
        <v>429</v>
      </c>
      <c r="J47" s="187" t="e">
        <f t="shared" si="127"/>
        <v>#VALUE!</v>
      </c>
      <c r="K47" s="188" t="e">
        <f t="shared" si="128"/>
        <v>#VALUE!</v>
      </c>
      <c r="L47" s="169" t="s">
        <v>429</v>
      </c>
      <c r="M47" s="187" t="e">
        <f t="shared" si="129"/>
        <v>#VALUE!</v>
      </c>
      <c r="N47" s="188" t="e">
        <f t="shared" si="130"/>
        <v>#VALUE!</v>
      </c>
      <c r="O47" s="169" t="s">
        <v>429</v>
      </c>
      <c r="P47" s="187" t="e">
        <f t="shared" si="131"/>
        <v>#VALUE!</v>
      </c>
      <c r="Q47" s="188" t="e">
        <f t="shared" si="132"/>
        <v>#VALUE!</v>
      </c>
      <c r="R47" s="169" t="s">
        <v>429</v>
      </c>
      <c r="S47" s="187" t="e">
        <f t="shared" si="133"/>
        <v>#VALUE!</v>
      </c>
      <c r="T47" s="188" t="e">
        <f t="shared" si="134"/>
        <v>#VALUE!</v>
      </c>
      <c r="U47" s="187" t="e">
        <f t="shared" si="122"/>
        <v>#VALUE!</v>
      </c>
    </row>
    <row r="48" spans="1:48">
      <c r="A48" s="169">
        <f>VLOOKUP(B48,Misc_inputs!$A$3:$B$33,2,0)</f>
        <v>2.853248435199073</v>
      </c>
      <c r="B48" s="168">
        <v>2006</v>
      </c>
      <c r="C48" s="169" t="s">
        <v>429</v>
      </c>
      <c r="D48" s="187" t="e">
        <f t="shared" si="123"/>
        <v>#VALUE!</v>
      </c>
      <c r="E48" s="188" t="e">
        <f t="shared" si="124"/>
        <v>#VALUE!</v>
      </c>
      <c r="F48" s="169" t="s">
        <v>429</v>
      </c>
      <c r="G48" s="187" t="e">
        <f t="shared" si="125"/>
        <v>#VALUE!</v>
      </c>
      <c r="H48" s="188" t="e">
        <f t="shared" si="126"/>
        <v>#VALUE!</v>
      </c>
      <c r="I48" s="169" t="s">
        <v>429</v>
      </c>
      <c r="J48" s="187" t="e">
        <f t="shared" si="127"/>
        <v>#VALUE!</v>
      </c>
      <c r="K48" s="188" t="e">
        <f t="shared" si="128"/>
        <v>#VALUE!</v>
      </c>
      <c r="L48" s="169" t="s">
        <v>429</v>
      </c>
      <c r="M48" s="187" t="e">
        <f t="shared" si="129"/>
        <v>#VALUE!</v>
      </c>
      <c r="N48" s="188" t="e">
        <f t="shared" si="130"/>
        <v>#VALUE!</v>
      </c>
      <c r="O48" s="169" t="s">
        <v>429</v>
      </c>
      <c r="P48" s="187" t="e">
        <f t="shared" si="131"/>
        <v>#VALUE!</v>
      </c>
      <c r="Q48" s="188" t="e">
        <f t="shared" si="132"/>
        <v>#VALUE!</v>
      </c>
      <c r="R48" s="169" t="s">
        <v>429</v>
      </c>
      <c r="S48" s="187" t="e">
        <f t="shared" si="133"/>
        <v>#VALUE!</v>
      </c>
      <c r="T48" s="188" t="e">
        <f t="shared" si="134"/>
        <v>#VALUE!</v>
      </c>
      <c r="U48" s="187" t="e">
        <f t="shared" si="122"/>
        <v>#VALUE!</v>
      </c>
    </row>
    <row r="49" spans="1:21">
      <c r="A49" s="169">
        <f>VLOOKUP(B49,Misc_inputs!$A$3:$B$33,2,0)</f>
        <v>2.7960714791272023</v>
      </c>
      <c r="B49" s="168">
        <v>2007</v>
      </c>
      <c r="C49" s="169" t="s">
        <v>429</v>
      </c>
      <c r="D49" s="187" t="e">
        <f t="shared" si="123"/>
        <v>#VALUE!</v>
      </c>
      <c r="E49" s="188" t="e">
        <f t="shared" si="124"/>
        <v>#VALUE!</v>
      </c>
      <c r="F49" s="169" t="s">
        <v>429</v>
      </c>
      <c r="G49" s="187" t="e">
        <f t="shared" si="125"/>
        <v>#VALUE!</v>
      </c>
      <c r="H49" s="188" t="e">
        <f t="shared" si="126"/>
        <v>#VALUE!</v>
      </c>
      <c r="I49" s="169" t="s">
        <v>429</v>
      </c>
      <c r="J49" s="187" t="e">
        <f t="shared" si="127"/>
        <v>#VALUE!</v>
      </c>
      <c r="K49" s="188" t="e">
        <f t="shared" si="128"/>
        <v>#VALUE!</v>
      </c>
      <c r="L49" s="169" t="s">
        <v>429</v>
      </c>
      <c r="M49" s="187" t="e">
        <f t="shared" si="129"/>
        <v>#VALUE!</v>
      </c>
      <c r="N49" s="188" t="e">
        <f t="shared" si="130"/>
        <v>#VALUE!</v>
      </c>
      <c r="O49" s="169" t="s">
        <v>429</v>
      </c>
      <c r="P49" s="187" t="e">
        <f t="shared" si="131"/>
        <v>#VALUE!</v>
      </c>
      <c r="Q49" s="188" t="e">
        <f t="shared" si="132"/>
        <v>#VALUE!</v>
      </c>
      <c r="R49" s="169" t="s">
        <v>429</v>
      </c>
      <c r="S49" s="187" t="e">
        <f t="shared" si="133"/>
        <v>#VALUE!</v>
      </c>
      <c r="T49" s="188" t="e">
        <f t="shared" si="134"/>
        <v>#VALUE!</v>
      </c>
      <c r="U49" s="187" t="e">
        <f t="shared" si="122"/>
        <v>#VALUE!</v>
      </c>
    </row>
    <row r="50" spans="1:21">
      <c r="A50" s="169">
        <f>VLOOKUP(B50,Misc_inputs!$A$3:$B$33,2,0)</f>
        <v>3.2489393373071294</v>
      </c>
      <c r="B50" s="168">
        <v>2008</v>
      </c>
      <c r="C50" s="169" t="s">
        <v>429</v>
      </c>
      <c r="D50" s="187" t="e">
        <f t="shared" si="123"/>
        <v>#VALUE!</v>
      </c>
      <c r="E50" s="188" t="e">
        <f t="shared" si="124"/>
        <v>#VALUE!</v>
      </c>
      <c r="F50" s="169" t="s">
        <v>429</v>
      </c>
      <c r="G50" s="187" t="e">
        <f t="shared" si="125"/>
        <v>#VALUE!</v>
      </c>
      <c r="H50" s="188" t="e">
        <f t="shared" si="126"/>
        <v>#VALUE!</v>
      </c>
      <c r="I50" s="169" t="s">
        <v>429</v>
      </c>
      <c r="J50" s="187" t="e">
        <f t="shared" si="127"/>
        <v>#VALUE!</v>
      </c>
      <c r="K50" s="188" t="e">
        <f t="shared" si="128"/>
        <v>#VALUE!</v>
      </c>
      <c r="L50" s="169" t="s">
        <v>429</v>
      </c>
      <c r="M50" s="187" t="e">
        <f t="shared" si="129"/>
        <v>#VALUE!</v>
      </c>
      <c r="N50" s="188" t="e">
        <f t="shared" si="130"/>
        <v>#VALUE!</v>
      </c>
      <c r="O50" s="169" t="s">
        <v>429</v>
      </c>
      <c r="P50" s="187" t="e">
        <f t="shared" si="131"/>
        <v>#VALUE!</v>
      </c>
      <c r="Q50" s="188" t="e">
        <f t="shared" si="132"/>
        <v>#VALUE!</v>
      </c>
      <c r="R50" s="169" t="s">
        <v>429</v>
      </c>
      <c r="S50" s="187" t="e">
        <f t="shared" si="133"/>
        <v>#VALUE!</v>
      </c>
      <c r="T50" s="188" t="e">
        <f t="shared" si="134"/>
        <v>#VALUE!</v>
      </c>
      <c r="U50" s="187" t="e">
        <f t="shared" si="122"/>
        <v>#VALUE!</v>
      </c>
    </row>
    <row r="51" spans="1:21">
      <c r="A51" s="169">
        <f>VLOOKUP(B51,Misc_inputs!$A$3:$B$33,2,0)</f>
        <v>1.7010725699507729</v>
      </c>
      <c r="B51" s="168">
        <v>2009</v>
      </c>
      <c r="C51" s="169" t="s">
        <v>429</v>
      </c>
      <c r="D51" s="187" t="e">
        <f t="shared" si="123"/>
        <v>#VALUE!</v>
      </c>
      <c r="E51" s="188" t="e">
        <f t="shared" si="124"/>
        <v>#VALUE!</v>
      </c>
      <c r="F51" s="169" t="s">
        <v>429</v>
      </c>
      <c r="G51" s="187" t="e">
        <f t="shared" si="125"/>
        <v>#VALUE!</v>
      </c>
      <c r="H51" s="188" t="e">
        <f t="shared" si="126"/>
        <v>#VALUE!</v>
      </c>
      <c r="I51" s="169" t="s">
        <v>429</v>
      </c>
      <c r="J51" s="187" t="e">
        <f t="shared" si="127"/>
        <v>#VALUE!</v>
      </c>
      <c r="K51" s="188" t="e">
        <f t="shared" si="128"/>
        <v>#VALUE!</v>
      </c>
      <c r="L51" s="169" t="s">
        <v>429</v>
      </c>
      <c r="M51" s="187" t="e">
        <f t="shared" si="129"/>
        <v>#VALUE!</v>
      </c>
      <c r="N51" s="188" t="e">
        <f t="shared" si="130"/>
        <v>#VALUE!</v>
      </c>
      <c r="O51" s="169" t="s">
        <v>429</v>
      </c>
      <c r="P51" s="187" t="e">
        <f t="shared" si="131"/>
        <v>#VALUE!</v>
      </c>
      <c r="Q51" s="188" t="e">
        <f t="shared" si="132"/>
        <v>#VALUE!</v>
      </c>
      <c r="R51" s="169" t="s">
        <v>429</v>
      </c>
      <c r="S51" s="187" t="e">
        <f t="shared" si="133"/>
        <v>#VALUE!</v>
      </c>
      <c r="T51" s="188" t="e">
        <f t="shared" si="134"/>
        <v>#VALUE!</v>
      </c>
      <c r="U51" s="187" t="e">
        <f t="shared" si="122"/>
        <v>#VALUE!</v>
      </c>
    </row>
    <row r="52" spans="1:21">
      <c r="A52" s="169">
        <f>VLOOKUP(B52,Misc_inputs!$A$3:$B$33,2,0)</f>
        <v>1.3734918692079017</v>
      </c>
      <c r="B52" s="168">
        <v>2010</v>
      </c>
      <c r="C52" s="169" t="s">
        <v>429</v>
      </c>
      <c r="D52" s="187" t="e">
        <f t="shared" si="123"/>
        <v>#VALUE!</v>
      </c>
      <c r="E52" s="188" t="e">
        <f t="shared" si="124"/>
        <v>#VALUE!</v>
      </c>
      <c r="F52" s="169" t="s">
        <v>429</v>
      </c>
      <c r="G52" s="187" t="e">
        <f t="shared" si="125"/>
        <v>#VALUE!</v>
      </c>
      <c r="H52" s="188" t="e">
        <f t="shared" si="126"/>
        <v>#VALUE!</v>
      </c>
      <c r="I52" s="169" t="s">
        <v>429</v>
      </c>
      <c r="J52" s="187" t="e">
        <f t="shared" si="127"/>
        <v>#VALUE!</v>
      </c>
      <c r="K52" s="188" t="e">
        <f t="shared" si="128"/>
        <v>#VALUE!</v>
      </c>
      <c r="L52" s="169" t="s">
        <v>429</v>
      </c>
      <c r="M52" s="187" t="e">
        <f t="shared" si="129"/>
        <v>#VALUE!</v>
      </c>
      <c r="N52" s="188" t="e">
        <f t="shared" si="130"/>
        <v>#VALUE!</v>
      </c>
      <c r="O52" s="169" t="s">
        <v>429</v>
      </c>
      <c r="P52" s="187" t="e">
        <f t="shared" si="131"/>
        <v>#VALUE!</v>
      </c>
      <c r="Q52" s="188" t="e">
        <f t="shared" si="132"/>
        <v>#VALUE!</v>
      </c>
      <c r="R52" s="169" t="s">
        <v>429</v>
      </c>
      <c r="S52" s="187" t="e">
        <f t="shared" si="133"/>
        <v>#VALUE!</v>
      </c>
      <c r="T52" s="188" t="e">
        <f t="shared" si="134"/>
        <v>#VALUE!</v>
      </c>
      <c r="U52" s="187" t="e">
        <f t="shared" si="122"/>
        <v>#VALUE!</v>
      </c>
    </row>
    <row r="53" spans="1:21">
      <c r="A53" s="169">
        <f>VLOOKUP(B53,Misc_inputs!$A$3:$B$33,2,0)</f>
        <v>2.0688542081199257</v>
      </c>
      <c r="B53" s="168">
        <v>2011</v>
      </c>
      <c r="C53" s="169" t="s">
        <v>429</v>
      </c>
      <c r="D53" s="187" t="e">
        <f t="shared" si="123"/>
        <v>#VALUE!</v>
      </c>
      <c r="E53" s="188" t="e">
        <f t="shared" si="124"/>
        <v>#VALUE!</v>
      </c>
      <c r="F53" s="169" t="s">
        <v>429</v>
      </c>
      <c r="G53" s="187" t="e">
        <f t="shared" si="125"/>
        <v>#VALUE!</v>
      </c>
      <c r="H53" s="188" t="e">
        <f t="shared" si="126"/>
        <v>#VALUE!</v>
      </c>
      <c r="I53" s="169" t="s">
        <v>429</v>
      </c>
      <c r="J53" s="187" t="e">
        <f t="shared" si="127"/>
        <v>#VALUE!</v>
      </c>
      <c r="K53" s="188" t="e">
        <f t="shared" si="128"/>
        <v>#VALUE!</v>
      </c>
      <c r="L53" s="169" t="s">
        <v>429</v>
      </c>
      <c r="M53" s="187" t="e">
        <f t="shared" si="129"/>
        <v>#VALUE!</v>
      </c>
      <c r="N53" s="188" t="e">
        <f t="shared" si="130"/>
        <v>#VALUE!</v>
      </c>
      <c r="O53" s="169" t="s">
        <v>429</v>
      </c>
      <c r="P53" s="187" t="e">
        <f t="shared" si="131"/>
        <v>#VALUE!</v>
      </c>
      <c r="Q53" s="188" t="e">
        <f t="shared" si="132"/>
        <v>#VALUE!</v>
      </c>
      <c r="R53" s="169" t="s">
        <v>429</v>
      </c>
      <c r="S53" s="187" t="e">
        <f t="shared" si="133"/>
        <v>#VALUE!</v>
      </c>
      <c r="T53" s="188" t="e">
        <f t="shared" si="134"/>
        <v>#VALUE!</v>
      </c>
      <c r="U53" s="187" t="e">
        <f t="shared" si="122"/>
        <v>#VALUE!</v>
      </c>
    </row>
    <row r="54" spans="1:21">
      <c r="A54" s="169">
        <f>VLOOKUP(B54,Misc_inputs!$A$3:$B$33,2,0)</f>
        <v>1.6091515591183065</v>
      </c>
      <c r="B54" s="168">
        <v>2012</v>
      </c>
      <c r="C54" s="169" t="s">
        <v>429</v>
      </c>
      <c r="D54" s="187" t="e">
        <f t="shared" si="123"/>
        <v>#VALUE!</v>
      </c>
      <c r="E54" s="188" t="e">
        <f t="shared" si="124"/>
        <v>#VALUE!</v>
      </c>
      <c r="F54" s="169" t="s">
        <v>429</v>
      </c>
      <c r="G54" s="187" t="e">
        <f t="shared" si="125"/>
        <v>#VALUE!</v>
      </c>
      <c r="H54" s="188" t="e">
        <f t="shared" si="126"/>
        <v>#VALUE!</v>
      </c>
      <c r="I54" s="169" t="s">
        <v>429</v>
      </c>
      <c r="J54" s="187" t="e">
        <f t="shared" si="127"/>
        <v>#VALUE!</v>
      </c>
      <c r="K54" s="188" t="e">
        <f t="shared" si="128"/>
        <v>#VALUE!</v>
      </c>
      <c r="L54" s="169" t="s">
        <v>429</v>
      </c>
      <c r="M54" s="187" t="e">
        <f t="shared" si="129"/>
        <v>#VALUE!</v>
      </c>
      <c r="N54" s="188" t="e">
        <f t="shared" si="130"/>
        <v>#VALUE!</v>
      </c>
      <c r="O54" s="169" t="s">
        <v>429</v>
      </c>
      <c r="P54" s="187" t="e">
        <f t="shared" si="131"/>
        <v>#VALUE!</v>
      </c>
      <c r="Q54" s="188" t="e">
        <f t="shared" si="132"/>
        <v>#VALUE!</v>
      </c>
      <c r="R54" s="169" t="s">
        <v>429</v>
      </c>
      <c r="S54" s="187" t="e">
        <f t="shared" si="133"/>
        <v>#VALUE!</v>
      </c>
      <c r="T54" s="188" t="e">
        <f t="shared" si="134"/>
        <v>#VALUE!</v>
      </c>
      <c r="U54" s="187" t="e">
        <f t="shared" si="122"/>
        <v>#VALUE!</v>
      </c>
    </row>
    <row r="55" spans="1:21">
      <c r="A55" s="169">
        <f>VLOOKUP(B55,Misc_inputs!$A$3:$B$33,2,0)</f>
        <v>2.2357385540164949</v>
      </c>
      <c r="B55" s="168">
        <v>2013</v>
      </c>
      <c r="C55" s="169" t="s">
        <v>429</v>
      </c>
      <c r="D55" s="187" t="e">
        <f t="shared" si="123"/>
        <v>#VALUE!</v>
      </c>
      <c r="E55" s="188" t="e">
        <f t="shared" si="124"/>
        <v>#VALUE!</v>
      </c>
      <c r="F55" s="169" t="s">
        <v>429</v>
      </c>
      <c r="G55" s="187" t="e">
        <f t="shared" si="125"/>
        <v>#VALUE!</v>
      </c>
      <c r="H55" s="188" t="e">
        <f t="shared" si="126"/>
        <v>#VALUE!</v>
      </c>
      <c r="I55" s="169" t="s">
        <v>429</v>
      </c>
      <c r="J55" s="187" t="e">
        <f t="shared" si="127"/>
        <v>#VALUE!</v>
      </c>
      <c r="K55" s="188" t="e">
        <f t="shared" si="128"/>
        <v>#VALUE!</v>
      </c>
      <c r="L55" s="169" t="s">
        <v>429</v>
      </c>
      <c r="M55" s="187" t="e">
        <f t="shared" si="129"/>
        <v>#VALUE!</v>
      </c>
      <c r="N55" s="188" t="e">
        <f t="shared" si="130"/>
        <v>#VALUE!</v>
      </c>
      <c r="O55" s="169" t="s">
        <v>429</v>
      </c>
      <c r="P55" s="187" t="e">
        <f t="shared" si="131"/>
        <v>#VALUE!</v>
      </c>
      <c r="Q55" s="188" t="e">
        <f t="shared" si="132"/>
        <v>#VALUE!</v>
      </c>
      <c r="R55" s="169" t="s">
        <v>429</v>
      </c>
      <c r="S55" s="187" t="e">
        <f t="shared" si="133"/>
        <v>#VALUE!</v>
      </c>
      <c r="T55" s="188" t="e">
        <f t="shared" si="134"/>
        <v>#VALUE!</v>
      </c>
      <c r="U55" s="187" t="e">
        <f t="shared" si="122"/>
        <v>#VALUE!</v>
      </c>
    </row>
    <row r="56" spans="1:21">
      <c r="A56" s="169">
        <f>VLOOKUP(B56,Misc_inputs!$A$3:$B$33,2,0)</f>
        <v>1.5952823611433897</v>
      </c>
      <c r="B56" s="168">
        <v>2014</v>
      </c>
      <c r="C56" s="169" t="s">
        <v>429</v>
      </c>
      <c r="D56" s="187" t="e">
        <f>C56*$A56/100</f>
        <v>#VALUE!</v>
      </c>
      <c r="E56" s="188" t="e">
        <f t="shared" si="124"/>
        <v>#VALUE!</v>
      </c>
      <c r="F56" s="169" t="s">
        <v>429</v>
      </c>
      <c r="G56" s="187" t="e">
        <f>F56*$A56/100</f>
        <v>#VALUE!</v>
      </c>
      <c r="H56" s="188" t="e">
        <f t="shared" si="126"/>
        <v>#VALUE!</v>
      </c>
      <c r="I56" s="169" t="s">
        <v>429</v>
      </c>
      <c r="J56" s="187" t="e">
        <f>I56*$A56/100</f>
        <v>#VALUE!</v>
      </c>
      <c r="K56" s="188" t="e">
        <f t="shared" si="128"/>
        <v>#VALUE!</v>
      </c>
      <c r="L56" s="169" t="s">
        <v>429</v>
      </c>
      <c r="M56" s="187" t="e">
        <f>L56*$A56/100</f>
        <v>#VALUE!</v>
      </c>
      <c r="N56" s="188" t="e">
        <f t="shared" si="130"/>
        <v>#VALUE!</v>
      </c>
      <c r="O56" s="169" t="s">
        <v>429</v>
      </c>
      <c r="P56" s="187" t="e">
        <f>O56*$A56/100</f>
        <v>#VALUE!</v>
      </c>
      <c r="Q56" s="188" t="e">
        <f t="shared" si="132"/>
        <v>#VALUE!</v>
      </c>
      <c r="R56" s="169" t="s">
        <v>429</v>
      </c>
      <c r="S56" s="187" t="e">
        <f>R56*$A56/100</f>
        <v>#VALUE!</v>
      </c>
      <c r="T56" s="188" t="e">
        <f t="shared" si="134"/>
        <v>#VALUE!</v>
      </c>
      <c r="U56" s="187" t="e">
        <f t="shared" si="122"/>
        <v>#VALUE!</v>
      </c>
    </row>
    <row r="57" spans="1:21">
      <c r="A57" s="169">
        <f>VLOOKUP(B57,Misc_inputs!$A$3:$B$33,2,0)</f>
        <v>0.51307917271416026</v>
      </c>
      <c r="B57" s="168">
        <v>2015</v>
      </c>
      <c r="C57" s="169" t="s">
        <v>429</v>
      </c>
      <c r="D57" s="187" t="e">
        <f t="shared" ref="D57:D72" si="135">C57*$A57/100</f>
        <v>#VALUE!</v>
      </c>
      <c r="E57" s="188" t="e">
        <f t="shared" si="124"/>
        <v>#VALUE!</v>
      </c>
      <c r="F57" s="169" t="s">
        <v>429</v>
      </c>
      <c r="G57" s="187" t="e">
        <f t="shared" ref="G57:G72" si="136">F57*$A57/100</f>
        <v>#VALUE!</v>
      </c>
      <c r="H57" s="188" t="e">
        <f t="shared" si="126"/>
        <v>#VALUE!</v>
      </c>
      <c r="I57" s="169" t="s">
        <v>429</v>
      </c>
      <c r="J57" s="187" t="e">
        <f t="shared" ref="J57:J72" si="137">I57*$A57/100</f>
        <v>#VALUE!</v>
      </c>
      <c r="K57" s="188" t="e">
        <f t="shared" si="128"/>
        <v>#VALUE!</v>
      </c>
      <c r="L57" s="169" t="s">
        <v>429</v>
      </c>
      <c r="M57" s="187" t="e">
        <f t="shared" ref="M57:M72" si="138">L57*$A57/100</f>
        <v>#VALUE!</v>
      </c>
      <c r="N57" s="188" t="e">
        <f t="shared" si="130"/>
        <v>#VALUE!</v>
      </c>
      <c r="O57" s="169" t="s">
        <v>429</v>
      </c>
      <c r="P57" s="187" t="e">
        <f t="shared" ref="P57:P72" si="139">O57*$A57/100</f>
        <v>#VALUE!</v>
      </c>
      <c r="Q57" s="188" t="e">
        <f t="shared" si="132"/>
        <v>#VALUE!</v>
      </c>
      <c r="R57" s="169" t="s">
        <v>429</v>
      </c>
      <c r="S57" s="187" t="e">
        <f t="shared" ref="S57:S72" si="140">R57*$A57/100</f>
        <v>#VALUE!</v>
      </c>
      <c r="T57" s="188" t="e">
        <f t="shared" si="134"/>
        <v>#VALUE!</v>
      </c>
      <c r="U57" s="187" t="e">
        <f t="shared" si="122"/>
        <v>#VALUE!</v>
      </c>
    </row>
    <row r="58" spans="1:21">
      <c r="A58" s="169">
        <f>VLOOKUP(B58,Misc_inputs!$A$3:$B$33,2,0)</f>
        <v>1.8963035451147277</v>
      </c>
      <c r="B58" s="168">
        <v>2016</v>
      </c>
      <c r="C58" s="169" t="s">
        <v>429</v>
      </c>
      <c r="D58" s="187" t="e">
        <f t="shared" si="135"/>
        <v>#VALUE!</v>
      </c>
      <c r="E58" s="188" t="e">
        <f t="shared" si="124"/>
        <v>#VALUE!</v>
      </c>
      <c r="F58" s="169" t="s">
        <v>429</v>
      </c>
      <c r="G58" s="187" t="e">
        <f t="shared" si="136"/>
        <v>#VALUE!</v>
      </c>
      <c r="H58" s="188" t="e">
        <f t="shared" si="126"/>
        <v>#VALUE!</v>
      </c>
      <c r="I58" s="169" t="s">
        <v>429</v>
      </c>
      <c r="J58" s="187" t="e">
        <f t="shared" si="137"/>
        <v>#VALUE!</v>
      </c>
      <c r="K58" s="188" t="e">
        <f t="shared" si="128"/>
        <v>#VALUE!</v>
      </c>
      <c r="L58" s="169" t="s">
        <v>429</v>
      </c>
      <c r="M58" s="187" t="e">
        <f t="shared" si="138"/>
        <v>#VALUE!</v>
      </c>
      <c r="N58" s="188" t="e">
        <f t="shared" si="130"/>
        <v>#VALUE!</v>
      </c>
      <c r="O58" s="169" t="s">
        <v>429</v>
      </c>
      <c r="P58" s="187" t="e">
        <f t="shared" si="139"/>
        <v>#VALUE!</v>
      </c>
      <c r="Q58" s="188" t="e">
        <f t="shared" si="132"/>
        <v>#VALUE!</v>
      </c>
      <c r="R58" s="169" t="s">
        <v>429</v>
      </c>
      <c r="S58" s="187" t="e">
        <f t="shared" si="140"/>
        <v>#VALUE!</v>
      </c>
      <c r="T58" s="188" t="e">
        <f t="shared" si="134"/>
        <v>#VALUE!</v>
      </c>
      <c r="U58" s="187" t="e">
        <f t="shared" si="122"/>
        <v>#VALUE!</v>
      </c>
    </row>
    <row r="59" spans="1:21">
      <c r="A59" s="169">
        <f>VLOOKUP(B59,Misc_inputs!$A$3:$B$33,2,0)</f>
        <v>1.8209228570152332</v>
      </c>
      <c r="B59" s="168">
        <v>2017</v>
      </c>
      <c r="C59" s="169" t="s">
        <v>429</v>
      </c>
      <c r="D59" s="187" t="e">
        <f t="shared" si="135"/>
        <v>#VALUE!</v>
      </c>
      <c r="E59" s="188" t="e">
        <f t="shared" si="124"/>
        <v>#VALUE!</v>
      </c>
      <c r="F59" s="169" t="s">
        <v>429</v>
      </c>
      <c r="G59" s="187" t="e">
        <f t="shared" si="136"/>
        <v>#VALUE!</v>
      </c>
      <c r="H59" s="188" t="e">
        <f t="shared" si="126"/>
        <v>#VALUE!</v>
      </c>
      <c r="I59" s="169" t="s">
        <v>429</v>
      </c>
      <c r="J59" s="187" t="e">
        <f t="shared" si="137"/>
        <v>#VALUE!</v>
      </c>
      <c r="K59" s="188" t="e">
        <f t="shared" si="128"/>
        <v>#VALUE!</v>
      </c>
      <c r="L59" s="169" t="s">
        <v>429</v>
      </c>
      <c r="M59" s="187" t="e">
        <f t="shared" si="138"/>
        <v>#VALUE!</v>
      </c>
      <c r="N59" s="188" t="e">
        <f t="shared" si="130"/>
        <v>#VALUE!</v>
      </c>
      <c r="O59" s="169" t="s">
        <v>429</v>
      </c>
      <c r="P59" s="187" t="e">
        <f t="shared" si="139"/>
        <v>#VALUE!</v>
      </c>
      <c r="Q59" s="188" t="e">
        <f t="shared" si="132"/>
        <v>#VALUE!</v>
      </c>
      <c r="R59" s="169" t="s">
        <v>429</v>
      </c>
      <c r="S59" s="187" t="e">
        <f t="shared" si="140"/>
        <v>#VALUE!</v>
      </c>
      <c r="T59" s="188" t="e">
        <f t="shared" si="134"/>
        <v>#VALUE!</v>
      </c>
      <c r="U59" s="187" t="e">
        <f t="shared" si="122"/>
        <v>#VALUE!</v>
      </c>
    </row>
    <row r="60" spans="1:21">
      <c r="A60" s="169">
        <f>VLOOKUP(B60,Misc_inputs!$A$3:$B$33,2,0)</f>
        <v>1.9988242855231282</v>
      </c>
      <c r="B60" s="168">
        <v>2018</v>
      </c>
      <c r="C60" s="169" t="s">
        <v>429</v>
      </c>
      <c r="D60" s="187" t="e">
        <f t="shared" si="135"/>
        <v>#VALUE!</v>
      </c>
      <c r="E60" s="188" t="e">
        <f t="shared" si="124"/>
        <v>#VALUE!</v>
      </c>
      <c r="F60" s="169" t="s">
        <v>429</v>
      </c>
      <c r="G60" s="187" t="e">
        <f t="shared" si="136"/>
        <v>#VALUE!</v>
      </c>
      <c r="H60" s="188" t="e">
        <f t="shared" si="126"/>
        <v>#VALUE!</v>
      </c>
      <c r="I60" s="169" t="s">
        <v>429</v>
      </c>
      <c r="J60" s="187" t="e">
        <f t="shared" si="137"/>
        <v>#VALUE!</v>
      </c>
      <c r="K60" s="188" t="e">
        <f t="shared" si="128"/>
        <v>#VALUE!</v>
      </c>
      <c r="L60" s="169" t="s">
        <v>429</v>
      </c>
      <c r="M60" s="187" t="e">
        <f t="shared" si="138"/>
        <v>#VALUE!</v>
      </c>
      <c r="N60" s="188" t="e">
        <f t="shared" si="130"/>
        <v>#VALUE!</v>
      </c>
      <c r="O60" s="169" t="s">
        <v>429</v>
      </c>
      <c r="P60" s="187" t="e">
        <f t="shared" si="139"/>
        <v>#VALUE!</v>
      </c>
      <c r="Q60" s="188" t="e">
        <f t="shared" si="132"/>
        <v>#VALUE!</v>
      </c>
      <c r="R60" s="169" t="s">
        <v>429</v>
      </c>
      <c r="S60" s="187" t="e">
        <f t="shared" si="140"/>
        <v>#VALUE!</v>
      </c>
      <c r="T60" s="188" t="e">
        <f t="shared" si="134"/>
        <v>#VALUE!</v>
      </c>
      <c r="U60" s="187" t="e">
        <f t="shared" si="122"/>
        <v>#VALUE!</v>
      </c>
    </row>
    <row r="61" spans="1:21">
      <c r="A61" s="169">
        <f>VLOOKUP(B61,Misc_inputs!$A$3:$B$33,2,0)</f>
        <v>2.0163202370724722</v>
      </c>
      <c r="B61" s="168">
        <v>2019</v>
      </c>
      <c r="C61" s="169" t="s">
        <v>429</v>
      </c>
      <c r="D61" s="187" t="e">
        <f t="shared" si="135"/>
        <v>#VALUE!</v>
      </c>
      <c r="E61" s="188" t="e">
        <f t="shared" si="124"/>
        <v>#VALUE!</v>
      </c>
      <c r="F61" s="169" t="s">
        <v>429</v>
      </c>
      <c r="G61" s="187" t="e">
        <f t="shared" si="136"/>
        <v>#VALUE!</v>
      </c>
      <c r="H61" s="188" t="e">
        <f t="shared" si="126"/>
        <v>#VALUE!</v>
      </c>
      <c r="I61" s="169" t="s">
        <v>429</v>
      </c>
      <c r="J61" s="187" t="e">
        <f t="shared" si="137"/>
        <v>#VALUE!</v>
      </c>
      <c r="K61" s="188" t="e">
        <f t="shared" si="128"/>
        <v>#VALUE!</v>
      </c>
      <c r="L61" s="169" t="s">
        <v>429</v>
      </c>
      <c r="M61" s="187" t="e">
        <f t="shared" si="138"/>
        <v>#VALUE!</v>
      </c>
      <c r="N61" s="188" t="e">
        <f t="shared" si="130"/>
        <v>#VALUE!</v>
      </c>
      <c r="O61" s="169" t="s">
        <v>429</v>
      </c>
      <c r="P61" s="187" t="e">
        <f t="shared" si="139"/>
        <v>#VALUE!</v>
      </c>
      <c r="Q61" s="188" t="e">
        <f t="shared" si="132"/>
        <v>#VALUE!</v>
      </c>
      <c r="R61" s="169" t="s">
        <v>429</v>
      </c>
      <c r="S61" s="187" t="e">
        <f t="shared" si="140"/>
        <v>#VALUE!</v>
      </c>
      <c r="T61" s="188" t="e">
        <f t="shared" si="134"/>
        <v>#VALUE!</v>
      </c>
      <c r="U61" s="187" t="e">
        <f t="shared" si="122"/>
        <v>#VALUE!</v>
      </c>
    </row>
    <row r="62" spans="1:21">
      <c r="A62" s="169">
        <f>VLOOKUP(B62,Misc_inputs!$A$3:$B$33,2,0)</f>
        <v>5.3200852056836103</v>
      </c>
      <c r="B62" s="168">
        <v>2020</v>
      </c>
      <c r="C62" s="169" t="s">
        <v>429</v>
      </c>
      <c r="D62" s="187" t="e">
        <f t="shared" si="135"/>
        <v>#VALUE!</v>
      </c>
      <c r="E62" s="188" t="e">
        <f t="shared" si="124"/>
        <v>#VALUE!</v>
      </c>
      <c r="F62" s="169" t="s">
        <v>429</v>
      </c>
      <c r="G62" s="187" t="e">
        <f t="shared" si="136"/>
        <v>#VALUE!</v>
      </c>
      <c r="H62" s="188" t="e">
        <f t="shared" si="126"/>
        <v>#VALUE!</v>
      </c>
      <c r="I62" s="169" t="s">
        <v>429</v>
      </c>
      <c r="J62" s="187" t="e">
        <f t="shared" si="137"/>
        <v>#VALUE!</v>
      </c>
      <c r="K62" s="188" t="e">
        <f t="shared" si="128"/>
        <v>#VALUE!</v>
      </c>
      <c r="L62" s="169" t="s">
        <v>429</v>
      </c>
      <c r="M62" s="187" t="e">
        <f t="shared" si="138"/>
        <v>#VALUE!</v>
      </c>
      <c r="N62" s="188" t="e">
        <f t="shared" si="130"/>
        <v>#VALUE!</v>
      </c>
      <c r="O62" s="169" t="s">
        <v>429</v>
      </c>
      <c r="P62" s="187" t="e">
        <f t="shared" si="139"/>
        <v>#VALUE!</v>
      </c>
      <c r="Q62" s="188" t="e">
        <f t="shared" si="132"/>
        <v>#VALUE!</v>
      </c>
      <c r="R62" s="169" t="s">
        <v>429</v>
      </c>
      <c r="S62" s="187" t="e">
        <f t="shared" si="140"/>
        <v>#VALUE!</v>
      </c>
      <c r="T62" s="188" t="e">
        <f t="shared" si="134"/>
        <v>#VALUE!</v>
      </c>
      <c r="U62" s="187" t="e">
        <f t="shared" si="122"/>
        <v>#VALUE!</v>
      </c>
    </row>
    <row r="63" spans="1:21">
      <c r="A63" s="169">
        <f>VLOOKUP(B63,Misc_inputs!$A$3:$B$33,2,0)</f>
        <v>7.6258108678813302E-2</v>
      </c>
      <c r="B63" s="168">
        <v>2021</v>
      </c>
      <c r="C63" s="169" t="s">
        <v>429</v>
      </c>
      <c r="D63" s="187" t="e">
        <f t="shared" si="135"/>
        <v>#VALUE!</v>
      </c>
      <c r="E63" s="188" t="e">
        <f t="shared" si="124"/>
        <v>#VALUE!</v>
      </c>
      <c r="F63" s="169" t="s">
        <v>429</v>
      </c>
      <c r="G63" s="187" t="e">
        <f t="shared" si="136"/>
        <v>#VALUE!</v>
      </c>
      <c r="H63" s="188" t="e">
        <f t="shared" si="126"/>
        <v>#VALUE!</v>
      </c>
      <c r="I63" s="169" t="s">
        <v>429</v>
      </c>
      <c r="J63" s="187" t="e">
        <f t="shared" si="137"/>
        <v>#VALUE!</v>
      </c>
      <c r="K63" s="188" t="e">
        <f t="shared" si="128"/>
        <v>#VALUE!</v>
      </c>
      <c r="L63" s="169" t="s">
        <v>429</v>
      </c>
      <c r="M63" s="187" t="e">
        <f t="shared" si="138"/>
        <v>#VALUE!</v>
      </c>
      <c r="N63" s="188" t="e">
        <f t="shared" si="130"/>
        <v>#VALUE!</v>
      </c>
      <c r="O63" s="169" t="s">
        <v>429</v>
      </c>
      <c r="P63" s="187" t="e">
        <f t="shared" si="139"/>
        <v>#VALUE!</v>
      </c>
      <c r="Q63" s="188" t="e">
        <f t="shared" si="132"/>
        <v>#VALUE!</v>
      </c>
      <c r="R63" s="169" t="s">
        <v>429</v>
      </c>
      <c r="S63" s="187" t="e">
        <f t="shared" si="140"/>
        <v>#VALUE!</v>
      </c>
      <c r="T63" s="188" t="e">
        <f t="shared" si="134"/>
        <v>#VALUE!</v>
      </c>
      <c r="U63" s="187" t="e">
        <f t="shared" si="122"/>
        <v>#VALUE!</v>
      </c>
    </row>
    <row r="64" spans="1:21">
      <c r="A64" s="169">
        <f>VLOOKUP(B64,Misc_inputs!$A$3:$B$33,2,0)</f>
        <v>2.8492930312000952</v>
      </c>
      <c r="B64" s="168">
        <v>2022</v>
      </c>
      <c r="C64" s="169" t="s">
        <v>429</v>
      </c>
      <c r="D64" s="187" t="e">
        <f t="shared" si="135"/>
        <v>#VALUE!</v>
      </c>
      <c r="E64" s="188" t="e">
        <f t="shared" si="124"/>
        <v>#VALUE!</v>
      </c>
      <c r="F64" s="169" t="s">
        <v>429</v>
      </c>
      <c r="G64" s="187" t="e">
        <f t="shared" si="136"/>
        <v>#VALUE!</v>
      </c>
      <c r="H64" s="188" t="e">
        <f t="shared" si="126"/>
        <v>#VALUE!</v>
      </c>
      <c r="I64" s="169" t="s">
        <v>429</v>
      </c>
      <c r="J64" s="187" t="e">
        <f t="shared" si="137"/>
        <v>#VALUE!</v>
      </c>
      <c r="K64" s="188" t="e">
        <f t="shared" si="128"/>
        <v>#VALUE!</v>
      </c>
      <c r="L64" s="169" t="s">
        <v>429</v>
      </c>
      <c r="M64" s="187" t="e">
        <f t="shared" si="138"/>
        <v>#VALUE!</v>
      </c>
      <c r="N64" s="188" t="e">
        <f t="shared" si="130"/>
        <v>#VALUE!</v>
      </c>
      <c r="O64" s="169" t="s">
        <v>429</v>
      </c>
      <c r="P64" s="187" t="e">
        <f t="shared" si="139"/>
        <v>#VALUE!</v>
      </c>
      <c r="Q64" s="188" t="e">
        <f t="shared" si="132"/>
        <v>#VALUE!</v>
      </c>
      <c r="R64" s="169" t="s">
        <v>429</v>
      </c>
      <c r="S64" s="187" t="e">
        <f t="shared" si="140"/>
        <v>#VALUE!</v>
      </c>
      <c r="T64" s="188" t="e">
        <f t="shared" si="134"/>
        <v>#VALUE!</v>
      </c>
      <c r="U64" s="187" t="e">
        <f t="shared" si="122"/>
        <v>#VALUE!</v>
      </c>
    </row>
    <row r="65" spans="1:21">
      <c r="A65" s="169">
        <f>VLOOKUP(B65,Misc_inputs!$A$3:$B$33,2,0)</f>
        <v>3.143440902459993</v>
      </c>
      <c r="B65" s="168">
        <v>2023</v>
      </c>
      <c r="C65" s="169" t="s">
        <v>429</v>
      </c>
      <c r="D65" s="187" t="e">
        <f t="shared" si="135"/>
        <v>#VALUE!</v>
      </c>
      <c r="E65" s="188" t="e">
        <f t="shared" si="124"/>
        <v>#VALUE!</v>
      </c>
      <c r="F65" s="169" t="s">
        <v>429</v>
      </c>
      <c r="G65" s="187" t="e">
        <f t="shared" si="136"/>
        <v>#VALUE!</v>
      </c>
      <c r="H65" s="188" t="e">
        <f t="shared" si="126"/>
        <v>#VALUE!</v>
      </c>
      <c r="I65" s="169" t="s">
        <v>429</v>
      </c>
      <c r="J65" s="187" t="e">
        <f t="shared" si="137"/>
        <v>#VALUE!</v>
      </c>
      <c r="K65" s="188" t="e">
        <f t="shared" si="128"/>
        <v>#VALUE!</v>
      </c>
      <c r="L65" s="169" t="s">
        <v>429</v>
      </c>
      <c r="M65" s="187" t="e">
        <f t="shared" si="138"/>
        <v>#VALUE!</v>
      </c>
      <c r="N65" s="188" t="e">
        <f t="shared" si="130"/>
        <v>#VALUE!</v>
      </c>
      <c r="O65" s="169" t="s">
        <v>429</v>
      </c>
      <c r="P65" s="187" t="e">
        <f t="shared" si="139"/>
        <v>#VALUE!</v>
      </c>
      <c r="Q65" s="188" t="e">
        <f t="shared" si="132"/>
        <v>#VALUE!</v>
      </c>
      <c r="R65" s="169" t="s">
        <v>429</v>
      </c>
      <c r="S65" s="187" t="e">
        <f t="shared" si="140"/>
        <v>#VALUE!</v>
      </c>
      <c r="T65" s="188" t="e">
        <f t="shared" si="134"/>
        <v>#VALUE!</v>
      </c>
      <c r="U65" s="187" t="e">
        <f t="shared" si="122"/>
        <v>#VALUE!</v>
      </c>
    </row>
    <row r="66" spans="1:21">
      <c r="A66" s="169">
        <f>VLOOKUP(B66,Misc_inputs!$A$3:$B$33,2,0)</f>
        <v>1.8594732384912049</v>
      </c>
      <c r="B66" s="168">
        <v>2024</v>
      </c>
      <c r="C66" s="169" t="s">
        <v>429</v>
      </c>
      <c r="D66" s="187" t="e">
        <f t="shared" si="135"/>
        <v>#VALUE!</v>
      </c>
      <c r="E66" s="188" t="e">
        <f t="shared" si="124"/>
        <v>#VALUE!</v>
      </c>
      <c r="F66" s="169" t="s">
        <v>429</v>
      </c>
      <c r="G66" s="187" t="e">
        <f t="shared" si="136"/>
        <v>#VALUE!</v>
      </c>
      <c r="H66" s="188" t="e">
        <f t="shared" si="126"/>
        <v>#VALUE!</v>
      </c>
      <c r="I66" s="169" t="s">
        <v>429</v>
      </c>
      <c r="J66" s="187" t="e">
        <f t="shared" si="137"/>
        <v>#VALUE!</v>
      </c>
      <c r="K66" s="188" t="e">
        <f t="shared" si="128"/>
        <v>#VALUE!</v>
      </c>
      <c r="L66" s="169" t="s">
        <v>429</v>
      </c>
      <c r="M66" s="187" t="e">
        <f t="shared" si="138"/>
        <v>#VALUE!</v>
      </c>
      <c r="N66" s="188" t="e">
        <f t="shared" si="130"/>
        <v>#VALUE!</v>
      </c>
      <c r="O66" s="169" t="s">
        <v>429</v>
      </c>
      <c r="P66" s="187" t="e">
        <f t="shared" si="139"/>
        <v>#VALUE!</v>
      </c>
      <c r="Q66" s="188" t="e">
        <f t="shared" si="132"/>
        <v>#VALUE!</v>
      </c>
      <c r="R66" s="169" t="s">
        <v>429</v>
      </c>
      <c r="S66" s="187" t="e">
        <f t="shared" si="140"/>
        <v>#VALUE!</v>
      </c>
      <c r="T66" s="188" t="e">
        <f t="shared" si="134"/>
        <v>#VALUE!</v>
      </c>
      <c r="U66" s="187" t="e">
        <f t="shared" si="122"/>
        <v>#VALUE!</v>
      </c>
    </row>
    <row r="67" spans="1:21">
      <c r="A67" s="169">
        <f>VLOOKUP(B67,Misc_inputs!$A$3:$B$33,2,0)</f>
        <v>1.892198034308179</v>
      </c>
      <c r="B67" s="168">
        <v>2025</v>
      </c>
      <c r="C67" s="169" t="s">
        <v>429</v>
      </c>
      <c r="D67" s="187" t="e">
        <f t="shared" si="135"/>
        <v>#VALUE!</v>
      </c>
      <c r="E67" s="188" t="e">
        <f t="shared" si="124"/>
        <v>#VALUE!</v>
      </c>
      <c r="F67" s="169" t="s">
        <v>429</v>
      </c>
      <c r="G67" s="187" t="e">
        <f t="shared" si="136"/>
        <v>#VALUE!</v>
      </c>
      <c r="H67" s="188" t="e">
        <f t="shared" si="126"/>
        <v>#VALUE!</v>
      </c>
      <c r="I67" s="169" t="s">
        <v>429</v>
      </c>
      <c r="J67" s="187" t="e">
        <f t="shared" si="137"/>
        <v>#VALUE!</v>
      </c>
      <c r="K67" s="188" t="e">
        <f t="shared" si="128"/>
        <v>#VALUE!</v>
      </c>
      <c r="L67" s="169" t="s">
        <v>429</v>
      </c>
      <c r="M67" s="187" t="e">
        <f t="shared" si="138"/>
        <v>#VALUE!</v>
      </c>
      <c r="N67" s="188" t="e">
        <f t="shared" si="130"/>
        <v>#VALUE!</v>
      </c>
      <c r="O67" s="169" t="s">
        <v>429</v>
      </c>
      <c r="P67" s="187" t="e">
        <f t="shared" si="139"/>
        <v>#VALUE!</v>
      </c>
      <c r="Q67" s="188" t="e">
        <f t="shared" si="132"/>
        <v>#VALUE!</v>
      </c>
      <c r="R67" s="169" t="s">
        <v>429</v>
      </c>
      <c r="S67" s="187" t="e">
        <f t="shared" si="140"/>
        <v>#VALUE!</v>
      </c>
      <c r="T67" s="188" t="e">
        <f t="shared" si="134"/>
        <v>#VALUE!</v>
      </c>
      <c r="U67" s="187" t="e">
        <f t="shared" si="122"/>
        <v>#VALUE!</v>
      </c>
    </row>
    <row r="68" spans="1:21">
      <c r="A68" s="169">
        <f>VLOOKUP(B68,Misc_inputs!$A$3:$B$33,2,0)</f>
        <v>2.0003592159356653</v>
      </c>
      <c r="B68" s="168">
        <v>2026</v>
      </c>
      <c r="C68" s="169" t="s">
        <v>429</v>
      </c>
      <c r="D68" s="187" t="e">
        <f t="shared" si="135"/>
        <v>#VALUE!</v>
      </c>
      <c r="E68" s="188" t="e">
        <f t="shared" si="124"/>
        <v>#VALUE!</v>
      </c>
      <c r="F68" s="169" t="s">
        <v>429</v>
      </c>
      <c r="G68" s="187" t="e">
        <f t="shared" si="136"/>
        <v>#VALUE!</v>
      </c>
      <c r="H68" s="188" t="e">
        <f t="shared" si="126"/>
        <v>#VALUE!</v>
      </c>
      <c r="I68" s="169" t="s">
        <v>429</v>
      </c>
      <c r="J68" s="187" t="e">
        <f t="shared" si="137"/>
        <v>#VALUE!</v>
      </c>
      <c r="K68" s="188" t="e">
        <f t="shared" si="128"/>
        <v>#VALUE!</v>
      </c>
      <c r="L68" s="169" t="s">
        <v>429</v>
      </c>
      <c r="M68" s="187" t="e">
        <f t="shared" si="138"/>
        <v>#VALUE!</v>
      </c>
      <c r="N68" s="188" t="e">
        <f t="shared" si="130"/>
        <v>#VALUE!</v>
      </c>
      <c r="O68" s="169" t="s">
        <v>429</v>
      </c>
      <c r="P68" s="187" t="e">
        <f t="shared" si="139"/>
        <v>#VALUE!</v>
      </c>
      <c r="Q68" s="188" t="e">
        <f t="shared" si="132"/>
        <v>#VALUE!</v>
      </c>
      <c r="R68" s="169" t="s">
        <v>429</v>
      </c>
      <c r="S68" s="187" t="e">
        <f t="shared" si="140"/>
        <v>#VALUE!</v>
      </c>
      <c r="T68" s="188" t="e">
        <f t="shared" si="134"/>
        <v>#VALUE!</v>
      </c>
      <c r="U68" s="187" t="e">
        <f t="shared" si="122"/>
        <v>#VALUE!</v>
      </c>
    </row>
    <row r="69" spans="1:21">
      <c r="A69" s="169">
        <f>VLOOKUP(B69,Misc_inputs!$A$3:$B$33,2,0)</f>
        <v>0</v>
      </c>
      <c r="B69" s="168">
        <v>2027</v>
      </c>
      <c r="C69" s="169" t="s">
        <v>429</v>
      </c>
      <c r="D69" s="187" t="e">
        <f t="shared" si="135"/>
        <v>#VALUE!</v>
      </c>
      <c r="E69" s="188" t="e">
        <f t="shared" si="124"/>
        <v>#VALUE!</v>
      </c>
      <c r="F69" s="169" t="s">
        <v>429</v>
      </c>
      <c r="G69" s="187" t="e">
        <f t="shared" si="136"/>
        <v>#VALUE!</v>
      </c>
      <c r="H69" s="188" t="e">
        <f t="shared" si="126"/>
        <v>#VALUE!</v>
      </c>
      <c r="I69" s="169" t="s">
        <v>429</v>
      </c>
      <c r="J69" s="187" t="e">
        <f t="shared" si="137"/>
        <v>#VALUE!</v>
      </c>
      <c r="K69" s="188" t="e">
        <f t="shared" si="128"/>
        <v>#VALUE!</v>
      </c>
      <c r="L69" s="169" t="s">
        <v>429</v>
      </c>
      <c r="M69" s="187" t="e">
        <f t="shared" si="138"/>
        <v>#VALUE!</v>
      </c>
      <c r="N69" s="188" t="e">
        <f t="shared" si="130"/>
        <v>#VALUE!</v>
      </c>
      <c r="O69" s="169" t="s">
        <v>429</v>
      </c>
      <c r="P69" s="187" t="e">
        <f t="shared" si="139"/>
        <v>#VALUE!</v>
      </c>
      <c r="Q69" s="188" t="e">
        <f t="shared" si="132"/>
        <v>#VALUE!</v>
      </c>
      <c r="R69" s="169" t="s">
        <v>429</v>
      </c>
      <c r="S69" s="187" t="e">
        <f t="shared" si="140"/>
        <v>#VALUE!</v>
      </c>
      <c r="T69" s="188" t="e">
        <f t="shared" si="134"/>
        <v>#VALUE!</v>
      </c>
      <c r="U69" s="187" t="e">
        <f t="shared" si="122"/>
        <v>#VALUE!</v>
      </c>
    </row>
    <row r="70" spans="1:21">
      <c r="A70" s="169">
        <f>VLOOKUP(B70,Misc_inputs!$A$3:$B$33,2,0)</f>
        <v>0</v>
      </c>
      <c r="B70" s="168">
        <v>2028</v>
      </c>
      <c r="C70" s="169" t="s">
        <v>429</v>
      </c>
      <c r="D70" s="187" t="e">
        <f t="shared" si="135"/>
        <v>#VALUE!</v>
      </c>
      <c r="E70" s="188" t="e">
        <f t="shared" si="124"/>
        <v>#VALUE!</v>
      </c>
      <c r="F70" s="169" t="s">
        <v>429</v>
      </c>
      <c r="G70" s="187" t="e">
        <f t="shared" si="136"/>
        <v>#VALUE!</v>
      </c>
      <c r="H70" s="188" t="e">
        <f t="shared" si="126"/>
        <v>#VALUE!</v>
      </c>
      <c r="I70" s="169" t="s">
        <v>429</v>
      </c>
      <c r="J70" s="187" t="e">
        <f t="shared" si="137"/>
        <v>#VALUE!</v>
      </c>
      <c r="K70" s="188" t="e">
        <f t="shared" si="128"/>
        <v>#VALUE!</v>
      </c>
      <c r="L70" s="169" t="s">
        <v>429</v>
      </c>
      <c r="M70" s="187" t="e">
        <f t="shared" si="138"/>
        <v>#VALUE!</v>
      </c>
      <c r="N70" s="188" t="e">
        <f t="shared" si="130"/>
        <v>#VALUE!</v>
      </c>
      <c r="O70" s="169" t="s">
        <v>429</v>
      </c>
      <c r="P70" s="187" t="e">
        <f t="shared" si="139"/>
        <v>#VALUE!</v>
      </c>
      <c r="Q70" s="188" t="e">
        <f t="shared" si="132"/>
        <v>#VALUE!</v>
      </c>
      <c r="R70" s="169" t="s">
        <v>429</v>
      </c>
      <c r="S70" s="187" t="e">
        <f t="shared" si="140"/>
        <v>#VALUE!</v>
      </c>
      <c r="T70" s="188" t="e">
        <f t="shared" si="134"/>
        <v>#VALUE!</v>
      </c>
      <c r="U70" s="187" t="e">
        <f t="shared" si="122"/>
        <v>#VALUE!</v>
      </c>
    </row>
    <row r="71" spans="1:21">
      <c r="A71" s="169">
        <f>VLOOKUP(B71,Misc_inputs!$A$3:$B$33,2,0)</f>
        <v>0</v>
      </c>
      <c r="B71" s="168">
        <v>2029</v>
      </c>
      <c r="C71" s="169" t="s">
        <v>429</v>
      </c>
      <c r="D71" s="187" t="e">
        <f t="shared" si="135"/>
        <v>#VALUE!</v>
      </c>
      <c r="E71" s="188" t="e">
        <f t="shared" si="124"/>
        <v>#VALUE!</v>
      </c>
      <c r="F71" s="169" t="s">
        <v>429</v>
      </c>
      <c r="G71" s="187" t="e">
        <f t="shared" si="136"/>
        <v>#VALUE!</v>
      </c>
      <c r="H71" s="188" t="e">
        <f t="shared" si="126"/>
        <v>#VALUE!</v>
      </c>
      <c r="I71" s="169" t="s">
        <v>429</v>
      </c>
      <c r="J71" s="187" t="e">
        <f t="shared" si="137"/>
        <v>#VALUE!</v>
      </c>
      <c r="K71" s="188" t="e">
        <f t="shared" si="128"/>
        <v>#VALUE!</v>
      </c>
      <c r="L71" s="169" t="s">
        <v>429</v>
      </c>
      <c r="M71" s="187" t="e">
        <f t="shared" si="138"/>
        <v>#VALUE!</v>
      </c>
      <c r="N71" s="188" t="e">
        <f t="shared" si="130"/>
        <v>#VALUE!</v>
      </c>
      <c r="O71" s="169" t="s">
        <v>429</v>
      </c>
      <c r="P71" s="187" t="e">
        <f t="shared" si="139"/>
        <v>#VALUE!</v>
      </c>
      <c r="Q71" s="188" t="e">
        <f t="shared" si="132"/>
        <v>#VALUE!</v>
      </c>
      <c r="R71" s="169" t="s">
        <v>429</v>
      </c>
      <c r="S71" s="187" t="e">
        <f t="shared" si="140"/>
        <v>#VALUE!</v>
      </c>
      <c r="T71" s="188" t="e">
        <f t="shared" si="134"/>
        <v>#VALUE!</v>
      </c>
      <c r="U71" s="187" t="e">
        <f t="shared" si="122"/>
        <v>#VALUE!</v>
      </c>
    </row>
    <row r="72" spans="1:21">
      <c r="A72" s="169">
        <f>VLOOKUP(B72,Misc_inputs!$A$3:$B$33,2,0)</f>
        <v>0</v>
      </c>
      <c r="B72" s="168">
        <v>2030</v>
      </c>
      <c r="C72" s="169" t="s">
        <v>429</v>
      </c>
      <c r="D72" s="187" t="e">
        <f t="shared" si="135"/>
        <v>#VALUE!</v>
      </c>
      <c r="E72" s="188" t="e">
        <f t="shared" si="124"/>
        <v>#VALUE!</v>
      </c>
      <c r="F72" s="169" t="s">
        <v>429</v>
      </c>
      <c r="G72" s="187" t="e">
        <f t="shared" si="136"/>
        <v>#VALUE!</v>
      </c>
      <c r="H72" s="188" t="e">
        <f t="shared" si="126"/>
        <v>#VALUE!</v>
      </c>
      <c r="I72" s="169" t="s">
        <v>429</v>
      </c>
      <c r="J72" s="187" t="e">
        <f t="shared" si="137"/>
        <v>#VALUE!</v>
      </c>
      <c r="K72" s="188" t="e">
        <f t="shared" si="128"/>
        <v>#VALUE!</v>
      </c>
      <c r="L72" s="169" t="s">
        <v>429</v>
      </c>
      <c r="M72" s="187" t="e">
        <f t="shared" si="138"/>
        <v>#VALUE!</v>
      </c>
      <c r="N72" s="188" t="e">
        <f t="shared" si="130"/>
        <v>#VALUE!</v>
      </c>
      <c r="O72" s="169" t="s">
        <v>429</v>
      </c>
      <c r="P72" s="187" t="e">
        <f t="shared" si="139"/>
        <v>#VALUE!</v>
      </c>
      <c r="Q72" s="188" t="e">
        <f t="shared" si="132"/>
        <v>#VALUE!</v>
      </c>
      <c r="R72" s="169" t="s">
        <v>429</v>
      </c>
      <c r="S72" s="187" t="e">
        <f t="shared" si="140"/>
        <v>#VALUE!</v>
      </c>
      <c r="T72" s="188" t="e">
        <f t="shared" si="134"/>
        <v>#VALUE!</v>
      </c>
      <c r="U72" s="187" t="e">
        <f t="shared" si="122"/>
        <v>#VALUE!</v>
      </c>
    </row>
    <row r="75" spans="1:21" s="222" customFormat="1">
      <c r="A75" s="222" t="s">
        <v>697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4">
    <tabColor rgb="FF0070C0"/>
  </sheetPr>
  <dimension ref="A1:AV77"/>
  <sheetViews>
    <sheetView workbookViewId="0"/>
  </sheetViews>
  <sheetFormatPr defaultColWidth="10.921875" defaultRowHeight="15.5"/>
  <cols>
    <col min="1" max="1" width="11" style="169" bestFit="1" customWidth="1"/>
    <col min="2" max="2" width="11" style="168" bestFit="1" customWidth="1"/>
    <col min="3" max="3" width="13.15234375" style="168" customWidth="1"/>
    <col min="4" max="4" width="11" style="168" bestFit="1" customWidth="1"/>
    <col min="5" max="5" width="13.15234375" style="193" customWidth="1"/>
    <col min="6" max="6" width="12.921875" style="168" customWidth="1"/>
    <col min="7" max="7" width="11.4609375" style="168" customWidth="1"/>
    <col min="8" max="8" width="14.23046875" style="193" customWidth="1"/>
    <col min="9" max="10" width="11" style="168" bestFit="1" customWidth="1"/>
    <col min="11" max="11" width="11" style="193" bestFit="1" customWidth="1"/>
    <col min="12" max="13" width="11" style="168" bestFit="1" customWidth="1"/>
    <col min="14" max="14" width="11" style="193" bestFit="1" customWidth="1"/>
    <col min="15" max="16" width="11" style="168" bestFit="1" customWidth="1"/>
    <col min="17" max="17" width="11" style="193" bestFit="1" customWidth="1"/>
    <col min="18" max="18" width="13.69140625" style="168" customWidth="1"/>
    <col min="19" max="19" width="11" style="168" bestFit="1" customWidth="1"/>
    <col min="20" max="20" width="11.4609375" style="193" customWidth="1"/>
    <col min="21" max="22" width="11" style="168" bestFit="1" customWidth="1"/>
    <col min="23" max="23" width="11" style="193" bestFit="1" customWidth="1"/>
    <col min="24" max="24" width="14.4609375" style="168" customWidth="1"/>
    <col min="25" max="25" width="11" style="168" bestFit="1" customWidth="1"/>
    <col min="26" max="26" width="11" style="193" bestFit="1" customWidth="1"/>
    <col min="27" max="28" width="11" style="168" bestFit="1" customWidth="1"/>
    <col min="29" max="29" width="11" style="193" bestFit="1" customWidth="1"/>
    <col min="30" max="31" width="11" style="168" bestFit="1" customWidth="1"/>
    <col min="32" max="32" width="11" style="193" bestFit="1" customWidth="1"/>
    <col min="33" max="34" width="11" style="168" bestFit="1" customWidth="1"/>
    <col min="35" max="35" width="11" style="193" bestFit="1" customWidth="1"/>
    <col min="36" max="37" width="11" style="168" bestFit="1" customWidth="1"/>
    <col min="38" max="38" width="11" style="193" bestFit="1" customWidth="1"/>
    <col min="39" max="40" width="11" style="168" bestFit="1" customWidth="1"/>
    <col min="41" max="41" width="11" style="193" bestFit="1" customWidth="1"/>
    <col min="42" max="43" width="11" style="168" bestFit="1" customWidth="1"/>
    <col min="44" max="44" width="11" style="193" bestFit="1" customWidth="1"/>
    <col min="45" max="45" width="11.84375" style="168" bestFit="1" customWidth="1"/>
    <col min="46" max="46" width="10.921875" style="168"/>
    <col min="47" max="47" width="10.921875" style="193"/>
    <col min="48" max="48" width="15.4609375" style="168" customWidth="1"/>
    <col min="49" max="16384" width="10.921875" style="169"/>
  </cols>
  <sheetData>
    <row r="1" spans="1:48" s="182" customFormat="1" ht="37.5" customHeight="1">
      <c r="A1" s="179" t="str">
        <f>Cost_of_crime_Raw_data!D40</f>
        <v>Lost Output (LO)</v>
      </c>
      <c r="B1" s="180"/>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row>
    <row r="2" spans="1:48" s="182" customFormat="1" ht="37.5" customHeight="1">
      <c r="A2" s="183" t="s">
        <v>574</v>
      </c>
      <c r="B2" s="180"/>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row>
    <row r="3" spans="1:48" s="173" customFormat="1" ht="62">
      <c r="A3" s="173" t="s">
        <v>539</v>
      </c>
      <c r="B3" s="172" t="s">
        <v>342</v>
      </c>
      <c r="C3" s="184" t="s">
        <v>290</v>
      </c>
      <c r="D3" s="184" t="s">
        <v>540</v>
      </c>
      <c r="E3" s="185" t="s">
        <v>541</v>
      </c>
      <c r="F3" s="184" t="s">
        <v>542</v>
      </c>
      <c r="G3" s="184" t="s">
        <v>540</v>
      </c>
      <c r="H3" s="185" t="s">
        <v>541</v>
      </c>
      <c r="I3" s="184" t="s">
        <v>543</v>
      </c>
      <c r="J3" s="184" t="s">
        <v>540</v>
      </c>
      <c r="K3" s="185" t="s">
        <v>541</v>
      </c>
      <c r="L3" s="184" t="s">
        <v>544</v>
      </c>
      <c r="M3" s="184" t="s">
        <v>540</v>
      </c>
      <c r="N3" s="185" t="s">
        <v>541</v>
      </c>
      <c r="O3" s="184" t="s">
        <v>545</v>
      </c>
      <c r="P3" s="184" t="s">
        <v>540</v>
      </c>
      <c r="Q3" s="185" t="s">
        <v>541</v>
      </c>
      <c r="R3" s="184" t="s">
        <v>292</v>
      </c>
      <c r="S3" s="184" t="s">
        <v>540</v>
      </c>
      <c r="T3" s="185" t="s">
        <v>541</v>
      </c>
      <c r="U3" s="184" t="s">
        <v>546</v>
      </c>
      <c r="V3" s="184" t="s">
        <v>540</v>
      </c>
      <c r="W3" s="185" t="s">
        <v>541</v>
      </c>
      <c r="X3" s="184" t="s">
        <v>547</v>
      </c>
      <c r="Y3" s="184" t="s">
        <v>540</v>
      </c>
      <c r="Z3" s="185" t="s">
        <v>541</v>
      </c>
      <c r="AA3" s="184" t="s">
        <v>548</v>
      </c>
      <c r="AB3" s="184" t="s">
        <v>540</v>
      </c>
      <c r="AC3" s="185" t="s">
        <v>541</v>
      </c>
      <c r="AD3" s="184" t="s">
        <v>549</v>
      </c>
      <c r="AE3" s="184" t="s">
        <v>540</v>
      </c>
      <c r="AF3" s="185" t="s">
        <v>541</v>
      </c>
      <c r="AG3" s="184" t="s">
        <v>550</v>
      </c>
      <c r="AH3" s="184" t="s">
        <v>540</v>
      </c>
      <c r="AI3" s="185" t="s">
        <v>541</v>
      </c>
      <c r="AJ3" s="184" t="s">
        <v>551</v>
      </c>
      <c r="AK3" s="184" t="s">
        <v>540</v>
      </c>
      <c r="AL3" s="185" t="s">
        <v>541</v>
      </c>
      <c r="AM3" s="184" t="s">
        <v>424</v>
      </c>
      <c r="AN3" s="184" t="s">
        <v>540</v>
      </c>
      <c r="AO3" s="185" t="s">
        <v>541</v>
      </c>
      <c r="AP3" s="184" t="s">
        <v>552</v>
      </c>
      <c r="AQ3" s="184" t="s">
        <v>540</v>
      </c>
      <c r="AR3" s="185" t="s">
        <v>541</v>
      </c>
      <c r="AS3" s="184" t="s">
        <v>425</v>
      </c>
    </row>
    <row r="4" spans="1:48">
      <c r="B4" s="168">
        <v>2015</v>
      </c>
      <c r="C4" s="186">
        <f>IF(Cost_of_crime_Raw_data!D43="not estimated","0",IF(Cost_of_crime_Raw_data!D43="N/A","0",Cost_of_crime_Raw_data!D43))</f>
        <v>254710</v>
      </c>
      <c r="D4" s="187">
        <f>C4*$A4/100</f>
        <v>0</v>
      </c>
      <c r="E4" s="188">
        <f>C4+D4</f>
        <v>254710</v>
      </c>
      <c r="F4" s="186">
        <f>IF(Cost_of_crime_Raw_data!D44="not estimated","0",IF(Cost_of_crime_Raw_data!D44="N/A","0",Cost_of_crime_Raw_data!D44))</f>
        <v>2060</v>
      </c>
      <c r="G4" s="187">
        <f>F4*$A4/100</f>
        <v>0</v>
      </c>
      <c r="H4" s="188">
        <f>F4+G4</f>
        <v>2060</v>
      </c>
      <c r="I4" s="186">
        <f>IF(Cost_of_crime_Raw_data!D45="not estimated","0",IF(Cost_of_crime_Raw_data!D45="N/A","0",Cost_of_crime_Raw_data!D45))</f>
        <v>670</v>
      </c>
      <c r="J4" s="187">
        <f>I4*$A4/100</f>
        <v>0</v>
      </c>
      <c r="K4" s="188">
        <f>I4+J4</f>
        <v>670</v>
      </c>
      <c r="L4" s="186">
        <f>IF(Cost_of_crime_Raw_data!D46="not estimated","0",IF(Cost_of_crime_Raw_data!D46="N/A","0",Cost_of_crime_Raw_data!D46))</f>
        <v>5900</v>
      </c>
      <c r="M4" s="187">
        <f>L4*$A4/100</f>
        <v>0</v>
      </c>
      <c r="N4" s="188">
        <f>L4+M4</f>
        <v>5900</v>
      </c>
      <c r="O4" s="186">
        <f>IF(Cost_of_crime_Raw_data!D47="not estimated","0",IF(Cost_of_crime_Raw_data!D47="N/A","0",Cost_of_crime_Raw_data!D47))</f>
        <v>1120</v>
      </c>
      <c r="P4" s="187">
        <f>O4*$A4/100</f>
        <v>0</v>
      </c>
      <c r="Q4" s="188">
        <f>O4+P4</f>
        <v>1120</v>
      </c>
      <c r="R4" s="186">
        <f>IF(Cost_of_crime_Raw_data!D48="not estimated","0",IF(Cost_of_crime_Raw_data!D48="N/A","0",Cost_of_crime_Raw_data!D48))</f>
        <v>920</v>
      </c>
      <c r="S4" s="187">
        <f>R4*$A4/100</f>
        <v>0</v>
      </c>
      <c r="T4" s="188">
        <f>R4+S4</f>
        <v>920</v>
      </c>
      <c r="U4" s="186">
        <f>IF(Cost_of_crime_Raw_data!D49="not estimated","0",IF(Cost_of_crime_Raw_data!D49="N/A","0",Cost_of_crime_Raw_data!D49))</f>
        <v>440</v>
      </c>
      <c r="V4" s="187">
        <f>U4*$A4/100</f>
        <v>0</v>
      </c>
      <c r="W4" s="188">
        <f>U4+V4</f>
        <v>440</v>
      </c>
      <c r="X4" s="186">
        <f>Cost_of_crime_Raw_data!D50</f>
        <v>150</v>
      </c>
      <c r="Y4" s="187">
        <f>X4*$A4/100</f>
        <v>0</v>
      </c>
      <c r="Z4" s="188">
        <f>X4+Y4</f>
        <v>150</v>
      </c>
      <c r="AA4" s="186">
        <f>Cost_of_crime_Raw_data!D51</f>
        <v>60</v>
      </c>
      <c r="AB4" s="187">
        <f>AA4*$A4/100</f>
        <v>0</v>
      </c>
      <c r="AC4" s="188">
        <f>AA4+AB4</f>
        <v>60</v>
      </c>
      <c r="AD4" s="186">
        <f>Cost_of_crime_Raw_data!D52</f>
        <v>120</v>
      </c>
      <c r="AE4" s="187">
        <f>AD4*$A4/100</f>
        <v>0</v>
      </c>
      <c r="AF4" s="188">
        <f>AD4+AE4</f>
        <v>120</v>
      </c>
      <c r="AG4" s="186">
        <f>Cost_of_crime_Raw_data!D53</f>
        <v>340</v>
      </c>
      <c r="AH4" s="187">
        <f>AG4*$A4/100</f>
        <v>0</v>
      </c>
      <c r="AI4" s="188">
        <f>AG4+AH4</f>
        <v>340</v>
      </c>
      <c r="AJ4" s="186">
        <f>Cost_of_crime_Raw_data!D54</f>
        <v>80</v>
      </c>
      <c r="AK4" s="187">
        <f>AJ4*$A4/100</f>
        <v>0</v>
      </c>
      <c r="AL4" s="188">
        <f>AJ4+AK4</f>
        <v>80</v>
      </c>
      <c r="AM4" s="186">
        <f>IF(Cost_of_crime_Raw_data!D55="not estimated","0",IF(Cost_of_crime_Raw_data!D55="N/A","0",Cost_of_crime_Raw_data!D55))</f>
        <v>60</v>
      </c>
      <c r="AN4" s="187">
        <f>AM4*$A4/100</f>
        <v>0</v>
      </c>
      <c r="AO4" s="188">
        <f>AM4+AN4</f>
        <v>60</v>
      </c>
      <c r="AP4" s="186">
        <f>IF(Cost_of_crime_Raw_data!D56="not estimated","0",IF(Cost_of_crime_Raw_data!D56="N/A","0",Cost_of_crime_Raw_data!D56))</f>
        <v>50</v>
      </c>
      <c r="AQ4" s="187">
        <f>AP4*$A4/100</f>
        <v>0</v>
      </c>
      <c r="AR4" s="188">
        <f>AP4+AQ4</f>
        <v>50</v>
      </c>
      <c r="AS4" s="186">
        <f>SUM(C4,I4,L4,O4,R4,U4,X4,AD4,AG4,AJ4,AM4,AP4)</f>
        <v>264560</v>
      </c>
      <c r="AT4" s="169"/>
      <c r="AU4" s="169"/>
      <c r="AV4" s="169"/>
    </row>
    <row r="5" spans="1:48">
      <c r="A5" s="169">
        <f>VLOOKUP(B5,Misc_inputs!$A$3:$B$33,2,0)</f>
        <v>1.8963035451147277</v>
      </c>
      <c r="B5" s="168">
        <v>2016</v>
      </c>
      <c r="C5" s="187">
        <f>E4</f>
        <v>254710</v>
      </c>
      <c r="D5" s="187">
        <f t="shared" ref="D5" si="0">C5*$A5/100</f>
        <v>4830.0747597617228</v>
      </c>
      <c r="E5" s="188">
        <f t="shared" ref="E5" si="1">C5+D5</f>
        <v>259540.07475976172</v>
      </c>
      <c r="F5" s="187">
        <f>H4</f>
        <v>2060</v>
      </c>
      <c r="G5" s="187">
        <f t="shared" ref="G5" si="2">F5*$A5/100</f>
        <v>39.063853029363393</v>
      </c>
      <c r="H5" s="188">
        <f t="shared" ref="H5" si="3">F5+G5</f>
        <v>2099.0638530293636</v>
      </c>
      <c r="I5" s="187">
        <f>K4</f>
        <v>670</v>
      </c>
      <c r="J5" s="187">
        <f t="shared" ref="J5" si="4">I5*$A5/100</f>
        <v>12.705233752268676</v>
      </c>
      <c r="K5" s="188">
        <f t="shared" ref="K5" si="5">I5+J5</f>
        <v>682.70523375226867</v>
      </c>
      <c r="L5" s="187">
        <f>N4</f>
        <v>5900</v>
      </c>
      <c r="M5" s="187">
        <f t="shared" ref="M5" si="6">L5*$A5/100</f>
        <v>111.88190916176893</v>
      </c>
      <c r="N5" s="188">
        <f t="shared" ref="N5" si="7">L5+M5</f>
        <v>6011.8819091617688</v>
      </c>
      <c r="O5" s="187">
        <f>Q4</f>
        <v>1120</v>
      </c>
      <c r="P5" s="187">
        <f t="shared" ref="P5" si="8">O5*$A5/100</f>
        <v>21.238599705284951</v>
      </c>
      <c r="Q5" s="188">
        <f t="shared" ref="Q5" si="9">O5+P5</f>
        <v>1141.238599705285</v>
      </c>
      <c r="R5" s="187">
        <f>T4</f>
        <v>920</v>
      </c>
      <c r="S5" s="187">
        <f t="shared" ref="S5" si="10">R5*$A5/100</f>
        <v>17.445992615055495</v>
      </c>
      <c r="T5" s="188">
        <f t="shared" ref="T5" si="11">R5+S5</f>
        <v>937.4459926150555</v>
      </c>
      <c r="U5" s="187">
        <f>W4</f>
        <v>440</v>
      </c>
      <c r="V5" s="187">
        <f t="shared" ref="V5" si="12">U5*$A5/100</f>
        <v>8.3437355985048018</v>
      </c>
      <c r="W5" s="188">
        <f t="shared" ref="W5" si="13">U5+V5</f>
        <v>448.34373559850479</v>
      </c>
      <c r="X5" s="187">
        <f>Z4</f>
        <v>150</v>
      </c>
      <c r="Y5" s="187">
        <f t="shared" ref="Y5" si="14">X5*$A5/100</f>
        <v>2.8444553176720917</v>
      </c>
      <c r="Z5" s="188">
        <f t="shared" ref="Z5" si="15">X5+Y5</f>
        <v>152.8444553176721</v>
      </c>
      <c r="AA5" s="187">
        <f>AC4</f>
        <v>60</v>
      </c>
      <c r="AB5" s="187">
        <f t="shared" ref="AB5" si="16">AA5*$A5/100</f>
        <v>1.1377821270688366</v>
      </c>
      <c r="AC5" s="188">
        <f t="shared" ref="AC5" si="17">AA5+AB5</f>
        <v>61.137782127068839</v>
      </c>
      <c r="AD5" s="187">
        <f>AF4</f>
        <v>120</v>
      </c>
      <c r="AE5" s="187">
        <f t="shared" ref="AE5" si="18">AD5*$A5/100</f>
        <v>2.2755642541376733</v>
      </c>
      <c r="AF5" s="188">
        <f t="shared" ref="AF5" si="19">AD5+AE5</f>
        <v>122.27556425413768</v>
      </c>
      <c r="AG5" s="187">
        <f>AI4</f>
        <v>340</v>
      </c>
      <c r="AH5" s="187">
        <f t="shared" ref="AH5" si="20">AG5*$A5/100</f>
        <v>6.4474320533900746</v>
      </c>
      <c r="AI5" s="188">
        <f t="shared" ref="AI5" si="21">AG5+AH5</f>
        <v>346.44743205339006</v>
      </c>
      <c r="AJ5" s="187">
        <f>AL4</f>
        <v>80</v>
      </c>
      <c r="AK5" s="187">
        <f t="shared" ref="AK5" si="22">AJ5*$A5/100</f>
        <v>1.5170428360917823</v>
      </c>
      <c r="AL5" s="188">
        <f t="shared" ref="AL5" si="23">AJ5+AK5</f>
        <v>81.517042836091775</v>
      </c>
      <c r="AM5" s="187">
        <f>AO4</f>
        <v>60</v>
      </c>
      <c r="AN5" s="187">
        <f t="shared" ref="AN5" si="24">AM5*$A5/100</f>
        <v>1.1377821270688366</v>
      </c>
      <c r="AO5" s="188">
        <f t="shared" ref="AO5" si="25">AM5+AN5</f>
        <v>61.137782127068839</v>
      </c>
      <c r="AP5" s="187">
        <f>AR4</f>
        <v>50</v>
      </c>
      <c r="AQ5" s="187">
        <f t="shared" ref="AQ5" si="26">AP5*$A5/100</f>
        <v>0.94815177255736383</v>
      </c>
      <c r="AR5" s="188">
        <f t="shared" ref="AR5" si="27">AP5+AQ5</f>
        <v>50.948151772557367</v>
      </c>
      <c r="AS5" s="186">
        <f t="shared" ref="AS5" si="28">SUM(C5,I5,L5,O5,R5,U5,X5,AD5,AG5,AJ5,AM5,AP5)</f>
        <v>264560</v>
      </c>
      <c r="AT5" s="187"/>
      <c r="AU5" s="169"/>
      <c r="AV5" s="169"/>
    </row>
    <row r="6" spans="1:48">
      <c r="A6" s="169">
        <f>VLOOKUP(B6,Misc_inputs!$A$3:$B$33,2,0)</f>
        <v>1.8209228570152332</v>
      </c>
      <c r="B6" s="168">
        <v>2017</v>
      </c>
      <c r="C6" s="187">
        <f t="shared" ref="C6:C19" si="29">E5</f>
        <v>259540.07475976172</v>
      </c>
      <c r="D6" s="187">
        <f t="shared" ref="D6:D19" si="30">C6*$A6/100</f>
        <v>4726.024544414925</v>
      </c>
      <c r="E6" s="188">
        <f t="shared" ref="E6:E19" si="31">C6+D6</f>
        <v>264266.09930417663</v>
      </c>
      <c r="F6" s="187">
        <f t="shared" ref="F6:F19" si="32">H5</f>
        <v>2099.0638530293636</v>
      </c>
      <c r="G6" s="187">
        <f t="shared" ref="G6:G7" si="33">F6*$A6/100</f>
        <v>38.222333483156319</v>
      </c>
      <c r="H6" s="188">
        <f t="shared" ref="H6:H19" si="34">F6+G6</f>
        <v>2137.2861865125201</v>
      </c>
      <c r="I6" s="187">
        <f t="shared" ref="I6:I19" si="35">K5</f>
        <v>682.70523375226867</v>
      </c>
      <c r="J6" s="187">
        <f t="shared" ref="J6:J7" si="36">I6*$A6/100</f>
        <v>12.431535647434337</v>
      </c>
      <c r="K6" s="188">
        <f t="shared" ref="K6:K19" si="37">I6+J6</f>
        <v>695.13676939970298</v>
      </c>
      <c r="L6" s="187">
        <f t="shared" ref="L6:L19" si="38">N5</f>
        <v>6011.8819091617688</v>
      </c>
      <c r="M6" s="187">
        <f t="shared" ref="M6:M7" si="39">L6*$A6/100</f>
        <v>109.47173182069042</v>
      </c>
      <c r="N6" s="188">
        <f t="shared" ref="N6:N19" si="40">L6+M6</f>
        <v>6121.3536409824592</v>
      </c>
      <c r="O6" s="187">
        <f t="shared" ref="O6:O19" si="41">Q5</f>
        <v>1141.238599705285</v>
      </c>
      <c r="P6" s="187">
        <f t="shared" ref="P6:P7" si="42">O6*$A6/100</f>
        <v>20.781074515114113</v>
      </c>
      <c r="Q6" s="188">
        <f t="shared" ref="Q6:Q19" si="43">O6+P6</f>
        <v>1162.0196742203991</v>
      </c>
      <c r="R6" s="187">
        <f t="shared" ref="R6:R19" si="44">T5</f>
        <v>937.4459926150555</v>
      </c>
      <c r="S6" s="187">
        <f t="shared" ref="S6:S7" si="45">R6*$A6/100</f>
        <v>17.070168351700879</v>
      </c>
      <c r="T6" s="188">
        <f t="shared" ref="T6:T19" si="46">R6+S6</f>
        <v>954.51616096675639</v>
      </c>
      <c r="U6" s="187">
        <f t="shared" ref="U6:U19" si="47">W5</f>
        <v>448.34373559850479</v>
      </c>
      <c r="V6" s="187">
        <f t="shared" ref="V6:V7" si="48">U6*$A6/100</f>
        <v>8.163993559509116</v>
      </c>
      <c r="W6" s="188">
        <f t="shared" ref="W6:W19" si="49">U6+V6</f>
        <v>456.50772915801389</v>
      </c>
      <c r="X6" s="187">
        <f t="shared" ref="X6:X19" si="50">Z5</f>
        <v>152.8444553176721</v>
      </c>
      <c r="Y6" s="187">
        <f t="shared" ref="Y6:Y7" si="51">X6*$A6/100</f>
        <v>2.7831796225599263</v>
      </c>
      <c r="Z6" s="188">
        <f t="shared" ref="Z6:Z19" si="52">X6+Y6</f>
        <v>155.62763494023201</v>
      </c>
      <c r="AA6" s="187">
        <f t="shared" ref="AA6:AA19" si="53">AC5</f>
        <v>61.137782127068839</v>
      </c>
      <c r="AB6" s="187">
        <f t="shared" ref="AB6:AB7" si="54">AA6*$A6/100</f>
        <v>1.1132718490239706</v>
      </c>
      <c r="AC6" s="188">
        <f t="shared" ref="AC6:AC19" si="55">AA6+AB6</f>
        <v>62.251053976092813</v>
      </c>
      <c r="AD6" s="187">
        <f t="shared" ref="AD6:AD19" si="56">AF5</f>
        <v>122.27556425413768</v>
      </c>
      <c r="AE6" s="187">
        <f t="shared" ref="AE6:AE7" si="57">AD6*$A6/100</f>
        <v>2.2265436980479412</v>
      </c>
      <c r="AF6" s="188">
        <f t="shared" ref="AF6:AF19" si="58">AD6+AE6</f>
        <v>124.50210795218563</v>
      </c>
      <c r="AG6" s="187">
        <f t="shared" ref="AG6:AG19" si="59">AI5</f>
        <v>346.44743205339006</v>
      </c>
      <c r="AH6" s="187">
        <f t="shared" ref="AH6:AH7" si="60">AG6*$A6/100</f>
        <v>6.3085404778024987</v>
      </c>
      <c r="AI6" s="188">
        <f t="shared" ref="AI6:AI19" si="61">AG6+AH6</f>
        <v>352.75597253119258</v>
      </c>
      <c r="AJ6" s="187">
        <f t="shared" ref="AJ6:AJ19" si="62">AL5</f>
        <v>81.517042836091775</v>
      </c>
      <c r="AK6" s="187">
        <f t="shared" ref="AK6:AK7" si="63">AJ6*$A6/100</f>
        <v>1.4843624653652938</v>
      </c>
      <c r="AL6" s="188">
        <f t="shared" ref="AL6:AL19" si="64">AJ6+AK6</f>
        <v>83.001405301457069</v>
      </c>
      <c r="AM6" s="187">
        <f t="shared" ref="AM6:AM19" si="65">AO5</f>
        <v>61.137782127068839</v>
      </c>
      <c r="AN6" s="187">
        <f t="shared" ref="AN6:AN7" si="66">AM6*$A6/100</f>
        <v>1.1132718490239706</v>
      </c>
      <c r="AO6" s="188">
        <f t="shared" ref="AO6:AO19" si="67">AM6+AN6</f>
        <v>62.251053976092813</v>
      </c>
      <c r="AP6" s="187">
        <f t="shared" ref="AP6:AP19" si="68">AR5</f>
        <v>50.948151772557367</v>
      </c>
      <c r="AQ6" s="187">
        <f t="shared" ref="AQ6:AQ7" si="69">AP6*$A6/100</f>
        <v>0.92772654085330875</v>
      </c>
      <c r="AR6" s="188">
        <f t="shared" ref="AR6:AR19" si="70">AP6+AQ6</f>
        <v>51.875878313410674</v>
      </c>
      <c r="AS6" s="186">
        <f t="shared" ref="AS6:AS19" si="71">SUM(C6,I6,L6,O6,R6,U6,X6,AD6,AG6,AJ6,AM6,AP6)</f>
        <v>269576.86065895553</v>
      </c>
      <c r="AT6" s="187"/>
      <c r="AU6" s="169"/>
      <c r="AV6" s="169"/>
    </row>
    <row r="7" spans="1:48">
      <c r="A7" s="169">
        <f>VLOOKUP(B7,Misc_inputs!$A$3:$B$33,2,0)</f>
        <v>1.9988242855231282</v>
      </c>
      <c r="B7" s="168">
        <v>2018</v>
      </c>
      <c r="C7" s="187">
        <f t="shared" si="29"/>
        <v>264266.09930417663</v>
      </c>
      <c r="D7" s="187">
        <f t="shared" si="30"/>
        <v>5282.2149712965484</v>
      </c>
      <c r="E7" s="188">
        <f t="shared" si="31"/>
        <v>269548.31427547318</v>
      </c>
      <c r="F7" s="187">
        <f t="shared" si="32"/>
        <v>2137.2861865125201</v>
      </c>
      <c r="G7" s="187">
        <f t="shared" si="33"/>
        <v>42.720595347143387</v>
      </c>
      <c r="H7" s="188">
        <f t="shared" si="34"/>
        <v>2180.0067818596635</v>
      </c>
      <c r="I7" s="187">
        <f t="shared" si="35"/>
        <v>695.13676939970298</v>
      </c>
      <c r="J7" s="187">
        <f t="shared" si="36"/>
        <v>13.894562564362168</v>
      </c>
      <c r="K7" s="188">
        <f t="shared" si="37"/>
        <v>709.0313319640652</v>
      </c>
      <c r="L7" s="187">
        <f t="shared" si="38"/>
        <v>6121.3536409824592</v>
      </c>
      <c r="M7" s="187">
        <f t="shared" si="39"/>
        <v>122.35510317871163</v>
      </c>
      <c r="N7" s="188">
        <f t="shared" si="40"/>
        <v>6243.7087441611711</v>
      </c>
      <c r="O7" s="187">
        <f t="shared" si="41"/>
        <v>1162.0196742203991</v>
      </c>
      <c r="P7" s="187">
        <f t="shared" si="42"/>
        <v>23.226731450874077</v>
      </c>
      <c r="Q7" s="188">
        <f t="shared" si="43"/>
        <v>1185.2464056712731</v>
      </c>
      <c r="R7" s="187">
        <f t="shared" si="44"/>
        <v>954.51616096675639</v>
      </c>
      <c r="S7" s="187">
        <f t="shared" si="45"/>
        <v>19.07910083464656</v>
      </c>
      <c r="T7" s="188">
        <f t="shared" si="46"/>
        <v>973.5952618014029</v>
      </c>
      <c r="U7" s="187">
        <f t="shared" si="47"/>
        <v>456.50772915801389</v>
      </c>
      <c r="V7" s="187">
        <f t="shared" si="48"/>
        <v>9.1247873557005281</v>
      </c>
      <c r="W7" s="188">
        <f t="shared" si="49"/>
        <v>465.63251651371439</v>
      </c>
      <c r="X7" s="187">
        <f t="shared" si="50"/>
        <v>155.62763494023201</v>
      </c>
      <c r="Y7" s="187">
        <f t="shared" si="51"/>
        <v>3.1107229621706347</v>
      </c>
      <c r="Z7" s="188">
        <f t="shared" si="52"/>
        <v>158.73835790240264</v>
      </c>
      <c r="AA7" s="187">
        <f t="shared" si="53"/>
        <v>62.251053976092813</v>
      </c>
      <c r="AB7" s="187">
        <f t="shared" si="54"/>
        <v>1.244289184868254</v>
      </c>
      <c r="AC7" s="188">
        <f t="shared" si="55"/>
        <v>63.495343160961063</v>
      </c>
      <c r="AD7" s="187">
        <f t="shared" si="56"/>
        <v>124.50210795218563</v>
      </c>
      <c r="AE7" s="187">
        <f t="shared" si="57"/>
        <v>2.488578369736508</v>
      </c>
      <c r="AF7" s="188">
        <f t="shared" si="58"/>
        <v>126.99068632192213</v>
      </c>
      <c r="AG7" s="187">
        <f t="shared" si="59"/>
        <v>352.75597253119258</v>
      </c>
      <c r="AH7" s="187">
        <f t="shared" si="60"/>
        <v>7.0509720475867717</v>
      </c>
      <c r="AI7" s="188">
        <f t="shared" si="61"/>
        <v>359.80694457877934</v>
      </c>
      <c r="AJ7" s="187">
        <f t="shared" si="62"/>
        <v>83.001405301457069</v>
      </c>
      <c r="AK7" s="187">
        <f t="shared" si="63"/>
        <v>1.6590522464910051</v>
      </c>
      <c r="AL7" s="188">
        <f t="shared" si="64"/>
        <v>84.66045754794807</v>
      </c>
      <c r="AM7" s="187">
        <f t="shared" si="65"/>
        <v>62.251053976092813</v>
      </c>
      <c r="AN7" s="187">
        <f t="shared" si="66"/>
        <v>1.244289184868254</v>
      </c>
      <c r="AO7" s="188">
        <f t="shared" si="67"/>
        <v>63.495343160961063</v>
      </c>
      <c r="AP7" s="187">
        <f t="shared" si="68"/>
        <v>51.875878313410674</v>
      </c>
      <c r="AQ7" s="187">
        <f t="shared" si="69"/>
        <v>1.0369076540568782</v>
      </c>
      <c r="AR7" s="188">
        <f t="shared" si="70"/>
        <v>52.912785967467549</v>
      </c>
      <c r="AS7" s="186">
        <f t="shared" si="71"/>
        <v>274485.64733191853</v>
      </c>
      <c r="AT7" s="187"/>
      <c r="AU7" s="169"/>
      <c r="AV7" s="169"/>
    </row>
    <row r="8" spans="1:48">
      <c r="A8" s="169">
        <f>VLOOKUP(B8,Misc_inputs!$A$3:$B$33,2,0)</f>
        <v>2.0163202370724722</v>
      </c>
      <c r="B8" s="168">
        <v>2019</v>
      </c>
      <c r="C8" s="187">
        <f t="shared" si="29"/>
        <v>269548.31427547318</v>
      </c>
      <c r="D8" s="187">
        <f>C8*$A8/100</f>
        <v>5434.9572094240739</v>
      </c>
      <c r="E8" s="188">
        <f t="shared" si="31"/>
        <v>274983.27148489724</v>
      </c>
      <c r="F8" s="187">
        <f t="shared" si="32"/>
        <v>2180.0067818596635</v>
      </c>
      <c r="G8" s="187">
        <f>F8*$A8/100</f>
        <v>43.955917912188745</v>
      </c>
      <c r="H8" s="188">
        <f t="shared" si="34"/>
        <v>2223.9626997718524</v>
      </c>
      <c r="I8" s="187">
        <f t="shared" si="35"/>
        <v>709.0313319640652</v>
      </c>
      <c r="J8" s="187">
        <f>I8*$A8/100</f>
        <v>14.296342233575947</v>
      </c>
      <c r="K8" s="188">
        <f t="shared" si="37"/>
        <v>723.32767419764116</v>
      </c>
      <c r="L8" s="187">
        <f t="shared" si="38"/>
        <v>6243.7087441611711</v>
      </c>
      <c r="M8" s="187">
        <f>L8*$A8/100</f>
        <v>125.89316295238521</v>
      </c>
      <c r="N8" s="188">
        <f t="shared" si="40"/>
        <v>6369.6019071135561</v>
      </c>
      <c r="O8" s="187">
        <f t="shared" si="41"/>
        <v>1185.2464056712731</v>
      </c>
      <c r="P8" s="187">
        <f>O8*$A8/100</f>
        <v>23.898363136723969</v>
      </c>
      <c r="Q8" s="188">
        <f t="shared" si="43"/>
        <v>1209.144768807997</v>
      </c>
      <c r="R8" s="187">
        <f t="shared" si="44"/>
        <v>973.5952618014029</v>
      </c>
      <c r="S8" s="187">
        <f>R8*$A8/100</f>
        <v>19.630798290880403</v>
      </c>
      <c r="T8" s="188">
        <f t="shared" si="46"/>
        <v>993.22606009228332</v>
      </c>
      <c r="U8" s="187">
        <f t="shared" si="47"/>
        <v>465.63251651371439</v>
      </c>
      <c r="V8" s="187">
        <f>U8*$A8/100</f>
        <v>9.3886426608558438</v>
      </c>
      <c r="W8" s="188">
        <f t="shared" si="49"/>
        <v>475.02115917457024</v>
      </c>
      <c r="X8" s="187">
        <f t="shared" si="50"/>
        <v>158.73835790240264</v>
      </c>
      <c r="Y8" s="187">
        <f>X8*$A8/100</f>
        <v>3.200673634382674</v>
      </c>
      <c r="Z8" s="188">
        <f t="shared" si="52"/>
        <v>161.93903153678531</v>
      </c>
      <c r="AA8" s="187">
        <f t="shared" si="53"/>
        <v>63.495343160961063</v>
      </c>
      <c r="AB8" s="187">
        <f>AA8*$A8/100</f>
        <v>1.2802694537530699</v>
      </c>
      <c r="AC8" s="188">
        <f t="shared" si="55"/>
        <v>64.775612614714134</v>
      </c>
      <c r="AD8" s="187">
        <f t="shared" si="56"/>
        <v>126.99068632192213</v>
      </c>
      <c r="AE8" s="187">
        <f>AD8*$A8/100</f>
        <v>2.5605389075061398</v>
      </c>
      <c r="AF8" s="188">
        <f t="shared" si="58"/>
        <v>129.55122522942827</v>
      </c>
      <c r="AG8" s="187">
        <f t="shared" si="59"/>
        <v>359.80694457877934</v>
      </c>
      <c r="AH8" s="187">
        <f>AG8*$A8/100</f>
        <v>7.2548602379340625</v>
      </c>
      <c r="AI8" s="188">
        <f t="shared" si="61"/>
        <v>367.06180481671339</v>
      </c>
      <c r="AJ8" s="187">
        <f t="shared" si="62"/>
        <v>84.66045754794807</v>
      </c>
      <c r="AK8" s="187">
        <f>AJ8*$A8/100</f>
        <v>1.7070259383374262</v>
      </c>
      <c r="AL8" s="188">
        <f t="shared" si="64"/>
        <v>86.367483486285494</v>
      </c>
      <c r="AM8" s="187">
        <f t="shared" si="65"/>
        <v>63.495343160961063</v>
      </c>
      <c r="AN8" s="187">
        <f>AM8*$A8/100</f>
        <v>1.2802694537530699</v>
      </c>
      <c r="AO8" s="188">
        <f t="shared" si="67"/>
        <v>64.775612614714134</v>
      </c>
      <c r="AP8" s="187">
        <f t="shared" si="68"/>
        <v>52.912785967467549</v>
      </c>
      <c r="AQ8" s="187">
        <f>AP8*$A8/100</f>
        <v>1.0668912114608915</v>
      </c>
      <c r="AR8" s="188">
        <f t="shared" si="70"/>
        <v>53.979677178928441</v>
      </c>
      <c r="AS8" s="186">
        <f t="shared" si="71"/>
        <v>279972.13311106421</v>
      </c>
      <c r="AT8" s="187"/>
      <c r="AU8" s="169"/>
      <c r="AV8" s="169"/>
    </row>
    <row r="9" spans="1:48">
      <c r="A9" s="169">
        <f>VLOOKUP(B9,Misc_inputs!$A$3:$B$33,2,0)</f>
        <v>5.3200852056836103</v>
      </c>
      <c r="B9" s="168">
        <v>2020</v>
      </c>
      <c r="C9" s="187">
        <f t="shared" si="29"/>
        <v>274983.27148489724</v>
      </c>
      <c r="D9" s="187">
        <f t="shared" si="30"/>
        <v>14629.344344372817</v>
      </c>
      <c r="E9" s="188">
        <f t="shared" si="31"/>
        <v>289612.61582927004</v>
      </c>
      <c r="F9" s="187">
        <f t="shared" si="32"/>
        <v>2223.9626997718524</v>
      </c>
      <c r="G9" s="187">
        <f t="shared" ref="G9:G19" si="72">F9*$A9/100</f>
        <v>118.31671057048412</v>
      </c>
      <c r="H9" s="188">
        <f t="shared" si="34"/>
        <v>2342.2794103423366</v>
      </c>
      <c r="I9" s="187">
        <f t="shared" si="35"/>
        <v>723.32767419764116</v>
      </c>
      <c r="J9" s="187">
        <f t="shared" ref="J9:J19" si="73">I9*$A9/100</f>
        <v>38.481648583604048</v>
      </c>
      <c r="K9" s="188">
        <f t="shared" si="37"/>
        <v>761.80932278124521</v>
      </c>
      <c r="L9" s="187">
        <f t="shared" si="38"/>
        <v>6369.6019071135561</v>
      </c>
      <c r="M9" s="187">
        <f t="shared" ref="M9:M19" si="74">L9*$A9/100</f>
        <v>338.86824872128943</v>
      </c>
      <c r="N9" s="188">
        <f t="shared" si="40"/>
        <v>6708.4701558348452</v>
      </c>
      <c r="O9" s="187">
        <f t="shared" si="41"/>
        <v>1209.144768807997</v>
      </c>
      <c r="P9" s="187">
        <f t="shared" ref="P9:P19" si="75">O9*$A9/100</f>
        <v>64.327531960651541</v>
      </c>
      <c r="Q9" s="188">
        <f t="shared" si="43"/>
        <v>1273.4723007686487</v>
      </c>
      <c r="R9" s="187">
        <f t="shared" si="44"/>
        <v>993.22606009228332</v>
      </c>
      <c r="S9" s="187">
        <f t="shared" ref="S9:S19" si="76">R9*$A9/100</f>
        <v>52.840472681963774</v>
      </c>
      <c r="T9" s="188">
        <f t="shared" si="46"/>
        <v>1046.0665327742472</v>
      </c>
      <c r="U9" s="187">
        <f t="shared" si="47"/>
        <v>475.02115917457024</v>
      </c>
      <c r="V9" s="187">
        <f t="shared" ref="V9:V19" si="77">U9*$A9/100</f>
        <v>25.271530413113105</v>
      </c>
      <c r="W9" s="188">
        <f t="shared" si="49"/>
        <v>500.29268958768336</v>
      </c>
      <c r="X9" s="187">
        <f t="shared" si="50"/>
        <v>161.93903153678531</v>
      </c>
      <c r="Y9" s="187">
        <f t="shared" ref="Y9:Y19" si="78">X9*$A9/100</f>
        <v>8.615294459015832</v>
      </c>
      <c r="Z9" s="188">
        <f t="shared" si="52"/>
        <v>170.55432599580115</v>
      </c>
      <c r="AA9" s="187">
        <f t="shared" si="53"/>
        <v>64.775612614714134</v>
      </c>
      <c r="AB9" s="187">
        <f t="shared" ref="AB9:AB19" si="79">AA9*$A9/100</f>
        <v>3.4461177836063333</v>
      </c>
      <c r="AC9" s="188">
        <f t="shared" si="55"/>
        <v>68.221730398320474</v>
      </c>
      <c r="AD9" s="187">
        <f t="shared" si="56"/>
        <v>129.55122522942827</v>
      </c>
      <c r="AE9" s="187">
        <f t="shared" ref="AE9:AE19" si="80">AD9*$A9/100</f>
        <v>6.8922355672126665</v>
      </c>
      <c r="AF9" s="188">
        <f t="shared" si="58"/>
        <v>136.44346079664095</v>
      </c>
      <c r="AG9" s="187">
        <f t="shared" si="59"/>
        <v>367.06180481671339</v>
      </c>
      <c r="AH9" s="187">
        <f t="shared" ref="AH9:AH19" si="81">AG9*$A9/100</f>
        <v>19.528000773769222</v>
      </c>
      <c r="AI9" s="188">
        <f t="shared" si="61"/>
        <v>386.58980559048263</v>
      </c>
      <c r="AJ9" s="187">
        <f t="shared" si="62"/>
        <v>86.367483486285494</v>
      </c>
      <c r="AK9" s="187">
        <f t="shared" ref="AK9:AK19" si="82">AJ9*$A9/100</f>
        <v>4.5948237114751098</v>
      </c>
      <c r="AL9" s="188">
        <f t="shared" si="64"/>
        <v>90.962307197760609</v>
      </c>
      <c r="AM9" s="187">
        <f t="shared" si="65"/>
        <v>64.775612614714134</v>
      </c>
      <c r="AN9" s="187">
        <f t="shared" ref="AN9:AN19" si="83">AM9*$A9/100</f>
        <v>3.4461177836063333</v>
      </c>
      <c r="AO9" s="188">
        <f t="shared" si="67"/>
        <v>68.221730398320474</v>
      </c>
      <c r="AP9" s="187">
        <f t="shared" si="68"/>
        <v>53.979677178928441</v>
      </c>
      <c r="AQ9" s="187">
        <f t="shared" ref="AQ9:AQ19" si="84">AP9*$A9/100</f>
        <v>2.8717648196719439</v>
      </c>
      <c r="AR9" s="188">
        <f t="shared" si="70"/>
        <v>56.851441998600386</v>
      </c>
      <c r="AS9" s="186">
        <f t="shared" si="71"/>
        <v>285617.26788914611</v>
      </c>
      <c r="AT9" s="187"/>
      <c r="AU9" s="169"/>
      <c r="AV9" s="169"/>
    </row>
    <row r="10" spans="1:48">
      <c r="A10" s="169">
        <f>VLOOKUP(B10,Misc_inputs!$A$3:$B$33,2,0)</f>
        <v>7.6258108678813302E-2</v>
      </c>
      <c r="B10" s="168">
        <v>2021</v>
      </c>
      <c r="C10" s="187">
        <f t="shared" si="29"/>
        <v>289612.61582927004</v>
      </c>
      <c r="D10" s="187">
        <f t="shared" si="30"/>
        <v>220.8531033266388</v>
      </c>
      <c r="E10" s="188">
        <f t="shared" si="31"/>
        <v>289833.46893259668</v>
      </c>
      <c r="F10" s="187">
        <f t="shared" si="32"/>
        <v>2342.2794103423366</v>
      </c>
      <c r="G10" s="187">
        <f t="shared" si="72"/>
        <v>1.7861779783003267</v>
      </c>
      <c r="H10" s="188">
        <f t="shared" si="34"/>
        <v>2344.0655883206368</v>
      </c>
      <c r="I10" s="187">
        <f t="shared" si="35"/>
        <v>761.80932278124521</v>
      </c>
      <c r="J10" s="187">
        <f t="shared" si="73"/>
        <v>0.58094138129185358</v>
      </c>
      <c r="K10" s="188">
        <f t="shared" si="37"/>
        <v>762.39026416253705</v>
      </c>
      <c r="L10" s="187">
        <f t="shared" si="38"/>
        <v>6708.4701558348452</v>
      </c>
      <c r="M10" s="187">
        <f t="shared" si="74"/>
        <v>5.1157524621222921</v>
      </c>
      <c r="N10" s="188">
        <f t="shared" si="40"/>
        <v>6713.5859082969673</v>
      </c>
      <c r="O10" s="187">
        <f t="shared" si="41"/>
        <v>1273.4723007686487</v>
      </c>
      <c r="P10" s="187">
        <f t="shared" si="75"/>
        <v>0.97112589111474035</v>
      </c>
      <c r="Q10" s="188">
        <f t="shared" si="43"/>
        <v>1274.4434266597634</v>
      </c>
      <c r="R10" s="187">
        <f t="shared" si="44"/>
        <v>1046.0665327742472</v>
      </c>
      <c r="S10" s="187">
        <f t="shared" si="76"/>
        <v>0.79771055341567954</v>
      </c>
      <c r="T10" s="188">
        <f t="shared" si="46"/>
        <v>1046.864243327663</v>
      </c>
      <c r="U10" s="187">
        <f t="shared" si="47"/>
        <v>500.29268958768336</v>
      </c>
      <c r="V10" s="187">
        <f t="shared" si="77"/>
        <v>0.38151374293793366</v>
      </c>
      <c r="W10" s="188">
        <f t="shared" si="49"/>
        <v>500.67420333062131</v>
      </c>
      <c r="X10" s="187">
        <f t="shared" si="50"/>
        <v>170.55432599580115</v>
      </c>
      <c r="Y10" s="187">
        <f t="shared" si="78"/>
        <v>0.13006150327429558</v>
      </c>
      <c r="Z10" s="188">
        <f t="shared" si="52"/>
        <v>170.68438749907546</v>
      </c>
      <c r="AA10" s="187">
        <f t="shared" si="53"/>
        <v>68.221730398320474</v>
      </c>
      <c r="AB10" s="187">
        <f t="shared" si="79"/>
        <v>5.2024601309718241E-2</v>
      </c>
      <c r="AC10" s="188">
        <f t="shared" si="55"/>
        <v>68.273754999630199</v>
      </c>
      <c r="AD10" s="187">
        <f t="shared" si="56"/>
        <v>136.44346079664095</v>
      </c>
      <c r="AE10" s="187">
        <f t="shared" si="80"/>
        <v>0.10404920261943648</v>
      </c>
      <c r="AF10" s="188">
        <f t="shared" si="58"/>
        <v>136.5475099992604</v>
      </c>
      <c r="AG10" s="187">
        <f t="shared" si="59"/>
        <v>386.58980559048263</v>
      </c>
      <c r="AH10" s="187">
        <f t="shared" si="81"/>
        <v>0.29480607408840331</v>
      </c>
      <c r="AI10" s="188">
        <f t="shared" si="61"/>
        <v>386.88461166457103</v>
      </c>
      <c r="AJ10" s="187">
        <f t="shared" si="62"/>
        <v>90.962307197760609</v>
      </c>
      <c r="AK10" s="187">
        <f t="shared" si="82"/>
        <v>6.9366135079624303E-2</v>
      </c>
      <c r="AL10" s="188">
        <f t="shared" si="64"/>
        <v>91.031673332840228</v>
      </c>
      <c r="AM10" s="187">
        <f t="shared" si="65"/>
        <v>68.221730398320474</v>
      </c>
      <c r="AN10" s="187">
        <f t="shared" si="83"/>
        <v>5.2024601309718241E-2</v>
      </c>
      <c r="AO10" s="188">
        <f t="shared" si="67"/>
        <v>68.273754999630199</v>
      </c>
      <c r="AP10" s="187">
        <f t="shared" si="68"/>
        <v>56.851441998600386</v>
      </c>
      <c r="AQ10" s="187">
        <f t="shared" si="84"/>
        <v>4.3353834424765189E-2</v>
      </c>
      <c r="AR10" s="188">
        <f t="shared" si="70"/>
        <v>56.89479583302515</v>
      </c>
      <c r="AS10" s="186">
        <f t="shared" si="71"/>
        <v>300812.34990299429</v>
      </c>
      <c r="AT10" s="169"/>
      <c r="AU10" s="169"/>
      <c r="AV10" s="169"/>
    </row>
    <row r="11" spans="1:48">
      <c r="A11" s="169">
        <f>VLOOKUP(B11,Misc_inputs!$A$3:$B$33,2,0)</f>
        <v>2.8492930312000952</v>
      </c>
      <c r="B11" s="168">
        <v>2022</v>
      </c>
      <c r="C11" s="187">
        <f t="shared" si="29"/>
        <v>289833.46893259668</v>
      </c>
      <c r="D11" s="187">
        <f t="shared" si="30"/>
        <v>8258.2048323819708</v>
      </c>
      <c r="E11" s="188">
        <f t="shared" si="31"/>
        <v>298091.67376497865</v>
      </c>
      <c r="F11" s="187">
        <f t="shared" si="32"/>
        <v>2344.0655883206368</v>
      </c>
      <c r="G11" s="187">
        <f t="shared" si="72"/>
        <v>66.789297454779415</v>
      </c>
      <c r="H11" s="188">
        <f t="shared" si="34"/>
        <v>2410.8548857754163</v>
      </c>
      <c r="I11" s="187">
        <f t="shared" si="35"/>
        <v>762.39026416253705</v>
      </c>
      <c r="J11" s="187">
        <f t="shared" si="73"/>
        <v>21.722732667331165</v>
      </c>
      <c r="K11" s="188">
        <f t="shared" si="37"/>
        <v>784.11299682986817</v>
      </c>
      <c r="L11" s="187">
        <f t="shared" si="38"/>
        <v>6713.5859082969673</v>
      </c>
      <c r="M11" s="187">
        <f t="shared" si="74"/>
        <v>191.28973542873712</v>
      </c>
      <c r="N11" s="188">
        <f t="shared" si="40"/>
        <v>6904.8756437257043</v>
      </c>
      <c r="O11" s="187">
        <f t="shared" si="41"/>
        <v>1274.4434266597634</v>
      </c>
      <c r="P11" s="187">
        <f t="shared" si="75"/>
        <v>36.312627742404331</v>
      </c>
      <c r="Q11" s="188">
        <f t="shared" si="43"/>
        <v>1310.7560544021678</v>
      </c>
      <c r="R11" s="187">
        <f t="shared" si="44"/>
        <v>1046.864243327663</v>
      </c>
      <c r="S11" s="187">
        <f t="shared" si="76"/>
        <v>29.828229931260708</v>
      </c>
      <c r="T11" s="188">
        <f t="shared" si="46"/>
        <v>1076.6924732589237</v>
      </c>
      <c r="U11" s="187">
        <f t="shared" si="47"/>
        <v>500.67420333062131</v>
      </c>
      <c r="V11" s="187">
        <f t="shared" si="77"/>
        <v>14.265675184515988</v>
      </c>
      <c r="W11" s="188">
        <f t="shared" si="49"/>
        <v>514.93987851513725</v>
      </c>
      <c r="X11" s="187">
        <f t="shared" si="50"/>
        <v>170.68438749907546</v>
      </c>
      <c r="Y11" s="187">
        <f t="shared" si="78"/>
        <v>4.8632983583577234</v>
      </c>
      <c r="Z11" s="188">
        <f t="shared" si="52"/>
        <v>175.54768585743318</v>
      </c>
      <c r="AA11" s="187">
        <f t="shared" si="53"/>
        <v>68.273754999630199</v>
      </c>
      <c r="AB11" s="187">
        <f t="shared" si="79"/>
        <v>1.94531934334309</v>
      </c>
      <c r="AC11" s="188">
        <f t="shared" si="55"/>
        <v>70.219074342973286</v>
      </c>
      <c r="AD11" s="187">
        <f t="shared" si="56"/>
        <v>136.5475099992604</v>
      </c>
      <c r="AE11" s="187">
        <f t="shared" si="80"/>
        <v>3.89063868668618</v>
      </c>
      <c r="AF11" s="188">
        <f t="shared" si="58"/>
        <v>140.43814868594657</v>
      </c>
      <c r="AG11" s="187">
        <f t="shared" si="59"/>
        <v>386.88461166457103</v>
      </c>
      <c r="AH11" s="187">
        <f t="shared" si="81"/>
        <v>11.023476278944171</v>
      </c>
      <c r="AI11" s="188">
        <f t="shared" si="61"/>
        <v>397.90808794351517</v>
      </c>
      <c r="AJ11" s="187">
        <f t="shared" si="62"/>
        <v>91.031673332840228</v>
      </c>
      <c r="AK11" s="187">
        <f t="shared" si="82"/>
        <v>2.5937591244574518</v>
      </c>
      <c r="AL11" s="188">
        <f t="shared" si="64"/>
        <v>93.625432457297677</v>
      </c>
      <c r="AM11" s="187">
        <f t="shared" si="65"/>
        <v>68.273754999630199</v>
      </c>
      <c r="AN11" s="187">
        <f t="shared" si="83"/>
        <v>1.94531934334309</v>
      </c>
      <c r="AO11" s="188">
        <f t="shared" si="67"/>
        <v>70.219074342973286</v>
      </c>
      <c r="AP11" s="187">
        <f t="shared" si="68"/>
        <v>56.89479583302515</v>
      </c>
      <c r="AQ11" s="187">
        <f t="shared" si="84"/>
        <v>1.6210994527859077</v>
      </c>
      <c r="AR11" s="188">
        <f t="shared" si="70"/>
        <v>58.515895285811055</v>
      </c>
      <c r="AS11" s="186">
        <f t="shared" si="71"/>
        <v>301041.74371170258</v>
      </c>
      <c r="AT11" s="169"/>
      <c r="AU11" s="169"/>
      <c r="AV11" s="169"/>
    </row>
    <row r="12" spans="1:48">
      <c r="A12" s="169">
        <f>VLOOKUP(B12,Misc_inputs!$A$3:$B$33,2,0)</f>
        <v>3.143440902459993</v>
      </c>
      <c r="B12" s="168">
        <v>2023</v>
      </c>
      <c r="C12" s="187">
        <f t="shared" si="29"/>
        <v>298091.67376497865</v>
      </c>
      <c r="D12" s="187">
        <f t="shared" si="30"/>
        <v>9370.3355999559426</v>
      </c>
      <c r="E12" s="188">
        <f t="shared" si="31"/>
        <v>307462.00936493458</v>
      </c>
      <c r="F12" s="187">
        <f t="shared" si="32"/>
        <v>2410.8548857754163</v>
      </c>
      <c r="G12" s="187">
        <f t="shared" si="72"/>
        <v>75.783798578419578</v>
      </c>
      <c r="H12" s="188">
        <f t="shared" si="34"/>
        <v>2486.6386843538357</v>
      </c>
      <c r="I12" s="187">
        <f t="shared" si="35"/>
        <v>784.11299682986817</v>
      </c>
      <c r="J12" s="187">
        <f t="shared" si="73"/>
        <v>24.648128663854905</v>
      </c>
      <c r="K12" s="188">
        <f t="shared" si="37"/>
        <v>808.76112549372306</v>
      </c>
      <c r="L12" s="187">
        <f t="shared" si="38"/>
        <v>6904.8756437257043</v>
      </c>
      <c r="M12" s="187">
        <f t="shared" si="74"/>
        <v>217.05068524887153</v>
      </c>
      <c r="N12" s="188">
        <f t="shared" si="40"/>
        <v>7121.9263289745759</v>
      </c>
      <c r="O12" s="187">
        <f t="shared" si="41"/>
        <v>1310.7560544021678</v>
      </c>
      <c r="P12" s="187">
        <f t="shared" si="75"/>
        <v>41.202841945548499</v>
      </c>
      <c r="Q12" s="188">
        <f t="shared" si="43"/>
        <v>1351.9588963477163</v>
      </c>
      <c r="R12" s="187">
        <f t="shared" si="44"/>
        <v>1076.6924732589237</v>
      </c>
      <c r="S12" s="187">
        <f t="shared" si="76"/>
        <v>33.845191598129126</v>
      </c>
      <c r="T12" s="188">
        <f t="shared" si="46"/>
        <v>1110.5376648570527</v>
      </c>
      <c r="U12" s="187">
        <f t="shared" si="47"/>
        <v>514.93987851513725</v>
      </c>
      <c r="V12" s="187">
        <f t="shared" si="77"/>
        <v>16.186830764322622</v>
      </c>
      <c r="W12" s="188">
        <f t="shared" si="49"/>
        <v>531.12670927945987</v>
      </c>
      <c r="X12" s="187">
        <f t="shared" si="50"/>
        <v>175.54768585743318</v>
      </c>
      <c r="Y12" s="187">
        <f t="shared" si="78"/>
        <v>5.5182377605645305</v>
      </c>
      <c r="Z12" s="188">
        <f t="shared" si="52"/>
        <v>181.0659236179977</v>
      </c>
      <c r="AA12" s="187">
        <f t="shared" si="53"/>
        <v>70.219074342973286</v>
      </c>
      <c r="AB12" s="187">
        <f t="shared" si="79"/>
        <v>2.2072951042258127</v>
      </c>
      <c r="AC12" s="188">
        <f t="shared" si="55"/>
        <v>72.426369447199093</v>
      </c>
      <c r="AD12" s="187">
        <f t="shared" si="56"/>
        <v>140.43814868594657</v>
      </c>
      <c r="AE12" s="187">
        <f t="shared" si="80"/>
        <v>4.4145902084516253</v>
      </c>
      <c r="AF12" s="188">
        <f t="shared" si="58"/>
        <v>144.85273889439819</v>
      </c>
      <c r="AG12" s="187">
        <f t="shared" si="59"/>
        <v>397.90808794351517</v>
      </c>
      <c r="AH12" s="187">
        <f t="shared" si="81"/>
        <v>12.508005590612935</v>
      </c>
      <c r="AI12" s="188">
        <f t="shared" si="61"/>
        <v>410.41609353412809</v>
      </c>
      <c r="AJ12" s="187">
        <f t="shared" si="62"/>
        <v>93.625432457297677</v>
      </c>
      <c r="AK12" s="187">
        <f t="shared" si="82"/>
        <v>2.9430601389677493</v>
      </c>
      <c r="AL12" s="188">
        <f t="shared" si="64"/>
        <v>96.568492596265429</v>
      </c>
      <c r="AM12" s="187">
        <f t="shared" si="65"/>
        <v>70.219074342973286</v>
      </c>
      <c r="AN12" s="187">
        <f t="shared" si="83"/>
        <v>2.2072951042258127</v>
      </c>
      <c r="AO12" s="188">
        <f t="shared" si="67"/>
        <v>72.426369447199093</v>
      </c>
      <c r="AP12" s="187">
        <f t="shared" si="68"/>
        <v>58.515895285811055</v>
      </c>
      <c r="AQ12" s="187">
        <f t="shared" si="84"/>
        <v>1.8394125868548434</v>
      </c>
      <c r="AR12" s="188">
        <f t="shared" si="70"/>
        <v>60.355307872665897</v>
      </c>
      <c r="AS12" s="186">
        <f t="shared" si="71"/>
        <v>309619.30513628345</v>
      </c>
      <c r="AT12" s="169"/>
      <c r="AU12" s="169"/>
      <c r="AV12" s="169"/>
    </row>
    <row r="13" spans="1:48">
      <c r="A13" s="169">
        <f>VLOOKUP(B13,Misc_inputs!$A$3:$B$33,2,0)</f>
        <v>1.8594732384912049</v>
      </c>
      <c r="B13" s="168">
        <v>2024</v>
      </c>
      <c r="C13" s="187">
        <f t="shared" si="29"/>
        <v>307462.00936493458</v>
      </c>
      <c r="D13" s="187">
        <f t="shared" si="30"/>
        <v>5717.1737826682811</v>
      </c>
      <c r="E13" s="188">
        <f t="shared" si="31"/>
        <v>313179.18314760289</v>
      </c>
      <c r="F13" s="187">
        <f t="shared" si="32"/>
        <v>2486.6386843538357</v>
      </c>
      <c r="G13" s="187">
        <f t="shared" si="72"/>
        <v>46.238380873529358</v>
      </c>
      <c r="H13" s="188">
        <f t="shared" si="34"/>
        <v>2532.8770652273652</v>
      </c>
      <c r="I13" s="187">
        <f t="shared" si="35"/>
        <v>808.76112549372306</v>
      </c>
      <c r="J13" s="187">
        <f t="shared" si="73"/>
        <v>15.03869669187605</v>
      </c>
      <c r="K13" s="188">
        <f t="shared" si="37"/>
        <v>823.79982218559906</v>
      </c>
      <c r="L13" s="187">
        <f t="shared" si="38"/>
        <v>7121.9263289745759</v>
      </c>
      <c r="M13" s="187">
        <f t="shared" si="74"/>
        <v>132.43031415234134</v>
      </c>
      <c r="N13" s="188">
        <f t="shared" si="40"/>
        <v>7254.3566431269173</v>
      </c>
      <c r="O13" s="187">
        <f t="shared" si="41"/>
        <v>1351.9588963477163</v>
      </c>
      <c r="P13" s="187">
        <f t="shared" si="75"/>
        <v>25.139313872986833</v>
      </c>
      <c r="Q13" s="188">
        <f t="shared" si="43"/>
        <v>1377.0982102207031</v>
      </c>
      <c r="R13" s="187">
        <f t="shared" si="44"/>
        <v>1110.5376648570527</v>
      </c>
      <c r="S13" s="187">
        <f t="shared" si="76"/>
        <v>20.650150681382044</v>
      </c>
      <c r="T13" s="188">
        <f t="shared" si="46"/>
        <v>1131.1878155384347</v>
      </c>
      <c r="U13" s="187">
        <f t="shared" si="47"/>
        <v>531.12670927945987</v>
      </c>
      <c r="V13" s="187">
        <f t="shared" si="77"/>
        <v>9.8761590215305404</v>
      </c>
      <c r="W13" s="188">
        <f t="shared" si="49"/>
        <v>541.00286830099037</v>
      </c>
      <c r="X13" s="187">
        <f t="shared" si="50"/>
        <v>181.0659236179977</v>
      </c>
      <c r="Y13" s="187">
        <f t="shared" si="78"/>
        <v>3.3668723937035936</v>
      </c>
      <c r="Z13" s="188">
        <f t="shared" si="52"/>
        <v>184.4327960117013</v>
      </c>
      <c r="AA13" s="187">
        <f t="shared" si="53"/>
        <v>72.426369447199093</v>
      </c>
      <c r="AB13" s="187">
        <f t="shared" si="79"/>
        <v>1.3467489574814377</v>
      </c>
      <c r="AC13" s="188">
        <f t="shared" si="55"/>
        <v>73.773118404680531</v>
      </c>
      <c r="AD13" s="187">
        <f t="shared" si="56"/>
        <v>144.85273889439819</v>
      </c>
      <c r="AE13" s="187">
        <f t="shared" si="80"/>
        <v>2.6934979149628755</v>
      </c>
      <c r="AF13" s="188">
        <f t="shared" si="58"/>
        <v>147.54623680936106</v>
      </c>
      <c r="AG13" s="187">
        <f t="shared" si="59"/>
        <v>410.41609353412809</v>
      </c>
      <c r="AH13" s="187">
        <f t="shared" si="81"/>
        <v>7.6315774257281443</v>
      </c>
      <c r="AI13" s="188">
        <f t="shared" si="61"/>
        <v>418.04767095985625</v>
      </c>
      <c r="AJ13" s="187">
        <f t="shared" si="62"/>
        <v>96.568492596265429</v>
      </c>
      <c r="AK13" s="187">
        <f t="shared" si="82"/>
        <v>1.7956652766419163</v>
      </c>
      <c r="AL13" s="188">
        <f t="shared" si="64"/>
        <v>98.364157872907342</v>
      </c>
      <c r="AM13" s="187">
        <f t="shared" si="65"/>
        <v>72.426369447199093</v>
      </c>
      <c r="AN13" s="187">
        <f t="shared" si="83"/>
        <v>1.3467489574814377</v>
      </c>
      <c r="AO13" s="188">
        <f t="shared" si="67"/>
        <v>73.773118404680531</v>
      </c>
      <c r="AP13" s="187">
        <f t="shared" si="68"/>
        <v>60.355307872665897</v>
      </c>
      <c r="AQ13" s="187">
        <f t="shared" si="84"/>
        <v>1.1222907979011978</v>
      </c>
      <c r="AR13" s="188">
        <f t="shared" si="70"/>
        <v>61.477598670567097</v>
      </c>
      <c r="AS13" s="186">
        <f t="shared" si="71"/>
        <v>319352.00501584983</v>
      </c>
      <c r="AT13" s="169"/>
      <c r="AU13" s="169"/>
      <c r="AV13" s="169"/>
    </row>
    <row r="14" spans="1:48">
      <c r="A14" s="169">
        <f>VLOOKUP(B14,Misc_inputs!$A$3:$B$33,2,0)</f>
        <v>1.892198034308179</v>
      </c>
      <c r="B14" s="168">
        <v>2025</v>
      </c>
      <c r="C14" s="187">
        <f t="shared" si="29"/>
        <v>313179.18314760289</v>
      </c>
      <c r="D14" s="187">
        <f t="shared" si="30"/>
        <v>5925.9703473813543</v>
      </c>
      <c r="E14" s="188">
        <f t="shared" si="31"/>
        <v>319105.15349498426</v>
      </c>
      <c r="F14" s="187">
        <f t="shared" si="32"/>
        <v>2532.8770652273652</v>
      </c>
      <c r="G14" s="187">
        <f t="shared" si="72"/>
        <v>47.927050039674896</v>
      </c>
      <c r="H14" s="188">
        <f t="shared" si="34"/>
        <v>2580.8041152670403</v>
      </c>
      <c r="I14" s="187">
        <f t="shared" si="35"/>
        <v>823.79982218559906</v>
      </c>
      <c r="J14" s="187">
        <f t="shared" si="73"/>
        <v>15.587924042030179</v>
      </c>
      <c r="K14" s="188">
        <f t="shared" si="37"/>
        <v>839.38774622762924</v>
      </c>
      <c r="L14" s="187">
        <f t="shared" si="38"/>
        <v>7254.3566431269173</v>
      </c>
      <c r="M14" s="187">
        <f t="shared" si="74"/>
        <v>137.26679380295232</v>
      </c>
      <c r="N14" s="188">
        <f t="shared" si="40"/>
        <v>7391.62343692987</v>
      </c>
      <c r="O14" s="187">
        <f t="shared" si="41"/>
        <v>1377.0982102207031</v>
      </c>
      <c r="P14" s="187">
        <f t="shared" si="75"/>
        <v>26.057425264289257</v>
      </c>
      <c r="Q14" s="188">
        <f t="shared" si="43"/>
        <v>1403.1556354849924</v>
      </c>
      <c r="R14" s="187">
        <f t="shared" si="44"/>
        <v>1131.1878155384347</v>
      </c>
      <c r="S14" s="187">
        <f t="shared" si="76"/>
        <v>21.404313609951892</v>
      </c>
      <c r="T14" s="188">
        <f t="shared" si="46"/>
        <v>1152.5921291483867</v>
      </c>
      <c r="U14" s="187">
        <f t="shared" si="47"/>
        <v>541.00286830099037</v>
      </c>
      <c r="V14" s="187">
        <f t="shared" si="77"/>
        <v>10.236845639542206</v>
      </c>
      <c r="W14" s="188">
        <f t="shared" si="49"/>
        <v>551.23971394053262</v>
      </c>
      <c r="X14" s="187">
        <f t="shared" si="50"/>
        <v>184.4327960117013</v>
      </c>
      <c r="Y14" s="187">
        <f t="shared" si="78"/>
        <v>3.4898337407530255</v>
      </c>
      <c r="Z14" s="188">
        <f t="shared" si="52"/>
        <v>187.92262975245433</v>
      </c>
      <c r="AA14" s="187">
        <f t="shared" si="53"/>
        <v>73.773118404680531</v>
      </c>
      <c r="AB14" s="187">
        <f t="shared" si="79"/>
        <v>1.3959334963012104</v>
      </c>
      <c r="AC14" s="188">
        <f t="shared" si="55"/>
        <v>75.169051900981742</v>
      </c>
      <c r="AD14" s="187">
        <f t="shared" si="56"/>
        <v>147.54623680936106</v>
      </c>
      <c r="AE14" s="187">
        <f t="shared" si="80"/>
        <v>2.7918669926024209</v>
      </c>
      <c r="AF14" s="188">
        <f t="shared" si="58"/>
        <v>150.33810380196348</v>
      </c>
      <c r="AG14" s="187">
        <f t="shared" si="59"/>
        <v>418.04767095985625</v>
      </c>
      <c r="AH14" s="187">
        <f t="shared" si="81"/>
        <v>7.9102898123735237</v>
      </c>
      <c r="AI14" s="188">
        <f t="shared" si="61"/>
        <v>425.9579607722298</v>
      </c>
      <c r="AJ14" s="187">
        <f t="shared" si="62"/>
        <v>98.364157872907342</v>
      </c>
      <c r="AK14" s="187">
        <f t="shared" si="82"/>
        <v>1.8612446617349465</v>
      </c>
      <c r="AL14" s="188">
        <f t="shared" si="64"/>
        <v>100.22540253464228</v>
      </c>
      <c r="AM14" s="187">
        <f t="shared" si="65"/>
        <v>73.773118404680531</v>
      </c>
      <c r="AN14" s="187">
        <f t="shared" si="83"/>
        <v>1.3959334963012104</v>
      </c>
      <c r="AO14" s="188">
        <f t="shared" si="67"/>
        <v>75.169051900981742</v>
      </c>
      <c r="AP14" s="187">
        <f t="shared" si="68"/>
        <v>61.477598670567097</v>
      </c>
      <c r="AQ14" s="187">
        <f t="shared" si="84"/>
        <v>1.1632779135843418</v>
      </c>
      <c r="AR14" s="188">
        <f t="shared" si="70"/>
        <v>62.640876584151442</v>
      </c>
      <c r="AS14" s="186">
        <f t="shared" si="71"/>
        <v>325290.27008570457</v>
      </c>
      <c r="AT14" s="169"/>
      <c r="AU14" s="169"/>
      <c r="AV14" s="169"/>
    </row>
    <row r="15" spans="1:48">
      <c r="A15" s="169">
        <f>VLOOKUP(B15,Misc_inputs!$A$3:$B$33,2,0)</f>
        <v>2.0003592159356653</v>
      </c>
      <c r="B15" s="168">
        <v>2026</v>
      </c>
      <c r="C15" s="187">
        <f t="shared" si="29"/>
        <v>319105.15349498426</v>
      </c>
      <c r="D15" s="187">
        <f t="shared" si="30"/>
        <v>6383.2493464625686</v>
      </c>
      <c r="E15" s="188">
        <f t="shared" si="31"/>
        <v>325488.4028414468</v>
      </c>
      <c r="F15" s="187">
        <f t="shared" si="32"/>
        <v>2580.8041152670403</v>
      </c>
      <c r="G15" s="187">
        <f t="shared" si="72"/>
        <v>51.625352964991151</v>
      </c>
      <c r="H15" s="188">
        <f t="shared" si="34"/>
        <v>2632.4294682320315</v>
      </c>
      <c r="I15" s="187">
        <f t="shared" si="35"/>
        <v>839.38774622762924</v>
      </c>
      <c r="J15" s="187">
        <f t="shared" si="73"/>
        <v>16.790770139099056</v>
      </c>
      <c r="K15" s="188">
        <f t="shared" si="37"/>
        <v>856.17851636672833</v>
      </c>
      <c r="L15" s="187">
        <f t="shared" si="38"/>
        <v>7391.62343692987</v>
      </c>
      <c r="M15" s="187">
        <f t="shared" si="74"/>
        <v>147.85902062788722</v>
      </c>
      <c r="N15" s="188">
        <f t="shared" si="40"/>
        <v>7539.4824575577568</v>
      </c>
      <c r="O15" s="187">
        <f t="shared" si="41"/>
        <v>1403.1556354849924</v>
      </c>
      <c r="P15" s="187">
        <f t="shared" si="75"/>
        <v>28.068153068344696</v>
      </c>
      <c r="Q15" s="188">
        <f t="shared" si="43"/>
        <v>1431.223788553337</v>
      </c>
      <c r="R15" s="187">
        <f t="shared" si="44"/>
        <v>1152.5921291483867</v>
      </c>
      <c r="S15" s="187">
        <f t="shared" si="76"/>
        <v>23.055982877568859</v>
      </c>
      <c r="T15" s="188">
        <f t="shared" si="46"/>
        <v>1175.6481120259555</v>
      </c>
      <c r="U15" s="187">
        <f t="shared" si="47"/>
        <v>551.23971394053262</v>
      </c>
      <c r="V15" s="187">
        <f t="shared" si="77"/>
        <v>11.026774419706841</v>
      </c>
      <c r="W15" s="188">
        <f t="shared" si="49"/>
        <v>562.26648836023946</v>
      </c>
      <c r="X15" s="187">
        <f t="shared" si="50"/>
        <v>187.92262975245433</v>
      </c>
      <c r="Y15" s="187">
        <f t="shared" si="78"/>
        <v>3.7591276430818787</v>
      </c>
      <c r="Z15" s="188">
        <f t="shared" si="52"/>
        <v>191.68175739553621</v>
      </c>
      <c r="AA15" s="187">
        <f t="shared" si="53"/>
        <v>75.169051900981742</v>
      </c>
      <c r="AB15" s="187">
        <f t="shared" si="79"/>
        <v>1.5036510572327517</v>
      </c>
      <c r="AC15" s="188">
        <f t="shared" si="55"/>
        <v>76.672702958214501</v>
      </c>
      <c r="AD15" s="187">
        <f t="shared" si="56"/>
        <v>150.33810380196348</v>
      </c>
      <c r="AE15" s="187">
        <f t="shared" si="80"/>
        <v>3.0073021144655034</v>
      </c>
      <c r="AF15" s="188">
        <f t="shared" si="58"/>
        <v>153.345405916429</v>
      </c>
      <c r="AG15" s="187">
        <f t="shared" si="59"/>
        <v>425.9579607722298</v>
      </c>
      <c r="AH15" s="187">
        <f t="shared" si="81"/>
        <v>8.5206893243189246</v>
      </c>
      <c r="AI15" s="188">
        <f t="shared" si="61"/>
        <v>434.47865009654873</v>
      </c>
      <c r="AJ15" s="187">
        <f t="shared" si="62"/>
        <v>100.22540253464228</v>
      </c>
      <c r="AK15" s="187">
        <f t="shared" si="82"/>
        <v>2.004868076310335</v>
      </c>
      <c r="AL15" s="188">
        <f t="shared" si="64"/>
        <v>102.23027061095262</v>
      </c>
      <c r="AM15" s="187">
        <f t="shared" si="65"/>
        <v>75.169051900981742</v>
      </c>
      <c r="AN15" s="187">
        <f t="shared" si="83"/>
        <v>1.5036510572327517</v>
      </c>
      <c r="AO15" s="188">
        <f t="shared" si="67"/>
        <v>76.672702958214501</v>
      </c>
      <c r="AP15" s="187">
        <f t="shared" si="68"/>
        <v>62.640876584151442</v>
      </c>
      <c r="AQ15" s="187">
        <f t="shared" si="84"/>
        <v>1.2530425476939595</v>
      </c>
      <c r="AR15" s="188">
        <f t="shared" si="70"/>
        <v>63.893919131845401</v>
      </c>
      <c r="AS15" s="186">
        <f t="shared" si="71"/>
        <v>331445.40618206206</v>
      </c>
      <c r="AT15" s="169"/>
      <c r="AU15" s="169"/>
      <c r="AV15" s="169"/>
    </row>
    <row r="16" spans="1:48">
      <c r="A16" s="169">
        <f>VLOOKUP(B16,Misc_inputs!$A$3:$B$33,2,0)</f>
        <v>0</v>
      </c>
      <c r="B16" s="168">
        <v>2027</v>
      </c>
      <c r="C16" s="187">
        <f t="shared" si="29"/>
        <v>325488.4028414468</v>
      </c>
      <c r="D16" s="187">
        <f t="shared" si="30"/>
        <v>0</v>
      </c>
      <c r="E16" s="188">
        <f t="shared" si="31"/>
        <v>325488.4028414468</v>
      </c>
      <c r="F16" s="187">
        <f t="shared" si="32"/>
        <v>2632.4294682320315</v>
      </c>
      <c r="G16" s="187">
        <f t="shared" si="72"/>
        <v>0</v>
      </c>
      <c r="H16" s="188">
        <f t="shared" si="34"/>
        <v>2632.4294682320315</v>
      </c>
      <c r="I16" s="187">
        <f t="shared" si="35"/>
        <v>856.17851636672833</v>
      </c>
      <c r="J16" s="187">
        <f t="shared" si="73"/>
        <v>0</v>
      </c>
      <c r="K16" s="188">
        <f t="shared" si="37"/>
        <v>856.17851636672833</v>
      </c>
      <c r="L16" s="187">
        <f t="shared" si="38"/>
        <v>7539.4824575577568</v>
      </c>
      <c r="M16" s="187">
        <f t="shared" si="74"/>
        <v>0</v>
      </c>
      <c r="N16" s="188">
        <f t="shared" si="40"/>
        <v>7539.4824575577568</v>
      </c>
      <c r="O16" s="187">
        <f t="shared" si="41"/>
        <v>1431.223788553337</v>
      </c>
      <c r="P16" s="187">
        <f t="shared" si="75"/>
        <v>0</v>
      </c>
      <c r="Q16" s="188">
        <f t="shared" si="43"/>
        <v>1431.223788553337</v>
      </c>
      <c r="R16" s="187">
        <f t="shared" si="44"/>
        <v>1175.6481120259555</v>
      </c>
      <c r="S16" s="187">
        <f t="shared" si="76"/>
        <v>0</v>
      </c>
      <c r="T16" s="188">
        <f t="shared" si="46"/>
        <v>1175.6481120259555</v>
      </c>
      <c r="U16" s="187">
        <f t="shared" si="47"/>
        <v>562.26648836023946</v>
      </c>
      <c r="V16" s="187">
        <f t="shared" si="77"/>
        <v>0</v>
      </c>
      <c r="W16" s="188">
        <f t="shared" si="49"/>
        <v>562.26648836023946</v>
      </c>
      <c r="X16" s="187">
        <f t="shared" si="50"/>
        <v>191.68175739553621</v>
      </c>
      <c r="Y16" s="187">
        <f t="shared" si="78"/>
        <v>0</v>
      </c>
      <c r="Z16" s="188">
        <f t="shared" si="52"/>
        <v>191.68175739553621</v>
      </c>
      <c r="AA16" s="187">
        <f t="shared" si="53"/>
        <v>76.672702958214501</v>
      </c>
      <c r="AB16" s="187">
        <f t="shared" si="79"/>
        <v>0</v>
      </c>
      <c r="AC16" s="188">
        <f t="shared" si="55"/>
        <v>76.672702958214501</v>
      </c>
      <c r="AD16" s="187">
        <f t="shared" si="56"/>
        <v>153.345405916429</v>
      </c>
      <c r="AE16" s="187">
        <f t="shared" si="80"/>
        <v>0</v>
      </c>
      <c r="AF16" s="188">
        <f t="shared" si="58"/>
        <v>153.345405916429</v>
      </c>
      <c r="AG16" s="187">
        <f t="shared" si="59"/>
        <v>434.47865009654873</v>
      </c>
      <c r="AH16" s="187">
        <f t="shared" si="81"/>
        <v>0</v>
      </c>
      <c r="AI16" s="188">
        <f t="shared" si="61"/>
        <v>434.47865009654873</v>
      </c>
      <c r="AJ16" s="187">
        <f t="shared" si="62"/>
        <v>102.23027061095262</v>
      </c>
      <c r="AK16" s="187">
        <f t="shared" si="82"/>
        <v>0</v>
      </c>
      <c r="AL16" s="188">
        <f t="shared" si="64"/>
        <v>102.23027061095262</v>
      </c>
      <c r="AM16" s="187">
        <f t="shared" si="65"/>
        <v>76.672702958214501</v>
      </c>
      <c r="AN16" s="187">
        <f t="shared" si="83"/>
        <v>0</v>
      </c>
      <c r="AO16" s="188">
        <f t="shared" si="67"/>
        <v>76.672702958214501</v>
      </c>
      <c r="AP16" s="187">
        <f t="shared" si="68"/>
        <v>63.893919131845401</v>
      </c>
      <c r="AQ16" s="187">
        <f t="shared" si="84"/>
        <v>0</v>
      </c>
      <c r="AR16" s="188">
        <f t="shared" si="70"/>
        <v>63.893919131845401</v>
      </c>
      <c r="AS16" s="186">
        <f t="shared" si="71"/>
        <v>338075.50491042039</v>
      </c>
      <c r="AT16" s="169"/>
      <c r="AU16" s="169"/>
      <c r="AV16" s="169"/>
    </row>
    <row r="17" spans="1:48">
      <c r="A17" s="169">
        <f>VLOOKUP(B17,Misc_inputs!$A$3:$B$33,2,0)</f>
        <v>0</v>
      </c>
      <c r="B17" s="168">
        <v>2028</v>
      </c>
      <c r="C17" s="187">
        <f t="shared" si="29"/>
        <v>325488.4028414468</v>
      </c>
      <c r="D17" s="187">
        <f t="shared" si="30"/>
        <v>0</v>
      </c>
      <c r="E17" s="188">
        <f t="shared" si="31"/>
        <v>325488.4028414468</v>
      </c>
      <c r="F17" s="187">
        <f t="shared" si="32"/>
        <v>2632.4294682320315</v>
      </c>
      <c r="G17" s="187">
        <f t="shared" si="72"/>
        <v>0</v>
      </c>
      <c r="H17" s="188">
        <f t="shared" si="34"/>
        <v>2632.4294682320315</v>
      </c>
      <c r="I17" s="187">
        <f t="shared" si="35"/>
        <v>856.17851636672833</v>
      </c>
      <c r="J17" s="187">
        <f t="shared" si="73"/>
        <v>0</v>
      </c>
      <c r="K17" s="188">
        <f t="shared" si="37"/>
        <v>856.17851636672833</v>
      </c>
      <c r="L17" s="187">
        <f t="shared" si="38"/>
        <v>7539.4824575577568</v>
      </c>
      <c r="M17" s="187">
        <f t="shared" si="74"/>
        <v>0</v>
      </c>
      <c r="N17" s="188">
        <f t="shared" si="40"/>
        <v>7539.4824575577568</v>
      </c>
      <c r="O17" s="187">
        <f t="shared" si="41"/>
        <v>1431.223788553337</v>
      </c>
      <c r="P17" s="187">
        <f t="shared" si="75"/>
        <v>0</v>
      </c>
      <c r="Q17" s="188">
        <f t="shared" si="43"/>
        <v>1431.223788553337</v>
      </c>
      <c r="R17" s="187">
        <f t="shared" si="44"/>
        <v>1175.6481120259555</v>
      </c>
      <c r="S17" s="187">
        <f t="shared" si="76"/>
        <v>0</v>
      </c>
      <c r="T17" s="188">
        <f t="shared" si="46"/>
        <v>1175.6481120259555</v>
      </c>
      <c r="U17" s="187">
        <f t="shared" si="47"/>
        <v>562.26648836023946</v>
      </c>
      <c r="V17" s="187">
        <f t="shared" si="77"/>
        <v>0</v>
      </c>
      <c r="W17" s="188">
        <f t="shared" si="49"/>
        <v>562.26648836023946</v>
      </c>
      <c r="X17" s="187">
        <f t="shared" si="50"/>
        <v>191.68175739553621</v>
      </c>
      <c r="Y17" s="187">
        <f t="shared" si="78"/>
        <v>0</v>
      </c>
      <c r="Z17" s="188">
        <f t="shared" si="52"/>
        <v>191.68175739553621</v>
      </c>
      <c r="AA17" s="187">
        <f t="shared" si="53"/>
        <v>76.672702958214501</v>
      </c>
      <c r="AB17" s="187">
        <f t="shared" si="79"/>
        <v>0</v>
      </c>
      <c r="AC17" s="188">
        <f t="shared" si="55"/>
        <v>76.672702958214501</v>
      </c>
      <c r="AD17" s="187">
        <f t="shared" si="56"/>
        <v>153.345405916429</v>
      </c>
      <c r="AE17" s="187">
        <f t="shared" si="80"/>
        <v>0</v>
      </c>
      <c r="AF17" s="188">
        <f t="shared" si="58"/>
        <v>153.345405916429</v>
      </c>
      <c r="AG17" s="187">
        <f t="shared" si="59"/>
        <v>434.47865009654873</v>
      </c>
      <c r="AH17" s="187">
        <f t="shared" si="81"/>
        <v>0</v>
      </c>
      <c r="AI17" s="188">
        <f t="shared" si="61"/>
        <v>434.47865009654873</v>
      </c>
      <c r="AJ17" s="187">
        <f t="shared" si="62"/>
        <v>102.23027061095262</v>
      </c>
      <c r="AK17" s="187">
        <f t="shared" si="82"/>
        <v>0</v>
      </c>
      <c r="AL17" s="188">
        <f t="shared" si="64"/>
        <v>102.23027061095262</v>
      </c>
      <c r="AM17" s="187">
        <f t="shared" si="65"/>
        <v>76.672702958214501</v>
      </c>
      <c r="AN17" s="187">
        <f t="shared" si="83"/>
        <v>0</v>
      </c>
      <c r="AO17" s="188">
        <f t="shared" si="67"/>
        <v>76.672702958214501</v>
      </c>
      <c r="AP17" s="187">
        <f t="shared" si="68"/>
        <v>63.893919131845401</v>
      </c>
      <c r="AQ17" s="187">
        <f t="shared" si="84"/>
        <v>0</v>
      </c>
      <c r="AR17" s="188">
        <f t="shared" si="70"/>
        <v>63.893919131845401</v>
      </c>
      <c r="AS17" s="186">
        <f t="shared" si="71"/>
        <v>338075.50491042039</v>
      </c>
      <c r="AT17" s="169"/>
      <c r="AU17" s="169"/>
      <c r="AV17" s="169"/>
    </row>
    <row r="18" spans="1:48">
      <c r="A18" s="169">
        <f>VLOOKUP(B18,Misc_inputs!$A$3:$B$33,2,0)</f>
        <v>0</v>
      </c>
      <c r="B18" s="168">
        <v>2029</v>
      </c>
      <c r="C18" s="187">
        <f t="shared" si="29"/>
        <v>325488.4028414468</v>
      </c>
      <c r="D18" s="187">
        <f t="shared" si="30"/>
        <v>0</v>
      </c>
      <c r="E18" s="188">
        <f t="shared" si="31"/>
        <v>325488.4028414468</v>
      </c>
      <c r="F18" s="187">
        <f t="shared" si="32"/>
        <v>2632.4294682320315</v>
      </c>
      <c r="G18" s="187">
        <f t="shared" si="72"/>
        <v>0</v>
      </c>
      <c r="H18" s="188">
        <f t="shared" si="34"/>
        <v>2632.4294682320315</v>
      </c>
      <c r="I18" s="187">
        <f t="shared" si="35"/>
        <v>856.17851636672833</v>
      </c>
      <c r="J18" s="187">
        <f t="shared" si="73"/>
        <v>0</v>
      </c>
      <c r="K18" s="188">
        <f t="shared" si="37"/>
        <v>856.17851636672833</v>
      </c>
      <c r="L18" s="187">
        <f t="shared" si="38"/>
        <v>7539.4824575577568</v>
      </c>
      <c r="M18" s="187">
        <f t="shared" si="74"/>
        <v>0</v>
      </c>
      <c r="N18" s="188">
        <f t="shared" si="40"/>
        <v>7539.4824575577568</v>
      </c>
      <c r="O18" s="187">
        <f t="shared" si="41"/>
        <v>1431.223788553337</v>
      </c>
      <c r="P18" s="187">
        <f t="shared" si="75"/>
        <v>0</v>
      </c>
      <c r="Q18" s="188">
        <f t="shared" si="43"/>
        <v>1431.223788553337</v>
      </c>
      <c r="R18" s="187">
        <f t="shared" si="44"/>
        <v>1175.6481120259555</v>
      </c>
      <c r="S18" s="187">
        <f t="shared" si="76"/>
        <v>0</v>
      </c>
      <c r="T18" s="188">
        <f t="shared" si="46"/>
        <v>1175.6481120259555</v>
      </c>
      <c r="U18" s="187">
        <f t="shared" si="47"/>
        <v>562.26648836023946</v>
      </c>
      <c r="V18" s="187">
        <f t="shared" si="77"/>
        <v>0</v>
      </c>
      <c r="W18" s="188">
        <f t="shared" si="49"/>
        <v>562.26648836023946</v>
      </c>
      <c r="X18" s="187">
        <f t="shared" si="50"/>
        <v>191.68175739553621</v>
      </c>
      <c r="Y18" s="187">
        <f t="shared" si="78"/>
        <v>0</v>
      </c>
      <c r="Z18" s="188">
        <f t="shared" si="52"/>
        <v>191.68175739553621</v>
      </c>
      <c r="AA18" s="187">
        <f t="shared" si="53"/>
        <v>76.672702958214501</v>
      </c>
      <c r="AB18" s="187">
        <f t="shared" si="79"/>
        <v>0</v>
      </c>
      <c r="AC18" s="188">
        <f t="shared" si="55"/>
        <v>76.672702958214501</v>
      </c>
      <c r="AD18" s="187">
        <f t="shared" si="56"/>
        <v>153.345405916429</v>
      </c>
      <c r="AE18" s="187">
        <f t="shared" si="80"/>
        <v>0</v>
      </c>
      <c r="AF18" s="188">
        <f t="shared" si="58"/>
        <v>153.345405916429</v>
      </c>
      <c r="AG18" s="187">
        <f t="shared" si="59"/>
        <v>434.47865009654873</v>
      </c>
      <c r="AH18" s="187">
        <f t="shared" si="81"/>
        <v>0</v>
      </c>
      <c r="AI18" s="188">
        <f t="shared" si="61"/>
        <v>434.47865009654873</v>
      </c>
      <c r="AJ18" s="187">
        <f t="shared" si="62"/>
        <v>102.23027061095262</v>
      </c>
      <c r="AK18" s="187">
        <f t="shared" si="82"/>
        <v>0</v>
      </c>
      <c r="AL18" s="188">
        <f t="shared" si="64"/>
        <v>102.23027061095262</v>
      </c>
      <c r="AM18" s="187">
        <f t="shared" si="65"/>
        <v>76.672702958214501</v>
      </c>
      <c r="AN18" s="187">
        <f t="shared" si="83"/>
        <v>0</v>
      </c>
      <c r="AO18" s="188">
        <f t="shared" si="67"/>
        <v>76.672702958214501</v>
      </c>
      <c r="AP18" s="187">
        <f t="shared" si="68"/>
        <v>63.893919131845401</v>
      </c>
      <c r="AQ18" s="187">
        <f t="shared" si="84"/>
        <v>0</v>
      </c>
      <c r="AR18" s="188">
        <f t="shared" si="70"/>
        <v>63.893919131845401</v>
      </c>
      <c r="AS18" s="186">
        <f t="shared" si="71"/>
        <v>338075.50491042039</v>
      </c>
      <c r="AT18" s="169"/>
      <c r="AU18" s="169"/>
      <c r="AV18" s="169"/>
    </row>
    <row r="19" spans="1:48">
      <c r="A19" s="169">
        <f>VLOOKUP(B19,Misc_inputs!$A$3:$B$33,2,0)</f>
        <v>0</v>
      </c>
      <c r="B19" s="168">
        <v>2030</v>
      </c>
      <c r="C19" s="187">
        <f t="shared" si="29"/>
        <v>325488.4028414468</v>
      </c>
      <c r="D19" s="187">
        <f t="shared" si="30"/>
        <v>0</v>
      </c>
      <c r="E19" s="188">
        <f t="shared" si="31"/>
        <v>325488.4028414468</v>
      </c>
      <c r="F19" s="187">
        <f t="shared" si="32"/>
        <v>2632.4294682320315</v>
      </c>
      <c r="G19" s="187">
        <f t="shared" si="72"/>
        <v>0</v>
      </c>
      <c r="H19" s="188">
        <f t="shared" si="34"/>
        <v>2632.4294682320315</v>
      </c>
      <c r="I19" s="187">
        <f t="shared" si="35"/>
        <v>856.17851636672833</v>
      </c>
      <c r="J19" s="187">
        <f t="shared" si="73"/>
        <v>0</v>
      </c>
      <c r="K19" s="188">
        <f t="shared" si="37"/>
        <v>856.17851636672833</v>
      </c>
      <c r="L19" s="187">
        <f t="shared" si="38"/>
        <v>7539.4824575577568</v>
      </c>
      <c r="M19" s="187">
        <f t="shared" si="74"/>
        <v>0</v>
      </c>
      <c r="N19" s="188">
        <f t="shared" si="40"/>
        <v>7539.4824575577568</v>
      </c>
      <c r="O19" s="187">
        <f t="shared" si="41"/>
        <v>1431.223788553337</v>
      </c>
      <c r="P19" s="187">
        <f t="shared" si="75"/>
        <v>0</v>
      </c>
      <c r="Q19" s="188">
        <f t="shared" si="43"/>
        <v>1431.223788553337</v>
      </c>
      <c r="R19" s="187">
        <f t="shared" si="44"/>
        <v>1175.6481120259555</v>
      </c>
      <c r="S19" s="187">
        <f t="shared" si="76"/>
        <v>0</v>
      </c>
      <c r="T19" s="188">
        <f t="shared" si="46"/>
        <v>1175.6481120259555</v>
      </c>
      <c r="U19" s="187">
        <f t="shared" si="47"/>
        <v>562.26648836023946</v>
      </c>
      <c r="V19" s="187">
        <f t="shared" si="77"/>
        <v>0</v>
      </c>
      <c r="W19" s="188">
        <f t="shared" si="49"/>
        <v>562.26648836023946</v>
      </c>
      <c r="X19" s="187">
        <f t="shared" si="50"/>
        <v>191.68175739553621</v>
      </c>
      <c r="Y19" s="187">
        <f t="shared" si="78"/>
        <v>0</v>
      </c>
      <c r="Z19" s="188">
        <f t="shared" si="52"/>
        <v>191.68175739553621</v>
      </c>
      <c r="AA19" s="187">
        <f t="shared" si="53"/>
        <v>76.672702958214501</v>
      </c>
      <c r="AB19" s="187">
        <f t="shared" si="79"/>
        <v>0</v>
      </c>
      <c r="AC19" s="188">
        <f t="shared" si="55"/>
        <v>76.672702958214501</v>
      </c>
      <c r="AD19" s="187">
        <f t="shared" si="56"/>
        <v>153.345405916429</v>
      </c>
      <c r="AE19" s="187">
        <f t="shared" si="80"/>
        <v>0</v>
      </c>
      <c r="AF19" s="188">
        <f t="shared" si="58"/>
        <v>153.345405916429</v>
      </c>
      <c r="AG19" s="187">
        <f t="shared" si="59"/>
        <v>434.47865009654873</v>
      </c>
      <c r="AH19" s="187">
        <f t="shared" si="81"/>
        <v>0</v>
      </c>
      <c r="AI19" s="188">
        <f t="shared" si="61"/>
        <v>434.47865009654873</v>
      </c>
      <c r="AJ19" s="187">
        <f t="shared" si="62"/>
        <v>102.23027061095262</v>
      </c>
      <c r="AK19" s="187">
        <f t="shared" si="82"/>
        <v>0</v>
      </c>
      <c r="AL19" s="188">
        <f t="shared" si="64"/>
        <v>102.23027061095262</v>
      </c>
      <c r="AM19" s="187">
        <f t="shared" si="65"/>
        <v>76.672702958214501</v>
      </c>
      <c r="AN19" s="187">
        <f t="shared" si="83"/>
        <v>0</v>
      </c>
      <c r="AO19" s="188">
        <f t="shared" si="67"/>
        <v>76.672702958214501</v>
      </c>
      <c r="AP19" s="187">
        <f t="shared" si="68"/>
        <v>63.893919131845401</v>
      </c>
      <c r="AQ19" s="187">
        <f t="shared" si="84"/>
        <v>0</v>
      </c>
      <c r="AR19" s="188">
        <f t="shared" si="70"/>
        <v>63.893919131845401</v>
      </c>
      <c r="AS19" s="186">
        <f t="shared" si="71"/>
        <v>338075.50491042039</v>
      </c>
      <c r="AT19" s="169"/>
      <c r="AU19" s="169"/>
      <c r="AV19" s="169"/>
    </row>
    <row r="21" spans="1:48" s="190" customFormat="1" ht="23">
      <c r="A21" s="183" t="s">
        <v>575</v>
      </c>
      <c r="B21" s="189"/>
      <c r="C21" s="189"/>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row>
    <row r="22" spans="1:48" s="173" customFormat="1" ht="63.75" customHeight="1">
      <c r="A22" s="173" t="s">
        <v>539</v>
      </c>
      <c r="B22" s="172" t="s">
        <v>342</v>
      </c>
      <c r="C22" s="172" t="str">
        <f>Cost_of_crime_Raw_data!A21</f>
        <v>Commercial robbery</v>
      </c>
      <c r="D22" s="184" t="s">
        <v>540</v>
      </c>
      <c r="E22" s="185" t="s">
        <v>541</v>
      </c>
      <c r="F22" s="172" t="str">
        <f>Cost_of_crime_Raw_data!A22</f>
        <v>Commercial burglary</v>
      </c>
      <c r="G22" s="184" t="s">
        <v>540</v>
      </c>
      <c r="H22" s="185" t="s">
        <v>541</v>
      </c>
      <c r="I22" s="172" t="str">
        <f>Cost_of_crime_Raw_data!A23</f>
        <v>Commercial theft</v>
      </c>
      <c r="J22" s="184" t="s">
        <v>540</v>
      </c>
      <c r="K22" s="185" t="s">
        <v>541</v>
      </c>
      <c r="L22" s="172" t="str">
        <f>Cost_of_crime_Raw_data!A24</f>
        <v>Theft of commercial vehicle</v>
      </c>
      <c r="M22" s="184" t="s">
        <v>540</v>
      </c>
      <c r="N22" s="185" t="s">
        <v>541</v>
      </c>
      <c r="O22" s="172" t="str">
        <f>Cost_of_crime_Raw_data!A25</f>
        <v>Theft from commercial vehicle</v>
      </c>
      <c r="P22" s="184" t="s">
        <v>540</v>
      </c>
      <c r="Q22" s="185" t="s">
        <v>541</v>
      </c>
      <c r="R22" s="172" t="str">
        <f>Cost_of_crime_Raw_data!A26</f>
        <v>Commercial criminal damage - arson</v>
      </c>
      <c r="S22" s="184" t="s">
        <v>540</v>
      </c>
      <c r="T22" s="185" t="s">
        <v>541</v>
      </c>
      <c r="U22" s="172" t="str">
        <f>Cost_of_crime_Raw_data!A27</f>
        <v>Commercial criminal damage - other</v>
      </c>
      <c r="V22" s="184" t="s">
        <v>540</v>
      </c>
      <c r="W22" s="185" t="s">
        <v>541</v>
      </c>
      <c r="X22" s="191" t="s">
        <v>412</v>
      </c>
      <c r="Y22" s="172"/>
      <c r="Z22" s="192"/>
      <c r="AA22" s="172"/>
      <c r="AB22" s="172"/>
      <c r="AC22" s="192"/>
      <c r="AD22" s="172"/>
      <c r="AE22" s="172"/>
      <c r="AF22" s="192"/>
      <c r="AG22" s="172"/>
      <c r="AH22" s="172"/>
      <c r="AI22" s="192"/>
      <c r="AJ22" s="172"/>
      <c r="AK22" s="172"/>
      <c r="AL22" s="192"/>
      <c r="AM22" s="172"/>
      <c r="AN22" s="172"/>
      <c r="AO22" s="192"/>
      <c r="AP22" s="172"/>
      <c r="AQ22" s="172"/>
      <c r="AR22" s="192"/>
      <c r="AS22" s="172"/>
      <c r="AT22" s="172"/>
      <c r="AU22" s="192"/>
      <c r="AV22" s="172"/>
    </row>
    <row r="23" spans="1:48">
      <c r="B23" s="168">
        <v>2015</v>
      </c>
      <c r="C23" s="186">
        <f>IF(Cost_of_crime_Raw_data!D59="not estimated","0",Cost_of_crime_Raw_data!D59)</f>
        <v>2250</v>
      </c>
      <c r="D23" s="187">
        <f>C23*$A23/100</f>
        <v>0</v>
      </c>
      <c r="E23" s="188">
        <f>C23+D23</f>
        <v>2250</v>
      </c>
      <c r="F23" s="186">
        <f>IF(Cost_of_crime_Raw_data!D60="not estimated","0",Cost_of_crime_Raw_data!D60)</f>
        <v>380</v>
      </c>
      <c r="G23" s="187">
        <f>F23*$A23/100</f>
        <v>0</v>
      </c>
      <c r="H23" s="188">
        <f>F23+G23</f>
        <v>380</v>
      </c>
      <c r="I23" s="186">
        <f>IF(Cost_of_crime_Raw_data!D61="not estimated","0",Cost_of_crime_Raw_data!D61)</f>
        <v>0</v>
      </c>
      <c r="J23" s="187">
        <f>I23*$A23/100</f>
        <v>0</v>
      </c>
      <c r="K23" s="188">
        <f>I23+J23</f>
        <v>0</v>
      </c>
      <c r="L23" s="186">
        <f>IF(Cost_of_crime_Raw_data!D62="not estimated","0",Cost_of_crime_Raw_data!D62)</f>
        <v>190</v>
      </c>
      <c r="M23" s="187">
        <f>L23*$A23/100</f>
        <v>0</v>
      </c>
      <c r="N23" s="188">
        <f>L23+M23</f>
        <v>190</v>
      </c>
      <c r="O23" s="186">
        <f>IF(Cost_of_crime_Raw_data!D63="not estimated","0",Cost_of_crime_Raw_data!D63)</f>
        <v>80</v>
      </c>
      <c r="P23" s="187">
        <f>O23*$A23/100</f>
        <v>0</v>
      </c>
      <c r="Q23" s="188">
        <f>O23+P23</f>
        <v>80</v>
      </c>
      <c r="R23" s="186">
        <f>IF(Cost_of_crime_Raw_data!D64="not estimated","0",Cost_of_crime_Raw_data!D64)</f>
        <v>510</v>
      </c>
      <c r="S23" s="187">
        <f>R23*$A23/100</f>
        <v>0</v>
      </c>
      <c r="T23" s="188">
        <f>R23+S23</f>
        <v>510</v>
      </c>
      <c r="U23" s="186">
        <f>IF(Cost_of_crime_Raw_data!D65="not estimated","0",Cost_of_crime_Raw_data!D65)</f>
        <v>30</v>
      </c>
      <c r="V23" s="187">
        <f>U23*$A23/100</f>
        <v>0</v>
      </c>
      <c r="W23" s="188">
        <f>U23+V23</f>
        <v>30</v>
      </c>
      <c r="X23" s="187">
        <f>SUM(W23,T23,Q23,N23,K23,H23,E23)</f>
        <v>3440</v>
      </c>
    </row>
    <row r="24" spans="1:48">
      <c r="A24" s="169">
        <f>VLOOKUP(B24,Misc_inputs!$A$3:$B$33,2,0)</f>
        <v>1.8963035451147277</v>
      </c>
      <c r="B24" s="168">
        <v>2016</v>
      </c>
      <c r="C24" s="187">
        <f>E23</f>
        <v>2250</v>
      </c>
      <c r="D24" s="187">
        <f t="shared" ref="D24" si="85">C24*$A24/100</f>
        <v>42.666829765081374</v>
      </c>
      <c r="E24" s="188">
        <f t="shared" ref="E24" si="86">C24+D24</f>
        <v>2292.6668297650813</v>
      </c>
      <c r="F24" s="187">
        <f>H23</f>
        <v>380</v>
      </c>
      <c r="G24" s="187">
        <f t="shared" ref="G24" si="87">F24*$A24/100</f>
        <v>7.205953471435965</v>
      </c>
      <c r="H24" s="188">
        <f t="shared" ref="H24" si="88">F24+G24</f>
        <v>387.20595347143598</v>
      </c>
      <c r="I24" s="187">
        <f>K23</f>
        <v>0</v>
      </c>
      <c r="J24" s="187">
        <f t="shared" ref="J24" si="89">I24*$A24/100</f>
        <v>0</v>
      </c>
      <c r="K24" s="188">
        <f t="shared" ref="K24" si="90">I24+J24</f>
        <v>0</v>
      </c>
      <c r="L24" s="187">
        <f>N23</f>
        <v>190</v>
      </c>
      <c r="M24" s="187">
        <f t="shared" ref="M24" si="91">L24*$A24/100</f>
        <v>3.6029767357179825</v>
      </c>
      <c r="N24" s="188">
        <f t="shared" ref="N24" si="92">L24+M24</f>
        <v>193.60297673571799</v>
      </c>
      <c r="O24" s="187">
        <f>Q23</f>
        <v>80</v>
      </c>
      <c r="P24" s="187">
        <f t="shared" ref="P24" si="93">O24*$A24/100</f>
        <v>1.5170428360917823</v>
      </c>
      <c r="Q24" s="188">
        <f t="shared" ref="Q24" si="94">O24+P24</f>
        <v>81.517042836091775</v>
      </c>
      <c r="R24" s="187">
        <f>T23</f>
        <v>510</v>
      </c>
      <c r="S24" s="187">
        <f t="shared" ref="S24" si="95">R24*$A24/100</f>
        <v>9.6711480800851106</v>
      </c>
      <c r="T24" s="188">
        <f t="shared" ref="T24" si="96">R24+S24</f>
        <v>519.67114808008512</v>
      </c>
      <c r="U24" s="187">
        <f>W23</f>
        <v>30</v>
      </c>
      <c r="V24" s="187">
        <f t="shared" ref="V24" si="97">U24*$A24/100</f>
        <v>0.56889106353441832</v>
      </c>
      <c r="W24" s="188">
        <f t="shared" ref="W24" si="98">U24+V24</f>
        <v>30.568891063534419</v>
      </c>
      <c r="X24" s="187">
        <f t="shared" ref="X24" si="99">SUM(W24,T24,Q24,N24,K24,H24,E24)</f>
        <v>3505.2328419519463</v>
      </c>
    </row>
    <row r="25" spans="1:48">
      <c r="A25" s="169">
        <f>VLOOKUP(B25,Misc_inputs!$A$3:$B$33,2,0)</f>
        <v>1.8209228570152332</v>
      </c>
      <c r="B25" s="168">
        <v>2017</v>
      </c>
      <c r="C25" s="187">
        <f t="shared" ref="C25:C38" si="100">E24</f>
        <v>2292.6668297650813</v>
      </c>
      <c r="D25" s="187">
        <f t="shared" ref="D25:D38" si="101">C25*$A25/100</f>
        <v>41.747694338398887</v>
      </c>
      <c r="E25" s="188">
        <f t="shared" ref="E25:E38" si="102">C25+D25</f>
        <v>2334.4145241034803</v>
      </c>
      <c r="F25" s="187">
        <f t="shared" ref="F25:F38" si="103">H24</f>
        <v>387.20595347143598</v>
      </c>
      <c r="G25" s="187">
        <f t="shared" ref="G25:G38" si="104">F25*$A25/100</f>
        <v>7.0507217104851465</v>
      </c>
      <c r="H25" s="188">
        <f t="shared" ref="H25:H38" si="105">F25+G25</f>
        <v>394.25667518192114</v>
      </c>
      <c r="I25" s="187">
        <f t="shared" ref="I25:I38" si="106">K24</f>
        <v>0</v>
      </c>
      <c r="J25" s="187">
        <f t="shared" ref="J25:J38" si="107">I25*$A25/100</f>
        <v>0</v>
      </c>
      <c r="K25" s="188">
        <f t="shared" ref="K25:K38" si="108">I25+J25</f>
        <v>0</v>
      </c>
      <c r="L25" s="187">
        <f t="shared" ref="L25:L38" si="109">N24</f>
        <v>193.60297673571799</v>
      </c>
      <c r="M25" s="187">
        <f t="shared" ref="M25:M38" si="110">L25*$A25/100</f>
        <v>3.5253608552425733</v>
      </c>
      <c r="N25" s="188">
        <f t="shared" ref="N25:N38" si="111">L25+M25</f>
        <v>197.12833759096057</v>
      </c>
      <c r="O25" s="187">
        <f t="shared" ref="O25:O38" si="112">Q24</f>
        <v>81.517042836091775</v>
      </c>
      <c r="P25" s="187">
        <f t="shared" ref="P25:P38" si="113">O25*$A25/100</f>
        <v>1.4843624653652938</v>
      </c>
      <c r="Q25" s="188">
        <f t="shared" ref="Q25:Q38" si="114">O25+P25</f>
        <v>83.001405301457069</v>
      </c>
      <c r="R25" s="187">
        <f t="shared" ref="R25:R38" si="115">T24</f>
        <v>519.67114808008512</v>
      </c>
      <c r="S25" s="187">
        <f t="shared" ref="S25:S38" si="116">R25*$A25/100</f>
        <v>9.4628107167037498</v>
      </c>
      <c r="T25" s="188">
        <f t="shared" ref="T25:T38" si="117">R25+S25</f>
        <v>529.13395879678887</v>
      </c>
      <c r="U25" s="187">
        <f t="shared" ref="U25:U38" si="118">W24</f>
        <v>30.568891063534419</v>
      </c>
      <c r="V25" s="187">
        <f t="shared" ref="V25:V38" si="119">U25*$A25/100</f>
        <v>0.55663592451198529</v>
      </c>
      <c r="W25" s="188">
        <f t="shared" ref="W25:W38" si="120">U25+V25</f>
        <v>31.125526988046406</v>
      </c>
      <c r="X25" s="187">
        <f t="shared" ref="X25:X38" si="121">SUM(W25,T25,Q25,N25,K25,H25,E25)</f>
        <v>3569.0604279626541</v>
      </c>
    </row>
    <row r="26" spans="1:48">
      <c r="A26" s="169">
        <f>VLOOKUP(B26,Misc_inputs!$A$3:$B$33,2,0)</f>
        <v>1.9988242855231282</v>
      </c>
      <c r="B26" s="168">
        <v>2018</v>
      </c>
      <c r="C26" s="187">
        <f t="shared" si="100"/>
        <v>2334.4145241034803</v>
      </c>
      <c r="D26" s="187">
        <f t="shared" si="101"/>
        <v>46.660844432559522</v>
      </c>
      <c r="E26" s="188">
        <f t="shared" si="102"/>
        <v>2381.0753685360396</v>
      </c>
      <c r="F26" s="187">
        <f t="shared" si="103"/>
        <v>394.25667518192114</v>
      </c>
      <c r="G26" s="187">
        <f t="shared" si="104"/>
        <v>7.8804981708322757</v>
      </c>
      <c r="H26" s="188">
        <f t="shared" si="105"/>
        <v>402.13717335275339</v>
      </c>
      <c r="I26" s="187">
        <f t="shared" si="106"/>
        <v>0</v>
      </c>
      <c r="J26" s="187">
        <f t="shared" si="107"/>
        <v>0</v>
      </c>
      <c r="K26" s="188">
        <f t="shared" si="108"/>
        <v>0</v>
      </c>
      <c r="L26" s="187">
        <f t="shared" si="109"/>
        <v>197.12833759096057</v>
      </c>
      <c r="M26" s="187">
        <f t="shared" si="110"/>
        <v>3.9402490854161378</v>
      </c>
      <c r="N26" s="188">
        <f t="shared" si="111"/>
        <v>201.0685866763767</v>
      </c>
      <c r="O26" s="187">
        <f t="shared" si="112"/>
        <v>83.001405301457069</v>
      </c>
      <c r="P26" s="187">
        <f t="shared" si="113"/>
        <v>1.6590522464910051</v>
      </c>
      <c r="Q26" s="188">
        <f t="shared" si="114"/>
        <v>84.66045754794807</v>
      </c>
      <c r="R26" s="187">
        <f t="shared" si="115"/>
        <v>529.13395879678887</v>
      </c>
      <c r="S26" s="187">
        <f t="shared" si="116"/>
        <v>10.576458071380159</v>
      </c>
      <c r="T26" s="188">
        <f t="shared" si="117"/>
        <v>539.71041686816898</v>
      </c>
      <c r="U26" s="187">
        <f t="shared" si="118"/>
        <v>31.125526988046406</v>
      </c>
      <c r="V26" s="187">
        <f t="shared" si="119"/>
        <v>0.62214459243412701</v>
      </c>
      <c r="W26" s="188">
        <f t="shared" si="120"/>
        <v>31.747671580480532</v>
      </c>
      <c r="X26" s="187">
        <f t="shared" si="121"/>
        <v>3640.3996745617674</v>
      </c>
    </row>
    <row r="27" spans="1:48">
      <c r="A27" s="169">
        <f>VLOOKUP(B27,Misc_inputs!$A$3:$B$33,2,0)</f>
        <v>2.0163202370724722</v>
      </c>
      <c r="B27" s="168">
        <v>2019</v>
      </c>
      <c r="C27" s="187">
        <f t="shared" si="100"/>
        <v>2381.0753685360396</v>
      </c>
      <c r="D27" s="187">
        <f t="shared" si="101"/>
        <v>48.01010451574011</v>
      </c>
      <c r="E27" s="188">
        <f t="shared" si="102"/>
        <v>2429.0854730517799</v>
      </c>
      <c r="F27" s="187">
        <f t="shared" si="103"/>
        <v>402.13717335275339</v>
      </c>
      <c r="G27" s="187">
        <f t="shared" si="104"/>
        <v>8.1083732071027761</v>
      </c>
      <c r="H27" s="188">
        <f t="shared" si="105"/>
        <v>410.24554655985617</v>
      </c>
      <c r="I27" s="187">
        <f t="shared" si="106"/>
        <v>0</v>
      </c>
      <c r="J27" s="187">
        <f t="shared" si="107"/>
        <v>0</v>
      </c>
      <c r="K27" s="188">
        <f t="shared" si="108"/>
        <v>0</v>
      </c>
      <c r="L27" s="187">
        <f t="shared" si="109"/>
        <v>201.0685866763767</v>
      </c>
      <c r="M27" s="187">
        <f t="shared" si="110"/>
        <v>4.054186603551388</v>
      </c>
      <c r="N27" s="188">
        <f t="shared" si="111"/>
        <v>205.12277327992808</v>
      </c>
      <c r="O27" s="187">
        <f t="shared" si="112"/>
        <v>84.66045754794807</v>
      </c>
      <c r="P27" s="187">
        <f t="shared" si="113"/>
        <v>1.7070259383374262</v>
      </c>
      <c r="Q27" s="188">
        <f t="shared" si="114"/>
        <v>86.367483486285494</v>
      </c>
      <c r="R27" s="187">
        <f t="shared" si="115"/>
        <v>539.71041686816898</v>
      </c>
      <c r="S27" s="187">
        <f t="shared" si="116"/>
        <v>10.882290356901091</v>
      </c>
      <c r="T27" s="188">
        <f t="shared" si="117"/>
        <v>550.59270722507006</v>
      </c>
      <c r="U27" s="187">
        <f t="shared" si="118"/>
        <v>31.747671580480532</v>
      </c>
      <c r="V27" s="187">
        <f t="shared" si="119"/>
        <v>0.64013472687653494</v>
      </c>
      <c r="W27" s="188">
        <f t="shared" si="120"/>
        <v>32.387806307357067</v>
      </c>
      <c r="X27" s="187">
        <f t="shared" si="121"/>
        <v>3713.801789910277</v>
      </c>
    </row>
    <row r="28" spans="1:48">
      <c r="A28" s="169">
        <f>VLOOKUP(B28,Misc_inputs!$A$3:$B$33,2,0)</f>
        <v>5.3200852056836103</v>
      </c>
      <c r="B28" s="168">
        <v>2020</v>
      </c>
      <c r="C28" s="187">
        <f t="shared" si="100"/>
        <v>2429.0854730517799</v>
      </c>
      <c r="D28" s="187">
        <f t="shared" si="101"/>
        <v>129.22941688523747</v>
      </c>
      <c r="E28" s="188">
        <f t="shared" si="102"/>
        <v>2558.3148899370171</v>
      </c>
      <c r="F28" s="187">
        <f t="shared" si="103"/>
        <v>410.24554655985617</v>
      </c>
      <c r="G28" s="187">
        <f t="shared" si="104"/>
        <v>21.825412629506776</v>
      </c>
      <c r="H28" s="188">
        <f t="shared" si="105"/>
        <v>432.07095918936295</v>
      </c>
      <c r="I28" s="187">
        <f t="shared" si="106"/>
        <v>0</v>
      </c>
      <c r="J28" s="187">
        <f t="shared" si="107"/>
        <v>0</v>
      </c>
      <c r="K28" s="188">
        <f t="shared" si="108"/>
        <v>0</v>
      </c>
      <c r="L28" s="187">
        <f t="shared" si="109"/>
        <v>205.12277327992808</v>
      </c>
      <c r="M28" s="187">
        <f t="shared" si="110"/>
        <v>10.912706314753388</v>
      </c>
      <c r="N28" s="188">
        <f t="shared" si="111"/>
        <v>216.03547959468148</v>
      </c>
      <c r="O28" s="187">
        <f t="shared" si="112"/>
        <v>86.367483486285494</v>
      </c>
      <c r="P28" s="187">
        <f t="shared" si="113"/>
        <v>4.5948237114751098</v>
      </c>
      <c r="Q28" s="188">
        <f t="shared" si="114"/>
        <v>90.962307197760609</v>
      </c>
      <c r="R28" s="187">
        <f t="shared" si="115"/>
        <v>550.59270722507006</v>
      </c>
      <c r="S28" s="187">
        <f t="shared" si="116"/>
        <v>29.292001160653825</v>
      </c>
      <c r="T28" s="188">
        <f t="shared" si="117"/>
        <v>579.88470838572391</v>
      </c>
      <c r="U28" s="187">
        <f t="shared" si="118"/>
        <v>32.387806307357067</v>
      </c>
      <c r="V28" s="187">
        <f t="shared" si="119"/>
        <v>1.7230588918031666</v>
      </c>
      <c r="W28" s="188">
        <f t="shared" si="120"/>
        <v>34.110865199160237</v>
      </c>
      <c r="X28" s="187">
        <f t="shared" si="121"/>
        <v>3911.3792095037065</v>
      </c>
    </row>
    <row r="29" spans="1:48">
      <c r="A29" s="169">
        <f>VLOOKUP(B29,Misc_inputs!$A$3:$B$33,2,0)</f>
        <v>7.6258108678813302E-2</v>
      </c>
      <c r="B29" s="168">
        <v>2021</v>
      </c>
      <c r="C29" s="187">
        <f t="shared" si="100"/>
        <v>2558.3148899370171</v>
      </c>
      <c r="D29" s="187">
        <f t="shared" si="101"/>
        <v>1.9509225491144335</v>
      </c>
      <c r="E29" s="188">
        <f t="shared" si="102"/>
        <v>2560.2658124861314</v>
      </c>
      <c r="F29" s="187">
        <f t="shared" si="103"/>
        <v>432.07095918936295</v>
      </c>
      <c r="G29" s="187">
        <f t="shared" si="104"/>
        <v>0.32948914162821547</v>
      </c>
      <c r="H29" s="188">
        <f t="shared" si="105"/>
        <v>432.40044833099114</v>
      </c>
      <c r="I29" s="187">
        <f t="shared" si="106"/>
        <v>0</v>
      </c>
      <c r="J29" s="187">
        <f t="shared" si="107"/>
        <v>0</v>
      </c>
      <c r="K29" s="188">
        <f t="shared" si="108"/>
        <v>0</v>
      </c>
      <c r="L29" s="187">
        <f t="shared" si="109"/>
        <v>216.03547959468148</v>
      </c>
      <c r="M29" s="187">
        <f t="shared" si="110"/>
        <v>0.16474457081410773</v>
      </c>
      <c r="N29" s="188">
        <f t="shared" si="111"/>
        <v>216.20022416549557</v>
      </c>
      <c r="O29" s="187">
        <f t="shared" si="112"/>
        <v>90.962307197760609</v>
      </c>
      <c r="P29" s="187">
        <f t="shared" si="113"/>
        <v>6.9366135079624303E-2</v>
      </c>
      <c r="Q29" s="188">
        <f t="shared" si="114"/>
        <v>91.031673332840228</v>
      </c>
      <c r="R29" s="187">
        <f t="shared" si="115"/>
        <v>579.88470838572391</v>
      </c>
      <c r="S29" s="187">
        <f t="shared" si="116"/>
        <v>0.44220911113260492</v>
      </c>
      <c r="T29" s="188">
        <f t="shared" si="117"/>
        <v>580.32691749685648</v>
      </c>
      <c r="U29" s="187">
        <f t="shared" si="118"/>
        <v>34.110865199160237</v>
      </c>
      <c r="V29" s="187">
        <f t="shared" si="119"/>
        <v>2.601230065485912E-2</v>
      </c>
      <c r="W29" s="188">
        <f t="shared" si="120"/>
        <v>34.1368774998151</v>
      </c>
      <c r="X29" s="187">
        <f t="shared" si="121"/>
        <v>3914.36195331213</v>
      </c>
    </row>
    <row r="30" spans="1:48">
      <c r="A30" s="169">
        <f>VLOOKUP(B30,Misc_inputs!$A$3:$B$33,2,0)</f>
        <v>2.8492930312000952</v>
      </c>
      <c r="B30" s="168">
        <v>2022</v>
      </c>
      <c r="C30" s="187">
        <f t="shared" si="100"/>
        <v>2560.2658124861314</v>
      </c>
      <c r="D30" s="187">
        <f t="shared" si="101"/>
        <v>72.949475375365836</v>
      </c>
      <c r="E30" s="188">
        <f t="shared" si="102"/>
        <v>2633.215287861497</v>
      </c>
      <c r="F30" s="187">
        <f t="shared" si="103"/>
        <v>432.40044833099114</v>
      </c>
      <c r="G30" s="187">
        <f t="shared" si="104"/>
        <v>12.3203558411729</v>
      </c>
      <c r="H30" s="188">
        <f t="shared" si="105"/>
        <v>444.72080417216404</v>
      </c>
      <c r="I30" s="187">
        <f t="shared" si="106"/>
        <v>0</v>
      </c>
      <c r="J30" s="187">
        <f t="shared" si="107"/>
        <v>0</v>
      </c>
      <c r="K30" s="188">
        <f t="shared" si="108"/>
        <v>0</v>
      </c>
      <c r="L30" s="187">
        <f t="shared" si="109"/>
        <v>216.20022416549557</v>
      </c>
      <c r="M30" s="187">
        <f t="shared" si="110"/>
        <v>6.1601779205864498</v>
      </c>
      <c r="N30" s="188">
        <f t="shared" si="111"/>
        <v>222.36040208608202</v>
      </c>
      <c r="O30" s="187">
        <f t="shared" si="112"/>
        <v>91.031673332840228</v>
      </c>
      <c r="P30" s="187">
        <f t="shared" si="113"/>
        <v>2.5937591244574518</v>
      </c>
      <c r="Q30" s="188">
        <f t="shared" si="114"/>
        <v>93.625432457297677</v>
      </c>
      <c r="R30" s="187">
        <f t="shared" si="115"/>
        <v>580.32691749685648</v>
      </c>
      <c r="S30" s="187">
        <f t="shared" si="116"/>
        <v>16.53521441841626</v>
      </c>
      <c r="T30" s="188">
        <f t="shared" si="117"/>
        <v>596.8621319152727</v>
      </c>
      <c r="U30" s="187">
        <f t="shared" si="118"/>
        <v>34.1368774998151</v>
      </c>
      <c r="V30" s="187">
        <f t="shared" si="119"/>
        <v>0.97265967167154499</v>
      </c>
      <c r="W30" s="188">
        <f t="shared" si="120"/>
        <v>35.109537171486643</v>
      </c>
      <c r="X30" s="187">
        <f t="shared" si="121"/>
        <v>4025.8935956638002</v>
      </c>
    </row>
    <row r="31" spans="1:48">
      <c r="A31" s="169">
        <f>VLOOKUP(B31,Misc_inputs!$A$3:$B$33,2,0)</f>
        <v>3.143440902459993</v>
      </c>
      <c r="B31" s="168">
        <v>2023</v>
      </c>
      <c r="C31" s="187">
        <f t="shared" si="100"/>
        <v>2633.215287861497</v>
      </c>
      <c r="D31" s="187">
        <f t="shared" si="101"/>
        <v>82.773566408467943</v>
      </c>
      <c r="E31" s="188">
        <f t="shared" si="102"/>
        <v>2715.988854269965</v>
      </c>
      <c r="F31" s="187">
        <f t="shared" si="103"/>
        <v>444.72080417216404</v>
      </c>
      <c r="G31" s="187">
        <f t="shared" si="104"/>
        <v>13.979535660096809</v>
      </c>
      <c r="H31" s="188">
        <f t="shared" si="105"/>
        <v>458.70033983226085</v>
      </c>
      <c r="I31" s="187">
        <f t="shared" si="106"/>
        <v>0</v>
      </c>
      <c r="J31" s="187">
        <f t="shared" si="107"/>
        <v>0</v>
      </c>
      <c r="K31" s="188">
        <f t="shared" si="108"/>
        <v>0</v>
      </c>
      <c r="L31" s="187">
        <f t="shared" si="109"/>
        <v>222.36040208608202</v>
      </c>
      <c r="M31" s="187">
        <f t="shared" si="110"/>
        <v>6.9897678300484047</v>
      </c>
      <c r="N31" s="188">
        <f t="shared" si="111"/>
        <v>229.35016991613043</v>
      </c>
      <c r="O31" s="187">
        <f t="shared" si="112"/>
        <v>93.625432457297677</v>
      </c>
      <c r="P31" s="187">
        <f t="shared" si="113"/>
        <v>2.9430601389677493</v>
      </c>
      <c r="Q31" s="188">
        <f t="shared" si="114"/>
        <v>96.568492596265429</v>
      </c>
      <c r="R31" s="187">
        <f t="shared" si="115"/>
        <v>596.8621319152727</v>
      </c>
      <c r="S31" s="187">
        <f t="shared" si="116"/>
        <v>18.762008385919401</v>
      </c>
      <c r="T31" s="188">
        <f t="shared" si="117"/>
        <v>615.62414030119214</v>
      </c>
      <c r="U31" s="187">
        <f t="shared" si="118"/>
        <v>35.109537171486643</v>
      </c>
      <c r="V31" s="187">
        <f t="shared" si="119"/>
        <v>1.1036475521129063</v>
      </c>
      <c r="W31" s="188">
        <f t="shared" si="120"/>
        <v>36.213184723599547</v>
      </c>
      <c r="X31" s="187">
        <f t="shared" si="121"/>
        <v>4152.4451816394139</v>
      </c>
    </row>
    <row r="32" spans="1:48">
      <c r="A32" s="169">
        <f>VLOOKUP(B32,Misc_inputs!$A$3:$B$33,2,0)</f>
        <v>1.8594732384912049</v>
      </c>
      <c r="B32" s="168">
        <v>2024</v>
      </c>
      <c r="C32" s="187">
        <f t="shared" si="100"/>
        <v>2715.988854269965</v>
      </c>
      <c r="D32" s="187">
        <f t="shared" si="101"/>
        <v>50.503085905553888</v>
      </c>
      <c r="E32" s="188">
        <f t="shared" si="102"/>
        <v>2766.4919401755187</v>
      </c>
      <c r="F32" s="187">
        <f t="shared" si="103"/>
        <v>458.70033983226085</v>
      </c>
      <c r="G32" s="187">
        <f t="shared" si="104"/>
        <v>8.5294100640491042</v>
      </c>
      <c r="H32" s="188">
        <f t="shared" si="105"/>
        <v>467.22974989630995</v>
      </c>
      <c r="I32" s="187">
        <f t="shared" si="106"/>
        <v>0</v>
      </c>
      <c r="J32" s="187">
        <f t="shared" si="107"/>
        <v>0</v>
      </c>
      <c r="K32" s="188">
        <f t="shared" si="108"/>
        <v>0</v>
      </c>
      <c r="L32" s="187">
        <f t="shared" si="109"/>
        <v>229.35016991613043</v>
      </c>
      <c r="M32" s="187">
        <f t="shared" si="110"/>
        <v>4.2647050320245521</v>
      </c>
      <c r="N32" s="188">
        <f t="shared" si="111"/>
        <v>233.61487494815498</v>
      </c>
      <c r="O32" s="187">
        <f t="shared" si="112"/>
        <v>96.568492596265429</v>
      </c>
      <c r="P32" s="187">
        <f t="shared" si="113"/>
        <v>1.7956652766419163</v>
      </c>
      <c r="Q32" s="188">
        <f t="shared" si="114"/>
        <v>98.364157872907342</v>
      </c>
      <c r="R32" s="187">
        <f t="shared" si="115"/>
        <v>615.62414030119214</v>
      </c>
      <c r="S32" s="187">
        <f t="shared" si="116"/>
        <v>11.447366138592217</v>
      </c>
      <c r="T32" s="188">
        <f t="shared" si="117"/>
        <v>627.07150643978434</v>
      </c>
      <c r="U32" s="187">
        <f t="shared" si="118"/>
        <v>36.213184723599547</v>
      </c>
      <c r="V32" s="187">
        <f t="shared" si="119"/>
        <v>0.67337447874071887</v>
      </c>
      <c r="W32" s="188">
        <f t="shared" si="120"/>
        <v>36.886559202340266</v>
      </c>
      <c r="X32" s="187">
        <f t="shared" si="121"/>
        <v>4229.6587885350154</v>
      </c>
    </row>
    <row r="33" spans="1:48">
      <c r="A33" s="169">
        <f>VLOOKUP(B33,Misc_inputs!$A$3:$B$33,2,0)</f>
        <v>1.892198034308179</v>
      </c>
      <c r="B33" s="168">
        <v>2025</v>
      </c>
      <c r="C33" s="187">
        <f t="shared" si="100"/>
        <v>2766.4919401755187</v>
      </c>
      <c r="D33" s="187">
        <f t="shared" si="101"/>
        <v>52.347506111295367</v>
      </c>
      <c r="E33" s="188">
        <f t="shared" si="102"/>
        <v>2818.8394462868141</v>
      </c>
      <c r="F33" s="187">
        <f t="shared" si="103"/>
        <v>467.22974989630995</v>
      </c>
      <c r="G33" s="187">
        <f t="shared" si="104"/>
        <v>8.8409121432409989</v>
      </c>
      <c r="H33" s="188">
        <f t="shared" si="105"/>
        <v>476.07066203955094</v>
      </c>
      <c r="I33" s="187">
        <f t="shared" si="106"/>
        <v>0</v>
      </c>
      <c r="J33" s="187">
        <f t="shared" si="107"/>
        <v>0</v>
      </c>
      <c r="K33" s="188">
        <f t="shared" si="108"/>
        <v>0</v>
      </c>
      <c r="L33" s="187">
        <f t="shared" si="109"/>
        <v>233.61487494815498</v>
      </c>
      <c r="M33" s="187">
        <f t="shared" si="110"/>
        <v>4.4204560716204995</v>
      </c>
      <c r="N33" s="188">
        <f t="shared" si="111"/>
        <v>238.03533101977547</v>
      </c>
      <c r="O33" s="187">
        <f t="shared" si="112"/>
        <v>98.364157872907342</v>
      </c>
      <c r="P33" s="187">
        <f t="shared" si="113"/>
        <v>1.8612446617349465</v>
      </c>
      <c r="Q33" s="188">
        <f t="shared" si="114"/>
        <v>100.22540253464228</v>
      </c>
      <c r="R33" s="187">
        <f t="shared" si="115"/>
        <v>627.07150643978434</v>
      </c>
      <c r="S33" s="187">
        <f t="shared" si="116"/>
        <v>11.865434718560287</v>
      </c>
      <c r="T33" s="188">
        <f t="shared" si="117"/>
        <v>638.93694115834467</v>
      </c>
      <c r="U33" s="187">
        <f t="shared" si="118"/>
        <v>36.886559202340266</v>
      </c>
      <c r="V33" s="187">
        <f t="shared" si="119"/>
        <v>0.69796674815060522</v>
      </c>
      <c r="W33" s="188">
        <f t="shared" si="120"/>
        <v>37.584525950490871</v>
      </c>
      <c r="X33" s="187">
        <f t="shared" si="121"/>
        <v>4309.6923089896181</v>
      </c>
    </row>
    <row r="34" spans="1:48">
      <c r="A34" s="169">
        <f>VLOOKUP(B34,Misc_inputs!$A$3:$B$33,2,0)</f>
        <v>2.0003592159356653</v>
      </c>
      <c r="B34" s="168">
        <v>2026</v>
      </c>
      <c r="C34" s="187">
        <f t="shared" si="100"/>
        <v>2818.8394462868141</v>
      </c>
      <c r="D34" s="187">
        <f t="shared" si="101"/>
        <v>56.386914646228171</v>
      </c>
      <c r="E34" s="188">
        <f t="shared" si="102"/>
        <v>2875.2263609330421</v>
      </c>
      <c r="F34" s="187">
        <f t="shared" si="103"/>
        <v>476.07066203955094</v>
      </c>
      <c r="G34" s="187">
        <f t="shared" si="104"/>
        <v>9.5231233624740916</v>
      </c>
      <c r="H34" s="188">
        <f t="shared" si="105"/>
        <v>485.59378540202505</v>
      </c>
      <c r="I34" s="187">
        <f t="shared" si="106"/>
        <v>0</v>
      </c>
      <c r="J34" s="187">
        <f t="shared" si="107"/>
        <v>0</v>
      </c>
      <c r="K34" s="188">
        <f t="shared" si="108"/>
        <v>0</v>
      </c>
      <c r="L34" s="187">
        <f t="shared" si="109"/>
        <v>238.03533101977547</v>
      </c>
      <c r="M34" s="187">
        <f t="shared" si="110"/>
        <v>4.7615616812370458</v>
      </c>
      <c r="N34" s="188">
        <f t="shared" si="111"/>
        <v>242.79689270101252</v>
      </c>
      <c r="O34" s="187">
        <f t="shared" si="112"/>
        <v>100.22540253464228</v>
      </c>
      <c r="P34" s="187">
        <f t="shared" si="113"/>
        <v>2.004868076310335</v>
      </c>
      <c r="Q34" s="188">
        <f t="shared" si="114"/>
        <v>102.23027061095262</v>
      </c>
      <c r="R34" s="187">
        <f t="shared" si="115"/>
        <v>638.93694115834467</v>
      </c>
      <c r="S34" s="187">
        <f t="shared" si="116"/>
        <v>12.781033986478388</v>
      </c>
      <c r="T34" s="188">
        <f t="shared" si="117"/>
        <v>651.71797514482307</v>
      </c>
      <c r="U34" s="187">
        <f t="shared" si="118"/>
        <v>37.584525950490871</v>
      </c>
      <c r="V34" s="187">
        <f t="shared" si="119"/>
        <v>0.75182552861637586</v>
      </c>
      <c r="W34" s="188">
        <f t="shared" si="120"/>
        <v>38.33635147910725</v>
      </c>
      <c r="X34" s="187">
        <f t="shared" si="121"/>
        <v>4395.9016362709626</v>
      </c>
    </row>
    <row r="35" spans="1:48">
      <c r="A35" s="169">
        <f>VLOOKUP(B35,Misc_inputs!$A$3:$B$33,2,0)</f>
        <v>0</v>
      </c>
      <c r="B35" s="168">
        <v>2027</v>
      </c>
      <c r="C35" s="187">
        <f t="shared" si="100"/>
        <v>2875.2263609330421</v>
      </c>
      <c r="D35" s="187">
        <f t="shared" si="101"/>
        <v>0</v>
      </c>
      <c r="E35" s="188">
        <f t="shared" si="102"/>
        <v>2875.2263609330421</v>
      </c>
      <c r="F35" s="187">
        <f t="shared" si="103"/>
        <v>485.59378540202505</v>
      </c>
      <c r="G35" s="187">
        <f t="shared" si="104"/>
        <v>0</v>
      </c>
      <c r="H35" s="188">
        <f t="shared" si="105"/>
        <v>485.59378540202505</v>
      </c>
      <c r="I35" s="187">
        <f t="shared" si="106"/>
        <v>0</v>
      </c>
      <c r="J35" s="187">
        <f t="shared" si="107"/>
        <v>0</v>
      </c>
      <c r="K35" s="188">
        <f t="shared" si="108"/>
        <v>0</v>
      </c>
      <c r="L35" s="187">
        <f t="shared" si="109"/>
        <v>242.79689270101252</v>
      </c>
      <c r="M35" s="187">
        <f t="shared" si="110"/>
        <v>0</v>
      </c>
      <c r="N35" s="188">
        <f t="shared" si="111"/>
        <v>242.79689270101252</v>
      </c>
      <c r="O35" s="187">
        <f t="shared" si="112"/>
        <v>102.23027061095262</v>
      </c>
      <c r="P35" s="187">
        <f t="shared" si="113"/>
        <v>0</v>
      </c>
      <c r="Q35" s="188">
        <f t="shared" si="114"/>
        <v>102.23027061095262</v>
      </c>
      <c r="R35" s="187">
        <f t="shared" si="115"/>
        <v>651.71797514482307</v>
      </c>
      <c r="S35" s="187">
        <f t="shared" si="116"/>
        <v>0</v>
      </c>
      <c r="T35" s="188">
        <f t="shared" si="117"/>
        <v>651.71797514482307</v>
      </c>
      <c r="U35" s="187">
        <f t="shared" si="118"/>
        <v>38.33635147910725</v>
      </c>
      <c r="V35" s="187">
        <f t="shared" si="119"/>
        <v>0</v>
      </c>
      <c r="W35" s="188">
        <f t="shared" si="120"/>
        <v>38.33635147910725</v>
      </c>
      <c r="X35" s="187">
        <f t="shared" si="121"/>
        <v>4395.9016362709626</v>
      </c>
    </row>
    <row r="36" spans="1:48">
      <c r="A36" s="169">
        <f>VLOOKUP(B36,Misc_inputs!$A$3:$B$33,2,0)</f>
        <v>0</v>
      </c>
      <c r="B36" s="168">
        <v>2028</v>
      </c>
      <c r="C36" s="187">
        <f t="shared" si="100"/>
        <v>2875.2263609330421</v>
      </c>
      <c r="D36" s="187">
        <f t="shared" si="101"/>
        <v>0</v>
      </c>
      <c r="E36" s="188">
        <f t="shared" si="102"/>
        <v>2875.2263609330421</v>
      </c>
      <c r="F36" s="187">
        <f t="shared" si="103"/>
        <v>485.59378540202505</v>
      </c>
      <c r="G36" s="187">
        <f t="shared" si="104"/>
        <v>0</v>
      </c>
      <c r="H36" s="188">
        <f t="shared" si="105"/>
        <v>485.59378540202505</v>
      </c>
      <c r="I36" s="187">
        <f t="shared" si="106"/>
        <v>0</v>
      </c>
      <c r="J36" s="187">
        <f t="shared" si="107"/>
        <v>0</v>
      </c>
      <c r="K36" s="188">
        <f t="shared" si="108"/>
        <v>0</v>
      </c>
      <c r="L36" s="187">
        <f t="shared" si="109"/>
        <v>242.79689270101252</v>
      </c>
      <c r="M36" s="187">
        <f t="shared" si="110"/>
        <v>0</v>
      </c>
      <c r="N36" s="188">
        <f t="shared" si="111"/>
        <v>242.79689270101252</v>
      </c>
      <c r="O36" s="187">
        <f t="shared" si="112"/>
        <v>102.23027061095262</v>
      </c>
      <c r="P36" s="187">
        <f t="shared" si="113"/>
        <v>0</v>
      </c>
      <c r="Q36" s="188">
        <f t="shared" si="114"/>
        <v>102.23027061095262</v>
      </c>
      <c r="R36" s="187">
        <f t="shared" si="115"/>
        <v>651.71797514482307</v>
      </c>
      <c r="S36" s="187">
        <f t="shared" si="116"/>
        <v>0</v>
      </c>
      <c r="T36" s="188">
        <f t="shared" si="117"/>
        <v>651.71797514482307</v>
      </c>
      <c r="U36" s="187">
        <f t="shared" si="118"/>
        <v>38.33635147910725</v>
      </c>
      <c r="V36" s="187">
        <f t="shared" si="119"/>
        <v>0</v>
      </c>
      <c r="W36" s="188">
        <f t="shared" si="120"/>
        <v>38.33635147910725</v>
      </c>
      <c r="X36" s="187">
        <f t="shared" si="121"/>
        <v>4395.9016362709626</v>
      </c>
    </row>
    <row r="37" spans="1:48">
      <c r="A37" s="169">
        <f>VLOOKUP(B37,Misc_inputs!$A$3:$B$33,2,0)</f>
        <v>0</v>
      </c>
      <c r="B37" s="168">
        <v>2029</v>
      </c>
      <c r="C37" s="187">
        <f t="shared" si="100"/>
        <v>2875.2263609330421</v>
      </c>
      <c r="D37" s="187">
        <f t="shared" si="101"/>
        <v>0</v>
      </c>
      <c r="E37" s="188">
        <f t="shared" si="102"/>
        <v>2875.2263609330421</v>
      </c>
      <c r="F37" s="187">
        <f t="shared" si="103"/>
        <v>485.59378540202505</v>
      </c>
      <c r="G37" s="187">
        <f t="shared" si="104"/>
        <v>0</v>
      </c>
      <c r="H37" s="188">
        <f t="shared" si="105"/>
        <v>485.59378540202505</v>
      </c>
      <c r="I37" s="187">
        <f t="shared" si="106"/>
        <v>0</v>
      </c>
      <c r="J37" s="187">
        <f t="shared" si="107"/>
        <v>0</v>
      </c>
      <c r="K37" s="188">
        <f t="shared" si="108"/>
        <v>0</v>
      </c>
      <c r="L37" s="187">
        <f t="shared" si="109"/>
        <v>242.79689270101252</v>
      </c>
      <c r="M37" s="187">
        <f t="shared" si="110"/>
        <v>0</v>
      </c>
      <c r="N37" s="188">
        <f t="shared" si="111"/>
        <v>242.79689270101252</v>
      </c>
      <c r="O37" s="187">
        <f t="shared" si="112"/>
        <v>102.23027061095262</v>
      </c>
      <c r="P37" s="187">
        <f t="shared" si="113"/>
        <v>0</v>
      </c>
      <c r="Q37" s="188">
        <f t="shared" si="114"/>
        <v>102.23027061095262</v>
      </c>
      <c r="R37" s="187">
        <f t="shared" si="115"/>
        <v>651.71797514482307</v>
      </c>
      <c r="S37" s="187">
        <f t="shared" si="116"/>
        <v>0</v>
      </c>
      <c r="T37" s="188">
        <f t="shared" si="117"/>
        <v>651.71797514482307</v>
      </c>
      <c r="U37" s="187">
        <f t="shared" si="118"/>
        <v>38.33635147910725</v>
      </c>
      <c r="V37" s="187">
        <f t="shared" si="119"/>
        <v>0</v>
      </c>
      <c r="W37" s="188">
        <f t="shared" si="120"/>
        <v>38.33635147910725</v>
      </c>
      <c r="X37" s="187">
        <f t="shared" si="121"/>
        <v>4395.9016362709626</v>
      </c>
    </row>
    <row r="38" spans="1:48">
      <c r="A38" s="169">
        <f>VLOOKUP(B38,Misc_inputs!$A$3:$B$33,2,0)</f>
        <v>0</v>
      </c>
      <c r="B38" s="168">
        <v>2030</v>
      </c>
      <c r="C38" s="187">
        <f t="shared" si="100"/>
        <v>2875.2263609330421</v>
      </c>
      <c r="D38" s="187">
        <f t="shared" si="101"/>
        <v>0</v>
      </c>
      <c r="E38" s="188">
        <f t="shared" si="102"/>
        <v>2875.2263609330421</v>
      </c>
      <c r="F38" s="187">
        <f t="shared" si="103"/>
        <v>485.59378540202505</v>
      </c>
      <c r="G38" s="187">
        <f t="shared" si="104"/>
        <v>0</v>
      </c>
      <c r="H38" s="188">
        <f t="shared" si="105"/>
        <v>485.59378540202505</v>
      </c>
      <c r="I38" s="187">
        <f t="shared" si="106"/>
        <v>0</v>
      </c>
      <c r="J38" s="187">
        <f t="shared" si="107"/>
        <v>0</v>
      </c>
      <c r="K38" s="188">
        <f t="shared" si="108"/>
        <v>0</v>
      </c>
      <c r="L38" s="187">
        <f t="shared" si="109"/>
        <v>242.79689270101252</v>
      </c>
      <c r="M38" s="187">
        <f t="shared" si="110"/>
        <v>0</v>
      </c>
      <c r="N38" s="188">
        <f t="shared" si="111"/>
        <v>242.79689270101252</v>
      </c>
      <c r="O38" s="187">
        <f t="shared" si="112"/>
        <v>102.23027061095262</v>
      </c>
      <c r="P38" s="187">
        <f t="shared" si="113"/>
        <v>0</v>
      </c>
      <c r="Q38" s="188">
        <f t="shared" si="114"/>
        <v>102.23027061095262</v>
      </c>
      <c r="R38" s="187">
        <f t="shared" si="115"/>
        <v>651.71797514482307</v>
      </c>
      <c r="S38" s="187">
        <f t="shared" si="116"/>
        <v>0</v>
      </c>
      <c r="T38" s="188">
        <f t="shared" si="117"/>
        <v>651.71797514482307</v>
      </c>
      <c r="U38" s="187">
        <f t="shared" si="118"/>
        <v>38.33635147910725</v>
      </c>
      <c r="V38" s="187">
        <f t="shared" si="119"/>
        <v>0</v>
      </c>
      <c r="W38" s="188">
        <f t="shared" si="120"/>
        <v>38.33635147910725</v>
      </c>
      <c r="X38" s="187">
        <f t="shared" si="121"/>
        <v>4395.9016362709626</v>
      </c>
    </row>
    <row r="40" spans="1:48" s="190" customFormat="1" ht="23">
      <c r="A40" s="183" t="s">
        <v>419</v>
      </c>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row>
    <row r="41" spans="1:48" ht="77.5">
      <c r="A41" s="173" t="s">
        <v>539</v>
      </c>
      <c r="B41" s="172" t="s">
        <v>342</v>
      </c>
      <c r="C41" s="172" t="str">
        <f>Cost_of_crime_Raw_data!A68</f>
        <v>Drug offences (e.g. driving under the influence of drugs)</v>
      </c>
      <c r="D41" s="184" t="s">
        <v>540</v>
      </c>
      <c r="E41" s="185" t="s">
        <v>541</v>
      </c>
      <c r="F41" s="172" t="str">
        <f>Cost_of_crime_Raw_data!A69</f>
        <v>Alcohol offences (e.g. driving under the influence of alcohol)</v>
      </c>
      <c r="G41" s="184" t="s">
        <v>540</v>
      </c>
      <c r="H41" s="185" t="s">
        <v>541</v>
      </c>
      <c r="I41" s="172" t="str">
        <f>Cost_of_crime_Raw_data!A70</f>
        <v>Other indictable non- motoring offences</v>
      </c>
      <c r="J41" s="184" t="s">
        <v>540</v>
      </c>
      <c r="K41" s="185" t="s">
        <v>541</v>
      </c>
      <c r="L41" s="172" t="str">
        <f>Cost_of_crime_Raw_data!A71</f>
        <v>Indictable motoring offences</v>
      </c>
      <c r="M41" s="184" t="s">
        <v>540</v>
      </c>
      <c r="N41" s="185" t="s">
        <v>541</v>
      </c>
      <c r="O41" s="172" t="str">
        <f>Cost_of_crime_Raw_data!A72</f>
        <v>Summary non-motoring offences</v>
      </c>
      <c r="P41" s="184" t="s">
        <v>540</v>
      </c>
      <c r="Q41" s="185" t="s">
        <v>541</v>
      </c>
      <c r="R41" s="172" t="str">
        <f>Cost_of_crime_Raw_data!A73</f>
        <v>Summary motoring offences</v>
      </c>
      <c r="S41" s="184" t="s">
        <v>540</v>
      </c>
      <c r="T41" s="185" t="s">
        <v>541</v>
      </c>
      <c r="U41" s="172" t="str">
        <f>Cost_of_crime_Raw_data!A74</f>
        <v>TOTAL TRAFFIC/ MOTORING/ OTHER</v>
      </c>
    </row>
    <row r="42" spans="1:48">
      <c r="B42" s="168">
        <v>2000</v>
      </c>
      <c r="C42" s="169" t="s">
        <v>429</v>
      </c>
      <c r="D42" s="187" t="e">
        <f>C42*$A42/100</f>
        <v>#VALUE!</v>
      </c>
      <c r="E42" s="188" t="e">
        <f>C42+D42</f>
        <v>#VALUE!</v>
      </c>
      <c r="F42" s="169" t="s">
        <v>429</v>
      </c>
      <c r="G42" s="187" t="e">
        <f>F42*$A42/100</f>
        <v>#VALUE!</v>
      </c>
      <c r="H42" s="188" t="e">
        <f>F42+G42</f>
        <v>#VALUE!</v>
      </c>
      <c r="I42" s="169" t="s">
        <v>429</v>
      </c>
      <c r="J42" s="187" t="e">
        <f>I42*$A42/100</f>
        <v>#VALUE!</v>
      </c>
      <c r="K42" s="188" t="e">
        <f>I42+J42</f>
        <v>#VALUE!</v>
      </c>
      <c r="L42" s="169" t="s">
        <v>429</v>
      </c>
      <c r="M42" s="187" t="e">
        <f>L42*$A42/100</f>
        <v>#VALUE!</v>
      </c>
      <c r="N42" s="188" t="e">
        <f>L42+M42</f>
        <v>#VALUE!</v>
      </c>
      <c r="O42" s="169" t="s">
        <v>429</v>
      </c>
      <c r="P42" s="187" t="e">
        <f>O42*$A42/100</f>
        <v>#VALUE!</v>
      </c>
      <c r="Q42" s="188" t="e">
        <f>O42+P42</f>
        <v>#VALUE!</v>
      </c>
      <c r="R42" s="169" t="s">
        <v>429</v>
      </c>
      <c r="S42" s="187" t="e">
        <f>R42*$A42/100</f>
        <v>#VALUE!</v>
      </c>
      <c r="T42" s="188" t="e">
        <f>R42+S42</f>
        <v>#VALUE!</v>
      </c>
      <c r="U42" s="187" t="e">
        <f>SUM(T42,Q42,N42,K42,H42,E42)</f>
        <v>#VALUE!</v>
      </c>
    </row>
    <row r="43" spans="1:48">
      <c r="A43" s="169">
        <f>VLOOKUP(B43,Misc_inputs!$A$3:$B$33,2,0)</f>
        <v>1.8509525763893939</v>
      </c>
      <c r="B43" s="168">
        <v>2001</v>
      </c>
      <c r="C43" s="169" t="s">
        <v>429</v>
      </c>
      <c r="D43" s="187" t="e">
        <f>C43*$A43/100</f>
        <v>#VALUE!</v>
      </c>
      <c r="E43" s="188" t="e">
        <f>C43+D43</f>
        <v>#VALUE!</v>
      </c>
      <c r="F43" s="169" t="s">
        <v>429</v>
      </c>
      <c r="G43" s="187" t="e">
        <f>F43*$A43/100</f>
        <v>#VALUE!</v>
      </c>
      <c r="H43" s="188" t="e">
        <f>F43+G43</f>
        <v>#VALUE!</v>
      </c>
      <c r="I43" s="169" t="s">
        <v>429</v>
      </c>
      <c r="J43" s="187" t="e">
        <f>I43*$A43/100</f>
        <v>#VALUE!</v>
      </c>
      <c r="K43" s="188" t="e">
        <f>I43+J43</f>
        <v>#VALUE!</v>
      </c>
      <c r="L43" s="169" t="s">
        <v>429</v>
      </c>
      <c r="M43" s="187" t="e">
        <f>L43*$A43/100</f>
        <v>#VALUE!</v>
      </c>
      <c r="N43" s="188" t="e">
        <f>L43+M43</f>
        <v>#VALUE!</v>
      </c>
      <c r="O43" s="169" t="s">
        <v>429</v>
      </c>
      <c r="P43" s="187" t="e">
        <f>O43*$A43/100</f>
        <v>#VALUE!</v>
      </c>
      <c r="Q43" s="188" t="e">
        <f>O43+P43</f>
        <v>#VALUE!</v>
      </c>
      <c r="R43" s="169" t="s">
        <v>429</v>
      </c>
      <c r="S43" s="187" t="e">
        <f>R43*$A43/100</f>
        <v>#VALUE!</v>
      </c>
      <c r="T43" s="188" t="e">
        <f>R43+S43</f>
        <v>#VALUE!</v>
      </c>
      <c r="U43" s="187" t="e">
        <f t="shared" ref="U43:U72" si="122">SUM(T43,Q43,N43,K43,H43,E43)</f>
        <v>#VALUE!</v>
      </c>
    </row>
    <row r="44" spans="1:48">
      <c r="A44" s="169">
        <f>VLOOKUP(B44,Misc_inputs!$A$3:$B$33,2,0)</f>
        <v>2.0601670280994799</v>
      </c>
      <c r="B44" s="168">
        <v>2002</v>
      </c>
      <c r="C44" s="169" t="s">
        <v>429</v>
      </c>
      <c r="D44" s="187" t="e">
        <f t="shared" ref="D44:D55" si="123">C44*$A44/100</f>
        <v>#VALUE!</v>
      </c>
      <c r="E44" s="188" t="e">
        <f t="shared" ref="E44:E72" si="124">C44+D44</f>
        <v>#VALUE!</v>
      </c>
      <c r="F44" s="169" t="s">
        <v>429</v>
      </c>
      <c r="G44" s="187" t="e">
        <f t="shared" ref="G44:G55" si="125">F44*$A44/100</f>
        <v>#VALUE!</v>
      </c>
      <c r="H44" s="188" t="e">
        <f t="shared" ref="H44:H72" si="126">F44+G44</f>
        <v>#VALUE!</v>
      </c>
      <c r="I44" s="169" t="s">
        <v>429</v>
      </c>
      <c r="J44" s="187" t="e">
        <f t="shared" ref="J44:J55" si="127">I44*$A44/100</f>
        <v>#VALUE!</v>
      </c>
      <c r="K44" s="188" t="e">
        <f t="shared" ref="K44:K72" si="128">I44+J44</f>
        <v>#VALUE!</v>
      </c>
      <c r="L44" s="169" t="s">
        <v>429</v>
      </c>
      <c r="M44" s="187" t="e">
        <f t="shared" ref="M44:M55" si="129">L44*$A44/100</f>
        <v>#VALUE!</v>
      </c>
      <c r="N44" s="188" t="e">
        <f t="shared" ref="N44:N72" si="130">L44+M44</f>
        <v>#VALUE!</v>
      </c>
      <c r="O44" s="169" t="s">
        <v>429</v>
      </c>
      <c r="P44" s="187" t="e">
        <f t="shared" ref="P44:P55" si="131">O44*$A44/100</f>
        <v>#VALUE!</v>
      </c>
      <c r="Q44" s="188" t="e">
        <f t="shared" ref="Q44:Q72" si="132">O44+P44</f>
        <v>#VALUE!</v>
      </c>
      <c r="R44" s="169" t="s">
        <v>429</v>
      </c>
      <c r="S44" s="187" t="e">
        <f t="shared" ref="S44:S55" si="133">R44*$A44/100</f>
        <v>#VALUE!</v>
      </c>
      <c r="T44" s="188" t="e">
        <f t="shared" ref="T44:T72" si="134">R44+S44</f>
        <v>#VALUE!</v>
      </c>
      <c r="U44" s="187" t="e">
        <f t="shared" si="122"/>
        <v>#VALUE!</v>
      </c>
    </row>
    <row r="45" spans="1:48">
      <c r="A45" s="169">
        <f>VLOOKUP(B45,Misc_inputs!$A$3:$B$33,2,0)</f>
        <v>2.7352938960343987</v>
      </c>
      <c r="B45" s="168">
        <v>2003</v>
      </c>
      <c r="C45" s="169" t="s">
        <v>429</v>
      </c>
      <c r="D45" s="187" t="e">
        <f t="shared" si="123"/>
        <v>#VALUE!</v>
      </c>
      <c r="E45" s="188" t="e">
        <f t="shared" si="124"/>
        <v>#VALUE!</v>
      </c>
      <c r="F45" s="169" t="s">
        <v>429</v>
      </c>
      <c r="G45" s="187" t="e">
        <f t="shared" si="125"/>
        <v>#VALUE!</v>
      </c>
      <c r="H45" s="188" t="e">
        <f t="shared" si="126"/>
        <v>#VALUE!</v>
      </c>
      <c r="I45" s="169" t="s">
        <v>429</v>
      </c>
      <c r="J45" s="187" t="e">
        <f t="shared" si="127"/>
        <v>#VALUE!</v>
      </c>
      <c r="K45" s="188" t="e">
        <f t="shared" si="128"/>
        <v>#VALUE!</v>
      </c>
      <c r="L45" s="169" t="s">
        <v>429</v>
      </c>
      <c r="M45" s="187" t="e">
        <f t="shared" si="129"/>
        <v>#VALUE!</v>
      </c>
      <c r="N45" s="188" t="e">
        <f t="shared" si="130"/>
        <v>#VALUE!</v>
      </c>
      <c r="O45" s="169" t="s">
        <v>429</v>
      </c>
      <c r="P45" s="187" t="e">
        <f t="shared" si="131"/>
        <v>#VALUE!</v>
      </c>
      <c r="Q45" s="188" t="e">
        <f t="shared" si="132"/>
        <v>#VALUE!</v>
      </c>
      <c r="R45" s="169" t="s">
        <v>429</v>
      </c>
      <c r="S45" s="187" t="e">
        <f t="shared" si="133"/>
        <v>#VALUE!</v>
      </c>
      <c r="T45" s="188" t="e">
        <f t="shared" si="134"/>
        <v>#VALUE!</v>
      </c>
      <c r="U45" s="187" t="e">
        <f t="shared" si="122"/>
        <v>#VALUE!</v>
      </c>
    </row>
    <row r="46" spans="1:48">
      <c r="A46" s="169">
        <f>VLOOKUP(B46,Misc_inputs!$A$3:$B$33,2,0)</f>
        <v>2.5734301841181981</v>
      </c>
      <c r="B46" s="168">
        <v>2004</v>
      </c>
      <c r="C46" s="169" t="s">
        <v>429</v>
      </c>
      <c r="D46" s="187" t="e">
        <f t="shared" si="123"/>
        <v>#VALUE!</v>
      </c>
      <c r="E46" s="188" t="e">
        <f t="shared" si="124"/>
        <v>#VALUE!</v>
      </c>
      <c r="F46" s="169" t="s">
        <v>429</v>
      </c>
      <c r="G46" s="187" t="e">
        <f t="shared" si="125"/>
        <v>#VALUE!</v>
      </c>
      <c r="H46" s="188" t="e">
        <f t="shared" si="126"/>
        <v>#VALUE!</v>
      </c>
      <c r="I46" s="169" t="s">
        <v>429</v>
      </c>
      <c r="J46" s="187" t="e">
        <f t="shared" si="127"/>
        <v>#VALUE!</v>
      </c>
      <c r="K46" s="188" t="e">
        <f t="shared" si="128"/>
        <v>#VALUE!</v>
      </c>
      <c r="L46" s="169" t="s">
        <v>429</v>
      </c>
      <c r="M46" s="187" t="e">
        <f t="shared" si="129"/>
        <v>#VALUE!</v>
      </c>
      <c r="N46" s="188" t="e">
        <f t="shared" si="130"/>
        <v>#VALUE!</v>
      </c>
      <c r="O46" s="169" t="s">
        <v>429</v>
      </c>
      <c r="P46" s="187" t="e">
        <f t="shared" si="131"/>
        <v>#VALUE!</v>
      </c>
      <c r="Q46" s="188" t="e">
        <f t="shared" si="132"/>
        <v>#VALUE!</v>
      </c>
      <c r="R46" s="169" t="s">
        <v>429</v>
      </c>
      <c r="S46" s="187" t="e">
        <f t="shared" si="133"/>
        <v>#VALUE!</v>
      </c>
      <c r="T46" s="188" t="e">
        <f t="shared" si="134"/>
        <v>#VALUE!</v>
      </c>
      <c r="U46" s="187" t="e">
        <f t="shared" si="122"/>
        <v>#VALUE!</v>
      </c>
    </row>
    <row r="47" spans="1:48">
      <c r="A47" s="169">
        <f>VLOOKUP(B47,Misc_inputs!$A$3:$B$33,2,0)</f>
        <v>3.1315066925981085</v>
      </c>
      <c r="B47" s="168">
        <v>2005</v>
      </c>
      <c r="C47" s="169" t="s">
        <v>429</v>
      </c>
      <c r="D47" s="187" t="e">
        <f t="shared" si="123"/>
        <v>#VALUE!</v>
      </c>
      <c r="E47" s="188" t="e">
        <f t="shared" si="124"/>
        <v>#VALUE!</v>
      </c>
      <c r="F47" s="169" t="s">
        <v>429</v>
      </c>
      <c r="G47" s="187" t="e">
        <f t="shared" si="125"/>
        <v>#VALUE!</v>
      </c>
      <c r="H47" s="188" t="e">
        <f t="shared" si="126"/>
        <v>#VALUE!</v>
      </c>
      <c r="I47" s="169" t="s">
        <v>429</v>
      </c>
      <c r="J47" s="187" t="e">
        <f t="shared" si="127"/>
        <v>#VALUE!</v>
      </c>
      <c r="K47" s="188" t="e">
        <f t="shared" si="128"/>
        <v>#VALUE!</v>
      </c>
      <c r="L47" s="169" t="s">
        <v>429</v>
      </c>
      <c r="M47" s="187" t="e">
        <f t="shared" si="129"/>
        <v>#VALUE!</v>
      </c>
      <c r="N47" s="188" t="e">
        <f t="shared" si="130"/>
        <v>#VALUE!</v>
      </c>
      <c r="O47" s="169" t="s">
        <v>429</v>
      </c>
      <c r="P47" s="187" t="e">
        <f t="shared" si="131"/>
        <v>#VALUE!</v>
      </c>
      <c r="Q47" s="188" t="e">
        <f t="shared" si="132"/>
        <v>#VALUE!</v>
      </c>
      <c r="R47" s="169" t="s">
        <v>429</v>
      </c>
      <c r="S47" s="187" t="e">
        <f t="shared" si="133"/>
        <v>#VALUE!</v>
      </c>
      <c r="T47" s="188" t="e">
        <f t="shared" si="134"/>
        <v>#VALUE!</v>
      </c>
      <c r="U47" s="187" t="e">
        <f t="shared" si="122"/>
        <v>#VALUE!</v>
      </c>
    </row>
    <row r="48" spans="1:48">
      <c r="A48" s="169">
        <f>VLOOKUP(B48,Misc_inputs!$A$3:$B$33,2,0)</f>
        <v>2.853248435199073</v>
      </c>
      <c r="B48" s="168">
        <v>2006</v>
      </c>
      <c r="C48" s="169" t="s">
        <v>429</v>
      </c>
      <c r="D48" s="187" t="e">
        <f t="shared" si="123"/>
        <v>#VALUE!</v>
      </c>
      <c r="E48" s="188" t="e">
        <f t="shared" si="124"/>
        <v>#VALUE!</v>
      </c>
      <c r="F48" s="169" t="s">
        <v>429</v>
      </c>
      <c r="G48" s="187" t="e">
        <f t="shared" si="125"/>
        <v>#VALUE!</v>
      </c>
      <c r="H48" s="188" t="e">
        <f t="shared" si="126"/>
        <v>#VALUE!</v>
      </c>
      <c r="I48" s="169" t="s">
        <v>429</v>
      </c>
      <c r="J48" s="187" t="e">
        <f t="shared" si="127"/>
        <v>#VALUE!</v>
      </c>
      <c r="K48" s="188" t="e">
        <f t="shared" si="128"/>
        <v>#VALUE!</v>
      </c>
      <c r="L48" s="169" t="s">
        <v>429</v>
      </c>
      <c r="M48" s="187" t="e">
        <f t="shared" si="129"/>
        <v>#VALUE!</v>
      </c>
      <c r="N48" s="188" t="e">
        <f t="shared" si="130"/>
        <v>#VALUE!</v>
      </c>
      <c r="O48" s="169" t="s">
        <v>429</v>
      </c>
      <c r="P48" s="187" t="e">
        <f t="shared" si="131"/>
        <v>#VALUE!</v>
      </c>
      <c r="Q48" s="188" t="e">
        <f t="shared" si="132"/>
        <v>#VALUE!</v>
      </c>
      <c r="R48" s="169" t="s">
        <v>429</v>
      </c>
      <c r="S48" s="187" t="e">
        <f t="shared" si="133"/>
        <v>#VALUE!</v>
      </c>
      <c r="T48" s="188" t="e">
        <f t="shared" si="134"/>
        <v>#VALUE!</v>
      </c>
      <c r="U48" s="187" t="e">
        <f t="shared" si="122"/>
        <v>#VALUE!</v>
      </c>
    </row>
    <row r="49" spans="1:21">
      <c r="A49" s="169">
        <f>VLOOKUP(B49,Misc_inputs!$A$3:$B$33,2,0)</f>
        <v>2.7960714791272023</v>
      </c>
      <c r="B49" s="168">
        <v>2007</v>
      </c>
      <c r="C49" s="169" t="s">
        <v>429</v>
      </c>
      <c r="D49" s="187" t="e">
        <f t="shared" si="123"/>
        <v>#VALUE!</v>
      </c>
      <c r="E49" s="188" t="e">
        <f t="shared" si="124"/>
        <v>#VALUE!</v>
      </c>
      <c r="F49" s="169" t="s">
        <v>429</v>
      </c>
      <c r="G49" s="187" t="e">
        <f t="shared" si="125"/>
        <v>#VALUE!</v>
      </c>
      <c r="H49" s="188" t="e">
        <f t="shared" si="126"/>
        <v>#VALUE!</v>
      </c>
      <c r="I49" s="169" t="s">
        <v>429</v>
      </c>
      <c r="J49" s="187" t="e">
        <f t="shared" si="127"/>
        <v>#VALUE!</v>
      </c>
      <c r="K49" s="188" t="e">
        <f t="shared" si="128"/>
        <v>#VALUE!</v>
      </c>
      <c r="L49" s="169" t="s">
        <v>429</v>
      </c>
      <c r="M49" s="187" t="e">
        <f t="shared" si="129"/>
        <v>#VALUE!</v>
      </c>
      <c r="N49" s="188" t="e">
        <f t="shared" si="130"/>
        <v>#VALUE!</v>
      </c>
      <c r="O49" s="169" t="s">
        <v>429</v>
      </c>
      <c r="P49" s="187" t="e">
        <f t="shared" si="131"/>
        <v>#VALUE!</v>
      </c>
      <c r="Q49" s="188" t="e">
        <f t="shared" si="132"/>
        <v>#VALUE!</v>
      </c>
      <c r="R49" s="169" t="s">
        <v>429</v>
      </c>
      <c r="S49" s="187" t="e">
        <f t="shared" si="133"/>
        <v>#VALUE!</v>
      </c>
      <c r="T49" s="188" t="e">
        <f t="shared" si="134"/>
        <v>#VALUE!</v>
      </c>
      <c r="U49" s="187" t="e">
        <f t="shared" si="122"/>
        <v>#VALUE!</v>
      </c>
    </row>
    <row r="50" spans="1:21">
      <c r="A50" s="169">
        <f>VLOOKUP(B50,Misc_inputs!$A$3:$B$33,2,0)</f>
        <v>3.2489393373071294</v>
      </c>
      <c r="B50" s="168">
        <v>2008</v>
      </c>
      <c r="C50" s="169" t="s">
        <v>429</v>
      </c>
      <c r="D50" s="187" t="e">
        <f t="shared" si="123"/>
        <v>#VALUE!</v>
      </c>
      <c r="E50" s="188" t="e">
        <f t="shared" si="124"/>
        <v>#VALUE!</v>
      </c>
      <c r="F50" s="169" t="s">
        <v>429</v>
      </c>
      <c r="G50" s="187" t="e">
        <f t="shared" si="125"/>
        <v>#VALUE!</v>
      </c>
      <c r="H50" s="188" t="e">
        <f t="shared" si="126"/>
        <v>#VALUE!</v>
      </c>
      <c r="I50" s="169" t="s">
        <v>429</v>
      </c>
      <c r="J50" s="187" t="e">
        <f t="shared" si="127"/>
        <v>#VALUE!</v>
      </c>
      <c r="K50" s="188" t="e">
        <f t="shared" si="128"/>
        <v>#VALUE!</v>
      </c>
      <c r="L50" s="169" t="s">
        <v>429</v>
      </c>
      <c r="M50" s="187" t="e">
        <f t="shared" si="129"/>
        <v>#VALUE!</v>
      </c>
      <c r="N50" s="188" t="e">
        <f t="shared" si="130"/>
        <v>#VALUE!</v>
      </c>
      <c r="O50" s="169" t="s">
        <v>429</v>
      </c>
      <c r="P50" s="187" t="e">
        <f t="shared" si="131"/>
        <v>#VALUE!</v>
      </c>
      <c r="Q50" s="188" t="e">
        <f t="shared" si="132"/>
        <v>#VALUE!</v>
      </c>
      <c r="R50" s="169" t="s">
        <v>429</v>
      </c>
      <c r="S50" s="187" t="e">
        <f t="shared" si="133"/>
        <v>#VALUE!</v>
      </c>
      <c r="T50" s="188" t="e">
        <f t="shared" si="134"/>
        <v>#VALUE!</v>
      </c>
      <c r="U50" s="187" t="e">
        <f t="shared" si="122"/>
        <v>#VALUE!</v>
      </c>
    </row>
    <row r="51" spans="1:21">
      <c r="A51" s="169">
        <f>VLOOKUP(B51,Misc_inputs!$A$3:$B$33,2,0)</f>
        <v>1.7010725699507729</v>
      </c>
      <c r="B51" s="168">
        <v>2009</v>
      </c>
      <c r="C51" s="169" t="s">
        <v>429</v>
      </c>
      <c r="D51" s="187" t="e">
        <f t="shared" si="123"/>
        <v>#VALUE!</v>
      </c>
      <c r="E51" s="188" t="e">
        <f t="shared" si="124"/>
        <v>#VALUE!</v>
      </c>
      <c r="F51" s="169" t="s">
        <v>429</v>
      </c>
      <c r="G51" s="187" t="e">
        <f t="shared" si="125"/>
        <v>#VALUE!</v>
      </c>
      <c r="H51" s="188" t="e">
        <f t="shared" si="126"/>
        <v>#VALUE!</v>
      </c>
      <c r="I51" s="169" t="s">
        <v>429</v>
      </c>
      <c r="J51" s="187" t="e">
        <f t="shared" si="127"/>
        <v>#VALUE!</v>
      </c>
      <c r="K51" s="188" t="e">
        <f t="shared" si="128"/>
        <v>#VALUE!</v>
      </c>
      <c r="L51" s="169" t="s">
        <v>429</v>
      </c>
      <c r="M51" s="187" t="e">
        <f t="shared" si="129"/>
        <v>#VALUE!</v>
      </c>
      <c r="N51" s="188" t="e">
        <f t="shared" si="130"/>
        <v>#VALUE!</v>
      </c>
      <c r="O51" s="169" t="s">
        <v>429</v>
      </c>
      <c r="P51" s="187" t="e">
        <f t="shared" si="131"/>
        <v>#VALUE!</v>
      </c>
      <c r="Q51" s="188" t="e">
        <f t="shared" si="132"/>
        <v>#VALUE!</v>
      </c>
      <c r="R51" s="169" t="s">
        <v>429</v>
      </c>
      <c r="S51" s="187" t="e">
        <f t="shared" si="133"/>
        <v>#VALUE!</v>
      </c>
      <c r="T51" s="188" t="e">
        <f t="shared" si="134"/>
        <v>#VALUE!</v>
      </c>
      <c r="U51" s="187" t="e">
        <f t="shared" si="122"/>
        <v>#VALUE!</v>
      </c>
    </row>
    <row r="52" spans="1:21">
      <c r="A52" s="169">
        <f>VLOOKUP(B52,Misc_inputs!$A$3:$B$33,2,0)</f>
        <v>1.3734918692079017</v>
      </c>
      <c r="B52" s="168">
        <v>2010</v>
      </c>
      <c r="C52" s="169" t="s">
        <v>429</v>
      </c>
      <c r="D52" s="187" t="e">
        <f t="shared" si="123"/>
        <v>#VALUE!</v>
      </c>
      <c r="E52" s="188" t="e">
        <f t="shared" si="124"/>
        <v>#VALUE!</v>
      </c>
      <c r="F52" s="169" t="s">
        <v>429</v>
      </c>
      <c r="G52" s="187" t="e">
        <f t="shared" si="125"/>
        <v>#VALUE!</v>
      </c>
      <c r="H52" s="188" t="e">
        <f t="shared" si="126"/>
        <v>#VALUE!</v>
      </c>
      <c r="I52" s="169" t="s">
        <v>429</v>
      </c>
      <c r="J52" s="187" t="e">
        <f t="shared" si="127"/>
        <v>#VALUE!</v>
      </c>
      <c r="K52" s="188" t="e">
        <f t="shared" si="128"/>
        <v>#VALUE!</v>
      </c>
      <c r="L52" s="169" t="s">
        <v>429</v>
      </c>
      <c r="M52" s="187" t="e">
        <f t="shared" si="129"/>
        <v>#VALUE!</v>
      </c>
      <c r="N52" s="188" t="e">
        <f t="shared" si="130"/>
        <v>#VALUE!</v>
      </c>
      <c r="O52" s="169" t="s">
        <v>429</v>
      </c>
      <c r="P52" s="187" t="e">
        <f t="shared" si="131"/>
        <v>#VALUE!</v>
      </c>
      <c r="Q52" s="188" t="e">
        <f t="shared" si="132"/>
        <v>#VALUE!</v>
      </c>
      <c r="R52" s="169" t="s">
        <v>429</v>
      </c>
      <c r="S52" s="187" t="e">
        <f t="shared" si="133"/>
        <v>#VALUE!</v>
      </c>
      <c r="T52" s="188" t="e">
        <f t="shared" si="134"/>
        <v>#VALUE!</v>
      </c>
      <c r="U52" s="187" t="e">
        <f t="shared" si="122"/>
        <v>#VALUE!</v>
      </c>
    </row>
    <row r="53" spans="1:21">
      <c r="A53" s="169">
        <f>VLOOKUP(B53,Misc_inputs!$A$3:$B$33,2,0)</f>
        <v>2.0688542081199257</v>
      </c>
      <c r="B53" s="168">
        <v>2011</v>
      </c>
      <c r="C53" s="169" t="s">
        <v>429</v>
      </c>
      <c r="D53" s="187" t="e">
        <f t="shared" si="123"/>
        <v>#VALUE!</v>
      </c>
      <c r="E53" s="188" t="e">
        <f t="shared" si="124"/>
        <v>#VALUE!</v>
      </c>
      <c r="F53" s="169" t="s">
        <v>429</v>
      </c>
      <c r="G53" s="187" t="e">
        <f t="shared" si="125"/>
        <v>#VALUE!</v>
      </c>
      <c r="H53" s="188" t="e">
        <f t="shared" si="126"/>
        <v>#VALUE!</v>
      </c>
      <c r="I53" s="169" t="s">
        <v>429</v>
      </c>
      <c r="J53" s="187" t="e">
        <f t="shared" si="127"/>
        <v>#VALUE!</v>
      </c>
      <c r="K53" s="188" t="e">
        <f t="shared" si="128"/>
        <v>#VALUE!</v>
      </c>
      <c r="L53" s="169" t="s">
        <v>429</v>
      </c>
      <c r="M53" s="187" t="e">
        <f t="shared" si="129"/>
        <v>#VALUE!</v>
      </c>
      <c r="N53" s="188" t="e">
        <f t="shared" si="130"/>
        <v>#VALUE!</v>
      </c>
      <c r="O53" s="169" t="s">
        <v>429</v>
      </c>
      <c r="P53" s="187" t="e">
        <f t="shared" si="131"/>
        <v>#VALUE!</v>
      </c>
      <c r="Q53" s="188" t="e">
        <f t="shared" si="132"/>
        <v>#VALUE!</v>
      </c>
      <c r="R53" s="169" t="s">
        <v>429</v>
      </c>
      <c r="S53" s="187" t="e">
        <f t="shared" si="133"/>
        <v>#VALUE!</v>
      </c>
      <c r="T53" s="188" t="e">
        <f t="shared" si="134"/>
        <v>#VALUE!</v>
      </c>
      <c r="U53" s="187" t="e">
        <f t="shared" si="122"/>
        <v>#VALUE!</v>
      </c>
    </row>
    <row r="54" spans="1:21">
      <c r="A54" s="169">
        <f>VLOOKUP(B54,Misc_inputs!$A$3:$B$33,2,0)</f>
        <v>1.6091515591183065</v>
      </c>
      <c r="B54" s="168">
        <v>2012</v>
      </c>
      <c r="C54" s="169" t="s">
        <v>429</v>
      </c>
      <c r="D54" s="187" t="e">
        <f t="shared" si="123"/>
        <v>#VALUE!</v>
      </c>
      <c r="E54" s="188" t="e">
        <f t="shared" si="124"/>
        <v>#VALUE!</v>
      </c>
      <c r="F54" s="169" t="s">
        <v>429</v>
      </c>
      <c r="G54" s="187" t="e">
        <f t="shared" si="125"/>
        <v>#VALUE!</v>
      </c>
      <c r="H54" s="188" t="e">
        <f t="shared" si="126"/>
        <v>#VALUE!</v>
      </c>
      <c r="I54" s="169" t="s">
        <v>429</v>
      </c>
      <c r="J54" s="187" t="e">
        <f t="shared" si="127"/>
        <v>#VALUE!</v>
      </c>
      <c r="K54" s="188" t="e">
        <f t="shared" si="128"/>
        <v>#VALUE!</v>
      </c>
      <c r="L54" s="169" t="s">
        <v>429</v>
      </c>
      <c r="M54" s="187" t="e">
        <f t="shared" si="129"/>
        <v>#VALUE!</v>
      </c>
      <c r="N54" s="188" t="e">
        <f t="shared" si="130"/>
        <v>#VALUE!</v>
      </c>
      <c r="O54" s="169" t="s">
        <v>429</v>
      </c>
      <c r="P54" s="187" t="e">
        <f t="shared" si="131"/>
        <v>#VALUE!</v>
      </c>
      <c r="Q54" s="188" t="e">
        <f t="shared" si="132"/>
        <v>#VALUE!</v>
      </c>
      <c r="R54" s="169" t="s">
        <v>429</v>
      </c>
      <c r="S54" s="187" t="e">
        <f t="shared" si="133"/>
        <v>#VALUE!</v>
      </c>
      <c r="T54" s="188" t="e">
        <f t="shared" si="134"/>
        <v>#VALUE!</v>
      </c>
      <c r="U54" s="187" t="e">
        <f t="shared" si="122"/>
        <v>#VALUE!</v>
      </c>
    </row>
    <row r="55" spans="1:21">
      <c r="A55" s="169">
        <f>VLOOKUP(B55,Misc_inputs!$A$3:$B$33,2,0)</f>
        <v>2.2357385540164949</v>
      </c>
      <c r="B55" s="168">
        <v>2013</v>
      </c>
      <c r="C55" s="169" t="s">
        <v>429</v>
      </c>
      <c r="D55" s="187" t="e">
        <f t="shared" si="123"/>
        <v>#VALUE!</v>
      </c>
      <c r="E55" s="188" t="e">
        <f t="shared" si="124"/>
        <v>#VALUE!</v>
      </c>
      <c r="F55" s="169" t="s">
        <v>429</v>
      </c>
      <c r="G55" s="187" t="e">
        <f t="shared" si="125"/>
        <v>#VALUE!</v>
      </c>
      <c r="H55" s="188" t="e">
        <f t="shared" si="126"/>
        <v>#VALUE!</v>
      </c>
      <c r="I55" s="169" t="s">
        <v>429</v>
      </c>
      <c r="J55" s="187" t="e">
        <f t="shared" si="127"/>
        <v>#VALUE!</v>
      </c>
      <c r="K55" s="188" t="e">
        <f t="shared" si="128"/>
        <v>#VALUE!</v>
      </c>
      <c r="L55" s="169" t="s">
        <v>429</v>
      </c>
      <c r="M55" s="187" t="e">
        <f t="shared" si="129"/>
        <v>#VALUE!</v>
      </c>
      <c r="N55" s="188" t="e">
        <f t="shared" si="130"/>
        <v>#VALUE!</v>
      </c>
      <c r="O55" s="169" t="s">
        <v>429</v>
      </c>
      <c r="P55" s="187" t="e">
        <f t="shared" si="131"/>
        <v>#VALUE!</v>
      </c>
      <c r="Q55" s="188" t="e">
        <f t="shared" si="132"/>
        <v>#VALUE!</v>
      </c>
      <c r="R55" s="169" t="s">
        <v>429</v>
      </c>
      <c r="S55" s="187" t="e">
        <f t="shared" si="133"/>
        <v>#VALUE!</v>
      </c>
      <c r="T55" s="188" t="e">
        <f t="shared" si="134"/>
        <v>#VALUE!</v>
      </c>
      <c r="U55" s="187" t="e">
        <f t="shared" si="122"/>
        <v>#VALUE!</v>
      </c>
    </row>
    <row r="56" spans="1:21">
      <c r="A56" s="169">
        <f>VLOOKUP(B56,Misc_inputs!$A$3:$B$33,2,0)</f>
        <v>1.5952823611433897</v>
      </c>
      <c r="B56" s="168">
        <v>2014</v>
      </c>
      <c r="C56" s="169" t="s">
        <v>429</v>
      </c>
      <c r="D56" s="187" t="e">
        <f>C56*$A56/100</f>
        <v>#VALUE!</v>
      </c>
      <c r="E56" s="188" t="e">
        <f t="shared" si="124"/>
        <v>#VALUE!</v>
      </c>
      <c r="F56" s="169" t="s">
        <v>429</v>
      </c>
      <c r="G56" s="187" t="e">
        <f>F56*$A56/100</f>
        <v>#VALUE!</v>
      </c>
      <c r="H56" s="188" t="e">
        <f t="shared" si="126"/>
        <v>#VALUE!</v>
      </c>
      <c r="I56" s="169" t="s">
        <v>429</v>
      </c>
      <c r="J56" s="187" t="e">
        <f>I56*$A56/100</f>
        <v>#VALUE!</v>
      </c>
      <c r="K56" s="188" t="e">
        <f t="shared" si="128"/>
        <v>#VALUE!</v>
      </c>
      <c r="L56" s="169" t="s">
        <v>429</v>
      </c>
      <c r="M56" s="187" t="e">
        <f>L56*$A56/100</f>
        <v>#VALUE!</v>
      </c>
      <c r="N56" s="188" t="e">
        <f t="shared" si="130"/>
        <v>#VALUE!</v>
      </c>
      <c r="O56" s="169" t="s">
        <v>429</v>
      </c>
      <c r="P56" s="187" t="e">
        <f>O56*$A56/100</f>
        <v>#VALUE!</v>
      </c>
      <c r="Q56" s="188" t="e">
        <f t="shared" si="132"/>
        <v>#VALUE!</v>
      </c>
      <c r="R56" s="169" t="s">
        <v>429</v>
      </c>
      <c r="S56" s="187" t="e">
        <f>R56*$A56/100</f>
        <v>#VALUE!</v>
      </c>
      <c r="T56" s="188" t="e">
        <f t="shared" si="134"/>
        <v>#VALUE!</v>
      </c>
      <c r="U56" s="187" t="e">
        <f t="shared" si="122"/>
        <v>#VALUE!</v>
      </c>
    </row>
    <row r="57" spans="1:21">
      <c r="A57" s="169">
        <f>VLOOKUP(B57,Misc_inputs!$A$3:$B$33,2,0)</f>
        <v>0.51307917271416026</v>
      </c>
      <c r="B57" s="168">
        <v>2015</v>
      </c>
      <c r="C57" s="169" t="s">
        <v>429</v>
      </c>
      <c r="D57" s="187" t="e">
        <f t="shared" ref="D57:D72" si="135">C57*$A57/100</f>
        <v>#VALUE!</v>
      </c>
      <c r="E57" s="188" t="e">
        <f t="shared" si="124"/>
        <v>#VALUE!</v>
      </c>
      <c r="F57" s="169" t="s">
        <v>429</v>
      </c>
      <c r="G57" s="187" t="e">
        <f t="shared" ref="G57:G72" si="136">F57*$A57/100</f>
        <v>#VALUE!</v>
      </c>
      <c r="H57" s="188" t="e">
        <f t="shared" si="126"/>
        <v>#VALUE!</v>
      </c>
      <c r="I57" s="169" t="s">
        <v>429</v>
      </c>
      <c r="J57" s="187" t="e">
        <f t="shared" ref="J57:J72" si="137">I57*$A57/100</f>
        <v>#VALUE!</v>
      </c>
      <c r="K57" s="188" t="e">
        <f t="shared" si="128"/>
        <v>#VALUE!</v>
      </c>
      <c r="L57" s="169" t="s">
        <v>429</v>
      </c>
      <c r="M57" s="187" t="e">
        <f t="shared" ref="M57:M72" si="138">L57*$A57/100</f>
        <v>#VALUE!</v>
      </c>
      <c r="N57" s="188" t="e">
        <f t="shared" si="130"/>
        <v>#VALUE!</v>
      </c>
      <c r="O57" s="169" t="s">
        <v>429</v>
      </c>
      <c r="P57" s="187" t="e">
        <f t="shared" ref="P57:P72" si="139">O57*$A57/100</f>
        <v>#VALUE!</v>
      </c>
      <c r="Q57" s="188" t="e">
        <f t="shared" si="132"/>
        <v>#VALUE!</v>
      </c>
      <c r="R57" s="169" t="s">
        <v>429</v>
      </c>
      <c r="S57" s="187" t="e">
        <f t="shared" ref="S57:S72" si="140">R57*$A57/100</f>
        <v>#VALUE!</v>
      </c>
      <c r="T57" s="188" t="e">
        <f t="shared" si="134"/>
        <v>#VALUE!</v>
      </c>
      <c r="U57" s="187" t="e">
        <f t="shared" si="122"/>
        <v>#VALUE!</v>
      </c>
    </row>
    <row r="58" spans="1:21">
      <c r="A58" s="169">
        <f>VLOOKUP(B58,Misc_inputs!$A$3:$B$33,2,0)</f>
        <v>1.8963035451147277</v>
      </c>
      <c r="B58" s="168">
        <v>2016</v>
      </c>
      <c r="C58" s="169" t="s">
        <v>429</v>
      </c>
      <c r="D58" s="187" t="e">
        <f t="shared" si="135"/>
        <v>#VALUE!</v>
      </c>
      <c r="E58" s="188" t="e">
        <f t="shared" si="124"/>
        <v>#VALUE!</v>
      </c>
      <c r="F58" s="169" t="s">
        <v>429</v>
      </c>
      <c r="G58" s="187" t="e">
        <f t="shared" si="136"/>
        <v>#VALUE!</v>
      </c>
      <c r="H58" s="188" t="e">
        <f t="shared" si="126"/>
        <v>#VALUE!</v>
      </c>
      <c r="I58" s="169" t="s">
        <v>429</v>
      </c>
      <c r="J58" s="187" t="e">
        <f t="shared" si="137"/>
        <v>#VALUE!</v>
      </c>
      <c r="K58" s="188" t="e">
        <f t="shared" si="128"/>
        <v>#VALUE!</v>
      </c>
      <c r="L58" s="169" t="s">
        <v>429</v>
      </c>
      <c r="M58" s="187" t="e">
        <f t="shared" si="138"/>
        <v>#VALUE!</v>
      </c>
      <c r="N58" s="188" t="e">
        <f t="shared" si="130"/>
        <v>#VALUE!</v>
      </c>
      <c r="O58" s="169" t="s">
        <v>429</v>
      </c>
      <c r="P58" s="187" t="e">
        <f t="shared" si="139"/>
        <v>#VALUE!</v>
      </c>
      <c r="Q58" s="188" t="e">
        <f t="shared" si="132"/>
        <v>#VALUE!</v>
      </c>
      <c r="R58" s="169" t="s">
        <v>429</v>
      </c>
      <c r="S58" s="187" t="e">
        <f t="shared" si="140"/>
        <v>#VALUE!</v>
      </c>
      <c r="T58" s="188" t="e">
        <f t="shared" si="134"/>
        <v>#VALUE!</v>
      </c>
      <c r="U58" s="187" t="e">
        <f t="shared" si="122"/>
        <v>#VALUE!</v>
      </c>
    </row>
    <row r="59" spans="1:21">
      <c r="A59" s="169">
        <f>VLOOKUP(B59,Misc_inputs!$A$3:$B$33,2,0)</f>
        <v>1.8209228570152332</v>
      </c>
      <c r="B59" s="168">
        <v>2017</v>
      </c>
      <c r="C59" s="169" t="s">
        <v>429</v>
      </c>
      <c r="D59" s="187" t="e">
        <f t="shared" si="135"/>
        <v>#VALUE!</v>
      </c>
      <c r="E59" s="188" t="e">
        <f t="shared" si="124"/>
        <v>#VALUE!</v>
      </c>
      <c r="F59" s="169" t="s">
        <v>429</v>
      </c>
      <c r="G59" s="187" t="e">
        <f t="shared" si="136"/>
        <v>#VALUE!</v>
      </c>
      <c r="H59" s="188" t="e">
        <f t="shared" si="126"/>
        <v>#VALUE!</v>
      </c>
      <c r="I59" s="169" t="s">
        <v>429</v>
      </c>
      <c r="J59" s="187" t="e">
        <f t="shared" si="137"/>
        <v>#VALUE!</v>
      </c>
      <c r="K59" s="188" t="e">
        <f t="shared" si="128"/>
        <v>#VALUE!</v>
      </c>
      <c r="L59" s="169" t="s">
        <v>429</v>
      </c>
      <c r="M59" s="187" t="e">
        <f t="shared" si="138"/>
        <v>#VALUE!</v>
      </c>
      <c r="N59" s="188" t="e">
        <f t="shared" si="130"/>
        <v>#VALUE!</v>
      </c>
      <c r="O59" s="169" t="s">
        <v>429</v>
      </c>
      <c r="P59" s="187" t="e">
        <f t="shared" si="139"/>
        <v>#VALUE!</v>
      </c>
      <c r="Q59" s="188" t="e">
        <f t="shared" si="132"/>
        <v>#VALUE!</v>
      </c>
      <c r="R59" s="169" t="s">
        <v>429</v>
      </c>
      <c r="S59" s="187" t="e">
        <f t="shared" si="140"/>
        <v>#VALUE!</v>
      </c>
      <c r="T59" s="188" t="e">
        <f t="shared" si="134"/>
        <v>#VALUE!</v>
      </c>
      <c r="U59" s="187" t="e">
        <f t="shared" si="122"/>
        <v>#VALUE!</v>
      </c>
    </row>
    <row r="60" spans="1:21">
      <c r="A60" s="169">
        <f>VLOOKUP(B60,Misc_inputs!$A$3:$B$33,2,0)</f>
        <v>1.9988242855231282</v>
      </c>
      <c r="B60" s="168">
        <v>2018</v>
      </c>
      <c r="C60" s="169" t="s">
        <v>429</v>
      </c>
      <c r="D60" s="187" t="e">
        <f t="shared" si="135"/>
        <v>#VALUE!</v>
      </c>
      <c r="E60" s="188" t="e">
        <f t="shared" si="124"/>
        <v>#VALUE!</v>
      </c>
      <c r="F60" s="169" t="s">
        <v>429</v>
      </c>
      <c r="G60" s="187" t="e">
        <f t="shared" si="136"/>
        <v>#VALUE!</v>
      </c>
      <c r="H60" s="188" t="e">
        <f t="shared" si="126"/>
        <v>#VALUE!</v>
      </c>
      <c r="I60" s="169" t="s">
        <v>429</v>
      </c>
      <c r="J60" s="187" t="e">
        <f t="shared" si="137"/>
        <v>#VALUE!</v>
      </c>
      <c r="K60" s="188" t="e">
        <f t="shared" si="128"/>
        <v>#VALUE!</v>
      </c>
      <c r="L60" s="169" t="s">
        <v>429</v>
      </c>
      <c r="M60" s="187" t="e">
        <f t="shared" si="138"/>
        <v>#VALUE!</v>
      </c>
      <c r="N60" s="188" t="e">
        <f t="shared" si="130"/>
        <v>#VALUE!</v>
      </c>
      <c r="O60" s="169" t="s">
        <v>429</v>
      </c>
      <c r="P60" s="187" t="e">
        <f t="shared" si="139"/>
        <v>#VALUE!</v>
      </c>
      <c r="Q60" s="188" t="e">
        <f t="shared" si="132"/>
        <v>#VALUE!</v>
      </c>
      <c r="R60" s="169" t="s">
        <v>429</v>
      </c>
      <c r="S60" s="187" t="e">
        <f t="shared" si="140"/>
        <v>#VALUE!</v>
      </c>
      <c r="T60" s="188" t="e">
        <f t="shared" si="134"/>
        <v>#VALUE!</v>
      </c>
      <c r="U60" s="187" t="e">
        <f t="shared" si="122"/>
        <v>#VALUE!</v>
      </c>
    </row>
    <row r="61" spans="1:21">
      <c r="A61" s="169">
        <f>VLOOKUP(B61,Misc_inputs!$A$3:$B$33,2,0)</f>
        <v>2.0163202370724722</v>
      </c>
      <c r="B61" s="168">
        <v>2019</v>
      </c>
      <c r="C61" s="169" t="s">
        <v>429</v>
      </c>
      <c r="D61" s="187" t="e">
        <f t="shared" si="135"/>
        <v>#VALUE!</v>
      </c>
      <c r="E61" s="188" t="e">
        <f t="shared" si="124"/>
        <v>#VALUE!</v>
      </c>
      <c r="F61" s="169" t="s">
        <v>429</v>
      </c>
      <c r="G61" s="187" t="e">
        <f t="shared" si="136"/>
        <v>#VALUE!</v>
      </c>
      <c r="H61" s="188" t="e">
        <f t="shared" si="126"/>
        <v>#VALUE!</v>
      </c>
      <c r="I61" s="169" t="s">
        <v>429</v>
      </c>
      <c r="J61" s="187" t="e">
        <f t="shared" si="137"/>
        <v>#VALUE!</v>
      </c>
      <c r="K61" s="188" t="e">
        <f t="shared" si="128"/>
        <v>#VALUE!</v>
      </c>
      <c r="L61" s="169" t="s">
        <v>429</v>
      </c>
      <c r="M61" s="187" t="e">
        <f t="shared" si="138"/>
        <v>#VALUE!</v>
      </c>
      <c r="N61" s="188" t="e">
        <f t="shared" si="130"/>
        <v>#VALUE!</v>
      </c>
      <c r="O61" s="169" t="s">
        <v>429</v>
      </c>
      <c r="P61" s="187" t="e">
        <f t="shared" si="139"/>
        <v>#VALUE!</v>
      </c>
      <c r="Q61" s="188" t="e">
        <f t="shared" si="132"/>
        <v>#VALUE!</v>
      </c>
      <c r="R61" s="169" t="s">
        <v>429</v>
      </c>
      <c r="S61" s="187" t="e">
        <f t="shared" si="140"/>
        <v>#VALUE!</v>
      </c>
      <c r="T61" s="188" t="e">
        <f t="shared" si="134"/>
        <v>#VALUE!</v>
      </c>
      <c r="U61" s="187" t="e">
        <f t="shared" si="122"/>
        <v>#VALUE!</v>
      </c>
    </row>
    <row r="62" spans="1:21">
      <c r="A62" s="169">
        <f>VLOOKUP(B62,Misc_inputs!$A$3:$B$33,2,0)</f>
        <v>5.3200852056836103</v>
      </c>
      <c r="B62" s="168">
        <v>2020</v>
      </c>
      <c r="C62" s="169" t="s">
        <v>429</v>
      </c>
      <c r="D62" s="187" t="e">
        <f t="shared" si="135"/>
        <v>#VALUE!</v>
      </c>
      <c r="E62" s="188" t="e">
        <f t="shared" si="124"/>
        <v>#VALUE!</v>
      </c>
      <c r="F62" s="169" t="s">
        <v>429</v>
      </c>
      <c r="G62" s="187" t="e">
        <f t="shared" si="136"/>
        <v>#VALUE!</v>
      </c>
      <c r="H62" s="188" t="e">
        <f t="shared" si="126"/>
        <v>#VALUE!</v>
      </c>
      <c r="I62" s="169" t="s">
        <v>429</v>
      </c>
      <c r="J62" s="187" t="e">
        <f t="shared" si="137"/>
        <v>#VALUE!</v>
      </c>
      <c r="K62" s="188" t="e">
        <f t="shared" si="128"/>
        <v>#VALUE!</v>
      </c>
      <c r="L62" s="169" t="s">
        <v>429</v>
      </c>
      <c r="M62" s="187" t="e">
        <f t="shared" si="138"/>
        <v>#VALUE!</v>
      </c>
      <c r="N62" s="188" t="e">
        <f t="shared" si="130"/>
        <v>#VALUE!</v>
      </c>
      <c r="O62" s="169" t="s">
        <v>429</v>
      </c>
      <c r="P62" s="187" t="e">
        <f t="shared" si="139"/>
        <v>#VALUE!</v>
      </c>
      <c r="Q62" s="188" t="e">
        <f t="shared" si="132"/>
        <v>#VALUE!</v>
      </c>
      <c r="R62" s="169" t="s">
        <v>429</v>
      </c>
      <c r="S62" s="187" t="e">
        <f t="shared" si="140"/>
        <v>#VALUE!</v>
      </c>
      <c r="T62" s="188" t="e">
        <f t="shared" si="134"/>
        <v>#VALUE!</v>
      </c>
      <c r="U62" s="187" t="e">
        <f t="shared" si="122"/>
        <v>#VALUE!</v>
      </c>
    </row>
    <row r="63" spans="1:21">
      <c r="A63" s="169">
        <f>VLOOKUP(B63,Misc_inputs!$A$3:$B$33,2,0)</f>
        <v>7.6258108678813302E-2</v>
      </c>
      <c r="B63" s="168">
        <v>2021</v>
      </c>
      <c r="C63" s="169" t="s">
        <v>429</v>
      </c>
      <c r="D63" s="187" t="e">
        <f t="shared" si="135"/>
        <v>#VALUE!</v>
      </c>
      <c r="E63" s="188" t="e">
        <f t="shared" si="124"/>
        <v>#VALUE!</v>
      </c>
      <c r="F63" s="169" t="s">
        <v>429</v>
      </c>
      <c r="G63" s="187" t="e">
        <f t="shared" si="136"/>
        <v>#VALUE!</v>
      </c>
      <c r="H63" s="188" t="e">
        <f t="shared" si="126"/>
        <v>#VALUE!</v>
      </c>
      <c r="I63" s="169" t="s">
        <v>429</v>
      </c>
      <c r="J63" s="187" t="e">
        <f t="shared" si="137"/>
        <v>#VALUE!</v>
      </c>
      <c r="K63" s="188" t="e">
        <f t="shared" si="128"/>
        <v>#VALUE!</v>
      </c>
      <c r="L63" s="169" t="s">
        <v>429</v>
      </c>
      <c r="M63" s="187" t="e">
        <f t="shared" si="138"/>
        <v>#VALUE!</v>
      </c>
      <c r="N63" s="188" t="e">
        <f t="shared" si="130"/>
        <v>#VALUE!</v>
      </c>
      <c r="O63" s="169" t="s">
        <v>429</v>
      </c>
      <c r="P63" s="187" t="e">
        <f t="shared" si="139"/>
        <v>#VALUE!</v>
      </c>
      <c r="Q63" s="188" t="e">
        <f t="shared" si="132"/>
        <v>#VALUE!</v>
      </c>
      <c r="R63" s="169" t="s">
        <v>429</v>
      </c>
      <c r="S63" s="187" t="e">
        <f t="shared" si="140"/>
        <v>#VALUE!</v>
      </c>
      <c r="T63" s="188" t="e">
        <f t="shared" si="134"/>
        <v>#VALUE!</v>
      </c>
      <c r="U63" s="187" t="e">
        <f t="shared" si="122"/>
        <v>#VALUE!</v>
      </c>
    </row>
    <row r="64" spans="1:21">
      <c r="A64" s="169">
        <f>VLOOKUP(B64,Misc_inputs!$A$3:$B$33,2,0)</f>
        <v>2.8492930312000952</v>
      </c>
      <c r="B64" s="168">
        <v>2022</v>
      </c>
      <c r="C64" s="169" t="s">
        <v>429</v>
      </c>
      <c r="D64" s="187" t="e">
        <f t="shared" si="135"/>
        <v>#VALUE!</v>
      </c>
      <c r="E64" s="188" t="e">
        <f t="shared" si="124"/>
        <v>#VALUE!</v>
      </c>
      <c r="F64" s="169" t="s">
        <v>429</v>
      </c>
      <c r="G64" s="187" t="e">
        <f t="shared" si="136"/>
        <v>#VALUE!</v>
      </c>
      <c r="H64" s="188" t="e">
        <f t="shared" si="126"/>
        <v>#VALUE!</v>
      </c>
      <c r="I64" s="169" t="s">
        <v>429</v>
      </c>
      <c r="J64" s="187" t="e">
        <f t="shared" si="137"/>
        <v>#VALUE!</v>
      </c>
      <c r="K64" s="188" t="e">
        <f t="shared" si="128"/>
        <v>#VALUE!</v>
      </c>
      <c r="L64" s="169" t="s">
        <v>429</v>
      </c>
      <c r="M64" s="187" t="e">
        <f t="shared" si="138"/>
        <v>#VALUE!</v>
      </c>
      <c r="N64" s="188" t="e">
        <f t="shared" si="130"/>
        <v>#VALUE!</v>
      </c>
      <c r="O64" s="169" t="s">
        <v>429</v>
      </c>
      <c r="P64" s="187" t="e">
        <f t="shared" si="139"/>
        <v>#VALUE!</v>
      </c>
      <c r="Q64" s="188" t="e">
        <f t="shared" si="132"/>
        <v>#VALUE!</v>
      </c>
      <c r="R64" s="169" t="s">
        <v>429</v>
      </c>
      <c r="S64" s="187" t="e">
        <f t="shared" si="140"/>
        <v>#VALUE!</v>
      </c>
      <c r="T64" s="188" t="e">
        <f t="shared" si="134"/>
        <v>#VALUE!</v>
      </c>
      <c r="U64" s="187" t="e">
        <f t="shared" si="122"/>
        <v>#VALUE!</v>
      </c>
    </row>
    <row r="65" spans="1:21">
      <c r="A65" s="169">
        <f>VLOOKUP(B65,Misc_inputs!$A$3:$B$33,2,0)</f>
        <v>3.143440902459993</v>
      </c>
      <c r="B65" s="168">
        <v>2023</v>
      </c>
      <c r="C65" s="169" t="s">
        <v>429</v>
      </c>
      <c r="D65" s="187" t="e">
        <f t="shared" si="135"/>
        <v>#VALUE!</v>
      </c>
      <c r="E65" s="188" t="e">
        <f t="shared" si="124"/>
        <v>#VALUE!</v>
      </c>
      <c r="F65" s="169" t="s">
        <v>429</v>
      </c>
      <c r="G65" s="187" t="e">
        <f t="shared" si="136"/>
        <v>#VALUE!</v>
      </c>
      <c r="H65" s="188" t="e">
        <f t="shared" si="126"/>
        <v>#VALUE!</v>
      </c>
      <c r="I65" s="169" t="s">
        <v>429</v>
      </c>
      <c r="J65" s="187" t="e">
        <f t="shared" si="137"/>
        <v>#VALUE!</v>
      </c>
      <c r="K65" s="188" t="e">
        <f t="shared" si="128"/>
        <v>#VALUE!</v>
      </c>
      <c r="L65" s="169" t="s">
        <v>429</v>
      </c>
      <c r="M65" s="187" t="e">
        <f t="shared" si="138"/>
        <v>#VALUE!</v>
      </c>
      <c r="N65" s="188" t="e">
        <f t="shared" si="130"/>
        <v>#VALUE!</v>
      </c>
      <c r="O65" s="169" t="s">
        <v>429</v>
      </c>
      <c r="P65" s="187" t="e">
        <f t="shared" si="139"/>
        <v>#VALUE!</v>
      </c>
      <c r="Q65" s="188" t="e">
        <f t="shared" si="132"/>
        <v>#VALUE!</v>
      </c>
      <c r="R65" s="169" t="s">
        <v>429</v>
      </c>
      <c r="S65" s="187" t="e">
        <f t="shared" si="140"/>
        <v>#VALUE!</v>
      </c>
      <c r="T65" s="188" t="e">
        <f t="shared" si="134"/>
        <v>#VALUE!</v>
      </c>
      <c r="U65" s="187" t="e">
        <f t="shared" si="122"/>
        <v>#VALUE!</v>
      </c>
    </row>
    <row r="66" spans="1:21">
      <c r="A66" s="169">
        <f>VLOOKUP(B66,Misc_inputs!$A$3:$B$33,2,0)</f>
        <v>1.8594732384912049</v>
      </c>
      <c r="B66" s="168">
        <v>2024</v>
      </c>
      <c r="C66" s="169" t="s">
        <v>429</v>
      </c>
      <c r="D66" s="187" t="e">
        <f t="shared" si="135"/>
        <v>#VALUE!</v>
      </c>
      <c r="E66" s="188" t="e">
        <f t="shared" si="124"/>
        <v>#VALUE!</v>
      </c>
      <c r="F66" s="169" t="s">
        <v>429</v>
      </c>
      <c r="G66" s="187" t="e">
        <f t="shared" si="136"/>
        <v>#VALUE!</v>
      </c>
      <c r="H66" s="188" t="e">
        <f t="shared" si="126"/>
        <v>#VALUE!</v>
      </c>
      <c r="I66" s="169" t="s">
        <v>429</v>
      </c>
      <c r="J66" s="187" t="e">
        <f t="shared" si="137"/>
        <v>#VALUE!</v>
      </c>
      <c r="K66" s="188" t="e">
        <f t="shared" si="128"/>
        <v>#VALUE!</v>
      </c>
      <c r="L66" s="169" t="s">
        <v>429</v>
      </c>
      <c r="M66" s="187" t="e">
        <f t="shared" si="138"/>
        <v>#VALUE!</v>
      </c>
      <c r="N66" s="188" t="e">
        <f t="shared" si="130"/>
        <v>#VALUE!</v>
      </c>
      <c r="O66" s="169" t="s">
        <v>429</v>
      </c>
      <c r="P66" s="187" t="e">
        <f t="shared" si="139"/>
        <v>#VALUE!</v>
      </c>
      <c r="Q66" s="188" t="e">
        <f t="shared" si="132"/>
        <v>#VALUE!</v>
      </c>
      <c r="R66" s="169" t="s">
        <v>429</v>
      </c>
      <c r="S66" s="187" t="e">
        <f t="shared" si="140"/>
        <v>#VALUE!</v>
      </c>
      <c r="T66" s="188" t="e">
        <f t="shared" si="134"/>
        <v>#VALUE!</v>
      </c>
      <c r="U66" s="187" t="e">
        <f t="shared" si="122"/>
        <v>#VALUE!</v>
      </c>
    </row>
    <row r="67" spans="1:21">
      <c r="A67" s="169">
        <f>VLOOKUP(B67,Misc_inputs!$A$3:$B$33,2,0)</f>
        <v>1.892198034308179</v>
      </c>
      <c r="B67" s="168">
        <v>2025</v>
      </c>
      <c r="C67" s="169" t="s">
        <v>429</v>
      </c>
      <c r="D67" s="187" t="e">
        <f t="shared" si="135"/>
        <v>#VALUE!</v>
      </c>
      <c r="E67" s="188" t="e">
        <f t="shared" si="124"/>
        <v>#VALUE!</v>
      </c>
      <c r="F67" s="169" t="s">
        <v>429</v>
      </c>
      <c r="G67" s="187" t="e">
        <f t="shared" si="136"/>
        <v>#VALUE!</v>
      </c>
      <c r="H67" s="188" t="e">
        <f t="shared" si="126"/>
        <v>#VALUE!</v>
      </c>
      <c r="I67" s="169" t="s">
        <v>429</v>
      </c>
      <c r="J67" s="187" t="e">
        <f t="shared" si="137"/>
        <v>#VALUE!</v>
      </c>
      <c r="K67" s="188" t="e">
        <f t="shared" si="128"/>
        <v>#VALUE!</v>
      </c>
      <c r="L67" s="169" t="s">
        <v>429</v>
      </c>
      <c r="M67" s="187" t="e">
        <f t="shared" si="138"/>
        <v>#VALUE!</v>
      </c>
      <c r="N67" s="188" t="e">
        <f t="shared" si="130"/>
        <v>#VALUE!</v>
      </c>
      <c r="O67" s="169" t="s">
        <v>429</v>
      </c>
      <c r="P67" s="187" t="e">
        <f t="shared" si="139"/>
        <v>#VALUE!</v>
      </c>
      <c r="Q67" s="188" t="e">
        <f t="shared" si="132"/>
        <v>#VALUE!</v>
      </c>
      <c r="R67" s="169" t="s">
        <v>429</v>
      </c>
      <c r="S67" s="187" t="e">
        <f t="shared" si="140"/>
        <v>#VALUE!</v>
      </c>
      <c r="T67" s="188" t="e">
        <f t="shared" si="134"/>
        <v>#VALUE!</v>
      </c>
      <c r="U67" s="187" t="e">
        <f t="shared" si="122"/>
        <v>#VALUE!</v>
      </c>
    </row>
    <row r="68" spans="1:21">
      <c r="A68" s="169">
        <f>VLOOKUP(B68,Misc_inputs!$A$3:$B$33,2,0)</f>
        <v>2.0003592159356653</v>
      </c>
      <c r="B68" s="168">
        <v>2026</v>
      </c>
      <c r="C68" s="169" t="s">
        <v>429</v>
      </c>
      <c r="D68" s="187" t="e">
        <f t="shared" si="135"/>
        <v>#VALUE!</v>
      </c>
      <c r="E68" s="188" t="e">
        <f t="shared" si="124"/>
        <v>#VALUE!</v>
      </c>
      <c r="F68" s="169" t="s">
        <v>429</v>
      </c>
      <c r="G68" s="187" t="e">
        <f t="shared" si="136"/>
        <v>#VALUE!</v>
      </c>
      <c r="H68" s="188" t="e">
        <f t="shared" si="126"/>
        <v>#VALUE!</v>
      </c>
      <c r="I68" s="169" t="s">
        <v>429</v>
      </c>
      <c r="J68" s="187" t="e">
        <f t="shared" si="137"/>
        <v>#VALUE!</v>
      </c>
      <c r="K68" s="188" t="e">
        <f t="shared" si="128"/>
        <v>#VALUE!</v>
      </c>
      <c r="L68" s="169" t="s">
        <v>429</v>
      </c>
      <c r="M68" s="187" t="e">
        <f t="shared" si="138"/>
        <v>#VALUE!</v>
      </c>
      <c r="N68" s="188" t="e">
        <f t="shared" si="130"/>
        <v>#VALUE!</v>
      </c>
      <c r="O68" s="169" t="s">
        <v>429</v>
      </c>
      <c r="P68" s="187" t="e">
        <f t="shared" si="139"/>
        <v>#VALUE!</v>
      </c>
      <c r="Q68" s="188" t="e">
        <f t="shared" si="132"/>
        <v>#VALUE!</v>
      </c>
      <c r="R68" s="169" t="s">
        <v>429</v>
      </c>
      <c r="S68" s="187" t="e">
        <f t="shared" si="140"/>
        <v>#VALUE!</v>
      </c>
      <c r="T68" s="188" t="e">
        <f t="shared" si="134"/>
        <v>#VALUE!</v>
      </c>
      <c r="U68" s="187" t="e">
        <f t="shared" si="122"/>
        <v>#VALUE!</v>
      </c>
    </row>
    <row r="69" spans="1:21">
      <c r="A69" s="169">
        <f>VLOOKUP(B69,Misc_inputs!$A$3:$B$33,2,0)</f>
        <v>0</v>
      </c>
      <c r="B69" s="168">
        <v>2027</v>
      </c>
      <c r="C69" s="169" t="s">
        <v>429</v>
      </c>
      <c r="D69" s="187" t="e">
        <f t="shared" si="135"/>
        <v>#VALUE!</v>
      </c>
      <c r="E69" s="188" t="e">
        <f t="shared" si="124"/>
        <v>#VALUE!</v>
      </c>
      <c r="F69" s="169" t="s">
        <v>429</v>
      </c>
      <c r="G69" s="187" t="e">
        <f t="shared" si="136"/>
        <v>#VALUE!</v>
      </c>
      <c r="H69" s="188" t="e">
        <f t="shared" si="126"/>
        <v>#VALUE!</v>
      </c>
      <c r="I69" s="169" t="s">
        <v>429</v>
      </c>
      <c r="J69" s="187" t="e">
        <f t="shared" si="137"/>
        <v>#VALUE!</v>
      </c>
      <c r="K69" s="188" t="e">
        <f t="shared" si="128"/>
        <v>#VALUE!</v>
      </c>
      <c r="L69" s="169" t="s">
        <v>429</v>
      </c>
      <c r="M69" s="187" t="e">
        <f t="shared" si="138"/>
        <v>#VALUE!</v>
      </c>
      <c r="N69" s="188" t="e">
        <f t="shared" si="130"/>
        <v>#VALUE!</v>
      </c>
      <c r="O69" s="169" t="s">
        <v>429</v>
      </c>
      <c r="P69" s="187" t="e">
        <f t="shared" si="139"/>
        <v>#VALUE!</v>
      </c>
      <c r="Q69" s="188" t="e">
        <f t="shared" si="132"/>
        <v>#VALUE!</v>
      </c>
      <c r="R69" s="169" t="s">
        <v>429</v>
      </c>
      <c r="S69" s="187" t="e">
        <f t="shared" si="140"/>
        <v>#VALUE!</v>
      </c>
      <c r="T69" s="188" t="e">
        <f t="shared" si="134"/>
        <v>#VALUE!</v>
      </c>
      <c r="U69" s="187" t="e">
        <f t="shared" si="122"/>
        <v>#VALUE!</v>
      </c>
    </row>
    <row r="70" spans="1:21">
      <c r="A70" s="169">
        <f>VLOOKUP(B70,Misc_inputs!$A$3:$B$33,2,0)</f>
        <v>0</v>
      </c>
      <c r="B70" s="168">
        <v>2028</v>
      </c>
      <c r="C70" s="169" t="s">
        <v>429</v>
      </c>
      <c r="D70" s="187" t="e">
        <f t="shared" si="135"/>
        <v>#VALUE!</v>
      </c>
      <c r="E70" s="188" t="e">
        <f t="shared" si="124"/>
        <v>#VALUE!</v>
      </c>
      <c r="F70" s="169" t="s">
        <v>429</v>
      </c>
      <c r="G70" s="187" t="e">
        <f t="shared" si="136"/>
        <v>#VALUE!</v>
      </c>
      <c r="H70" s="188" t="e">
        <f t="shared" si="126"/>
        <v>#VALUE!</v>
      </c>
      <c r="I70" s="169" t="s">
        <v>429</v>
      </c>
      <c r="J70" s="187" t="e">
        <f t="shared" si="137"/>
        <v>#VALUE!</v>
      </c>
      <c r="K70" s="188" t="e">
        <f t="shared" si="128"/>
        <v>#VALUE!</v>
      </c>
      <c r="L70" s="169" t="s">
        <v>429</v>
      </c>
      <c r="M70" s="187" t="e">
        <f t="shared" si="138"/>
        <v>#VALUE!</v>
      </c>
      <c r="N70" s="188" t="e">
        <f t="shared" si="130"/>
        <v>#VALUE!</v>
      </c>
      <c r="O70" s="169" t="s">
        <v>429</v>
      </c>
      <c r="P70" s="187" t="e">
        <f t="shared" si="139"/>
        <v>#VALUE!</v>
      </c>
      <c r="Q70" s="188" t="e">
        <f t="shared" si="132"/>
        <v>#VALUE!</v>
      </c>
      <c r="R70" s="169" t="s">
        <v>429</v>
      </c>
      <c r="S70" s="187" t="e">
        <f t="shared" si="140"/>
        <v>#VALUE!</v>
      </c>
      <c r="T70" s="188" t="e">
        <f t="shared" si="134"/>
        <v>#VALUE!</v>
      </c>
      <c r="U70" s="187" t="e">
        <f t="shared" si="122"/>
        <v>#VALUE!</v>
      </c>
    </row>
    <row r="71" spans="1:21">
      <c r="A71" s="169">
        <f>VLOOKUP(B71,Misc_inputs!$A$3:$B$33,2,0)</f>
        <v>0</v>
      </c>
      <c r="B71" s="168">
        <v>2029</v>
      </c>
      <c r="C71" s="169" t="s">
        <v>429</v>
      </c>
      <c r="D71" s="187" t="e">
        <f t="shared" si="135"/>
        <v>#VALUE!</v>
      </c>
      <c r="E71" s="188" t="e">
        <f t="shared" si="124"/>
        <v>#VALUE!</v>
      </c>
      <c r="F71" s="169" t="s">
        <v>429</v>
      </c>
      <c r="G71" s="187" t="e">
        <f t="shared" si="136"/>
        <v>#VALUE!</v>
      </c>
      <c r="H71" s="188" t="e">
        <f t="shared" si="126"/>
        <v>#VALUE!</v>
      </c>
      <c r="I71" s="169" t="s">
        <v>429</v>
      </c>
      <c r="J71" s="187" t="e">
        <f t="shared" si="137"/>
        <v>#VALUE!</v>
      </c>
      <c r="K71" s="188" t="e">
        <f t="shared" si="128"/>
        <v>#VALUE!</v>
      </c>
      <c r="L71" s="169" t="s">
        <v>429</v>
      </c>
      <c r="M71" s="187" t="e">
        <f t="shared" si="138"/>
        <v>#VALUE!</v>
      </c>
      <c r="N71" s="188" t="e">
        <f t="shared" si="130"/>
        <v>#VALUE!</v>
      </c>
      <c r="O71" s="169" t="s">
        <v>429</v>
      </c>
      <c r="P71" s="187" t="e">
        <f t="shared" si="139"/>
        <v>#VALUE!</v>
      </c>
      <c r="Q71" s="188" t="e">
        <f t="shared" si="132"/>
        <v>#VALUE!</v>
      </c>
      <c r="R71" s="169" t="s">
        <v>429</v>
      </c>
      <c r="S71" s="187" t="e">
        <f t="shared" si="140"/>
        <v>#VALUE!</v>
      </c>
      <c r="T71" s="188" t="e">
        <f t="shared" si="134"/>
        <v>#VALUE!</v>
      </c>
      <c r="U71" s="187" t="e">
        <f t="shared" si="122"/>
        <v>#VALUE!</v>
      </c>
    </row>
    <row r="72" spans="1:21">
      <c r="A72" s="169">
        <f>VLOOKUP(B72,Misc_inputs!$A$3:$B$33,2,0)</f>
        <v>0</v>
      </c>
      <c r="B72" s="168">
        <v>2030</v>
      </c>
      <c r="C72" s="169" t="s">
        <v>429</v>
      </c>
      <c r="D72" s="187" t="e">
        <f t="shared" si="135"/>
        <v>#VALUE!</v>
      </c>
      <c r="E72" s="188" t="e">
        <f t="shared" si="124"/>
        <v>#VALUE!</v>
      </c>
      <c r="F72" s="169" t="s">
        <v>429</v>
      </c>
      <c r="G72" s="187" t="e">
        <f t="shared" si="136"/>
        <v>#VALUE!</v>
      </c>
      <c r="H72" s="188" t="e">
        <f t="shared" si="126"/>
        <v>#VALUE!</v>
      </c>
      <c r="I72" s="169" t="s">
        <v>429</v>
      </c>
      <c r="J72" s="187" t="e">
        <f t="shared" si="137"/>
        <v>#VALUE!</v>
      </c>
      <c r="K72" s="188" t="e">
        <f t="shared" si="128"/>
        <v>#VALUE!</v>
      </c>
      <c r="L72" s="169" t="s">
        <v>429</v>
      </c>
      <c r="M72" s="187" t="e">
        <f t="shared" si="138"/>
        <v>#VALUE!</v>
      </c>
      <c r="N72" s="188" t="e">
        <f t="shared" si="130"/>
        <v>#VALUE!</v>
      </c>
      <c r="O72" s="169" t="s">
        <v>429</v>
      </c>
      <c r="P72" s="187" t="e">
        <f t="shared" si="139"/>
        <v>#VALUE!</v>
      </c>
      <c r="Q72" s="188" t="e">
        <f t="shared" si="132"/>
        <v>#VALUE!</v>
      </c>
      <c r="R72" s="169" t="s">
        <v>429</v>
      </c>
      <c r="S72" s="187" t="e">
        <f t="shared" si="140"/>
        <v>#VALUE!</v>
      </c>
      <c r="T72" s="188" t="e">
        <f t="shared" si="134"/>
        <v>#VALUE!</v>
      </c>
      <c r="U72" s="187" t="e">
        <f t="shared" si="122"/>
        <v>#VALUE!</v>
      </c>
    </row>
    <row r="77" spans="1:21" s="222" customFormat="1">
      <c r="A77" s="222" t="s">
        <v>697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tabColor rgb="FF0070C0"/>
  </sheetPr>
  <dimension ref="A1:AV77"/>
  <sheetViews>
    <sheetView workbookViewId="0"/>
  </sheetViews>
  <sheetFormatPr defaultColWidth="10.921875" defaultRowHeight="15.5"/>
  <cols>
    <col min="1" max="1" width="10.921875" style="169"/>
    <col min="2" max="4" width="10.921875" style="168"/>
    <col min="5" max="5" width="13.15234375" style="193" customWidth="1"/>
    <col min="6" max="6" width="12.921875" style="168" customWidth="1"/>
    <col min="7" max="7" width="11.4609375" style="168" customWidth="1"/>
    <col min="8" max="8" width="14.23046875" style="193" customWidth="1"/>
    <col min="9" max="10" width="10.921875" style="168"/>
    <col min="11" max="11" width="10.921875" style="193"/>
    <col min="12" max="13" width="10.921875" style="168"/>
    <col min="14" max="14" width="10.921875" style="193"/>
    <col min="15" max="16" width="10.921875" style="168"/>
    <col min="17" max="17" width="10.921875" style="193"/>
    <col min="18" max="18" width="13.69140625" style="168" customWidth="1"/>
    <col min="19" max="19" width="10.921875" style="168"/>
    <col min="20" max="20" width="11.4609375" style="193" customWidth="1"/>
    <col min="21" max="22" width="10.921875" style="168"/>
    <col min="23" max="23" width="10.921875" style="193"/>
    <col min="24" max="24" width="14.4609375" style="168" customWidth="1"/>
    <col min="25" max="25" width="10.921875" style="168"/>
    <col min="26" max="26" width="10.921875" style="193"/>
    <col min="27" max="28" width="10.921875" style="168"/>
    <col min="29" max="29" width="10.921875" style="193"/>
    <col min="30" max="31" width="10.921875" style="168"/>
    <col min="32" max="32" width="10.921875" style="193"/>
    <col min="33" max="34" width="10.921875" style="168"/>
    <col min="35" max="35" width="10.921875" style="193"/>
    <col min="36" max="37" width="10.921875" style="168"/>
    <col min="38" max="38" width="10.921875" style="193"/>
    <col min="39" max="40" width="10.921875" style="168"/>
    <col min="41" max="41" width="10.921875" style="193"/>
    <col min="42" max="43" width="10.921875" style="168"/>
    <col min="44" max="44" width="10.921875" style="193"/>
    <col min="45" max="46" width="10.921875" style="168"/>
    <col min="47" max="47" width="10.921875" style="193"/>
    <col min="48" max="48" width="15.4609375" style="168" customWidth="1"/>
    <col min="49" max="16384" width="10.921875" style="169"/>
  </cols>
  <sheetData>
    <row r="1" spans="1:48" s="182" customFormat="1" ht="37.5" customHeight="1">
      <c r="A1" s="179" t="str">
        <f>Cost_of_crime_Raw_data!E40</f>
        <v>Health Services (HS)</v>
      </c>
      <c r="B1" s="180"/>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row>
    <row r="2" spans="1:48" s="182" customFormat="1" ht="37.5" customHeight="1">
      <c r="A2" s="183" t="s">
        <v>574</v>
      </c>
      <c r="B2" s="180"/>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row>
    <row r="3" spans="1:48" s="173" customFormat="1" ht="77.5">
      <c r="A3" s="173" t="s">
        <v>539</v>
      </c>
      <c r="B3" s="172" t="s">
        <v>342</v>
      </c>
      <c r="C3" s="184" t="s">
        <v>290</v>
      </c>
      <c r="D3" s="184" t="s">
        <v>540</v>
      </c>
      <c r="E3" s="185" t="s">
        <v>541</v>
      </c>
      <c r="F3" s="184" t="s">
        <v>542</v>
      </c>
      <c r="G3" s="184" t="s">
        <v>540</v>
      </c>
      <c r="H3" s="185" t="s">
        <v>541</v>
      </c>
      <c r="I3" s="184" t="s">
        <v>543</v>
      </c>
      <c r="J3" s="184" t="s">
        <v>540</v>
      </c>
      <c r="K3" s="185" t="s">
        <v>541</v>
      </c>
      <c r="L3" s="184" t="s">
        <v>544</v>
      </c>
      <c r="M3" s="184" t="s">
        <v>540</v>
      </c>
      <c r="N3" s="185" t="s">
        <v>541</v>
      </c>
      <c r="O3" s="184" t="s">
        <v>545</v>
      </c>
      <c r="P3" s="184" t="s">
        <v>540</v>
      </c>
      <c r="Q3" s="185" t="s">
        <v>541</v>
      </c>
      <c r="R3" s="184" t="s">
        <v>292</v>
      </c>
      <c r="S3" s="184" t="s">
        <v>540</v>
      </c>
      <c r="T3" s="185" t="s">
        <v>541</v>
      </c>
      <c r="U3" s="184" t="s">
        <v>546</v>
      </c>
      <c r="V3" s="184" t="s">
        <v>540</v>
      </c>
      <c r="W3" s="185" t="s">
        <v>541</v>
      </c>
      <c r="X3" s="184" t="s">
        <v>547</v>
      </c>
      <c r="Y3" s="184" t="s">
        <v>540</v>
      </c>
      <c r="Z3" s="185" t="s">
        <v>541</v>
      </c>
      <c r="AA3" s="184" t="s">
        <v>548</v>
      </c>
      <c r="AB3" s="184" t="s">
        <v>540</v>
      </c>
      <c r="AC3" s="185" t="s">
        <v>541</v>
      </c>
      <c r="AD3" s="184" t="s">
        <v>549</v>
      </c>
      <c r="AE3" s="184" t="s">
        <v>540</v>
      </c>
      <c r="AF3" s="185" t="s">
        <v>541</v>
      </c>
      <c r="AG3" s="184" t="s">
        <v>550</v>
      </c>
      <c r="AH3" s="184" t="s">
        <v>540</v>
      </c>
      <c r="AI3" s="185" t="s">
        <v>541</v>
      </c>
      <c r="AJ3" s="184" t="s">
        <v>551</v>
      </c>
      <c r="AK3" s="184" t="s">
        <v>540</v>
      </c>
      <c r="AL3" s="185" t="s">
        <v>541</v>
      </c>
      <c r="AM3" s="184" t="s">
        <v>424</v>
      </c>
      <c r="AN3" s="184" t="s">
        <v>540</v>
      </c>
      <c r="AO3" s="185" t="s">
        <v>541</v>
      </c>
      <c r="AP3" s="184" t="s">
        <v>552</v>
      </c>
      <c r="AQ3" s="184" t="s">
        <v>540</v>
      </c>
      <c r="AR3" s="185" t="s">
        <v>541</v>
      </c>
      <c r="AS3" s="184" t="s">
        <v>425</v>
      </c>
    </row>
    <row r="4" spans="1:48">
      <c r="B4" s="168">
        <v>2015</v>
      </c>
      <c r="C4" s="186">
        <f>IF(Cost_of_crime_Raw_data!E43="not estimated","0",IF(Cost_of_crime_Raw_data!E43="N/A","0",Cost_of_crime_Raw_data!E43))</f>
        <v>1110</v>
      </c>
      <c r="D4" s="187">
        <f>C4*$A4/100</f>
        <v>0</v>
      </c>
      <c r="E4" s="188">
        <f>C4+D4</f>
        <v>1110</v>
      </c>
      <c r="F4" s="186">
        <f>IF(Cost_of_crime_Raw_data!E44="not estimated","0",IF(Cost_of_crime_Raw_data!E44="N/A","0",Cost_of_crime_Raw_data!E44))</f>
        <v>920</v>
      </c>
      <c r="G4" s="187">
        <f>F4*$A4/100</f>
        <v>0</v>
      </c>
      <c r="H4" s="188">
        <f>F4+G4</f>
        <v>920</v>
      </c>
      <c r="I4" s="186">
        <f>IF(Cost_of_crime_Raw_data!E45="not estimated","0",IF(Cost_of_crime_Raw_data!E45="N/A","0",Cost_of_crime_Raw_data!E45))</f>
        <v>270</v>
      </c>
      <c r="J4" s="187">
        <f>I4*$A4/100</f>
        <v>0</v>
      </c>
      <c r="K4" s="188">
        <f>I4+J4</f>
        <v>270</v>
      </c>
      <c r="L4" s="186">
        <f>IF(Cost_of_crime_Raw_data!E46="not estimated","0",IF(Cost_of_crime_Raw_data!E46="N/A","0",Cost_of_crime_Raw_data!E46))</f>
        <v>1110</v>
      </c>
      <c r="M4" s="187">
        <f>L4*$A4/100</f>
        <v>0</v>
      </c>
      <c r="N4" s="188">
        <f>L4+M4</f>
        <v>1110</v>
      </c>
      <c r="O4" s="186">
        <f>IF(Cost_of_crime_Raw_data!E47="not estimated","0",IF(Cost_of_crime_Raw_data!E47="N/A","0",Cost_of_crime_Raw_data!E47))</f>
        <v>390</v>
      </c>
      <c r="P4" s="187">
        <f>O4*$A4/100</f>
        <v>0</v>
      </c>
      <c r="Q4" s="188">
        <f>O4+P4</f>
        <v>390</v>
      </c>
      <c r="R4" s="186">
        <f>IF(Cost_of_crime_Raw_data!E48="not estimated","0",IF(Cost_of_crime_Raw_data!E48="N/A","0",Cost_of_crime_Raw_data!E48))</f>
        <v>760</v>
      </c>
      <c r="S4" s="187">
        <f>R4*$A4/100</f>
        <v>0</v>
      </c>
      <c r="T4" s="188">
        <f>R4+S4</f>
        <v>760</v>
      </c>
      <c r="U4" s="186">
        <f>IF(Cost_of_crime_Raw_data!E49="not estimated","0",IF(Cost_of_crime_Raw_data!E49="N/A","0",Cost_of_crime_Raw_data!E49))</f>
        <v>380</v>
      </c>
      <c r="V4" s="187">
        <f>U4*$A4/100</f>
        <v>0</v>
      </c>
      <c r="W4" s="188">
        <f>U4+V4</f>
        <v>380</v>
      </c>
      <c r="X4" s="186">
        <f>Cost_of_crime_Raw_data!E50</f>
        <v>100</v>
      </c>
      <c r="Y4" s="187">
        <f>X4*$A4/100</f>
        <v>0</v>
      </c>
      <c r="Z4" s="188">
        <f>X4+Y4</f>
        <v>100</v>
      </c>
      <c r="AA4" s="186">
        <f>Cost_of_crime_Raw_data!E51</f>
        <v>40</v>
      </c>
      <c r="AB4" s="187">
        <f>AA4*$A4/100</f>
        <v>0</v>
      </c>
      <c r="AC4" s="188">
        <f>AA4+AB4</f>
        <v>40</v>
      </c>
      <c r="AD4" s="186">
        <f>Cost_of_crime_Raw_data!E52</f>
        <v>210</v>
      </c>
      <c r="AE4" s="187">
        <f>AD4*$A4/100</f>
        <v>0</v>
      </c>
      <c r="AF4" s="188">
        <f>AD4+AE4</f>
        <v>210</v>
      </c>
      <c r="AG4" s="186">
        <f>Cost_of_crime_Raw_data!E53</f>
        <v>180</v>
      </c>
      <c r="AH4" s="187">
        <f>AG4*$A4/100</f>
        <v>0</v>
      </c>
      <c r="AI4" s="188">
        <f>AG4+AH4</f>
        <v>180</v>
      </c>
      <c r="AJ4" s="186">
        <f>Cost_of_crime_Raw_data!E54</f>
        <v>90</v>
      </c>
      <c r="AK4" s="187">
        <f>AJ4*$A4/100</f>
        <v>0</v>
      </c>
      <c r="AL4" s="188">
        <f>AJ4+AK4</f>
        <v>90</v>
      </c>
      <c r="AM4" s="186">
        <f>IF(Cost_of_crime_Raw_data!E55="not estimated","0",IF(Cost_of_crime_Raw_data!E55="N/A","0",Cost_of_crime_Raw_data!E55))</f>
        <v>70</v>
      </c>
      <c r="AN4" s="187">
        <f>AM4*$A4/100</f>
        <v>0</v>
      </c>
      <c r="AO4" s="188">
        <f>AM4+AN4</f>
        <v>70</v>
      </c>
      <c r="AP4" s="186">
        <f>IF(Cost_of_crime_Raw_data!E56="not estimated","0",IF(Cost_of_crime_Raw_data!E56="N/A","0",Cost_of_crime_Raw_data!E56))</f>
        <v>50</v>
      </c>
      <c r="AQ4" s="187">
        <f>AP4*$A4/100</f>
        <v>0</v>
      </c>
      <c r="AR4" s="188">
        <f>AP4+AQ4</f>
        <v>50</v>
      </c>
      <c r="AS4" s="186">
        <f>SUM(C4,I4,L4,O4,R4,U4,X4,AD4,AG4,AJ4,AM4,AP4)</f>
        <v>4720</v>
      </c>
      <c r="AT4" s="169"/>
      <c r="AU4" s="169"/>
      <c r="AV4" s="169"/>
    </row>
    <row r="5" spans="1:48">
      <c r="A5" s="169">
        <f>VLOOKUP(B5,Misc_inputs!$A$3:$B$33,2,0)</f>
        <v>1.8963035451147277</v>
      </c>
      <c r="B5" s="168">
        <v>2016</v>
      </c>
      <c r="C5" s="187">
        <f>E4</f>
        <v>1110</v>
      </c>
      <c r="D5" s="187">
        <f t="shared" ref="D5" si="0">C5*$A5/100</f>
        <v>21.048969350773476</v>
      </c>
      <c r="E5" s="188">
        <f t="shared" ref="E5" si="1">C5+D5</f>
        <v>1131.0489693507734</v>
      </c>
      <c r="F5" s="187">
        <f>H4</f>
        <v>920</v>
      </c>
      <c r="G5" s="187">
        <f t="shared" ref="G5" si="2">F5*$A5/100</f>
        <v>17.445992615055495</v>
      </c>
      <c r="H5" s="188">
        <f t="shared" ref="H5" si="3">F5+G5</f>
        <v>937.4459926150555</v>
      </c>
      <c r="I5" s="187">
        <f>K4</f>
        <v>270</v>
      </c>
      <c r="J5" s="187">
        <f t="shared" ref="J5" si="4">I5*$A5/100</f>
        <v>5.1200195718097641</v>
      </c>
      <c r="K5" s="188">
        <f t="shared" ref="K5" si="5">I5+J5</f>
        <v>275.12001957180979</v>
      </c>
      <c r="L5" s="187">
        <f>N4</f>
        <v>1110</v>
      </c>
      <c r="M5" s="187">
        <f t="shared" ref="M5" si="6">L5*$A5/100</f>
        <v>21.048969350773476</v>
      </c>
      <c r="N5" s="188">
        <f t="shared" ref="N5" si="7">L5+M5</f>
        <v>1131.0489693507734</v>
      </c>
      <c r="O5" s="187">
        <f>Q4</f>
        <v>390</v>
      </c>
      <c r="P5" s="187">
        <f t="shared" ref="P5" si="8">O5*$A5/100</f>
        <v>7.3955838259474378</v>
      </c>
      <c r="Q5" s="188">
        <f t="shared" ref="Q5" si="9">O5+P5</f>
        <v>397.39558382594743</v>
      </c>
      <c r="R5" s="187">
        <f>T4</f>
        <v>760</v>
      </c>
      <c r="S5" s="187">
        <f t="shared" ref="S5" si="10">R5*$A5/100</f>
        <v>14.41190694287193</v>
      </c>
      <c r="T5" s="188">
        <f t="shared" ref="T5" si="11">R5+S5</f>
        <v>774.41190694287195</v>
      </c>
      <c r="U5" s="187">
        <f>W4</f>
        <v>380</v>
      </c>
      <c r="V5" s="187">
        <f t="shared" ref="V5" si="12">U5*$A5/100</f>
        <v>7.205953471435965</v>
      </c>
      <c r="W5" s="188">
        <f t="shared" ref="W5" si="13">U5+V5</f>
        <v>387.20595347143598</v>
      </c>
      <c r="X5" s="187">
        <f>Z4</f>
        <v>100</v>
      </c>
      <c r="Y5" s="187">
        <f t="shared" ref="Y5" si="14">X5*$A5/100</f>
        <v>1.8963035451147277</v>
      </c>
      <c r="Z5" s="188">
        <f t="shared" ref="Z5" si="15">X5+Y5</f>
        <v>101.89630354511473</v>
      </c>
      <c r="AA5" s="187">
        <f>AC4</f>
        <v>40</v>
      </c>
      <c r="AB5" s="187">
        <f t="shared" ref="AB5" si="16">AA5*$A5/100</f>
        <v>0.75852141804589113</v>
      </c>
      <c r="AC5" s="188">
        <f t="shared" ref="AC5" si="17">AA5+AB5</f>
        <v>40.758521418045888</v>
      </c>
      <c r="AD5" s="187">
        <f>AF4</f>
        <v>210</v>
      </c>
      <c r="AE5" s="187">
        <f t="shared" ref="AE5" si="18">AD5*$A5/100</f>
        <v>3.9822374447409281</v>
      </c>
      <c r="AF5" s="188">
        <f t="shared" ref="AF5" si="19">AD5+AE5</f>
        <v>213.98223744474092</v>
      </c>
      <c r="AG5" s="187">
        <f>AI4</f>
        <v>180</v>
      </c>
      <c r="AH5" s="187">
        <f t="shared" ref="AH5" si="20">AG5*$A5/100</f>
        <v>3.4133463812065101</v>
      </c>
      <c r="AI5" s="188">
        <f t="shared" ref="AI5" si="21">AG5+AH5</f>
        <v>183.41334638120651</v>
      </c>
      <c r="AJ5" s="187">
        <f>AL4</f>
        <v>90</v>
      </c>
      <c r="AK5" s="187">
        <f t="shared" ref="AK5" si="22">AJ5*$A5/100</f>
        <v>1.7066731906032551</v>
      </c>
      <c r="AL5" s="188">
        <f t="shared" ref="AL5" si="23">AJ5+AK5</f>
        <v>91.706673190603254</v>
      </c>
      <c r="AM5" s="187">
        <f>AO4</f>
        <v>70</v>
      </c>
      <c r="AN5" s="187">
        <f t="shared" ref="AN5" si="24">AM5*$A5/100</f>
        <v>1.3274124815803094</v>
      </c>
      <c r="AO5" s="188">
        <f t="shared" ref="AO5" si="25">AM5+AN5</f>
        <v>71.327412481580311</v>
      </c>
      <c r="AP5" s="187">
        <f>AR4</f>
        <v>50</v>
      </c>
      <c r="AQ5" s="187">
        <f t="shared" ref="AQ5" si="26">AP5*$A5/100</f>
        <v>0.94815177255736383</v>
      </c>
      <c r="AR5" s="188">
        <f t="shared" ref="AR5" si="27">AP5+AQ5</f>
        <v>50.948151772557367</v>
      </c>
      <c r="AS5" s="186">
        <f t="shared" ref="AS5" si="28">SUM(C5,I5,L5,O5,R5,U5,X5,AD5,AG5,AJ5,AM5,AP5)</f>
        <v>4720</v>
      </c>
      <c r="AT5" s="187"/>
      <c r="AU5" s="169"/>
      <c r="AV5" s="169"/>
    </row>
    <row r="6" spans="1:48">
      <c r="A6" s="169">
        <f>VLOOKUP(B6,Misc_inputs!$A$3:$B$33,2,0)</f>
        <v>1.8209228570152332</v>
      </c>
      <c r="B6" s="168">
        <v>2017</v>
      </c>
      <c r="C6" s="187">
        <f t="shared" ref="C6:C19" si="29">E5</f>
        <v>1131.0489693507734</v>
      </c>
      <c r="D6" s="187">
        <f t="shared" ref="D6:D19" si="30">C6*$A6/100</f>
        <v>20.595529206943453</v>
      </c>
      <c r="E6" s="188">
        <f t="shared" ref="E6:E19" si="31">C6+D6</f>
        <v>1151.6444985577168</v>
      </c>
      <c r="F6" s="187">
        <f t="shared" ref="F6:F19" si="32">H5</f>
        <v>937.4459926150555</v>
      </c>
      <c r="G6" s="187">
        <f t="shared" ref="G6:G7" si="33">F6*$A6/100</f>
        <v>17.070168351700879</v>
      </c>
      <c r="H6" s="188">
        <f t="shared" ref="H6:H19" si="34">F6+G6</f>
        <v>954.51616096675639</v>
      </c>
      <c r="I6" s="187">
        <f t="shared" ref="I6:I19" si="35">K5</f>
        <v>275.12001957180979</v>
      </c>
      <c r="J6" s="187">
        <f t="shared" ref="J6:J7" si="36">I6*$A6/100</f>
        <v>5.0097233206078675</v>
      </c>
      <c r="K6" s="188">
        <f t="shared" ref="K6:K19" si="37">I6+J6</f>
        <v>280.12974289241765</v>
      </c>
      <c r="L6" s="187">
        <f t="shared" ref="L6:L19" si="38">N5</f>
        <v>1131.0489693507734</v>
      </c>
      <c r="M6" s="187">
        <f t="shared" ref="M6:M7" si="39">L6*$A6/100</f>
        <v>20.595529206943453</v>
      </c>
      <c r="N6" s="188">
        <f t="shared" ref="N6:N19" si="40">L6+M6</f>
        <v>1151.6444985577168</v>
      </c>
      <c r="O6" s="187">
        <f t="shared" ref="O6:O19" si="41">Q5</f>
        <v>397.39558382594743</v>
      </c>
      <c r="P6" s="187">
        <f t="shared" ref="P6:P7" si="42">O6*$A6/100</f>
        <v>7.2362670186558082</v>
      </c>
      <c r="Q6" s="188">
        <f t="shared" ref="Q6:Q19" si="43">O6+P6</f>
        <v>404.63185084460321</v>
      </c>
      <c r="R6" s="187">
        <f t="shared" ref="R6:R19" si="44">T5</f>
        <v>774.41190694287195</v>
      </c>
      <c r="S6" s="187">
        <f t="shared" ref="S6:S7" si="45">R6*$A6/100</f>
        <v>14.101443420970293</v>
      </c>
      <c r="T6" s="188">
        <f t="shared" ref="T6:T19" si="46">R6+S6</f>
        <v>788.51335036384228</v>
      </c>
      <c r="U6" s="187">
        <f t="shared" ref="U6:U19" si="47">W5</f>
        <v>387.20595347143598</v>
      </c>
      <c r="V6" s="187">
        <f t="shared" ref="V6:V7" si="48">U6*$A6/100</f>
        <v>7.0507217104851465</v>
      </c>
      <c r="W6" s="188">
        <f t="shared" ref="W6:W19" si="49">U6+V6</f>
        <v>394.25667518192114</v>
      </c>
      <c r="X6" s="187">
        <f t="shared" ref="X6:X19" si="50">Z5</f>
        <v>101.89630354511473</v>
      </c>
      <c r="Y6" s="187">
        <f t="shared" ref="Y6:Y7" si="51">X6*$A6/100</f>
        <v>1.8554530817066175</v>
      </c>
      <c r="Z6" s="188">
        <f t="shared" ref="Z6:Z19" si="52">X6+Y6</f>
        <v>103.75175662682135</v>
      </c>
      <c r="AA6" s="187">
        <f t="shared" ref="AA6:AA19" si="53">AC5</f>
        <v>40.758521418045888</v>
      </c>
      <c r="AB6" s="187">
        <f t="shared" ref="AB6:AB7" si="54">AA6*$A6/100</f>
        <v>0.74218123268264691</v>
      </c>
      <c r="AC6" s="188">
        <f t="shared" ref="AC6:AC19" si="55">AA6+AB6</f>
        <v>41.500702650728535</v>
      </c>
      <c r="AD6" s="187">
        <f t="shared" ref="AD6:AD19" si="56">AF5</f>
        <v>213.98223744474092</v>
      </c>
      <c r="AE6" s="187">
        <f t="shared" ref="AE6:AE7" si="57">AD6*$A6/100</f>
        <v>3.8964514715838963</v>
      </c>
      <c r="AF6" s="188">
        <f t="shared" ref="AF6:AF19" si="58">AD6+AE6</f>
        <v>217.87868891632482</v>
      </c>
      <c r="AG6" s="187">
        <f t="shared" ref="AG6:AG19" si="59">AI5</f>
        <v>183.41334638120651</v>
      </c>
      <c r="AH6" s="187">
        <f t="shared" ref="AH6:AH7" si="60">AG6*$A6/100</f>
        <v>3.3398155470719115</v>
      </c>
      <c r="AI6" s="188">
        <f t="shared" ref="AI6:AI19" si="61">AG6+AH6</f>
        <v>186.75316192827842</v>
      </c>
      <c r="AJ6" s="187">
        <f t="shared" ref="AJ6:AJ19" si="62">AL5</f>
        <v>91.706673190603254</v>
      </c>
      <c r="AK6" s="187">
        <f t="shared" ref="AK6:AK7" si="63">AJ6*$A6/100</f>
        <v>1.6699077735359558</v>
      </c>
      <c r="AL6" s="188">
        <f t="shared" ref="AL6:AL19" si="64">AJ6+AK6</f>
        <v>93.376580964139208</v>
      </c>
      <c r="AM6" s="187">
        <f t="shared" ref="AM6:AM19" si="65">AO5</f>
        <v>71.327412481580311</v>
      </c>
      <c r="AN6" s="187">
        <f t="shared" ref="AN6:AN7" si="66">AM6*$A6/100</f>
        <v>1.2988171571946321</v>
      </c>
      <c r="AO6" s="188">
        <f t="shared" ref="AO6:AO19" si="67">AM6+AN6</f>
        <v>72.626229638774944</v>
      </c>
      <c r="AP6" s="187">
        <f t="shared" ref="AP6:AP19" si="68">AR5</f>
        <v>50.948151772557367</v>
      </c>
      <c r="AQ6" s="187">
        <f t="shared" ref="AQ6:AQ7" si="69">AP6*$A6/100</f>
        <v>0.92772654085330875</v>
      </c>
      <c r="AR6" s="188">
        <f t="shared" ref="AR6:AR19" si="70">AP6+AQ6</f>
        <v>51.875878313410674</v>
      </c>
      <c r="AS6" s="186">
        <f t="shared" ref="AS6:AS19" si="71">SUM(C6,I6,L6,O6,R6,U6,X6,AD6,AG6,AJ6,AM6,AP6)</f>
        <v>4809.5055273294165</v>
      </c>
      <c r="AT6" s="187"/>
      <c r="AU6" s="169"/>
      <c r="AV6" s="169"/>
    </row>
    <row r="7" spans="1:48">
      <c r="A7" s="169">
        <f>VLOOKUP(B7,Misc_inputs!$A$3:$B$33,2,0)</f>
        <v>1.9988242855231282</v>
      </c>
      <c r="B7" s="168">
        <v>2018</v>
      </c>
      <c r="C7" s="187">
        <f t="shared" si="29"/>
        <v>1151.6444985577168</v>
      </c>
      <c r="D7" s="187">
        <f t="shared" si="30"/>
        <v>23.019349920062695</v>
      </c>
      <c r="E7" s="188">
        <f t="shared" si="31"/>
        <v>1174.6638484777795</v>
      </c>
      <c r="F7" s="187">
        <f t="shared" si="32"/>
        <v>954.51616096675639</v>
      </c>
      <c r="G7" s="187">
        <f t="shared" si="33"/>
        <v>19.07910083464656</v>
      </c>
      <c r="H7" s="188">
        <f t="shared" si="34"/>
        <v>973.5952618014029</v>
      </c>
      <c r="I7" s="187">
        <f t="shared" si="35"/>
        <v>280.12974289241765</v>
      </c>
      <c r="J7" s="187">
        <f t="shared" si="36"/>
        <v>5.5993013319071432</v>
      </c>
      <c r="K7" s="188">
        <f t="shared" si="37"/>
        <v>285.72904422432481</v>
      </c>
      <c r="L7" s="187">
        <f t="shared" si="38"/>
        <v>1151.6444985577168</v>
      </c>
      <c r="M7" s="187">
        <f t="shared" si="39"/>
        <v>23.019349920062695</v>
      </c>
      <c r="N7" s="188">
        <f t="shared" si="40"/>
        <v>1174.6638484777795</v>
      </c>
      <c r="O7" s="187">
        <f t="shared" si="41"/>
        <v>404.63185084460321</v>
      </c>
      <c r="P7" s="187">
        <f t="shared" si="42"/>
        <v>8.0878797016436508</v>
      </c>
      <c r="Q7" s="188">
        <f t="shared" si="43"/>
        <v>412.71973054624686</v>
      </c>
      <c r="R7" s="187">
        <f t="shared" si="44"/>
        <v>788.51335036384228</v>
      </c>
      <c r="S7" s="187">
        <f t="shared" si="45"/>
        <v>15.760996341664551</v>
      </c>
      <c r="T7" s="188">
        <f t="shared" si="46"/>
        <v>804.27434670550679</v>
      </c>
      <c r="U7" s="187">
        <f t="shared" si="47"/>
        <v>394.25667518192114</v>
      </c>
      <c r="V7" s="187">
        <f t="shared" si="48"/>
        <v>7.8804981708322757</v>
      </c>
      <c r="W7" s="188">
        <f t="shared" si="49"/>
        <v>402.13717335275339</v>
      </c>
      <c r="X7" s="187">
        <f t="shared" si="50"/>
        <v>103.75175662682135</v>
      </c>
      <c r="Y7" s="187">
        <f t="shared" si="51"/>
        <v>2.0738153081137565</v>
      </c>
      <c r="Z7" s="188">
        <f t="shared" si="52"/>
        <v>105.8255719349351</v>
      </c>
      <c r="AA7" s="187">
        <f t="shared" si="53"/>
        <v>41.500702650728535</v>
      </c>
      <c r="AB7" s="187">
        <f t="shared" si="54"/>
        <v>0.82952612324550257</v>
      </c>
      <c r="AC7" s="188">
        <f t="shared" si="55"/>
        <v>42.330228773974035</v>
      </c>
      <c r="AD7" s="187">
        <f t="shared" si="56"/>
        <v>217.87868891632482</v>
      </c>
      <c r="AE7" s="187">
        <f t="shared" si="57"/>
        <v>4.3550121470388889</v>
      </c>
      <c r="AF7" s="188">
        <f t="shared" si="58"/>
        <v>222.2337010633637</v>
      </c>
      <c r="AG7" s="187">
        <f t="shared" si="59"/>
        <v>186.75316192827842</v>
      </c>
      <c r="AH7" s="187">
        <f t="shared" si="60"/>
        <v>3.7328675546047618</v>
      </c>
      <c r="AI7" s="188">
        <f t="shared" si="61"/>
        <v>190.48602948288317</v>
      </c>
      <c r="AJ7" s="187">
        <f t="shared" si="62"/>
        <v>93.376580964139208</v>
      </c>
      <c r="AK7" s="187">
        <f t="shared" si="63"/>
        <v>1.8664337773023809</v>
      </c>
      <c r="AL7" s="188">
        <f t="shared" si="64"/>
        <v>95.243014741441584</v>
      </c>
      <c r="AM7" s="187">
        <f t="shared" si="65"/>
        <v>72.626229638774944</v>
      </c>
      <c r="AN7" s="187">
        <f t="shared" si="66"/>
        <v>1.4516707156796298</v>
      </c>
      <c r="AO7" s="188">
        <f t="shared" si="67"/>
        <v>74.07790035445457</v>
      </c>
      <c r="AP7" s="187">
        <f t="shared" si="68"/>
        <v>51.875878313410674</v>
      </c>
      <c r="AQ7" s="187">
        <f t="shared" si="69"/>
        <v>1.0369076540568782</v>
      </c>
      <c r="AR7" s="188">
        <f t="shared" si="70"/>
        <v>52.912785967467549</v>
      </c>
      <c r="AS7" s="186">
        <f t="shared" si="71"/>
        <v>4897.082912785967</v>
      </c>
      <c r="AT7" s="187"/>
      <c r="AU7" s="169"/>
      <c r="AV7" s="169"/>
    </row>
    <row r="8" spans="1:48">
      <c r="A8" s="169">
        <f>VLOOKUP(B8,Misc_inputs!$A$3:$B$33,2,0)</f>
        <v>2.0163202370724722</v>
      </c>
      <c r="B8" s="168">
        <v>2019</v>
      </c>
      <c r="C8" s="187">
        <f t="shared" si="29"/>
        <v>1174.6638484777795</v>
      </c>
      <c r="D8" s="187">
        <f>C8*$A8/100</f>
        <v>23.684984894431793</v>
      </c>
      <c r="E8" s="188">
        <f t="shared" si="31"/>
        <v>1198.3488333722114</v>
      </c>
      <c r="F8" s="187">
        <f t="shared" si="32"/>
        <v>973.5952618014029</v>
      </c>
      <c r="G8" s="187">
        <f>F8*$A8/100</f>
        <v>19.630798290880403</v>
      </c>
      <c r="H8" s="188">
        <f t="shared" si="34"/>
        <v>993.22606009228332</v>
      </c>
      <c r="I8" s="187">
        <f t="shared" si="35"/>
        <v>285.72904422432481</v>
      </c>
      <c r="J8" s="187">
        <f>I8*$A8/100</f>
        <v>5.7612125418888152</v>
      </c>
      <c r="K8" s="188">
        <f t="shared" si="37"/>
        <v>291.49025676621363</v>
      </c>
      <c r="L8" s="187">
        <f t="shared" si="38"/>
        <v>1174.6638484777795</v>
      </c>
      <c r="M8" s="187">
        <f>L8*$A8/100</f>
        <v>23.684984894431793</v>
      </c>
      <c r="N8" s="188">
        <f t="shared" si="40"/>
        <v>1198.3488333722114</v>
      </c>
      <c r="O8" s="187">
        <f t="shared" si="41"/>
        <v>412.71973054624686</v>
      </c>
      <c r="P8" s="187">
        <f>O8*$A8/100</f>
        <v>8.321751449394954</v>
      </c>
      <c r="Q8" s="188">
        <f t="shared" si="43"/>
        <v>421.04148199564185</v>
      </c>
      <c r="R8" s="187">
        <f t="shared" si="44"/>
        <v>804.27434670550679</v>
      </c>
      <c r="S8" s="187">
        <f>R8*$A8/100</f>
        <v>16.216746414205552</v>
      </c>
      <c r="T8" s="188">
        <f t="shared" si="46"/>
        <v>820.49109311971233</v>
      </c>
      <c r="U8" s="187">
        <f t="shared" si="47"/>
        <v>402.13717335275339</v>
      </c>
      <c r="V8" s="187">
        <f>U8*$A8/100</f>
        <v>8.1083732071027761</v>
      </c>
      <c r="W8" s="188">
        <f t="shared" si="49"/>
        <v>410.24554655985617</v>
      </c>
      <c r="X8" s="187">
        <f t="shared" si="50"/>
        <v>105.8255719349351</v>
      </c>
      <c r="Y8" s="187">
        <f>X8*$A8/100</f>
        <v>2.133782422921783</v>
      </c>
      <c r="Z8" s="188">
        <f t="shared" si="52"/>
        <v>107.95935435785688</v>
      </c>
      <c r="AA8" s="187">
        <f t="shared" si="53"/>
        <v>42.330228773974035</v>
      </c>
      <c r="AB8" s="187">
        <f>AA8*$A8/100</f>
        <v>0.85351296916871311</v>
      </c>
      <c r="AC8" s="188">
        <f t="shared" si="55"/>
        <v>43.183741743142747</v>
      </c>
      <c r="AD8" s="187">
        <f t="shared" si="56"/>
        <v>222.2337010633637</v>
      </c>
      <c r="AE8" s="187">
        <f>AD8*$A8/100</f>
        <v>4.4809430881357439</v>
      </c>
      <c r="AF8" s="188">
        <f t="shared" si="58"/>
        <v>226.71464415149944</v>
      </c>
      <c r="AG8" s="187">
        <f t="shared" si="59"/>
        <v>190.48602948288317</v>
      </c>
      <c r="AH8" s="187">
        <f>AG8*$A8/100</f>
        <v>3.8408083612592092</v>
      </c>
      <c r="AI8" s="188">
        <f t="shared" si="61"/>
        <v>194.32683784414237</v>
      </c>
      <c r="AJ8" s="187">
        <f t="shared" si="62"/>
        <v>95.243014741441584</v>
      </c>
      <c r="AK8" s="187">
        <f>AJ8*$A8/100</f>
        <v>1.9204041806296046</v>
      </c>
      <c r="AL8" s="188">
        <f t="shared" si="64"/>
        <v>97.163418922071187</v>
      </c>
      <c r="AM8" s="187">
        <f t="shared" si="65"/>
        <v>74.07790035445457</v>
      </c>
      <c r="AN8" s="187">
        <f>AM8*$A8/100</f>
        <v>1.4936476960452481</v>
      </c>
      <c r="AO8" s="188">
        <f t="shared" si="67"/>
        <v>75.571548050499814</v>
      </c>
      <c r="AP8" s="187">
        <f t="shared" si="68"/>
        <v>52.912785967467549</v>
      </c>
      <c r="AQ8" s="187">
        <f>AP8*$A8/100</f>
        <v>1.0668912114608915</v>
      </c>
      <c r="AR8" s="188">
        <f t="shared" si="70"/>
        <v>53.979677178928441</v>
      </c>
      <c r="AS8" s="186">
        <f t="shared" si="71"/>
        <v>4994.9669953289367</v>
      </c>
      <c r="AT8" s="187"/>
      <c r="AU8" s="169"/>
      <c r="AV8" s="169"/>
    </row>
    <row r="9" spans="1:48">
      <c r="A9" s="169">
        <f>VLOOKUP(B9,Misc_inputs!$A$3:$B$33,2,0)</f>
        <v>5.3200852056836103</v>
      </c>
      <c r="B9" s="168">
        <v>2020</v>
      </c>
      <c r="C9" s="187">
        <f t="shared" si="29"/>
        <v>1198.3488333722114</v>
      </c>
      <c r="D9" s="187">
        <f t="shared" si="30"/>
        <v>63.75317899671716</v>
      </c>
      <c r="E9" s="188">
        <f t="shared" si="31"/>
        <v>1262.1020123689286</v>
      </c>
      <c r="F9" s="187">
        <f t="shared" si="32"/>
        <v>993.22606009228332</v>
      </c>
      <c r="G9" s="187">
        <f t="shared" ref="G9:G19" si="72">F9*$A9/100</f>
        <v>52.840472681963774</v>
      </c>
      <c r="H9" s="188">
        <f t="shared" si="34"/>
        <v>1046.0665327742472</v>
      </c>
      <c r="I9" s="187">
        <f t="shared" si="35"/>
        <v>291.49025676621363</v>
      </c>
      <c r="J9" s="187">
        <f t="shared" ref="J9:J19" si="73">I9*$A9/100</f>
        <v>15.507530026228501</v>
      </c>
      <c r="K9" s="188">
        <f t="shared" si="37"/>
        <v>306.99778679244213</v>
      </c>
      <c r="L9" s="187">
        <f t="shared" si="38"/>
        <v>1198.3488333722114</v>
      </c>
      <c r="M9" s="187">
        <f t="shared" ref="M9:M19" si="74">L9*$A9/100</f>
        <v>63.75317899671716</v>
      </c>
      <c r="N9" s="188">
        <f t="shared" si="40"/>
        <v>1262.1020123689286</v>
      </c>
      <c r="O9" s="187">
        <f t="shared" si="41"/>
        <v>421.04148199564185</v>
      </c>
      <c r="P9" s="187">
        <f t="shared" ref="P9:P19" si="75">O9*$A9/100</f>
        <v>22.39976559344116</v>
      </c>
      <c r="Q9" s="188">
        <f t="shared" si="43"/>
        <v>443.44124758908299</v>
      </c>
      <c r="R9" s="187">
        <f t="shared" si="44"/>
        <v>820.49109311971233</v>
      </c>
      <c r="S9" s="187">
        <f t="shared" ref="S9:S19" si="76">R9*$A9/100</f>
        <v>43.650825259013551</v>
      </c>
      <c r="T9" s="188">
        <f t="shared" si="46"/>
        <v>864.1419183787259</v>
      </c>
      <c r="U9" s="187">
        <f t="shared" si="47"/>
        <v>410.24554655985617</v>
      </c>
      <c r="V9" s="187">
        <f t="shared" ref="V9:V19" si="77">U9*$A9/100</f>
        <v>21.825412629506776</v>
      </c>
      <c r="W9" s="188">
        <f t="shared" si="49"/>
        <v>432.07095918936295</v>
      </c>
      <c r="X9" s="187">
        <f t="shared" si="50"/>
        <v>107.95935435785688</v>
      </c>
      <c r="Y9" s="187">
        <f t="shared" ref="Y9:Y19" si="78">X9*$A9/100</f>
        <v>5.7435296393438877</v>
      </c>
      <c r="Z9" s="188">
        <f t="shared" si="52"/>
        <v>113.70288399720077</v>
      </c>
      <c r="AA9" s="187">
        <f t="shared" si="53"/>
        <v>43.183741743142747</v>
      </c>
      <c r="AB9" s="187">
        <f t="shared" ref="AB9:AB19" si="79">AA9*$A9/100</f>
        <v>2.2974118557375549</v>
      </c>
      <c r="AC9" s="188">
        <f t="shared" si="55"/>
        <v>45.481153598880304</v>
      </c>
      <c r="AD9" s="187">
        <f t="shared" si="56"/>
        <v>226.71464415149944</v>
      </c>
      <c r="AE9" s="187">
        <f t="shared" ref="AE9:AE19" si="80">AD9*$A9/100</f>
        <v>12.061412242622163</v>
      </c>
      <c r="AF9" s="188">
        <f t="shared" si="58"/>
        <v>238.77605639412161</v>
      </c>
      <c r="AG9" s="187">
        <f t="shared" si="59"/>
        <v>194.32683784414237</v>
      </c>
      <c r="AH9" s="187">
        <f t="shared" ref="AH9:AH19" si="81">AG9*$A9/100</f>
        <v>10.338353350818998</v>
      </c>
      <c r="AI9" s="188">
        <f t="shared" si="61"/>
        <v>204.66519119496138</v>
      </c>
      <c r="AJ9" s="187">
        <f t="shared" si="62"/>
        <v>97.163418922071187</v>
      </c>
      <c r="AK9" s="187">
        <f t="shared" ref="AK9:AK19" si="82">AJ9*$A9/100</f>
        <v>5.1691766754094992</v>
      </c>
      <c r="AL9" s="188">
        <f t="shared" si="64"/>
        <v>102.33259559748069</v>
      </c>
      <c r="AM9" s="187">
        <f t="shared" si="65"/>
        <v>75.571548050499814</v>
      </c>
      <c r="AN9" s="187">
        <f t="shared" ref="AN9:AN19" si="83">AM9*$A9/100</f>
        <v>4.0204707475407213</v>
      </c>
      <c r="AO9" s="188">
        <f t="shared" si="67"/>
        <v>79.592018798040542</v>
      </c>
      <c r="AP9" s="187">
        <f t="shared" si="68"/>
        <v>53.979677178928441</v>
      </c>
      <c r="AQ9" s="187">
        <f t="shared" ref="AQ9:AQ19" si="84">AP9*$A9/100</f>
        <v>2.8717648196719439</v>
      </c>
      <c r="AR9" s="188">
        <f t="shared" si="70"/>
        <v>56.851441998600386</v>
      </c>
      <c r="AS9" s="186">
        <f t="shared" si="71"/>
        <v>5095.6815256908449</v>
      </c>
      <c r="AT9" s="187"/>
      <c r="AU9" s="169"/>
      <c r="AV9" s="169"/>
    </row>
    <row r="10" spans="1:48">
      <c r="A10" s="169">
        <f>VLOOKUP(B10,Misc_inputs!$A$3:$B$33,2,0)</f>
        <v>7.6258108678813302E-2</v>
      </c>
      <c r="B10" s="168">
        <v>2021</v>
      </c>
      <c r="C10" s="187">
        <f t="shared" si="29"/>
        <v>1262.1020123689286</v>
      </c>
      <c r="D10" s="187">
        <f t="shared" si="30"/>
        <v>0.9624551242297873</v>
      </c>
      <c r="E10" s="188">
        <f t="shared" si="31"/>
        <v>1263.0644674931584</v>
      </c>
      <c r="F10" s="187">
        <f t="shared" si="32"/>
        <v>1046.0665327742472</v>
      </c>
      <c r="G10" s="187">
        <f t="shared" si="72"/>
        <v>0.79771055341567954</v>
      </c>
      <c r="H10" s="188">
        <f t="shared" si="34"/>
        <v>1046.864243327663</v>
      </c>
      <c r="I10" s="187">
        <f t="shared" si="35"/>
        <v>306.99778679244213</v>
      </c>
      <c r="J10" s="187">
        <f t="shared" si="73"/>
        <v>0.23411070589373206</v>
      </c>
      <c r="K10" s="188">
        <f t="shared" si="37"/>
        <v>307.23189749833585</v>
      </c>
      <c r="L10" s="187">
        <f t="shared" si="38"/>
        <v>1262.1020123689286</v>
      </c>
      <c r="M10" s="187">
        <f t="shared" si="74"/>
        <v>0.9624551242297873</v>
      </c>
      <c r="N10" s="188">
        <f t="shared" si="40"/>
        <v>1263.0644674931584</v>
      </c>
      <c r="O10" s="187">
        <f t="shared" si="41"/>
        <v>443.44124758908299</v>
      </c>
      <c r="P10" s="187">
        <f t="shared" si="75"/>
        <v>0.33815990851316846</v>
      </c>
      <c r="Q10" s="188">
        <f t="shared" si="43"/>
        <v>443.77940749759614</v>
      </c>
      <c r="R10" s="187">
        <f t="shared" si="44"/>
        <v>864.1419183787259</v>
      </c>
      <c r="S10" s="187">
        <f t="shared" si="76"/>
        <v>0.65897828325643093</v>
      </c>
      <c r="T10" s="188">
        <f t="shared" si="46"/>
        <v>864.80089666198228</v>
      </c>
      <c r="U10" s="187">
        <f t="shared" si="47"/>
        <v>432.07095918936295</v>
      </c>
      <c r="V10" s="187">
        <f t="shared" si="77"/>
        <v>0.32948914162821547</v>
      </c>
      <c r="W10" s="188">
        <f t="shared" si="49"/>
        <v>432.40044833099114</v>
      </c>
      <c r="X10" s="187">
        <f t="shared" si="50"/>
        <v>113.70288399720077</v>
      </c>
      <c r="Y10" s="187">
        <f t="shared" si="78"/>
        <v>8.6707668849530378E-2</v>
      </c>
      <c r="Z10" s="188">
        <f t="shared" si="52"/>
        <v>113.7895916660503</v>
      </c>
      <c r="AA10" s="187">
        <f t="shared" si="53"/>
        <v>45.481153598880304</v>
      </c>
      <c r="AB10" s="187">
        <f t="shared" si="79"/>
        <v>3.4683067539812151E-2</v>
      </c>
      <c r="AC10" s="188">
        <f t="shared" si="55"/>
        <v>45.515836666420114</v>
      </c>
      <c r="AD10" s="187">
        <f t="shared" si="56"/>
        <v>238.77605639412161</v>
      </c>
      <c r="AE10" s="187">
        <f t="shared" si="80"/>
        <v>0.18208610458401381</v>
      </c>
      <c r="AF10" s="188">
        <f t="shared" si="58"/>
        <v>238.95814249870563</v>
      </c>
      <c r="AG10" s="187">
        <f t="shared" si="59"/>
        <v>204.66519119496138</v>
      </c>
      <c r="AH10" s="187">
        <f t="shared" si="81"/>
        <v>0.15607380392915468</v>
      </c>
      <c r="AI10" s="188">
        <f t="shared" si="61"/>
        <v>204.82126499889054</v>
      </c>
      <c r="AJ10" s="187">
        <f t="shared" si="62"/>
        <v>102.33259559748069</v>
      </c>
      <c r="AK10" s="187">
        <f t="shared" si="82"/>
        <v>7.803690196457734E-2</v>
      </c>
      <c r="AL10" s="188">
        <f t="shared" si="64"/>
        <v>102.41063249944527</v>
      </c>
      <c r="AM10" s="187">
        <f t="shared" si="65"/>
        <v>79.592018798040542</v>
      </c>
      <c r="AN10" s="187">
        <f t="shared" si="83"/>
        <v>6.0695368194671272E-2</v>
      </c>
      <c r="AO10" s="188">
        <f t="shared" si="67"/>
        <v>79.652714166235214</v>
      </c>
      <c r="AP10" s="187">
        <f t="shared" si="68"/>
        <v>56.851441998600386</v>
      </c>
      <c r="AQ10" s="187">
        <f t="shared" si="84"/>
        <v>4.3353834424765189E-2</v>
      </c>
      <c r="AR10" s="188">
        <f t="shared" si="70"/>
        <v>56.89479583302515</v>
      </c>
      <c r="AS10" s="186">
        <f t="shared" si="71"/>
        <v>5366.7761246678774</v>
      </c>
      <c r="AT10" s="169"/>
      <c r="AU10" s="169"/>
      <c r="AV10" s="169"/>
    </row>
    <row r="11" spans="1:48">
      <c r="A11" s="169">
        <f>VLOOKUP(B11,Misc_inputs!$A$3:$B$33,2,0)</f>
        <v>2.8492930312000952</v>
      </c>
      <c r="B11" s="168">
        <v>2022</v>
      </c>
      <c r="C11" s="187">
        <f t="shared" si="29"/>
        <v>1263.0644674931584</v>
      </c>
      <c r="D11" s="187">
        <f t="shared" si="30"/>
        <v>35.988407851847157</v>
      </c>
      <c r="E11" s="188">
        <f t="shared" si="31"/>
        <v>1299.0528753450055</v>
      </c>
      <c r="F11" s="187">
        <f t="shared" si="32"/>
        <v>1046.864243327663</v>
      </c>
      <c r="G11" s="187">
        <f t="shared" si="72"/>
        <v>29.828229931260708</v>
      </c>
      <c r="H11" s="188">
        <f t="shared" si="34"/>
        <v>1076.6924732589237</v>
      </c>
      <c r="I11" s="187">
        <f t="shared" si="35"/>
        <v>307.23189749833585</v>
      </c>
      <c r="J11" s="187">
        <f t="shared" si="73"/>
        <v>8.7539370450439034</v>
      </c>
      <c r="K11" s="188">
        <f t="shared" si="37"/>
        <v>315.98583454337978</v>
      </c>
      <c r="L11" s="187">
        <f t="shared" si="38"/>
        <v>1263.0644674931584</v>
      </c>
      <c r="M11" s="187">
        <f t="shared" si="74"/>
        <v>35.988407851847157</v>
      </c>
      <c r="N11" s="188">
        <f t="shared" si="40"/>
        <v>1299.0528753450055</v>
      </c>
      <c r="O11" s="187">
        <f t="shared" si="41"/>
        <v>443.77940749759614</v>
      </c>
      <c r="P11" s="187">
        <f t="shared" si="75"/>
        <v>12.644575731730081</v>
      </c>
      <c r="Q11" s="188">
        <f t="shared" si="43"/>
        <v>456.42398322932621</v>
      </c>
      <c r="R11" s="187">
        <f t="shared" si="44"/>
        <v>864.80089666198228</v>
      </c>
      <c r="S11" s="187">
        <f t="shared" si="76"/>
        <v>24.640711682345799</v>
      </c>
      <c r="T11" s="188">
        <f t="shared" si="46"/>
        <v>889.44160834432807</v>
      </c>
      <c r="U11" s="187">
        <f t="shared" si="47"/>
        <v>432.40044833099114</v>
      </c>
      <c r="V11" s="187">
        <f t="shared" si="77"/>
        <v>12.3203558411729</v>
      </c>
      <c r="W11" s="188">
        <f t="shared" si="49"/>
        <v>444.72080417216404</v>
      </c>
      <c r="X11" s="187">
        <f t="shared" si="50"/>
        <v>113.7895916660503</v>
      </c>
      <c r="Y11" s="187">
        <f t="shared" si="78"/>
        <v>3.2421989055718154</v>
      </c>
      <c r="Z11" s="188">
        <f t="shared" si="52"/>
        <v>117.03179057162211</v>
      </c>
      <c r="AA11" s="187">
        <f t="shared" si="53"/>
        <v>45.515836666420114</v>
      </c>
      <c r="AB11" s="187">
        <f t="shared" si="79"/>
        <v>1.2968795622287259</v>
      </c>
      <c r="AC11" s="188">
        <f t="shared" si="55"/>
        <v>46.812716228648839</v>
      </c>
      <c r="AD11" s="187">
        <f t="shared" si="56"/>
        <v>238.95814249870563</v>
      </c>
      <c r="AE11" s="187">
        <f t="shared" si="80"/>
        <v>6.8086177017008129</v>
      </c>
      <c r="AF11" s="188">
        <f t="shared" si="58"/>
        <v>245.76676020040645</v>
      </c>
      <c r="AG11" s="187">
        <f t="shared" si="59"/>
        <v>204.82126499889054</v>
      </c>
      <c r="AH11" s="187">
        <f t="shared" si="81"/>
        <v>5.8359580300292677</v>
      </c>
      <c r="AI11" s="188">
        <f t="shared" si="61"/>
        <v>210.65722302891982</v>
      </c>
      <c r="AJ11" s="187">
        <f t="shared" si="62"/>
        <v>102.41063249944527</v>
      </c>
      <c r="AK11" s="187">
        <f t="shared" si="82"/>
        <v>2.9179790150146339</v>
      </c>
      <c r="AL11" s="188">
        <f t="shared" si="64"/>
        <v>105.32861151445991</v>
      </c>
      <c r="AM11" s="187">
        <f t="shared" si="65"/>
        <v>79.652714166235214</v>
      </c>
      <c r="AN11" s="187">
        <f t="shared" si="83"/>
        <v>2.2695392339002707</v>
      </c>
      <c r="AO11" s="188">
        <f t="shared" si="67"/>
        <v>81.922253400135489</v>
      </c>
      <c r="AP11" s="187">
        <f t="shared" si="68"/>
        <v>56.89479583302515</v>
      </c>
      <c r="AQ11" s="187">
        <f t="shared" si="84"/>
        <v>1.6210994527859077</v>
      </c>
      <c r="AR11" s="188">
        <f t="shared" si="70"/>
        <v>58.515895285811055</v>
      </c>
      <c r="AS11" s="186">
        <f t="shared" si="71"/>
        <v>5370.8687266375746</v>
      </c>
      <c r="AT11" s="169"/>
      <c r="AU11" s="169"/>
      <c r="AV11" s="169"/>
    </row>
    <row r="12" spans="1:48">
      <c r="A12" s="169">
        <f>VLOOKUP(B12,Misc_inputs!$A$3:$B$33,2,0)</f>
        <v>3.143440902459993</v>
      </c>
      <c r="B12" s="168">
        <v>2023</v>
      </c>
      <c r="C12" s="187">
        <f t="shared" si="29"/>
        <v>1299.0528753450055</v>
      </c>
      <c r="D12" s="187">
        <f t="shared" si="30"/>
        <v>40.834959428177534</v>
      </c>
      <c r="E12" s="188">
        <f t="shared" si="31"/>
        <v>1339.8878347731832</v>
      </c>
      <c r="F12" s="187">
        <f t="shared" si="32"/>
        <v>1076.6924732589237</v>
      </c>
      <c r="G12" s="187">
        <f t="shared" si="72"/>
        <v>33.845191598129126</v>
      </c>
      <c r="H12" s="188">
        <f t="shared" si="34"/>
        <v>1110.5376648570527</v>
      </c>
      <c r="I12" s="187">
        <f t="shared" si="35"/>
        <v>315.98583454337978</v>
      </c>
      <c r="J12" s="187">
        <f t="shared" si="73"/>
        <v>9.9328279690161576</v>
      </c>
      <c r="K12" s="188">
        <f t="shared" si="37"/>
        <v>325.91866251239594</v>
      </c>
      <c r="L12" s="187">
        <f t="shared" si="38"/>
        <v>1299.0528753450055</v>
      </c>
      <c r="M12" s="187">
        <f t="shared" si="74"/>
        <v>40.834959428177534</v>
      </c>
      <c r="N12" s="188">
        <f t="shared" si="40"/>
        <v>1339.8878347731832</v>
      </c>
      <c r="O12" s="187">
        <f t="shared" si="41"/>
        <v>456.42398322932621</v>
      </c>
      <c r="P12" s="187">
        <f t="shared" si="75"/>
        <v>14.347418177467778</v>
      </c>
      <c r="Q12" s="188">
        <f t="shared" si="43"/>
        <v>470.77140140679398</v>
      </c>
      <c r="R12" s="187">
        <f t="shared" si="44"/>
        <v>889.44160834432807</v>
      </c>
      <c r="S12" s="187">
        <f t="shared" si="76"/>
        <v>27.959071320193619</v>
      </c>
      <c r="T12" s="188">
        <f t="shared" si="46"/>
        <v>917.4006796645217</v>
      </c>
      <c r="U12" s="187">
        <f t="shared" si="47"/>
        <v>444.72080417216404</v>
      </c>
      <c r="V12" s="187">
        <f t="shared" si="77"/>
        <v>13.979535660096809</v>
      </c>
      <c r="W12" s="188">
        <f t="shared" si="49"/>
        <v>458.70033983226085</v>
      </c>
      <c r="X12" s="187">
        <f t="shared" si="50"/>
        <v>117.03179057162211</v>
      </c>
      <c r="Y12" s="187">
        <f t="shared" si="78"/>
        <v>3.6788251737096869</v>
      </c>
      <c r="Z12" s="188">
        <f t="shared" si="52"/>
        <v>120.71061574533179</v>
      </c>
      <c r="AA12" s="187">
        <f t="shared" si="53"/>
        <v>46.812716228648839</v>
      </c>
      <c r="AB12" s="187">
        <f t="shared" si="79"/>
        <v>1.4715300694838747</v>
      </c>
      <c r="AC12" s="188">
        <f t="shared" si="55"/>
        <v>48.284246298132715</v>
      </c>
      <c r="AD12" s="187">
        <f t="shared" si="56"/>
        <v>245.76676020040645</v>
      </c>
      <c r="AE12" s="187">
        <f t="shared" si="80"/>
        <v>7.7255328647903436</v>
      </c>
      <c r="AF12" s="188">
        <f t="shared" si="58"/>
        <v>253.4922930651968</v>
      </c>
      <c r="AG12" s="187">
        <f t="shared" si="59"/>
        <v>210.65722302891982</v>
      </c>
      <c r="AH12" s="187">
        <f t="shared" si="81"/>
        <v>6.6218853126774375</v>
      </c>
      <c r="AI12" s="188">
        <f t="shared" si="61"/>
        <v>217.27910834159727</v>
      </c>
      <c r="AJ12" s="187">
        <f t="shared" si="62"/>
        <v>105.32861151445991</v>
      </c>
      <c r="AK12" s="187">
        <f t="shared" si="82"/>
        <v>3.3109426563387188</v>
      </c>
      <c r="AL12" s="188">
        <f t="shared" si="64"/>
        <v>108.63955417079863</v>
      </c>
      <c r="AM12" s="187">
        <f t="shared" si="65"/>
        <v>81.922253400135489</v>
      </c>
      <c r="AN12" s="187">
        <f t="shared" si="83"/>
        <v>2.5751776215967812</v>
      </c>
      <c r="AO12" s="188">
        <f t="shared" si="67"/>
        <v>84.497431021732268</v>
      </c>
      <c r="AP12" s="187">
        <f t="shared" si="68"/>
        <v>58.515895285811055</v>
      </c>
      <c r="AQ12" s="187">
        <f t="shared" si="84"/>
        <v>1.8394125868548434</v>
      </c>
      <c r="AR12" s="188">
        <f t="shared" si="70"/>
        <v>60.355307872665897</v>
      </c>
      <c r="AS12" s="186">
        <f t="shared" si="71"/>
        <v>5523.9005149805644</v>
      </c>
      <c r="AT12" s="169"/>
      <c r="AU12" s="169"/>
      <c r="AV12" s="169"/>
    </row>
    <row r="13" spans="1:48">
      <c r="A13" s="169">
        <f>VLOOKUP(B13,Misc_inputs!$A$3:$B$33,2,0)</f>
        <v>1.8594732384912049</v>
      </c>
      <c r="B13" s="168">
        <v>2024</v>
      </c>
      <c r="C13" s="187">
        <f t="shared" si="29"/>
        <v>1339.8878347731832</v>
      </c>
      <c r="D13" s="187">
        <f t="shared" si="30"/>
        <v>24.914855713406595</v>
      </c>
      <c r="E13" s="188">
        <f t="shared" si="31"/>
        <v>1364.8026904865897</v>
      </c>
      <c r="F13" s="187">
        <f t="shared" si="32"/>
        <v>1110.5376648570527</v>
      </c>
      <c r="G13" s="187">
        <f t="shared" si="72"/>
        <v>20.650150681382044</v>
      </c>
      <c r="H13" s="188">
        <f t="shared" si="34"/>
        <v>1131.1878155384347</v>
      </c>
      <c r="I13" s="187">
        <f t="shared" si="35"/>
        <v>325.91866251239594</v>
      </c>
      <c r="J13" s="187">
        <f t="shared" si="73"/>
        <v>6.06037030866647</v>
      </c>
      <c r="K13" s="188">
        <f t="shared" si="37"/>
        <v>331.97903282106239</v>
      </c>
      <c r="L13" s="187">
        <f t="shared" si="38"/>
        <v>1339.8878347731832</v>
      </c>
      <c r="M13" s="187">
        <f t="shared" si="74"/>
        <v>24.914855713406595</v>
      </c>
      <c r="N13" s="188">
        <f t="shared" si="40"/>
        <v>1364.8026904865897</v>
      </c>
      <c r="O13" s="187">
        <f t="shared" si="41"/>
        <v>470.77140140679398</v>
      </c>
      <c r="P13" s="187">
        <f t="shared" si="75"/>
        <v>8.7538682236293432</v>
      </c>
      <c r="Q13" s="188">
        <f t="shared" si="43"/>
        <v>479.52526963042334</v>
      </c>
      <c r="R13" s="187">
        <f t="shared" si="44"/>
        <v>917.4006796645217</v>
      </c>
      <c r="S13" s="187">
        <f t="shared" si="76"/>
        <v>17.058820128098208</v>
      </c>
      <c r="T13" s="188">
        <f t="shared" si="46"/>
        <v>934.45949979261991</v>
      </c>
      <c r="U13" s="187">
        <f t="shared" si="47"/>
        <v>458.70033983226085</v>
      </c>
      <c r="V13" s="187">
        <f t="shared" si="77"/>
        <v>8.5294100640491042</v>
      </c>
      <c r="W13" s="188">
        <f t="shared" si="49"/>
        <v>467.22974989630995</v>
      </c>
      <c r="X13" s="187">
        <f t="shared" si="50"/>
        <v>120.71061574533179</v>
      </c>
      <c r="Y13" s="187">
        <f t="shared" si="78"/>
        <v>2.2445815958023956</v>
      </c>
      <c r="Z13" s="188">
        <f t="shared" si="52"/>
        <v>122.95519734113419</v>
      </c>
      <c r="AA13" s="187">
        <f t="shared" si="53"/>
        <v>48.284246298132715</v>
      </c>
      <c r="AB13" s="187">
        <f t="shared" si="79"/>
        <v>0.89783263832095817</v>
      </c>
      <c r="AC13" s="188">
        <f t="shared" si="55"/>
        <v>49.182078936453671</v>
      </c>
      <c r="AD13" s="187">
        <f t="shared" si="56"/>
        <v>253.4922930651968</v>
      </c>
      <c r="AE13" s="187">
        <f t="shared" si="80"/>
        <v>4.7136213511850311</v>
      </c>
      <c r="AF13" s="188">
        <f t="shared" si="58"/>
        <v>258.20591441638186</v>
      </c>
      <c r="AG13" s="187">
        <f t="shared" si="59"/>
        <v>217.27910834159727</v>
      </c>
      <c r="AH13" s="187">
        <f t="shared" si="81"/>
        <v>4.0402468724443121</v>
      </c>
      <c r="AI13" s="188">
        <f t="shared" si="61"/>
        <v>221.31935521404156</v>
      </c>
      <c r="AJ13" s="187">
        <f t="shared" si="62"/>
        <v>108.63955417079863</v>
      </c>
      <c r="AK13" s="187">
        <f t="shared" si="82"/>
        <v>2.0201234362221561</v>
      </c>
      <c r="AL13" s="188">
        <f t="shared" si="64"/>
        <v>110.65967760702078</v>
      </c>
      <c r="AM13" s="187">
        <f t="shared" si="65"/>
        <v>84.497431021732268</v>
      </c>
      <c r="AN13" s="187">
        <f t="shared" si="83"/>
        <v>1.571207117061677</v>
      </c>
      <c r="AO13" s="188">
        <f t="shared" si="67"/>
        <v>86.068638138793943</v>
      </c>
      <c r="AP13" s="187">
        <f t="shared" si="68"/>
        <v>60.355307872665897</v>
      </c>
      <c r="AQ13" s="187">
        <f t="shared" si="84"/>
        <v>1.1222907979011978</v>
      </c>
      <c r="AR13" s="188">
        <f t="shared" si="70"/>
        <v>61.477598670567097</v>
      </c>
      <c r="AS13" s="186">
        <f t="shared" si="71"/>
        <v>5697.5410631796613</v>
      </c>
      <c r="AT13" s="169"/>
      <c r="AU13" s="169"/>
      <c r="AV13" s="169"/>
    </row>
    <row r="14" spans="1:48">
      <c r="A14" s="169">
        <f>VLOOKUP(B14,Misc_inputs!$A$3:$B$33,2,0)</f>
        <v>1.892198034308179</v>
      </c>
      <c r="B14" s="168">
        <v>2025</v>
      </c>
      <c r="C14" s="187">
        <f t="shared" si="29"/>
        <v>1364.8026904865897</v>
      </c>
      <c r="D14" s="187">
        <f t="shared" si="30"/>
        <v>25.824769681572388</v>
      </c>
      <c r="E14" s="188">
        <f t="shared" si="31"/>
        <v>1390.6274601681621</v>
      </c>
      <c r="F14" s="187">
        <f t="shared" si="32"/>
        <v>1131.1878155384347</v>
      </c>
      <c r="G14" s="187">
        <f t="shared" si="72"/>
        <v>21.404313609951892</v>
      </c>
      <c r="H14" s="188">
        <f t="shared" si="34"/>
        <v>1152.5921291483867</v>
      </c>
      <c r="I14" s="187">
        <f t="shared" si="35"/>
        <v>331.97903282106239</v>
      </c>
      <c r="J14" s="187">
        <f t="shared" si="73"/>
        <v>6.2817007333554464</v>
      </c>
      <c r="K14" s="188">
        <f t="shared" si="37"/>
        <v>338.26073355441781</v>
      </c>
      <c r="L14" s="187">
        <f t="shared" si="38"/>
        <v>1364.8026904865897</v>
      </c>
      <c r="M14" s="187">
        <f t="shared" si="74"/>
        <v>25.824769681572388</v>
      </c>
      <c r="N14" s="188">
        <f t="shared" si="40"/>
        <v>1390.6274601681621</v>
      </c>
      <c r="O14" s="187">
        <f t="shared" si="41"/>
        <v>479.52526963042334</v>
      </c>
      <c r="P14" s="187">
        <f t="shared" si="75"/>
        <v>9.0735677259578651</v>
      </c>
      <c r="Q14" s="188">
        <f t="shared" si="43"/>
        <v>488.59883735638118</v>
      </c>
      <c r="R14" s="187">
        <f t="shared" si="44"/>
        <v>934.45949979261991</v>
      </c>
      <c r="S14" s="187">
        <f t="shared" si="76"/>
        <v>17.681824286481998</v>
      </c>
      <c r="T14" s="188">
        <f t="shared" si="46"/>
        <v>952.14132407910188</v>
      </c>
      <c r="U14" s="187">
        <f t="shared" si="47"/>
        <v>467.22974989630995</v>
      </c>
      <c r="V14" s="187">
        <f t="shared" si="77"/>
        <v>8.8409121432409989</v>
      </c>
      <c r="W14" s="188">
        <f t="shared" si="49"/>
        <v>476.07066203955094</v>
      </c>
      <c r="X14" s="187">
        <f t="shared" si="50"/>
        <v>122.95519734113419</v>
      </c>
      <c r="Y14" s="187">
        <f t="shared" si="78"/>
        <v>2.3265558271686837</v>
      </c>
      <c r="Z14" s="188">
        <f t="shared" si="52"/>
        <v>125.28175316830288</v>
      </c>
      <c r="AA14" s="187">
        <f t="shared" si="53"/>
        <v>49.182078936453671</v>
      </c>
      <c r="AB14" s="187">
        <f t="shared" si="79"/>
        <v>0.93062233086747326</v>
      </c>
      <c r="AC14" s="188">
        <f t="shared" si="55"/>
        <v>50.112701267321142</v>
      </c>
      <c r="AD14" s="187">
        <f t="shared" si="56"/>
        <v>258.20591441638186</v>
      </c>
      <c r="AE14" s="187">
        <f t="shared" si="80"/>
        <v>4.8857672370542362</v>
      </c>
      <c r="AF14" s="188">
        <f t="shared" si="58"/>
        <v>263.09168165343607</v>
      </c>
      <c r="AG14" s="187">
        <f t="shared" si="59"/>
        <v>221.31935521404156</v>
      </c>
      <c r="AH14" s="187">
        <f t="shared" si="81"/>
        <v>4.1878004889036307</v>
      </c>
      <c r="AI14" s="188">
        <f t="shared" si="61"/>
        <v>225.5071557029452</v>
      </c>
      <c r="AJ14" s="187">
        <f t="shared" si="62"/>
        <v>110.65967760702078</v>
      </c>
      <c r="AK14" s="187">
        <f t="shared" si="82"/>
        <v>2.0939002444518153</v>
      </c>
      <c r="AL14" s="188">
        <f t="shared" si="64"/>
        <v>112.7535778514726</v>
      </c>
      <c r="AM14" s="187">
        <f t="shared" si="65"/>
        <v>86.068638138793943</v>
      </c>
      <c r="AN14" s="187">
        <f t="shared" si="83"/>
        <v>1.6285890790180786</v>
      </c>
      <c r="AO14" s="188">
        <f t="shared" si="67"/>
        <v>87.697227217812028</v>
      </c>
      <c r="AP14" s="187">
        <f t="shared" si="68"/>
        <v>61.477598670567097</v>
      </c>
      <c r="AQ14" s="187">
        <f t="shared" si="84"/>
        <v>1.1632779135843418</v>
      </c>
      <c r="AR14" s="188">
        <f t="shared" si="70"/>
        <v>62.640876584151442</v>
      </c>
      <c r="AS14" s="186">
        <f t="shared" si="71"/>
        <v>5803.4853145015359</v>
      </c>
      <c r="AT14" s="169"/>
      <c r="AU14" s="169"/>
      <c r="AV14" s="169"/>
    </row>
    <row r="15" spans="1:48">
      <c r="A15" s="169">
        <f>VLOOKUP(B15,Misc_inputs!$A$3:$B$33,2,0)</f>
        <v>2.0003592159356653</v>
      </c>
      <c r="B15" s="168">
        <v>2026</v>
      </c>
      <c r="C15" s="187">
        <f t="shared" si="29"/>
        <v>1390.6274601681621</v>
      </c>
      <c r="D15" s="187">
        <f t="shared" si="30"/>
        <v>27.817544558805903</v>
      </c>
      <c r="E15" s="188">
        <f t="shared" si="31"/>
        <v>1418.4450047269679</v>
      </c>
      <c r="F15" s="187">
        <f t="shared" si="32"/>
        <v>1152.5921291483867</v>
      </c>
      <c r="G15" s="187">
        <f t="shared" si="72"/>
        <v>23.055982877568859</v>
      </c>
      <c r="H15" s="188">
        <f t="shared" si="34"/>
        <v>1175.6481120259555</v>
      </c>
      <c r="I15" s="187">
        <f t="shared" si="35"/>
        <v>338.26073355441781</v>
      </c>
      <c r="J15" s="187">
        <f t="shared" si="73"/>
        <v>6.7664297575473826</v>
      </c>
      <c r="K15" s="188">
        <f t="shared" si="37"/>
        <v>345.02716331196518</v>
      </c>
      <c r="L15" s="187">
        <f t="shared" si="38"/>
        <v>1390.6274601681621</v>
      </c>
      <c r="M15" s="187">
        <f t="shared" si="74"/>
        <v>27.817544558805903</v>
      </c>
      <c r="N15" s="188">
        <f t="shared" si="40"/>
        <v>1418.4450047269679</v>
      </c>
      <c r="O15" s="187">
        <f t="shared" si="41"/>
        <v>488.59883735638118</v>
      </c>
      <c r="P15" s="187">
        <f t="shared" si="75"/>
        <v>9.773731872012883</v>
      </c>
      <c r="Q15" s="188">
        <f t="shared" si="43"/>
        <v>498.37256922839407</v>
      </c>
      <c r="R15" s="187">
        <f t="shared" si="44"/>
        <v>952.14132407910188</v>
      </c>
      <c r="S15" s="187">
        <f t="shared" si="76"/>
        <v>19.046246724948183</v>
      </c>
      <c r="T15" s="188">
        <f t="shared" si="46"/>
        <v>971.1875708040501</v>
      </c>
      <c r="U15" s="187">
        <f t="shared" si="47"/>
        <v>476.07066203955094</v>
      </c>
      <c r="V15" s="187">
        <f t="shared" si="77"/>
        <v>9.5231233624740916</v>
      </c>
      <c r="W15" s="188">
        <f t="shared" si="49"/>
        <v>485.59378540202505</v>
      </c>
      <c r="X15" s="187">
        <f t="shared" si="50"/>
        <v>125.28175316830288</v>
      </c>
      <c r="Y15" s="187">
        <f t="shared" si="78"/>
        <v>2.506085095387919</v>
      </c>
      <c r="Z15" s="188">
        <f t="shared" si="52"/>
        <v>127.7878382636908</v>
      </c>
      <c r="AA15" s="187">
        <f t="shared" si="53"/>
        <v>50.112701267321142</v>
      </c>
      <c r="AB15" s="187">
        <f t="shared" si="79"/>
        <v>1.0024340381551675</v>
      </c>
      <c r="AC15" s="188">
        <f t="shared" si="55"/>
        <v>51.115135305476308</v>
      </c>
      <c r="AD15" s="187">
        <f t="shared" si="56"/>
        <v>263.09168165343607</v>
      </c>
      <c r="AE15" s="187">
        <f t="shared" si="80"/>
        <v>5.2627787003146302</v>
      </c>
      <c r="AF15" s="188">
        <f t="shared" si="58"/>
        <v>268.35446035375071</v>
      </c>
      <c r="AG15" s="187">
        <f t="shared" si="59"/>
        <v>225.5071557029452</v>
      </c>
      <c r="AH15" s="187">
        <f t="shared" si="81"/>
        <v>4.5109531716982545</v>
      </c>
      <c r="AI15" s="188">
        <f t="shared" si="61"/>
        <v>230.01810887464345</v>
      </c>
      <c r="AJ15" s="187">
        <f t="shared" si="62"/>
        <v>112.7535778514726</v>
      </c>
      <c r="AK15" s="187">
        <f t="shared" si="82"/>
        <v>2.2554765858491272</v>
      </c>
      <c r="AL15" s="188">
        <f t="shared" si="64"/>
        <v>115.00905443732172</v>
      </c>
      <c r="AM15" s="187">
        <f t="shared" si="65"/>
        <v>87.697227217812028</v>
      </c>
      <c r="AN15" s="187">
        <f t="shared" si="83"/>
        <v>1.7542595667715435</v>
      </c>
      <c r="AO15" s="188">
        <f t="shared" si="67"/>
        <v>89.451486784583565</v>
      </c>
      <c r="AP15" s="187">
        <f t="shared" si="68"/>
        <v>62.640876584151442</v>
      </c>
      <c r="AQ15" s="187">
        <f t="shared" si="84"/>
        <v>1.2530425476939595</v>
      </c>
      <c r="AR15" s="188">
        <f t="shared" si="70"/>
        <v>63.893919131845401</v>
      </c>
      <c r="AS15" s="186">
        <f t="shared" si="71"/>
        <v>5913.2987495438974</v>
      </c>
      <c r="AT15" s="169"/>
      <c r="AU15" s="169"/>
      <c r="AV15" s="169"/>
    </row>
    <row r="16" spans="1:48">
      <c r="A16" s="169">
        <f>VLOOKUP(B16,Misc_inputs!$A$3:$B$33,2,0)</f>
        <v>0</v>
      </c>
      <c r="B16" s="168">
        <v>2027</v>
      </c>
      <c r="C16" s="187">
        <f t="shared" si="29"/>
        <v>1418.4450047269679</v>
      </c>
      <c r="D16" s="187">
        <f t="shared" si="30"/>
        <v>0</v>
      </c>
      <c r="E16" s="188">
        <f t="shared" si="31"/>
        <v>1418.4450047269679</v>
      </c>
      <c r="F16" s="187">
        <f t="shared" si="32"/>
        <v>1175.6481120259555</v>
      </c>
      <c r="G16" s="187">
        <f t="shared" si="72"/>
        <v>0</v>
      </c>
      <c r="H16" s="188">
        <f t="shared" si="34"/>
        <v>1175.6481120259555</v>
      </c>
      <c r="I16" s="187">
        <f t="shared" si="35"/>
        <v>345.02716331196518</v>
      </c>
      <c r="J16" s="187">
        <f t="shared" si="73"/>
        <v>0</v>
      </c>
      <c r="K16" s="188">
        <f t="shared" si="37"/>
        <v>345.02716331196518</v>
      </c>
      <c r="L16" s="187">
        <f t="shared" si="38"/>
        <v>1418.4450047269679</v>
      </c>
      <c r="M16" s="187">
        <f t="shared" si="74"/>
        <v>0</v>
      </c>
      <c r="N16" s="188">
        <f t="shared" si="40"/>
        <v>1418.4450047269679</v>
      </c>
      <c r="O16" s="187">
        <f t="shared" si="41"/>
        <v>498.37256922839407</v>
      </c>
      <c r="P16" s="187">
        <f t="shared" si="75"/>
        <v>0</v>
      </c>
      <c r="Q16" s="188">
        <f t="shared" si="43"/>
        <v>498.37256922839407</v>
      </c>
      <c r="R16" s="187">
        <f t="shared" si="44"/>
        <v>971.1875708040501</v>
      </c>
      <c r="S16" s="187">
        <f t="shared" si="76"/>
        <v>0</v>
      </c>
      <c r="T16" s="188">
        <f t="shared" si="46"/>
        <v>971.1875708040501</v>
      </c>
      <c r="U16" s="187">
        <f t="shared" si="47"/>
        <v>485.59378540202505</v>
      </c>
      <c r="V16" s="187">
        <f t="shared" si="77"/>
        <v>0</v>
      </c>
      <c r="W16" s="188">
        <f t="shared" si="49"/>
        <v>485.59378540202505</v>
      </c>
      <c r="X16" s="187">
        <f t="shared" si="50"/>
        <v>127.7878382636908</v>
      </c>
      <c r="Y16" s="187">
        <f t="shared" si="78"/>
        <v>0</v>
      </c>
      <c r="Z16" s="188">
        <f t="shared" si="52"/>
        <v>127.7878382636908</v>
      </c>
      <c r="AA16" s="187">
        <f t="shared" si="53"/>
        <v>51.115135305476308</v>
      </c>
      <c r="AB16" s="187">
        <f t="shared" si="79"/>
        <v>0</v>
      </c>
      <c r="AC16" s="188">
        <f t="shared" si="55"/>
        <v>51.115135305476308</v>
      </c>
      <c r="AD16" s="187">
        <f t="shared" si="56"/>
        <v>268.35446035375071</v>
      </c>
      <c r="AE16" s="187">
        <f t="shared" si="80"/>
        <v>0</v>
      </c>
      <c r="AF16" s="188">
        <f t="shared" si="58"/>
        <v>268.35446035375071</v>
      </c>
      <c r="AG16" s="187">
        <f t="shared" si="59"/>
        <v>230.01810887464345</v>
      </c>
      <c r="AH16" s="187">
        <f t="shared" si="81"/>
        <v>0</v>
      </c>
      <c r="AI16" s="188">
        <f t="shared" si="61"/>
        <v>230.01810887464345</v>
      </c>
      <c r="AJ16" s="187">
        <f t="shared" si="62"/>
        <v>115.00905443732172</v>
      </c>
      <c r="AK16" s="187">
        <f t="shared" si="82"/>
        <v>0</v>
      </c>
      <c r="AL16" s="188">
        <f t="shared" si="64"/>
        <v>115.00905443732172</v>
      </c>
      <c r="AM16" s="187">
        <f t="shared" si="65"/>
        <v>89.451486784583565</v>
      </c>
      <c r="AN16" s="187">
        <f t="shared" si="83"/>
        <v>0</v>
      </c>
      <c r="AO16" s="188">
        <f t="shared" si="67"/>
        <v>89.451486784583565</v>
      </c>
      <c r="AP16" s="187">
        <f t="shared" si="68"/>
        <v>63.893919131845401</v>
      </c>
      <c r="AQ16" s="187">
        <f t="shared" si="84"/>
        <v>0</v>
      </c>
      <c r="AR16" s="188">
        <f t="shared" si="70"/>
        <v>63.893919131845401</v>
      </c>
      <c r="AS16" s="186">
        <f t="shared" si="71"/>
        <v>6031.5859660462047</v>
      </c>
      <c r="AT16" s="169"/>
      <c r="AU16" s="169"/>
      <c r="AV16" s="169"/>
    </row>
    <row r="17" spans="1:48">
      <c r="A17" s="169">
        <f>VLOOKUP(B17,Misc_inputs!$A$3:$B$33,2,0)</f>
        <v>0</v>
      </c>
      <c r="B17" s="168">
        <v>2028</v>
      </c>
      <c r="C17" s="187">
        <f t="shared" si="29"/>
        <v>1418.4450047269679</v>
      </c>
      <c r="D17" s="187">
        <f t="shared" si="30"/>
        <v>0</v>
      </c>
      <c r="E17" s="188">
        <f t="shared" si="31"/>
        <v>1418.4450047269679</v>
      </c>
      <c r="F17" s="187">
        <f t="shared" si="32"/>
        <v>1175.6481120259555</v>
      </c>
      <c r="G17" s="187">
        <f t="shared" si="72"/>
        <v>0</v>
      </c>
      <c r="H17" s="188">
        <f t="shared" si="34"/>
        <v>1175.6481120259555</v>
      </c>
      <c r="I17" s="187">
        <f t="shared" si="35"/>
        <v>345.02716331196518</v>
      </c>
      <c r="J17" s="187">
        <f t="shared" si="73"/>
        <v>0</v>
      </c>
      <c r="K17" s="188">
        <f t="shared" si="37"/>
        <v>345.02716331196518</v>
      </c>
      <c r="L17" s="187">
        <f t="shared" si="38"/>
        <v>1418.4450047269679</v>
      </c>
      <c r="M17" s="187">
        <f t="shared" si="74"/>
        <v>0</v>
      </c>
      <c r="N17" s="188">
        <f t="shared" si="40"/>
        <v>1418.4450047269679</v>
      </c>
      <c r="O17" s="187">
        <f t="shared" si="41"/>
        <v>498.37256922839407</v>
      </c>
      <c r="P17" s="187">
        <f t="shared" si="75"/>
        <v>0</v>
      </c>
      <c r="Q17" s="188">
        <f t="shared" si="43"/>
        <v>498.37256922839407</v>
      </c>
      <c r="R17" s="187">
        <f t="shared" si="44"/>
        <v>971.1875708040501</v>
      </c>
      <c r="S17" s="187">
        <f t="shared" si="76"/>
        <v>0</v>
      </c>
      <c r="T17" s="188">
        <f t="shared" si="46"/>
        <v>971.1875708040501</v>
      </c>
      <c r="U17" s="187">
        <f t="shared" si="47"/>
        <v>485.59378540202505</v>
      </c>
      <c r="V17" s="187">
        <f t="shared" si="77"/>
        <v>0</v>
      </c>
      <c r="W17" s="188">
        <f t="shared" si="49"/>
        <v>485.59378540202505</v>
      </c>
      <c r="X17" s="187">
        <f t="shared" si="50"/>
        <v>127.7878382636908</v>
      </c>
      <c r="Y17" s="187">
        <f t="shared" si="78"/>
        <v>0</v>
      </c>
      <c r="Z17" s="188">
        <f t="shared" si="52"/>
        <v>127.7878382636908</v>
      </c>
      <c r="AA17" s="187">
        <f t="shared" si="53"/>
        <v>51.115135305476308</v>
      </c>
      <c r="AB17" s="187">
        <f t="shared" si="79"/>
        <v>0</v>
      </c>
      <c r="AC17" s="188">
        <f t="shared" si="55"/>
        <v>51.115135305476308</v>
      </c>
      <c r="AD17" s="187">
        <f t="shared" si="56"/>
        <v>268.35446035375071</v>
      </c>
      <c r="AE17" s="187">
        <f t="shared" si="80"/>
        <v>0</v>
      </c>
      <c r="AF17" s="188">
        <f t="shared" si="58"/>
        <v>268.35446035375071</v>
      </c>
      <c r="AG17" s="187">
        <f t="shared" si="59"/>
        <v>230.01810887464345</v>
      </c>
      <c r="AH17" s="187">
        <f t="shared" si="81"/>
        <v>0</v>
      </c>
      <c r="AI17" s="188">
        <f t="shared" si="61"/>
        <v>230.01810887464345</v>
      </c>
      <c r="AJ17" s="187">
        <f t="shared" si="62"/>
        <v>115.00905443732172</v>
      </c>
      <c r="AK17" s="187">
        <f t="shared" si="82"/>
        <v>0</v>
      </c>
      <c r="AL17" s="188">
        <f t="shared" si="64"/>
        <v>115.00905443732172</v>
      </c>
      <c r="AM17" s="187">
        <f t="shared" si="65"/>
        <v>89.451486784583565</v>
      </c>
      <c r="AN17" s="187">
        <f t="shared" si="83"/>
        <v>0</v>
      </c>
      <c r="AO17" s="188">
        <f t="shared" si="67"/>
        <v>89.451486784583565</v>
      </c>
      <c r="AP17" s="187">
        <f t="shared" si="68"/>
        <v>63.893919131845401</v>
      </c>
      <c r="AQ17" s="187">
        <f t="shared" si="84"/>
        <v>0</v>
      </c>
      <c r="AR17" s="188">
        <f t="shared" si="70"/>
        <v>63.893919131845401</v>
      </c>
      <c r="AS17" s="186">
        <f t="shared" si="71"/>
        <v>6031.5859660462047</v>
      </c>
      <c r="AT17" s="169"/>
      <c r="AU17" s="169"/>
      <c r="AV17" s="169"/>
    </row>
    <row r="18" spans="1:48">
      <c r="A18" s="169">
        <f>VLOOKUP(B18,Misc_inputs!$A$3:$B$33,2,0)</f>
        <v>0</v>
      </c>
      <c r="B18" s="168">
        <v>2029</v>
      </c>
      <c r="C18" s="187">
        <f t="shared" si="29"/>
        <v>1418.4450047269679</v>
      </c>
      <c r="D18" s="187">
        <f t="shared" si="30"/>
        <v>0</v>
      </c>
      <c r="E18" s="188">
        <f t="shared" si="31"/>
        <v>1418.4450047269679</v>
      </c>
      <c r="F18" s="187">
        <f t="shared" si="32"/>
        <v>1175.6481120259555</v>
      </c>
      <c r="G18" s="187">
        <f t="shared" si="72"/>
        <v>0</v>
      </c>
      <c r="H18" s="188">
        <f t="shared" si="34"/>
        <v>1175.6481120259555</v>
      </c>
      <c r="I18" s="187">
        <f t="shared" si="35"/>
        <v>345.02716331196518</v>
      </c>
      <c r="J18" s="187">
        <f t="shared" si="73"/>
        <v>0</v>
      </c>
      <c r="K18" s="188">
        <f t="shared" si="37"/>
        <v>345.02716331196518</v>
      </c>
      <c r="L18" s="187">
        <f t="shared" si="38"/>
        <v>1418.4450047269679</v>
      </c>
      <c r="M18" s="187">
        <f t="shared" si="74"/>
        <v>0</v>
      </c>
      <c r="N18" s="188">
        <f t="shared" si="40"/>
        <v>1418.4450047269679</v>
      </c>
      <c r="O18" s="187">
        <f t="shared" si="41"/>
        <v>498.37256922839407</v>
      </c>
      <c r="P18" s="187">
        <f t="shared" si="75"/>
        <v>0</v>
      </c>
      <c r="Q18" s="188">
        <f t="shared" si="43"/>
        <v>498.37256922839407</v>
      </c>
      <c r="R18" s="187">
        <f t="shared" si="44"/>
        <v>971.1875708040501</v>
      </c>
      <c r="S18" s="187">
        <f t="shared" si="76"/>
        <v>0</v>
      </c>
      <c r="T18" s="188">
        <f t="shared" si="46"/>
        <v>971.1875708040501</v>
      </c>
      <c r="U18" s="187">
        <f t="shared" si="47"/>
        <v>485.59378540202505</v>
      </c>
      <c r="V18" s="187">
        <f t="shared" si="77"/>
        <v>0</v>
      </c>
      <c r="W18" s="188">
        <f t="shared" si="49"/>
        <v>485.59378540202505</v>
      </c>
      <c r="X18" s="187">
        <f t="shared" si="50"/>
        <v>127.7878382636908</v>
      </c>
      <c r="Y18" s="187">
        <f t="shared" si="78"/>
        <v>0</v>
      </c>
      <c r="Z18" s="188">
        <f t="shared" si="52"/>
        <v>127.7878382636908</v>
      </c>
      <c r="AA18" s="187">
        <f t="shared" si="53"/>
        <v>51.115135305476308</v>
      </c>
      <c r="AB18" s="187">
        <f t="shared" si="79"/>
        <v>0</v>
      </c>
      <c r="AC18" s="188">
        <f t="shared" si="55"/>
        <v>51.115135305476308</v>
      </c>
      <c r="AD18" s="187">
        <f t="shared" si="56"/>
        <v>268.35446035375071</v>
      </c>
      <c r="AE18" s="187">
        <f t="shared" si="80"/>
        <v>0</v>
      </c>
      <c r="AF18" s="188">
        <f t="shared" si="58"/>
        <v>268.35446035375071</v>
      </c>
      <c r="AG18" s="187">
        <f t="shared" si="59"/>
        <v>230.01810887464345</v>
      </c>
      <c r="AH18" s="187">
        <f t="shared" si="81"/>
        <v>0</v>
      </c>
      <c r="AI18" s="188">
        <f t="shared" si="61"/>
        <v>230.01810887464345</v>
      </c>
      <c r="AJ18" s="187">
        <f t="shared" si="62"/>
        <v>115.00905443732172</v>
      </c>
      <c r="AK18" s="187">
        <f t="shared" si="82"/>
        <v>0</v>
      </c>
      <c r="AL18" s="188">
        <f t="shared" si="64"/>
        <v>115.00905443732172</v>
      </c>
      <c r="AM18" s="187">
        <f t="shared" si="65"/>
        <v>89.451486784583565</v>
      </c>
      <c r="AN18" s="187">
        <f t="shared" si="83"/>
        <v>0</v>
      </c>
      <c r="AO18" s="188">
        <f t="shared" si="67"/>
        <v>89.451486784583565</v>
      </c>
      <c r="AP18" s="187">
        <f t="shared" si="68"/>
        <v>63.893919131845401</v>
      </c>
      <c r="AQ18" s="187">
        <f t="shared" si="84"/>
        <v>0</v>
      </c>
      <c r="AR18" s="188">
        <f t="shared" si="70"/>
        <v>63.893919131845401</v>
      </c>
      <c r="AS18" s="186">
        <f t="shared" si="71"/>
        <v>6031.5859660462047</v>
      </c>
      <c r="AT18" s="169"/>
      <c r="AU18" s="169"/>
      <c r="AV18" s="169"/>
    </row>
    <row r="19" spans="1:48">
      <c r="A19" s="169">
        <f>VLOOKUP(B19,Misc_inputs!$A$3:$B$33,2,0)</f>
        <v>0</v>
      </c>
      <c r="B19" s="168">
        <v>2030</v>
      </c>
      <c r="C19" s="187">
        <f t="shared" si="29"/>
        <v>1418.4450047269679</v>
      </c>
      <c r="D19" s="187">
        <f t="shared" si="30"/>
        <v>0</v>
      </c>
      <c r="E19" s="188">
        <f t="shared" si="31"/>
        <v>1418.4450047269679</v>
      </c>
      <c r="F19" s="187">
        <f t="shared" si="32"/>
        <v>1175.6481120259555</v>
      </c>
      <c r="G19" s="187">
        <f t="shared" si="72"/>
        <v>0</v>
      </c>
      <c r="H19" s="188">
        <f t="shared" si="34"/>
        <v>1175.6481120259555</v>
      </c>
      <c r="I19" s="187">
        <f t="shared" si="35"/>
        <v>345.02716331196518</v>
      </c>
      <c r="J19" s="187">
        <f t="shared" si="73"/>
        <v>0</v>
      </c>
      <c r="K19" s="188">
        <f t="shared" si="37"/>
        <v>345.02716331196518</v>
      </c>
      <c r="L19" s="187">
        <f t="shared" si="38"/>
        <v>1418.4450047269679</v>
      </c>
      <c r="M19" s="187">
        <f t="shared" si="74"/>
        <v>0</v>
      </c>
      <c r="N19" s="188">
        <f t="shared" si="40"/>
        <v>1418.4450047269679</v>
      </c>
      <c r="O19" s="187">
        <f t="shared" si="41"/>
        <v>498.37256922839407</v>
      </c>
      <c r="P19" s="187">
        <f t="shared" si="75"/>
        <v>0</v>
      </c>
      <c r="Q19" s="188">
        <f t="shared" si="43"/>
        <v>498.37256922839407</v>
      </c>
      <c r="R19" s="187">
        <f t="shared" si="44"/>
        <v>971.1875708040501</v>
      </c>
      <c r="S19" s="187">
        <f t="shared" si="76"/>
        <v>0</v>
      </c>
      <c r="T19" s="188">
        <f t="shared" si="46"/>
        <v>971.1875708040501</v>
      </c>
      <c r="U19" s="187">
        <f t="shared" si="47"/>
        <v>485.59378540202505</v>
      </c>
      <c r="V19" s="187">
        <f t="shared" si="77"/>
        <v>0</v>
      </c>
      <c r="W19" s="188">
        <f t="shared" si="49"/>
        <v>485.59378540202505</v>
      </c>
      <c r="X19" s="187">
        <f t="shared" si="50"/>
        <v>127.7878382636908</v>
      </c>
      <c r="Y19" s="187">
        <f t="shared" si="78"/>
        <v>0</v>
      </c>
      <c r="Z19" s="188">
        <f t="shared" si="52"/>
        <v>127.7878382636908</v>
      </c>
      <c r="AA19" s="187">
        <f t="shared" si="53"/>
        <v>51.115135305476308</v>
      </c>
      <c r="AB19" s="187">
        <f t="shared" si="79"/>
        <v>0</v>
      </c>
      <c r="AC19" s="188">
        <f t="shared" si="55"/>
        <v>51.115135305476308</v>
      </c>
      <c r="AD19" s="187">
        <f t="shared" si="56"/>
        <v>268.35446035375071</v>
      </c>
      <c r="AE19" s="187">
        <f t="shared" si="80"/>
        <v>0</v>
      </c>
      <c r="AF19" s="188">
        <f t="shared" si="58"/>
        <v>268.35446035375071</v>
      </c>
      <c r="AG19" s="187">
        <f t="shared" si="59"/>
        <v>230.01810887464345</v>
      </c>
      <c r="AH19" s="187">
        <f t="shared" si="81"/>
        <v>0</v>
      </c>
      <c r="AI19" s="188">
        <f t="shared" si="61"/>
        <v>230.01810887464345</v>
      </c>
      <c r="AJ19" s="187">
        <f t="shared" si="62"/>
        <v>115.00905443732172</v>
      </c>
      <c r="AK19" s="187">
        <f t="shared" si="82"/>
        <v>0</v>
      </c>
      <c r="AL19" s="188">
        <f t="shared" si="64"/>
        <v>115.00905443732172</v>
      </c>
      <c r="AM19" s="187">
        <f t="shared" si="65"/>
        <v>89.451486784583565</v>
      </c>
      <c r="AN19" s="187">
        <f t="shared" si="83"/>
        <v>0</v>
      </c>
      <c r="AO19" s="188">
        <f t="shared" si="67"/>
        <v>89.451486784583565</v>
      </c>
      <c r="AP19" s="187">
        <f t="shared" si="68"/>
        <v>63.893919131845401</v>
      </c>
      <c r="AQ19" s="187">
        <f t="shared" si="84"/>
        <v>0</v>
      </c>
      <c r="AR19" s="188">
        <f t="shared" si="70"/>
        <v>63.893919131845401</v>
      </c>
      <c r="AS19" s="186">
        <f t="shared" si="71"/>
        <v>6031.5859660462047</v>
      </c>
      <c r="AT19" s="169"/>
      <c r="AU19" s="169"/>
      <c r="AV19" s="169"/>
    </row>
    <row r="21" spans="1:48" s="190" customFormat="1" ht="23">
      <c r="A21" s="183" t="s">
        <v>575</v>
      </c>
      <c r="B21" s="189"/>
      <c r="C21" s="189"/>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row>
    <row r="22" spans="1:48" s="173" customFormat="1" ht="63.75" customHeight="1">
      <c r="A22" s="173" t="s">
        <v>539</v>
      </c>
      <c r="B22" s="172" t="s">
        <v>342</v>
      </c>
      <c r="C22" s="172" t="str">
        <f>Cost_of_crime_Raw_data!A21</f>
        <v>Commercial robbery</v>
      </c>
      <c r="D22" s="184" t="s">
        <v>540</v>
      </c>
      <c r="E22" s="185" t="s">
        <v>541</v>
      </c>
      <c r="F22" s="172" t="str">
        <f>Cost_of_crime_Raw_data!A22</f>
        <v>Commercial burglary</v>
      </c>
      <c r="G22" s="184" t="s">
        <v>540</v>
      </c>
      <c r="H22" s="185" t="s">
        <v>541</v>
      </c>
      <c r="I22" s="172" t="str">
        <f>Cost_of_crime_Raw_data!A23</f>
        <v>Commercial theft</v>
      </c>
      <c r="J22" s="184" t="s">
        <v>540</v>
      </c>
      <c r="K22" s="185" t="s">
        <v>541</v>
      </c>
      <c r="L22" s="172" t="str">
        <f>Cost_of_crime_Raw_data!A24</f>
        <v>Theft of commercial vehicle</v>
      </c>
      <c r="M22" s="184" t="s">
        <v>540</v>
      </c>
      <c r="N22" s="185" t="s">
        <v>541</v>
      </c>
      <c r="O22" s="172" t="str">
        <f>Cost_of_crime_Raw_data!A25</f>
        <v>Theft from commercial vehicle</v>
      </c>
      <c r="P22" s="184" t="s">
        <v>540</v>
      </c>
      <c r="Q22" s="185" t="s">
        <v>541</v>
      </c>
      <c r="R22" s="172" t="str">
        <f>Cost_of_crime_Raw_data!A26</f>
        <v>Commercial criminal damage - arson</v>
      </c>
      <c r="S22" s="184" t="s">
        <v>540</v>
      </c>
      <c r="T22" s="185" t="s">
        <v>541</v>
      </c>
      <c r="U22" s="172" t="str">
        <f>Cost_of_crime_Raw_data!A27</f>
        <v>Commercial criminal damage - other</v>
      </c>
      <c r="V22" s="184" t="s">
        <v>540</v>
      </c>
      <c r="W22" s="185" t="s">
        <v>541</v>
      </c>
      <c r="X22" s="191" t="s">
        <v>412</v>
      </c>
      <c r="Y22" s="172"/>
      <c r="Z22" s="192"/>
      <c r="AA22" s="172"/>
      <c r="AB22" s="172"/>
      <c r="AC22" s="192"/>
      <c r="AD22" s="172"/>
      <c r="AE22" s="172"/>
      <c r="AF22" s="192"/>
      <c r="AG22" s="172"/>
      <c r="AH22" s="172"/>
      <c r="AI22" s="192"/>
      <c r="AJ22" s="172"/>
      <c r="AK22" s="172"/>
      <c r="AL22" s="192"/>
      <c r="AM22" s="172"/>
      <c r="AN22" s="172"/>
      <c r="AO22" s="192"/>
      <c r="AP22" s="172"/>
      <c r="AQ22" s="172"/>
      <c r="AR22" s="192"/>
      <c r="AS22" s="172"/>
      <c r="AT22" s="172"/>
      <c r="AU22" s="192"/>
      <c r="AV22" s="172"/>
    </row>
    <row r="23" spans="1:48">
      <c r="B23" s="168">
        <v>2015</v>
      </c>
      <c r="C23" s="186">
        <f>IF(Cost_of_crime_Raw_data!E59="not estimated","0",Cost_of_crime_Raw_data!E59)</f>
        <v>600</v>
      </c>
      <c r="D23" s="187">
        <f>C23*$A23/100</f>
        <v>0</v>
      </c>
      <c r="E23" s="188">
        <f>C23+D23</f>
        <v>600</v>
      </c>
      <c r="F23" s="186">
        <f>IF(Cost_of_crime_Raw_data!E60="not estimated","0",Cost_of_crime_Raw_data!E60)</f>
        <v>160</v>
      </c>
      <c r="G23" s="187">
        <f>F23*$A23/100</f>
        <v>0</v>
      </c>
      <c r="H23" s="188">
        <f>F23+G23</f>
        <v>160</v>
      </c>
      <c r="I23" s="186">
        <f>IF(Cost_of_crime_Raw_data!E61="not estimated","0",Cost_of_crime_Raw_data!E61)</f>
        <v>0</v>
      </c>
      <c r="J23" s="187">
        <f>I23*$A23/100</f>
        <v>0</v>
      </c>
      <c r="K23" s="188">
        <f>I23+J23</f>
        <v>0</v>
      </c>
      <c r="L23" s="186">
        <f>IF(Cost_of_crime_Raw_data!E62="not estimated","0",Cost_of_crime_Raw_data!E62)</f>
        <v>10</v>
      </c>
      <c r="M23" s="187">
        <f>L23*$A23/100</f>
        <v>0</v>
      </c>
      <c r="N23" s="188">
        <f>L23+M23</f>
        <v>10</v>
      </c>
      <c r="O23" s="186">
        <f>IF(Cost_of_crime_Raw_data!E63="not estimated","0",Cost_of_crime_Raw_data!E63)</f>
        <v>0</v>
      </c>
      <c r="P23" s="187">
        <f>O23*$A23/100</f>
        <v>0</v>
      </c>
      <c r="Q23" s="188">
        <f>O23+P23</f>
        <v>0</v>
      </c>
      <c r="R23" s="186">
        <f>IF(Cost_of_crime_Raw_data!E64="not estimated","0",Cost_of_crime_Raw_data!E64)</f>
        <v>340</v>
      </c>
      <c r="S23" s="187">
        <f>R23*$A23/100</f>
        <v>0</v>
      </c>
      <c r="T23" s="188">
        <f>R23+S23</f>
        <v>340</v>
      </c>
      <c r="U23" s="186">
        <f>IF(Cost_of_crime_Raw_data!E65="not estimated","0",Cost_of_crime_Raw_data!E65)</f>
        <v>40</v>
      </c>
      <c r="V23" s="187">
        <f>U23*$A23/100</f>
        <v>0</v>
      </c>
      <c r="W23" s="188">
        <f>U23+V23</f>
        <v>40</v>
      </c>
      <c r="X23" s="187">
        <f>SUM(W23,T23,Q23,N23,K23,H23,E23)</f>
        <v>1150</v>
      </c>
    </row>
    <row r="24" spans="1:48">
      <c r="A24" s="169">
        <f>VLOOKUP(B24,Misc_inputs!$A$3:$B$33,2,0)</f>
        <v>1.8963035451147277</v>
      </c>
      <c r="B24" s="168">
        <v>2016</v>
      </c>
      <c r="C24" s="187">
        <f>E23</f>
        <v>600</v>
      </c>
      <c r="D24" s="187">
        <f t="shared" ref="D24" si="85">C24*$A24/100</f>
        <v>11.377821270688367</v>
      </c>
      <c r="E24" s="188">
        <f t="shared" ref="E24" si="86">C24+D24</f>
        <v>611.3778212706884</v>
      </c>
      <c r="F24" s="187">
        <f>H23</f>
        <v>160</v>
      </c>
      <c r="G24" s="187">
        <f t="shared" ref="G24" si="87">F24*$A24/100</f>
        <v>3.0340856721835645</v>
      </c>
      <c r="H24" s="188">
        <f t="shared" ref="H24" si="88">F24+G24</f>
        <v>163.03408567218355</v>
      </c>
      <c r="I24" s="187">
        <f>K23</f>
        <v>0</v>
      </c>
      <c r="J24" s="187">
        <f t="shared" ref="J24" si="89">I24*$A24/100</f>
        <v>0</v>
      </c>
      <c r="K24" s="188">
        <f t="shared" ref="K24" si="90">I24+J24</f>
        <v>0</v>
      </c>
      <c r="L24" s="187">
        <f>N23</f>
        <v>10</v>
      </c>
      <c r="M24" s="187">
        <f t="shared" ref="M24" si="91">L24*$A24/100</f>
        <v>0.18963035451147278</v>
      </c>
      <c r="N24" s="188">
        <f t="shared" ref="N24" si="92">L24+M24</f>
        <v>10.189630354511472</v>
      </c>
      <c r="O24" s="187">
        <f>Q23</f>
        <v>0</v>
      </c>
      <c r="P24" s="187">
        <f t="shared" ref="P24" si="93">O24*$A24/100</f>
        <v>0</v>
      </c>
      <c r="Q24" s="188">
        <f t="shared" ref="Q24" si="94">O24+P24</f>
        <v>0</v>
      </c>
      <c r="R24" s="187">
        <f>T23</f>
        <v>340</v>
      </c>
      <c r="S24" s="187">
        <f t="shared" ref="S24" si="95">R24*$A24/100</f>
        <v>6.4474320533900746</v>
      </c>
      <c r="T24" s="188">
        <f t="shared" ref="T24" si="96">R24+S24</f>
        <v>346.44743205339006</v>
      </c>
      <c r="U24" s="187">
        <f>W23</f>
        <v>40</v>
      </c>
      <c r="V24" s="187">
        <f t="shared" ref="V24" si="97">U24*$A24/100</f>
        <v>0.75852141804589113</v>
      </c>
      <c r="W24" s="188">
        <f t="shared" ref="W24" si="98">U24+V24</f>
        <v>40.758521418045888</v>
      </c>
      <c r="X24" s="187">
        <f t="shared" ref="X24" si="99">SUM(W24,T24,Q24,N24,K24,H24,E24)</f>
        <v>1171.8074907688192</v>
      </c>
    </row>
    <row r="25" spans="1:48">
      <c r="A25" s="169">
        <f>VLOOKUP(B25,Misc_inputs!$A$3:$B$33,2,0)</f>
        <v>1.8209228570152332</v>
      </c>
      <c r="B25" s="168">
        <v>2017</v>
      </c>
      <c r="C25" s="187">
        <f t="shared" ref="C25:C38" si="100">E24</f>
        <v>611.3778212706884</v>
      </c>
      <c r="D25" s="187">
        <f t="shared" ref="D25:D38" si="101">C25*$A25/100</f>
        <v>11.132718490239705</v>
      </c>
      <c r="E25" s="188">
        <f t="shared" ref="E25:E38" si="102">C25+D25</f>
        <v>622.51053976092805</v>
      </c>
      <c r="F25" s="187">
        <f t="shared" ref="F25:F38" si="103">H24</f>
        <v>163.03408567218355</v>
      </c>
      <c r="G25" s="187">
        <f t="shared" ref="G25:G38" si="104">F25*$A25/100</f>
        <v>2.9687249307305876</v>
      </c>
      <c r="H25" s="188">
        <f t="shared" ref="H25:H38" si="105">F25+G25</f>
        <v>166.00281060291414</v>
      </c>
      <c r="I25" s="187">
        <f t="shared" ref="I25:I38" si="106">K24</f>
        <v>0</v>
      </c>
      <c r="J25" s="187">
        <f t="shared" ref="J25:J38" si="107">I25*$A25/100</f>
        <v>0</v>
      </c>
      <c r="K25" s="188">
        <f t="shared" ref="K25:K38" si="108">I25+J25</f>
        <v>0</v>
      </c>
      <c r="L25" s="187">
        <f t="shared" ref="L25:L38" si="109">N24</f>
        <v>10.189630354511472</v>
      </c>
      <c r="M25" s="187">
        <f t="shared" ref="M25:M38" si="110">L25*$A25/100</f>
        <v>0.18554530817066173</v>
      </c>
      <c r="N25" s="188">
        <f t="shared" ref="N25:N38" si="111">L25+M25</f>
        <v>10.375175662682134</v>
      </c>
      <c r="O25" s="187">
        <f t="shared" ref="O25:O38" si="112">Q24</f>
        <v>0</v>
      </c>
      <c r="P25" s="187">
        <f t="shared" ref="P25:P38" si="113">O25*$A25/100</f>
        <v>0</v>
      </c>
      <c r="Q25" s="188">
        <f t="shared" ref="Q25:Q38" si="114">O25+P25</f>
        <v>0</v>
      </c>
      <c r="R25" s="187">
        <f t="shared" ref="R25:R38" si="115">T24</f>
        <v>346.44743205339006</v>
      </c>
      <c r="S25" s="187">
        <f t="shared" ref="S25:S38" si="116">R25*$A25/100</f>
        <v>6.3085404778024987</v>
      </c>
      <c r="T25" s="188">
        <f t="shared" ref="T25:T38" si="117">R25+S25</f>
        <v>352.75597253119258</v>
      </c>
      <c r="U25" s="187">
        <f t="shared" ref="U25:U38" si="118">W24</f>
        <v>40.758521418045888</v>
      </c>
      <c r="V25" s="187">
        <f t="shared" ref="V25:V38" si="119">U25*$A25/100</f>
        <v>0.74218123268264691</v>
      </c>
      <c r="W25" s="188">
        <f t="shared" ref="W25:W38" si="120">U25+V25</f>
        <v>41.500702650728535</v>
      </c>
      <c r="X25" s="187">
        <f t="shared" ref="X25:X38" si="121">SUM(W25,T25,Q25,N25,K25,H25,E25)</f>
        <v>1193.1452012084455</v>
      </c>
    </row>
    <row r="26" spans="1:48">
      <c r="A26" s="169">
        <f>VLOOKUP(B26,Misc_inputs!$A$3:$B$33,2,0)</f>
        <v>1.9988242855231282</v>
      </c>
      <c r="B26" s="168">
        <v>2018</v>
      </c>
      <c r="C26" s="187">
        <f t="shared" si="100"/>
        <v>622.51053976092805</v>
      </c>
      <c r="D26" s="187">
        <f t="shared" si="101"/>
        <v>12.442891848682539</v>
      </c>
      <c r="E26" s="188">
        <f t="shared" si="102"/>
        <v>634.95343160961056</v>
      </c>
      <c r="F26" s="187">
        <f t="shared" si="103"/>
        <v>166.00281060291414</v>
      </c>
      <c r="G26" s="187">
        <f t="shared" si="104"/>
        <v>3.3181044929820103</v>
      </c>
      <c r="H26" s="188">
        <f t="shared" si="105"/>
        <v>169.32091509589614</v>
      </c>
      <c r="I26" s="187">
        <f t="shared" si="106"/>
        <v>0</v>
      </c>
      <c r="J26" s="187">
        <f t="shared" si="107"/>
        <v>0</v>
      </c>
      <c r="K26" s="188">
        <f t="shared" si="108"/>
        <v>0</v>
      </c>
      <c r="L26" s="187">
        <f t="shared" si="109"/>
        <v>10.375175662682134</v>
      </c>
      <c r="M26" s="187">
        <f t="shared" si="110"/>
        <v>0.20738153081137564</v>
      </c>
      <c r="N26" s="188">
        <f t="shared" si="111"/>
        <v>10.582557193493509</v>
      </c>
      <c r="O26" s="187">
        <f t="shared" si="112"/>
        <v>0</v>
      </c>
      <c r="P26" s="187">
        <f t="shared" si="113"/>
        <v>0</v>
      </c>
      <c r="Q26" s="188">
        <f t="shared" si="114"/>
        <v>0</v>
      </c>
      <c r="R26" s="187">
        <f t="shared" si="115"/>
        <v>352.75597253119258</v>
      </c>
      <c r="S26" s="187">
        <f t="shared" si="116"/>
        <v>7.0509720475867717</v>
      </c>
      <c r="T26" s="188">
        <f t="shared" si="117"/>
        <v>359.80694457877934</v>
      </c>
      <c r="U26" s="187">
        <f t="shared" si="118"/>
        <v>41.500702650728535</v>
      </c>
      <c r="V26" s="187">
        <f t="shared" si="119"/>
        <v>0.82952612324550257</v>
      </c>
      <c r="W26" s="188">
        <f t="shared" si="120"/>
        <v>42.330228773974035</v>
      </c>
      <c r="X26" s="187">
        <f t="shared" si="121"/>
        <v>1216.9940772517537</v>
      </c>
    </row>
    <row r="27" spans="1:48">
      <c r="A27" s="169">
        <f>VLOOKUP(B27,Misc_inputs!$A$3:$B$33,2,0)</f>
        <v>2.0163202370724722</v>
      </c>
      <c r="B27" s="168">
        <v>2019</v>
      </c>
      <c r="C27" s="187">
        <f t="shared" si="100"/>
        <v>634.95343160961056</v>
      </c>
      <c r="D27" s="187">
        <f t="shared" si="101"/>
        <v>12.802694537530696</v>
      </c>
      <c r="E27" s="188">
        <f t="shared" si="102"/>
        <v>647.75612614714123</v>
      </c>
      <c r="F27" s="187">
        <f t="shared" si="103"/>
        <v>169.32091509589614</v>
      </c>
      <c r="G27" s="187">
        <f t="shared" si="104"/>
        <v>3.4140518766748524</v>
      </c>
      <c r="H27" s="188">
        <f t="shared" si="105"/>
        <v>172.73496697257099</v>
      </c>
      <c r="I27" s="187">
        <f t="shared" si="106"/>
        <v>0</v>
      </c>
      <c r="J27" s="187">
        <f t="shared" si="107"/>
        <v>0</v>
      </c>
      <c r="K27" s="188">
        <f t="shared" si="108"/>
        <v>0</v>
      </c>
      <c r="L27" s="187">
        <f t="shared" si="109"/>
        <v>10.582557193493509</v>
      </c>
      <c r="M27" s="187">
        <f t="shared" si="110"/>
        <v>0.21337824229217828</v>
      </c>
      <c r="N27" s="188">
        <f t="shared" si="111"/>
        <v>10.795935435785687</v>
      </c>
      <c r="O27" s="187">
        <f t="shared" si="112"/>
        <v>0</v>
      </c>
      <c r="P27" s="187">
        <f t="shared" si="113"/>
        <v>0</v>
      </c>
      <c r="Q27" s="188">
        <f t="shared" si="114"/>
        <v>0</v>
      </c>
      <c r="R27" s="187">
        <f t="shared" si="115"/>
        <v>359.80694457877934</v>
      </c>
      <c r="S27" s="187">
        <f t="shared" si="116"/>
        <v>7.2548602379340625</v>
      </c>
      <c r="T27" s="188">
        <f t="shared" si="117"/>
        <v>367.06180481671339</v>
      </c>
      <c r="U27" s="187">
        <f t="shared" si="118"/>
        <v>42.330228773974035</v>
      </c>
      <c r="V27" s="187">
        <f t="shared" si="119"/>
        <v>0.85351296916871311</v>
      </c>
      <c r="W27" s="188">
        <f t="shared" si="120"/>
        <v>43.183741743142747</v>
      </c>
      <c r="X27" s="187">
        <f t="shared" si="121"/>
        <v>1241.5325751153541</v>
      </c>
    </row>
    <row r="28" spans="1:48">
      <c r="A28" s="169">
        <f>VLOOKUP(B28,Misc_inputs!$A$3:$B$33,2,0)</f>
        <v>5.3200852056836103</v>
      </c>
      <c r="B28" s="168">
        <v>2020</v>
      </c>
      <c r="C28" s="187">
        <f t="shared" si="100"/>
        <v>647.75612614714123</v>
      </c>
      <c r="D28" s="187">
        <f t="shared" si="101"/>
        <v>34.461177836063328</v>
      </c>
      <c r="E28" s="188">
        <f t="shared" si="102"/>
        <v>682.2173039832046</v>
      </c>
      <c r="F28" s="187">
        <f t="shared" si="103"/>
        <v>172.73496697257099</v>
      </c>
      <c r="G28" s="187">
        <f t="shared" si="104"/>
        <v>9.1896474229502196</v>
      </c>
      <c r="H28" s="188">
        <f t="shared" si="105"/>
        <v>181.92461439552122</v>
      </c>
      <c r="I28" s="187">
        <f t="shared" si="106"/>
        <v>0</v>
      </c>
      <c r="J28" s="187">
        <f t="shared" si="107"/>
        <v>0</v>
      </c>
      <c r="K28" s="188">
        <f t="shared" si="108"/>
        <v>0</v>
      </c>
      <c r="L28" s="187">
        <f t="shared" si="109"/>
        <v>10.795935435785687</v>
      </c>
      <c r="M28" s="187">
        <f t="shared" si="110"/>
        <v>0.57435296393438873</v>
      </c>
      <c r="N28" s="188">
        <f t="shared" si="111"/>
        <v>11.370288399720076</v>
      </c>
      <c r="O28" s="187">
        <f t="shared" si="112"/>
        <v>0</v>
      </c>
      <c r="P28" s="187">
        <f t="shared" si="113"/>
        <v>0</v>
      </c>
      <c r="Q28" s="188">
        <f t="shared" si="114"/>
        <v>0</v>
      </c>
      <c r="R28" s="187">
        <f t="shared" si="115"/>
        <v>367.06180481671339</v>
      </c>
      <c r="S28" s="187">
        <f t="shared" si="116"/>
        <v>19.528000773769222</v>
      </c>
      <c r="T28" s="188">
        <f t="shared" si="117"/>
        <v>386.58980559048263</v>
      </c>
      <c r="U28" s="187">
        <f t="shared" si="118"/>
        <v>43.183741743142747</v>
      </c>
      <c r="V28" s="187">
        <f t="shared" si="119"/>
        <v>2.2974118557375549</v>
      </c>
      <c r="W28" s="188">
        <f t="shared" si="120"/>
        <v>45.481153598880304</v>
      </c>
      <c r="X28" s="187">
        <f t="shared" si="121"/>
        <v>1307.5831659678088</v>
      </c>
    </row>
    <row r="29" spans="1:48">
      <c r="A29" s="169">
        <f>VLOOKUP(B29,Misc_inputs!$A$3:$B$33,2,0)</f>
        <v>7.6258108678813302E-2</v>
      </c>
      <c r="B29" s="168">
        <v>2021</v>
      </c>
      <c r="C29" s="187">
        <f t="shared" si="100"/>
        <v>682.2173039832046</v>
      </c>
      <c r="D29" s="187">
        <f t="shared" si="101"/>
        <v>0.52024601309718232</v>
      </c>
      <c r="E29" s="188">
        <f t="shared" si="102"/>
        <v>682.73754999630182</v>
      </c>
      <c r="F29" s="187">
        <f t="shared" si="103"/>
        <v>181.92461439552122</v>
      </c>
      <c r="G29" s="187">
        <f t="shared" si="104"/>
        <v>0.13873227015924861</v>
      </c>
      <c r="H29" s="188">
        <f t="shared" si="105"/>
        <v>182.06334666568046</v>
      </c>
      <c r="I29" s="187">
        <f t="shared" si="106"/>
        <v>0</v>
      </c>
      <c r="J29" s="187">
        <f t="shared" si="107"/>
        <v>0</v>
      </c>
      <c r="K29" s="188">
        <f t="shared" si="108"/>
        <v>0</v>
      </c>
      <c r="L29" s="187">
        <f t="shared" si="109"/>
        <v>11.370288399720076</v>
      </c>
      <c r="M29" s="187">
        <f t="shared" si="110"/>
        <v>8.6707668849530378E-3</v>
      </c>
      <c r="N29" s="188">
        <f t="shared" si="111"/>
        <v>11.378959166605028</v>
      </c>
      <c r="O29" s="187">
        <f t="shared" si="112"/>
        <v>0</v>
      </c>
      <c r="P29" s="187">
        <f t="shared" si="113"/>
        <v>0</v>
      </c>
      <c r="Q29" s="188">
        <f t="shared" si="114"/>
        <v>0</v>
      </c>
      <c r="R29" s="187">
        <f t="shared" si="115"/>
        <v>386.58980559048263</v>
      </c>
      <c r="S29" s="187">
        <f t="shared" si="116"/>
        <v>0.29480607408840331</v>
      </c>
      <c r="T29" s="188">
        <f t="shared" si="117"/>
        <v>386.88461166457103</v>
      </c>
      <c r="U29" s="187">
        <f t="shared" si="118"/>
        <v>45.481153598880304</v>
      </c>
      <c r="V29" s="187">
        <f t="shared" si="119"/>
        <v>3.4683067539812151E-2</v>
      </c>
      <c r="W29" s="188">
        <f t="shared" si="120"/>
        <v>45.515836666420114</v>
      </c>
      <c r="X29" s="187">
        <f t="shared" si="121"/>
        <v>1308.5803041595784</v>
      </c>
    </row>
    <row r="30" spans="1:48">
      <c r="A30" s="169">
        <f>VLOOKUP(B30,Misc_inputs!$A$3:$B$33,2,0)</f>
        <v>2.8492930312000952</v>
      </c>
      <c r="B30" s="168">
        <v>2022</v>
      </c>
      <c r="C30" s="187">
        <f t="shared" si="100"/>
        <v>682.73754999630182</v>
      </c>
      <c r="D30" s="187">
        <f t="shared" si="101"/>
        <v>19.453193433430894</v>
      </c>
      <c r="E30" s="188">
        <f t="shared" si="102"/>
        <v>702.19074342973272</v>
      </c>
      <c r="F30" s="187">
        <f t="shared" si="103"/>
        <v>182.06334666568046</v>
      </c>
      <c r="G30" s="187">
        <f t="shared" si="104"/>
        <v>5.1875182489149037</v>
      </c>
      <c r="H30" s="188">
        <f t="shared" si="105"/>
        <v>187.25086491459535</v>
      </c>
      <c r="I30" s="187">
        <f t="shared" si="106"/>
        <v>0</v>
      </c>
      <c r="J30" s="187">
        <f t="shared" si="107"/>
        <v>0</v>
      </c>
      <c r="K30" s="188">
        <f t="shared" si="108"/>
        <v>0</v>
      </c>
      <c r="L30" s="187">
        <f t="shared" si="109"/>
        <v>11.378959166605028</v>
      </c>
      <c r="M30" s="187">
        <f t="shared" si="110"/>
        <v>0.32421989055718148</v>
      </c>
      <c r="N30" s="188">
        <f t="shared" si="111"/>
        <v>11.70317905716221</v>
      </c>
      <c r="O30" s="187">
        <f t="shared" si="112"/>
        <v>0</v>
      </c>
      <c r="P30" s="187">
        <f t="shared" si="113"/>
        <v>0</v>
      </c>
      <c r="Q30" s="188">
        <f t="shared" si="114"/>
        <v>0</v>
      </c>
      <c r="R30" s="187">
        <f t="shared" si="115"/>
        <v>386.88461166457103</v>
      </c>
      <c r="S30" s="187">
        <f t="shared" si="116"/>
        <v>11.023476278944171</v>
      </c>
      <c r="T30" s="188">
        <f t="shared" si="117"/>
        <v>397.90808794351517</v>
      </c>
      <c r="U30" s="187">
        <f t="shared" si="118"/>
        <v>45.515836666420114</v>
      </c>
      <c r="V30" s="187">
        <f t="shared" si="119"/>
        <v>1.2968795622287259</v>
      </c>
      <c r="W30" s="188">
        <f t="shared" si="120"/>
        <v>46.812716228648839</v>
      </c>
      <c r="X30" s="187">
        <f t="shared" si="121"/>
        <v>1345.8655915736542</v>
      </c>
    </row>
    <row r="31" spans="1:48">
      <c r="A31" s="169">
        <f>VLOOKUP(B31,Misc_inputs!$A$3:$B$33,2,0)</f>
        <v>3.143440902459993</v>
      </c>
      <c r="B31" s="168">
        <v>2023</v>
      </c>
      <c r="C31" s="187">
        <f t="shared" si="100"/>
        <v>702.19074342973272</v>
      </c>
      <c r="D31" s="187">
        <f t="shared" si="101"/>
        <v>22.072951042258122</v>
      </c>
      <c r="E31" s="188">
        <f t="shared" si="102"/>
        <v>724.26369447199079</v>
      </c>
      <c r="F31" s="187">
        <f t="shared" si="103"/>
        <v>187.25086491459535</v>
      </c>
      <c r="G31" s="187">
        <f t="shared" si="104"/>
        <v>5.8861202779354986</v>
      </c>
      <c r="H31" s="188">
        <f t="shared" si="105"/>
        <v>193.13698519253086</v>
      </c>
      <c r="I31" s="187">
        <f t="shared" si="106"/>
        <v>0</v>
      </c>
      <c r="J31" s="187">
        <f t="shared" si="107"/>
        <v>0</v>
      </c>
      <c r="K31" s="188">
        <f t="shared" si="108"/>
        <v>0</v>
      </c>
      <c r="L31" s="187">
        <f t="shared" si="109"/>
        <v>11.70317905716221</v>
      </c>
      <c r="M31" s="187">
        <f t="shared" si="110"/>
        <v>0.36788251737096866</v>
      </c>
      <c r="N31" s="188">
        <f t="shared" si="111"/>
        <v>12.071061574533179</v>
      </c>
      <c r="O31" s="187">
        <f t="shared" si="112"/>
        <v>0</v>
      </c>
      <c r="P31" s="187">
        <f t="shared" si="113"/>
        <v>0</v>
      </c>
      <c r="Q31" s="188">
        <f t="shared" si="114"/>
        <v>0</v>
      </c>
      <c r="R31" s="187">
        <f t="shared" si="115"/>
        <v>397.90808794351517</v>
      </c>
      <c r="S31" s="187">
        <f t="shared" si="116"/>
        <v>12.508005590612935</v>
      </c>
      <c r="T31" s="188">
        <f t="shared" si="117"/>
        <v>410.41609353412809</v>
      </c>
      <c r="U31" s="187">
        <f t="shared" si="118"/>
        <v>46.812716228648839</v>
      </c>
      <c r="V31" s="187">
        <f t="shared" si="119"/>
        <v>1.4715300694838747</v>
      </c>
      <c r="W31" s="188">
        <f t="shared" si="120"/>
        <v>48.284246298132715</v>
      </c>
      <c r="X31" s="187">
        <f t="shared" si="121"/>
        <v>1388.1720810713155</v>
      </c>
    </row>
    <row r="32" spans="1:48">
      <c r="A32" s="169">
        <f>VLOOKUP(B32,Misc_inputs!$A$3:$B$33,2,0)</f>
        <v>1.8594732384912049</v>
      </c>
      <c r="B32" s="168">
        <v>2024</v>
      </c>
      <c r="C32" s="187">
        <f t="shared" si="100"/>
        <v>724.26369447199079</v>
      </c>
      <c r="D32" s="187">
        <f t="shared" si="101"/>
        <v>13.467489574814374</v>
      </c>
      <c r="E32" s="188">
        <f t="shared" si="102"/>
        <v>737.7311840468052</v>
      </c>
      <c r="F32" s="187">
        <f t="shared" si="103"/>
        <v>193.13698519253086</v>
      </c>
      <c r="G32" s="187">
        <f t="shared" si="104"/>
        <v>3.5913305532838327</v>
      </c>
      <c r="H32" s="188">
        <f t="shared" si="105"/>
        <v>196.72831574581468</v>
      </c>
      <c r="I32" s="187">
        <f t="shared" si="106"/>
        <v>0</v>
      </c>
      <c r="J32" s="187">
        <f t="shared" si="107"/>
        <v>0</v>
      </c>
      <c r="K32" s="188">
        <f t="shared" si="108"/>
        <v>0</v>
      </c>
      <c r="L32" s="187">
        <f t="shared" si="109"/>
        <v>12.071061574533179</v>
      </c>
      <c r="M32" s="187">
        <f t="shared" si="110"/>
        <v>0.22445815958023954</v>
      </c>
      <c r="N32" s="188">
        <f t="shared" si="111"/>
        <v>12.295519734113418</v>
      </c>
      <c r="O32" s="187">
        <f t="shared" si="112"/>
        <v>0</v>
      </c>
      <c r="P32" s="187">
        <f t="shared" si="113"/>
        <v>0</v>
      </c>
      <c r="Q32" s="188">
        <f t="shared" si="114"/>
        <v>0</v>
      </c>
      <c r="R32" s="187">
        <f t="shared" si="115"/>
        <v>410.41609353412809</v>
      </c>
      <c r="S32" s="187">
        <f t="shared" si="116"/>
        <v>7.6315774257281443</v>
      </c>
      <c r="T32" s="188">
        <f t="shared" si="117"/>
        <v>418.04767095985625</v>
      </c>
      <c r="U32" s="187">
        <f t="shared" si="118"/>
        <v>48.284246298132715</v>
      </c>
      <c r="V32" s="187">
        <f t="shared" si="119"/>
        <v>0.89783263832095817</v>
      </c>
      <c r="W32" s="188">
        <f t="shared" si="120"/>
        <v>49.182078936453671</v>
      </c>
      <c r="X32" s="187">
        <f t="shared" si="121"/>
        <v>1413.9847694230432</v>
      </c>
    </row>
    <row r="33" spans="1:48">
      <c r="A33" s="169">
        <f>VLOOKUP(B33,Misc_inputs!$A$3:$B$33,2,0)</f>
        <v>1.892198034308179</v>
      </c>
      <c r="B33" s="168">
        <v>2025</v>
      </c>
      <c r="C33" s="187">
        <f t="shared" si="100"/>
        <v>737.7311840468052</v>
      </c>
      <c r="D33" s="187">
        <f t="shared" si="101"/>
        <v>13.959334963012102</v>
      </c>
      <c r="E33" s="188">
        <f t="shared" si="102"/>
        <v>751.69051900981731</v>
      </c>
      <c r="F33" s="187">
        <f t="shared" si="103"/>
        <v>196.72831574581468</v>
      </c>
      <c r="G33" s="187">
        <f t="shared" si="104"/>
        <v>3.722489323469893</v>
      </c>
      <c r="H33" s="188">
        <f t="shared" si="105"/>
        <v>200.45080506928457</v>
      </c>
      <c r="I33" s="187">
        <f t="shared" si="106"/>
        <v>0</v>
      </c>
      <c r="J33" s="187">
        <f t="shared" si="107"/>
        <v>0</v>
      </c>
      <c r="K33" s="188">
        <f t="shared" si="108"/>
        <v>0</v>
      </c>
      <c r="L33" s="187">
        <f t="shared" si="109"/>
        <v>12.295519734113418</v>
      </c>
      <c r="M33" s="187">
        <f t="shared" si="110"/>
        <v>0.23265558271686831</v>
      </c>
      <c r="N33" s="188">
        <f t="shared" si="111"/>
        <v>12.528175316830286</v>
      </c>
      <c r="O33" s="187">
        <f t="shared" si="112"/>
        <v>0</v>
      </c>
      <c r="P33" s="187">
        <f t="shared" si="113"/>
        <v>0</v>
      </c>
      <c r="Q33" s="188">
        <f t="shared" si="114"/>
        <v>0</v>
      </c>
      <c r="R33" s="187">
        <f t="shared" si="115"/>
        <v>418.04767095985625</v>
      </c>
      <c r="S33" s="187">
        <f t="shared" si="116"/>
        <v>7.9102898123735237</v>
      </c>
      <c r="T33" s="188">
        <f t="shared" si="117"/>
        <v>425.9579607722298</v>
      </c>
      <c r="U33" s="187">
        <f t="shared" si="118"/>
        <v>49.182078936453671</v>
      </c>
      <c r="V33" s="187">
        <f t="shared" si="119"/>
        <v>0.93062233086747326</v>
      </c>
      <c r="W33" s="188">
        <f t="shared" si="120"/>
        <v>50.112701267321142</v>
      </c>
      <c r="X33" s="187">
        <f t="shared" si="121"/>
        <v>1440.7401614354831</v>
      </c>
    </row>
    <row r="34" spans="1:48">
      <c r="A34" s="169">
        <f>VLOOKUP(B34,Misc_inputs!$A$3:$B$33,2,0)</f>
        <v>2.0003592159356653</v>
      </c>
      <c r="B34" s="168">
        <v>2026</v>
      </c>
      <c r="C34" s="187">
        <f t="shared" si="100"/>
        <v>751.69051900981731</v>
      </c>
      <c r="D34" s="187">
        <f t="shared" si="101"/>
        <v>15.036510572327515</v>
      </c>
      <c r="E34" s="188">
        <f t="shared" si="102"/>
        <v>766.72702958214484</v>
      </c>
      <c r="F34" s="187">
        <f t="shared" si="103"/>
        <v>200.45080506928457</v>
      </c>
      <c r="G34" s="187">
        <f t="shared" si="104"/>
        <v>4.0097361526206701</v>
      </c>
      <c r="H34" s="188">
        <f t="shared" si="105"/>
        <v>204.46054122190523</v>
      </c>
      <c r="I34" s="187">
        <f t="shared" si="106"/>
        <v>0</v>
      </c>
      <c r="J34" s="187">
        <f t="shared" si="107"/>
        <v>0</v>
      </c>
      <c r="K34" s="188">
        <f t="shared" si="108"/>
        <v>0</v>
      </c>
      <c r="L34" s="187">
        <f t="shared" si="109"/>
        <v>12.528175316830286</v>
      </c>
      <c r="M34" s="187">
        <f t="shared" si="110"/>
        <v>0.25060850953879188</v>
      </c>
      <c r="N34" s="188">
        <f t="shared" si="111"/>
        <v>12.778783826369077</v>
      </c>
      <c r="O34" s="187">
        <f t="shared" si="112"/>
        <v>0</v>
      </c>
      <c r="P34" s="187">
        <f t="shared" si="113"/>
        <v>0</v>
      </c>
      <c r="Q34" s="188">
        <f t="shared" si="114"/>
        <v>0</v>
      </c>
      <c r="R34" s="187">
        <f t="shared" si="115"/>
        <v>425.9579607722298</v>
      </c>
      <c r="S34" s="187">
        <f t="shared" si="116"/>
        <v>8.5206893243189246</v>
      </c>
      <c r="T34" s="188">
        <f t="shared" si="117"/>
        <v>434.47865009654873</v>
      </c>
      <c r="U34" s="187">
        <f t="shared" si="118"/>
        <v>50.112701267321142</v>
      </c>
      <c r="V34" s="187">
        <f t="shared" si="119"/>
        <v>1.0024340381551675</v>
      </c>
      <c r="W34" s="188">
        <f t="shared" si="120"/>
        <v>51.115135305476308</v>
      </c>
      <c r="X34" s="187">
        <f t="shared" si="121"/>
        <v>1469.5601400324442</v>
      </c>
    </row>
    <row r="35" spans="1:48">
      <c r="A35" s="169">
        <f>VLOOKUP(B35,Misc_inputs!$A$3:$B$33,2,0)</f>
        <v>0</v>
      </c>
      <c r="B35" s="168">
        <v>2027</v>
      </c>
      <c r="C35" s="187">
        <f t="shared" si="100"/>
        <v>766.72702958214484</v>
      </c>
      <c r="D35" s="187">
        <f t="shared" si="101"/>
        <v>0</v>
      </c>
      <c r="E35" s="188">
        <f t="shared" si="102"/>
        <v>766.72702958214484</v>
      </c>
      <c r="F35" s="187">
        <f t="shared" si="103"/>
        <v>204.46054122190523</v>
      </c>
      <c r="G35" s="187">
        <f t="shared" si="104"/>
        <v>0</v>
      </c>
      <c r="H35" s="188">
        <f t="shared" si="105"/>
        <v>204.46054122190523</v>
      </c>
      <c r="I35" s="187">
        <f t="shared" si="106"/>
        <v>0</v>
      </c>
      <c r="J35" s="187">
        <f t="shared" si="107"/>
        <v>0</v>
      </c>
      <c r="K35" s="188">
        <f t="shared" si="108"/>
        <v>0</v>
      </c>
      <c r="L35" s="187">
        <f t="shared" si="109"/>
        <v>12.778783826369077</v>
      </c>
      <c r="M35" s="187">
        <f t="shared" si="110"/>
        <v>0</v>
      </c>
      <c r="N35" s="188">
        <f t="shared" si="111"/>
        <v>12.778783826369077</v>
      </c>
      <c r="O35" s="187">
        <f t="shared" si="112"/>
        <v>0</v>
      </c>
      <c r="P35" s="187">
        <f t="shared" si="113"/>
        <v>0</v>
      </c>
      <c r="Q35" s="188">
        <f t="shared" si="114"/>
        <v>0</v>
      </c>
      <c r="R35" s="187">
        <f t="shared" si="115"/>
        <v>434.47865009654873</v>
      </c>
      <c r="S35" s="187">
        <f t="shared" si="116"/>
        <v>0</v>
      </c>
      <c r="T35" s="188">
        <f t="shared" si="117"/>
        <v>434.47865009654873</v>
      </c>
      <c r="U35" s="187">
        <f t="shared" si="118"/>
        <v>51.115135305476308</v>
      </c>
      <c r="V35" s="187">
        <f t="shared" si="119"/>
        <v>0</v>
      </c>
      <c r="W35" s="188">
        <f t="shared" si="120"/>
        <v>51.115135305476308</v>
      </c>
      <c r="X35" s="187">
        <f t="shared" si="121"/>
        <v>1469.5601400324442</v>
      </c>
    </row>
    <row r="36" spans="1:48">
      <c r="A36" s="169">
        <f>VLOOKUP(B36,Misc_inputs!$A$3:$B$33,2,0)</f>
        <v>0</v>
      </c>
      <c r="B36" s="168">
        <v>2028</v>
      </c>
      <c r="C36" s="187">
        <f t="shared" si="100"/>
        <v>766.72702958214484</v>
      </c>
      <c r="D36" s="187">
        <f t="shared" si="101"/>
        <v>0</v>
      </c>
      <c r="E36" s="188">
        <f t="shared" si="102"/>
        <v>766.72702958214484</v>
      </c>
      <c r="F36" s="187">
        <f t="shared" si="103"/>
        <v>204.46054122190523</v>
      </c>
      <c r="G36" s="187">
        <f t="shared" si="104"/>
        <v>0</v>
      </c>
      <c r="H36" s="188">
        <f t="shared" si="105"/>
        <v>204.46054122190523</v>
      </c>
      <c r="I36" s="187">
        <f t="shared" si="106"/>
        <v>0</v>
      </c>
      <c r="J36" s="187">
        <f t="shared" si="107"/>
        <v>0</v>
      </c>
      <c r="K36" s="188">
        <f t="shared" si="108"/>
        <v>0</v>
      </c>
      <c r="L36" s="187">
        <f t="shared" si="109"/>
        <v>12.778783826369077</v>
      </c>
      <c r="M36" s="187">
        <f t="shared" si="110"/>
        <v>0</v>
      </c>
      <c r="N36" s="188">
        <f t="shared" si="111"/>
        <v>12.778783826369077</v>
      </c>
      <c r="O36" s="187">
        <f t="shared" si="112"/>
        <v>0</v>
      </c>
      <c r="P36" s="187">
        <f t="shared" si="113"/>
        <v>0</v>
      </c>
      <c r="Q36" s="188">
        <f t="shared" si="114"/>
        <v>0</v>
      </c>
      <c r="R36" s="187">
        <f t="shared" si="115"/>
        <v>434.47865009654873</v>
      </c>
      <c r="S36" s="187">
        <f t="shared" si="116"/>
        <v>0</v>
      </c>
      <c r="T36" s="188">
        <f t="shared" si="117"/>
        <v>434.47865009654873</v>
      </c>
      <c r="U36" s="187">
        <f t="shared" si="118"/>
        <v>51.115135305476308</v>
      </c>
      <c r="V36" s="187">
        <f t="shared" si="119"/>
        <v>0</v>
      </c>
      <c r="W36" s="188">
        <f t="shared" si="120"/>
        <v>51.115135305476308</v>
      </c>
      <c r="X36" s="187">
        <f t="shared" si="121"/>
        <v>1469.5601400324442</v>
      </c>
    </row>
    <row r="37" spans="1:48">
      <c r="A37" s="169">
        <f>VLOOKUP(B37,Misc_inputs!$A$3:$B$33,2,0)</f>
        <v>0</v>
      </c>
      <c r="B37" s="168">
        <v>2029</v>
      </c>
      <c r="C37" s="187">
        <f t="shared" si="100"/>
        <v>766.72702958214484</v>
      </c>
      <c r="D37" s="187">
        <f t="shared" si="101"/>
        <v>0</v>
      </c>
      <c r="E37" s="188">
        <f t="shared" si="102"/>
        <v>766.72702958214484</v>
      </c>
      <c r="F37" s="187">
        <f t="shared" si="103"/>
        <v>204.46054122190523</v>
      </c>
      <c r="G37" s="187">
        <f t="shared" si="104"/>
        <v>0</v>
      </c>
      <c r="H37" s="188">
        <f t="shared" si="105"/>
        <v>204.46054122190523</v>
      </c>
      <c r="I37" s="187">
        <f t="shared" si="106"/>
        <v>0</v>
      </c>
      <c r="J37" s="187">
        <f t="shared" si="107"/>
        <v>0</v>
      </c>
      <c r="K37" s="188">
        <f t="shared" si="108"/>
        <v>0</v>
      </c>
      <c r="L37" s="187">
        <f t="shared" si="109"/>
        <v>12.778783826369077</v>
      </c>
      <c r="M37" s="187">
        <f t="shared" si="110"/>
        <v>0</v>
      </c>
      <c r="N37" s="188">
        <f t="shared" si="111"/>
        <v>12.778783826369077</v>
      </c>
      <c r="O37" s="187">
        <f t="shared" si="112"/>
        <v>0</v>
      </c>
      <c r="P37" s="187">
        <f t="shared" si="113"/>
        <v>0</v>
      </c>
      <c r="Q37" s="188">
        <f t="shared" si="114"/>
        <v>0</v>
      </c>
      <c r="R37" s="187">
        <f t="shared" si="115"/>
        <v>434.47865009654873</v>
      </c>
      <c r="S37" s="187">
        <f t="shared" si="116"/>
        <v>0</v>
      </c>
      <c r="T37" s="188">
        <f t="shared" si="117"/>
        <v>434.47865009654873</v>
      </c>
      <c r="U37" s="187">
        <f t="shared" si="118"/>
        <v>51.115135305476308</v>
      </c>
      <c r="V37" s="187">
        <f t="shared" si="119"/>
        <v>0</v>
      </c>
      <c r="W37" s="188">
        <f t="shared" si="120"/>
        <v>51.115135305476308</v>
      </c>
      <c r="X37" s="187">
        <f t="shared" si="121"/>
        <v>1469.5601400324442</v>
      </c>
    </row>
    <row r="38" spans="1:48">
      <c r="A38" s="169">
        <f>VLOOKUP(B38,Misc_inputs!$A$3:$B$33,2,0)</f>
        <v>0</v>
      </c>
      <c r="B38" s="168">
        <v>2030</v>
      </c>
      <c r="C38" s="187">
        <f t="shared" si="100"/>
        <v>766.72702958214484</v>
      </c>
      <c r="D38" s="187">
        <f t="shared" si="101"/>
        <v>0</v>
      </c>
      <c r="E38" s="188">
        <f t="shared" si="102"/>
        <v>766.72702958214484</v>
      </c>
      <c r="F38" s="187">
        <f t="shared" si="103"/>
        <v>204.46054122190523</v>
      </c>
      <c r="G38" s="187">
        <f t="shared" si="104"/>
        <v>0</v>
      </c>
      <c r="H38" s="188">
        <f t="shared" si="105"/>
        <v>204.46054122190523</v>
      </c>
      <c r="I38" s="187">
        <f t="shared" si="106"/>
        <v>0</v>
      </c>
      <c r="J38" s="187">
        <f t="shared" si="107"/>
        <v>0</v>
      </c>
      <c r="K38" s="188">
        <f t="shared" si="108"/>
        <v>0</v>
      </c>
      <c r="L38" s="187">
        <f t="shared" si="109"/>
        <v>12.778783826369077</v>
      </c>
      <c r="M38" s="187">
        <f t="shared" si="110"/>
        <v>0</v>
      </c>
      <c r="N38" s="188">
        <f t="shared" si="111"/>
        <v>12.778783826369077</v>
      </c>
      <c r="O38" s="187">
        <f t="shared" si="112"/>
        <v>0</v>
      </c>
      <c r="P38" s="187">
        <f t="shared" si="113"/>
        <v>0</v>
      </c>
      <c r="Q38" s="188">
        <f t="shared" si="114"/>
        <v>0</v>
      </c>
      <c r="R38" s="187">
        <f t="shared" si="115"/>
        <v>434.47865009654873</v>
      </c>
      <c r="S38" s="187">
        <f t="shared" si="116"/>
        <v>0</v>
      </c>
      <c r="T38" s="188">
        <f t="shared" si="117"/>
        <v>434.47865009654873</v>
      </c>
      <c r="U38" s="187">
        <f t="shared" si="118"/>
        <v>51.115135305476308</v>
      </c>
      <c r="V38" s="187">
        <f t="shared" si="119"/>
        <v>0</v>
      </c>
      <c r="W38" s="188">
        <f t="shared" si="120"/>
        <v>51.115135305476308</v>
      </c>
      <c r="X38" s="187">
        <f t="shared" si="121"/>
        <v>1469.5601400324442</v>
      </c>
    </row>
    <row r="40" spans="1:48" s="190" customFormat="1" ht="23">
      <c r="A40" s="183" t="s">
        <v>419</v>
      </c>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row>
    <row r="41" spans="1:48" ht="93">
      <c r="A41" s="173" t="s">
        <v>539</v>
      </c>
      <c r="B41" s="172" t="s">
        <v>342</v>
      </c>
      <c r="C41" s="172" t="str">
        <f>Cost_of_crime_Raw_data!A68</f>
        <v>Drug offences (e.g. driving under the influence of drugs)</v>
      </c>
      <c r="D41" s="184" t="s">
        <v>540</v>
      </c>
      <c r="E41" s="185" t="s">
        <v>541</v>
      </c>
      <c r="F41" s="172" t="str">
        <f>Cost_of_crime_Raw_data!A69</f>
        <v>Alcohol offences (e.g. driving under the influence of alcohol)</v>
      </c>
      <c r="G41" s="184" t="s">
        <v>540</v>
      </c>
      <c r="H41" s="185" t="s">
        <v>541</v>
      </c>
      <c r="I41" s="172" t="str">
        <f>Cost_of_crime_Raw_data!A70</f>
        <v>Other indictable non- motoring offences</v>
      </c>
      <c r="J41" s="184" t="s">
        <v>540</v>
      </c>
      <c r="K41" s="185" t="s">
        <v>541</v>
      </c>
      <c r="L41" s="172" t="str">
        <f>Cost_of_crime_Raw_data!A71</f>
        <v>Indictable motoring offences</v>
      </c>
      <c r="M41" s="184" t="s">
        <v>540</v>
      </c>
      <c r="N41" s="185" t="s">
        <v>541</v>
      </c>
      <c r="O41" s="172" t="str">
        <f>Cost_of_crime_Raw_data!A72</f>
        <v>Summary non-motoring offences</v>
      </c>
      <c r="P41" s="184" t="s">
        <v>540</v>
      </c>
      <c r="Q41" s="185" t="s">
        <v>541</v>
      </c>
      <c r="R41" s="172" t="str">
        <f>Cost_of_crime_Raw_data!A73</f>
        <v>Summary motoring offences</v>
      </c>
      <c r="S41" s="184" t="s">
        <v>540</v>
      </c>
      <c r="T41" s="185" t="s">
        <v>541</v>
      </c>
      <c r="U41" s="172" t="str">
        <f>Cost_of_crime_Raw_data!A74</f>
        <v>TOTAL TRAFFIC/ MOTORING/ OTHER</v>
      </c>
    </row>
    <row r="42" spans="1:48">
      <c r="B42" s="168">
        <v>2000</v>
      </c>
      <c r="C42" s="169" t="s">
        <v>429</v>
      </c>
      <c r="D42" s="187" t="e">
        <f>C42*$A42/100</f>
        <v>#VALUE!</v>
      </c>
      <c r="E42" s="188" t="e">
        <f>C42+D42</f>
        <v>#VALUE!</v>
      </c>
      <c r="F42" s="169" t="s">
        <v>429</v>
      </c>
      <c r="G42" s="187" t="e">
        <f>F42*$A42/100</f>
        <v>#VALUE!</v>
      </c>
      <c r="H42" s="188" t="e">
        <f>F42+G42</f>
        <v>#VALUE!</v>
      </c>
      <c r="I42" s="169" t="s">
        <v>429</v>
      </c>
      <c r="J42" s="187" t="e">
        <f>I42*$A42/100</f>
        <v>#VALUE!</v>
      </c>
      <c r="K42" s="188" t="e">
        <f>I42+J42</f>
        <v>#VALUE!</v>
      </c>
      <c r="L42" s="169" t="s">
        <v>429</v>
      </c>
      <c r="M42" s="187" t="e">
        <f>L42*$A42/100</f>
        <v>#VALUE!</v>
      </c>
      <c r="N42" s="188" t="e">
        <f>L42+M42</f>
        <v>#VALUE!</v>
      </c>
      <c r="O42" s="169" t="s">
        <v>429</v>
      </c>
      <c r="P42" s="187" t="e">
        <f>O42*$A42/100</f>
        <v>#VALUE!</v>
      </c>
      <c r="Q42" s="188" t="e">
        <f>O42+P42</f>
        <v>#VALUE!</v>
      </c>
      <c r="R42" s="169" t="s">
        <v>429</v>
      </c>
      <c r="S42" s="187" t="e">
        <f>R42*$A42/100</f>
        <v>#VALUE!</v>
      </c>
      <c r="T42" s="188" t="e">
        <f>R42+S42</f>
        <v>#VALUE!</v>
      </c>
      <c r="U42" s="187" t="e">
        <f>SUM(T42,Q42,N42,K42,H42,E42)</f>
        <v>#VALUE!</v>
      </c>
    </row>
    <row r="43" spans="1:48">
      <c r="A43" s="169">
        <f>VLOOKUP(B43,Misc_inputs!$A$3:$B$33,2,0)</f>
        <v>1.8509525763893939</v>
      </c>
      <c r="B43" s="168">
        <v>2001</v>
      </c>
      <c r="C43" s="169" t="s">
        <v>429</v>
      </c>
      <c r="D43" s="187" t="e">
        <f>C43*$A43/100</f>
        <v>#VALUE!</v>
      </c>
      <c r="E43" s="188" t="e">
        <f>C43+D43</f>
        <v>#VALUE!</v>
      </c>
      <c r="F43" s="169" t="s">
        <v>429</v>
      </c>
      <c r="G43" s="187" t="e">
        <f>F43*$A43/100</f>
        <v>#VALUE!</v>
      </c>
      <c r="H43" s="188" t="e">
        <f>F43+G43</f>
        <v>#VALUE!</v>
      </c>
      <c r="I43" s="169" t="s">
        <v>429</v>
      </c>
      <c r="J43" s="187" t="e">
        <f>I43*$A43/100</f>
        <v>#VALUE!</v>
      </c>
      <c r="K43" s="188" t="e">
        <f>I43+J43</f>
        <v>#VALUE!</v>
      </c>
      <c r="L43" s="169" t="s">
        <v>429</v>
      </c>
      <c r="M43" s="187" t="e">
        <f>L43*$A43/100</f>
        <v>#VALUE!</v>
      </c>
      <c r="N43" s="188" t="e">
        <f>L43+M43</f>
        <v>#VALUE!</v>
      </c>
      <c r="O43" s="169" t="s">
        <v>429</v>
      </c>
      <c r="P43" s="187" t="e">
        <f>O43*$A43/100</f>
        <v>#VALUE!</v>
      </c>
      <c r="Q43" s="188" t="e">
        <f>O43+P43</f>
        <v>#VALUE!</v>
      </c>
      <c r="R43" s="169" t="s">
        <v>429</v>
      </c>
      <c r="S43" s="187" t="e">
        <f>R43*$A43/100</f>
        <v>#VALUE!</v>
      </c>
      <c r="T43" s="188" t="e">
        <f>R43+S43</f>
        <v>#VALUE!</v>
      </c>
      <c r="U43" s="187" t="e">
        <f t="shared" ref="U43:U72" si="122">SUM(T43,Q43,N43,K43,H43,E43)</f>
        <v>#VALUE!</v>
      </c>
    </row>
    <row r="44" spans="1:48">
      <c r="A44" s="169">
        <f>VLOOKUP(B44,Misc_inputs!$A$3:$B$33,2,0)</f>
        <v>2.0601670280994799</v>
      </c>
      <c r="B44" s="168">
        <v>2002</v>
      </c>
      <c r="C44" s="169" t="s">
        <v>429</v>
      </c>
      <c r="D44" s="187" t="e">
        <f t="shared" ref="D44:D55" si="123">C44*$A44/100</f>
        <v>#VALUE!</v>
      </c>
      <c r="E44" s="188" t="e">
        <f t="shared" ref="E44:E72" si="124">C44+D44</f>
        <v>#VALUE!</v>
      </c>
      <c r="F44" s="169" t="s">
        <v>429</v>
      </c>
      <c r="G44" s="187" t="e">
        <f t="shared" ref="G44:G55" si="125">F44*$A44/100</f>
        <v>#VALUE!</v>
      </c>
      <c r="H44" s="188" t="e">
        <f t="shared" ref="H44:H72" si="126">F44+G44</f>
        <v>#VALUE!</v>
      </c>
      <c r="I44" s="169" t="s">
        <v>429</v>
      </c>
      <c r="J44" s="187" t="e">
        <f t="shared" ref="J44:J55" si="127">I44*$A44/100</f>
        <v>#VALUE!</v>
      </c>
      <c r="K44" s="188" t="e">
        <f t="shared" ref="K44:K72" si="128">I44+J44</f>
        <v>#VALUE!</v>
      </c>
      <c r="L44" s="169" t="s">
        <v>429</v>
      </c>
      <c r="M44" s="187" t="e">
        <f t="shared" ref="M44:M55" si="129">L44*$A44/100</f>
        <v>#VALUE!</v>
      </c>
      <c r="N44" s="188" t="e">
        <f t="shared" ref="N44:N72" si="130">L44+M44</f>
        <v>#VALUE!</v>
      </c>
      <c r="O44" s="169" t="s">
        <v>429</v>
      </c>
      <c r="P44" s="187" t="e">
        <f t="shared" ref="P44:P55" si="131">O44*$A44/100</f>
        <v>#VALUE!</v>
      </c>
      <c r="Q44" s="188" t="e">
        <f t="shared" ref="Q44:Q72" si="132">O44+P44</f>
        <v>#VALUE!</v>
      </c>
      <c r="R44" s="169" t="s">
        <v>429</v>
      </c>
      <c r="S44" s="187" t="e">
        <f t="shared" ref="S44:S55" si="133">R44*$A44/100</f>
        <v>#VALUE!</v>
      </c>
      <c r="T44" s="188" t="e">
        <f t="shared" ref="T44:T72" si="134">R44+S44</f>
        <v>#VALUE!</v>
      </c>
      <c r="U44" s="187" t="e">
        <f t="shared" si="122"/>
        <v>#VALUE!</v>
      </c>
    </row>
    <row r="45" spans="1:48">
      <c r="A45" s="169">
        <f>VLOOKUP(B45,Misc_inputs!$A$3:$B$33,2,0)</f>
        <v>2.7352938960343987</v>
      </c>
      <c r="B45" s="168">
        <v>2003</v>
      </c>
      <c r="C45" s="169" t="s">
        <v>429</v>
      </c>
      <c r="D45" s="187" t="e">
        <f t="shared" si="123"/>
        <v>#VALUE!</v>
      </c>
      <c r="E45" s="188" t="e">
        <f t="shared" si="124"/>
        <v>#VALUE!</v>
      </c>
      <c r="F45" s="169" t="s">
        <v>429</v>
      </c>
      <c r="G45" s="187" t="e">
        <f t="shared" si="125"/>
        <v>#VALUE!</v>
      </c>
      <c r="H45" s="188" t="e">
        <f t="shared" si="126"/>
        <v>#VALUE!</v>
      </c>
      <c r="I45" s="169" t="s">
        <v>429</v>
      </c>
      <c r="J45" s="187" t="e">
        <f t="shared" si="127"/>
        <v>#VALUE!</v>
      </c>
      <c r="K45" s="188" t="e">
        <f t="shared" si="128"/>
        <v>#VALUE!</v>
      </c>
      <c r="L45" s="169" t="s">
        <v>429</v>
      </c>
      <c r="M45" s="187" t="e">
        <f t="shared" si="129"/>
        <v>#VALUE!</v>
      </c>
      <c r="N45" s="188" t="e">
        <f t="shared" si="130"/>
        <v>#VALUE!</v>
      </c>
      <c r="O45" s="169" t="s">
        <v>429</v>
      </c>
      <c r="P45" s="187" t="e">
        <f t="shared" si="131"/>
        <v>#VALUE!</v>
      </c>
      <c r="Q45" s="188" t="e">
        <f t="shared" si="132"/>
        <v>#VALUE!</v>
      </c>
      <c r="R45" s="169" t="s">
        <v>429</v>
      </c>
      <c r="S45" s="187" t="e">
        <f t="shared" si="133"/>
        <v>#VALUE!</v>
      </c>
      <c r="T45" s="188" t="e">
        <f t="shared" si="134"/>
        <v>#VALUE!</v>
      </c>
      <c r="U45" s="187" t="e">
        <f t="shared" si="122"/>
        <v>#VALUE!</v>
      </c>
    </row>
    <row r="46" spans="1:48">
      <c r="A46" s="169">
        <f>VLOOKUP(B46,Misc_inputs!$A$3:$B$33,2,0)</f>
        <v>2.5734301841181981</v>
      </c>
      <c r="B46" s="168">
        <v>2004</v>
      </c>
      <c r="C46" s="169" t="s">
        <v>429</v>
      </c>
      <c r="D46" s="187" t="e">
        <f t="shared" si="123"/>
        <v>#VALUE!</v>
      </c>
      <c r="E46" s="188" t="e">
        <f t="shared" si="124"/>
        <v>#VALUE!</v>
      </c>
      <c r="F46" s="169" t="s">
        <v>429</v>
      </c>
      <c r="G46" s="187" t="e">
        <f t="shared" si="125"/>
        <v>#VALUE!</v>
      </c>
      <c r="H46" s="188" t="e">
        <f t="shared" si="126"/>
        <v>#VALUE!</v>
      </c>
      <c r="I46" s="169" t="s">
        <v>429</v>
      </c>
      <c r="J46" s="187" t="e">
        <f t="shared" si="127"/>
        <v>#VALUE!</v>
      </c>
      <c r="K46" s="188" t="e">
        <f t="shared" si="128"/>
        <v>#VALUE!</v>
      </c>
      <c r="L46" s="169" t="s">
        <v>429</v>
      </c>
      <c r="M46" s="187" t="e">
        <f t="shared" si="129"/>
        <v>#VALUE!</v>
      </c>
      <c r="N46" s="188" t="e">
        <f t="shared" si="130"/>
        <v>#VALUE!</v>
      </c>
      <c r="O46" s="169" t="s">
        <v>429</v>
      </c>
      <c r="P46" s="187" t="e">
        <f t="shared" si="131"/>
        <v>#VALUE!</v>
      </c>
      <c r="Q46" s="188" t="e">
        <f t="shared" si="132"/>
        <v>#VALUE!</v>
      </c>
      <c r="R46" s="169" t="s">
        <v>429</v>
      </c>
      <c r="S46" s="187" t="e">
        <f t="shared" si="133"/>
        <v>#VALUE!</v>
      </c>
      <c r="T46" s="188" t="e">
        <f t="shared" si="134"/>
        <v>#VALUE!</v>
      </c>
      <c r="U46" s="187" t="e">
        <f t="shared" si="122"/>
        <v>#VALUE!</v>
      </c>
    </row>
    <row r="47" spans="1:48">
      <c r="A47" s="169">
        <f>VLOOKUP(B47,Misc_inputs!$A$3:$B$33,2,0)</f>
        <v>3.1315066925981085</v>
      </c>
      <c r="B47" s="168">
        <v>2005</v>
      </c>
      <c r="C47" s="169" t="s">
        <v>429</v>
      </c>
      <c r="D47" s="187" t="e">
        <f t="shared" si="123"/>
        <v>#VALUE!</v>
      </c>
      <c r="E47" s="188" t="e">
        <f t="shared" si="124"/>
        <v>#VALUE!</v>
      </c>
      <c r="F47" s="169" t="s">
        <v>429</v>
      </c>
      <c r="G47" s="187" t="e">
        <f t="shared" si="125"/>
        <v>#VALUE!</v>
      </c>
      <c r="H47" s="188" t="e">
        <f t="shared" si="126"/>
        <v>#VALUE!</v>
      </c>
      <c r="I47" s="169" t="s">
        <v>429</v>
      </c>
      <c r="J47" s="187" t="e">
        <f t="shared" si="127"/>
        <v>#VALUE!</v>
      </c>
      <c r="K47" s="188" t="e">
        <f t="shared" si="128"/>
        <v>#VALUE!</v>
      </c>
      <c r="L47" s="169" t="s">
        <v>429</v>
      </c>
      <c r="M47" s="187" t="e">
        <f t="shared" si="129"/>
        <v>#VALUE!</v>
      </c>
      <c r="N47" s="188" t="e">
        <f t="shared" si="130"/>
        <v>#VALUE!</v>
      </c>
      <c r="O47" s="169" t="s">
        <v>429</v>
      </c>
      <c r="P47" s="187" t="e">
        <f t="shared" si="131"/>
        <v>#VALUE!</v>
      </c>
      <c r="Q47" s="188" t="e">
        <f t="shared" si="132"/>
        <v>#VALUE!</v>
      </c>
      <c r="R47" s="169" t="s">
        <v>429</v>
      </c>
      <c r="S47" s="187" t="e">
        <f t="shared" si="133"/>
        <v>#VALUE!</v>
      </c>
      <c r="T47" s="188" t="e">
        <f t="shared" si="134"/>
        <v>#VALUE!</v>
      </c>
      <c r="U47" s="187" t="e">
        <f t="shared" si="122"/>
        <v>#VALUE!</v>
      </c>
    </row>
    <row r="48" spans="1:48">
      <c r="A48" s="169">
        <f>VLOOKUP(B48,Misc_inputs!$A$3:$B$33,2,0)</f>
        <v>2.853248435199073</v>
      </c>
      <c r="B48" s="168">
        <v>2006</v>
      </c>
      <c r="C48" s="169" t="s">
        <v>429</v>
      </c>
      <c r="D48" s="187" t="e">
        <f t="shared" si="123"/>
        <v>#VALUE!</v>
      </c>
      <c r="E48" s="188" t="e">
        <f t="shared" si="124"/>
        <v>#VALUE!</v>
      </c>
      <c r="F48" s="169" t="s">
        <v>429</v>
      </c>
      <c r="G48" s="187" t="e">
        <f t="shared" si="125"/>
        <v>#VALUE!</v>
      </c>
      <c r="H48" s="188" t="e">
        <f t="shared" si="126"/>
        <v>#VALUE!</v>
      </c>
      <c r="I48" s="169" t="s">
        <v>429</v>
      </c>
      <c r="J48" s="187" t="e">
        <f t="shared" si="127"/>
        <v>#VALUE!</v>
      </c>
      <c r="K48" s="188" t="e">
        <f t="shared" si="128"/>
        <v>#VALUE!</v>
      </c>
      <c r="L48" s="169" t="s">
        <v>429</v>
      </c>
      <c r="M48" s="187" t="e">
        <f t="shared" si="129"/>
        <v>#VALUE!</v>
      </c>
      <c r="N48" s="188" t="e">
        <f t="shared" si="130"/>
        <v>#VALUE!</v>
      </c>
      <c r="O48" s="169" t="s">
        <v>429</v>
      </c>
      <c r="P48" s="187" t="e">
        <f t="shared" si="131"/>
        <v>#VALUE!</v>
      </c>
      <c r="Q48" s="188" t="e">
        <f t="shared" si="132"/>
        <v>#VALUE!</v>
      </c>
      <c r="R48" s="169" t="s">
        <v>429</v>
      </c>
      <c r="S48" s="187" t="e">
        <f t="shared" si="133"/>
        <v>#VALUE!</v>
      </c>
      <c r="T48" s="188" t="e">
        <f t="shared" si="134"/>
        <v>#VALUE!</v>
      </c>
      <c r="U48" s="187" t="e">
        <f t="shared" si="122"/>
        <v>#VALUE!</v>
      </c>
    </row>
    <row r="49" spans="1:21">
      <c r="A49" s="169">
        <f>VLOOKUP(B49,Misc_inputs!$A$3:$B$33,2,0)</f>
        <v>2.7960714791272023</v>
      </c>
      <c r="B49" s="168">
        <v>2007</v>
      </c>
      <c r="C49" s="169" t="s">
        <v>429</v>
      </c>
      <c r="D49" s="187" t="e">
        <f t="shared" si="123"/>
        <v>#VALUE!</v>
      </c>
      <c r="E49" s="188" t="e">
        <f t="shared" si="124"/>
        <v>#VALUE!</v>
      </c>
      <c r="F49" s="169" t="s">
        <v>429</v>
      </c>
      <c r="G49" s="187" t="e">
        <f t="shared" si="125"/>
        <v>#VALUE!</v>
      </c>
      <c r="H49" s="188" t="e">
        <f t="shared" si="126"/>
        <v>#VALUE!</v>
      </c>
      <c r="I49" s="169" t="s">
        <v>429</v>
      </c>
      <c r="J49" s="187" t="e">
        <f t="shared" si="127"/>
        <v>#VALUE!</v>
      </c>
      <c r="K49" s="188" t="e">
        <f t="shared" si="128"/>
        <v>#VALUE!</v>
      </c>
      <c r="L49" s="169" t="s">
        <v>429</v>
      </c>
      <c r="M49" s="187" t="e">
        <f t="shared" si="129"/>
        <v>#VALUE!</v>
      </c>
      <c r="N49" s="188" t="e">
        <f t="shared" si="130"/>
        <v>#VALUE!</v>
      </c>
      <c r="O49" s="169" t="s">
        <v>429</v>
      </c>
      <c r="P49" s="187" t="e">
        <f t="shared" si="131"/>
        <v>#VALUE!</v>
      </c>
      <c r="Q49" s="188" t="e">
        <f t="shared" si="132"/>
        <v>#VALUE!</v>
      </c>
      <c r="R49" s="169" t="s">
        <v>429</v>
      </c>
      <c r="S49" s="187" t="e">
        <f t="shared" si="133"/>
        <v>#VALUE!</v>
      </c>
      <c r="T49" s="188" t="e">
        <f t="shared" si="134"/>
        <v>#VALUE!</v>
      </c>
      <c r="U49" s="187" t="e">
        <f t="shared" si="122"/>
        <v>#VALUE!</v>
      </c>
    </row>
    <row r="50" spans="1:21">
      <c r="A50" s="169">
        <f>VLOOKUP(B50,Misc_inputs!$A$3:$B$33,2,0)</f>
        <v>3.2489393373071294</v>
      </c>
      <c r="B50" s="168">
        <v>2008</v>
      </c>
      <c r="C50" s="169" t="s">
        <v>429</v>
      </c>
      <c r="D50" s="187" t="e">
        <f t="shared" si="123"/>
        <v>#VALUE!</v>
      </c>
      <c r="E50" s="188" t="e">
        <f t="shared" si="124"/>
        <v>#VALUE!</v>
      </c>
      <c r="F50" s="169" t="s">
        <v>429</v>
      </c>
      <c r="G50" s="187" t="e">
        <f t="shared" si="125"/>
        <v>#VALUE!</v>
      </c>
      <c r="H50" s="188" t="e">
        <f t="shared" si="126"/>
        <v>#VALUE!</v>
      </c>
      <c r="I50" s="169" t="s">
        <v>429</v>
      </c>
      <c r="J50" s="187" t="e">
        <f t="shared" si="127"/>
        <v>#VALUE!</v>
      </c>
      <c r="K50" s="188" t="e">
        <f t="shared" si="128"/>
        <v>#VALUE!</v>
      </c>
      <c r="L50" s="169" t="s">
        <v>429</v>
      </c>
      <c r="M50" s="187" t="e">
        <f t="shared" si="129"/>
        <v>#VALUE!</v>
      </c>
      <c r="N50" s="188" t="e">
        <f t="shared" si="130"/>
        <v>#VALUE!</v>
      </c>
      <c r="O50" s="169" t="s">
        <v>429</v>
      </c>
      <c r="P50" s="187" t="e">
        <f t="shared" si="131"/>
        <v>#VALUE!</v>
      </c>
      <c r="Q50" s="188" t="e">
        <f t="shared" si="132"/>
        <v>#VALUE!</v>
      </c>
      <c r="R50" s="169" t="s">
        <v>429</v>
      </c>
      <c r="S50" s="187" t="e">
        <f t="shared" si="133"/>
        <v>#VALUE!</v>
      </c>
      <c r="T50" s="188" t="e">
        <f t="shared" si="134"/>
        <v>#VALUE!</v>
      </c>
      <c r="U50" s="187" t="e">
        <f t="shared" si="122"/>
        <v>#VALUE!</v>
      </c>
    </row>
    <row r="51" spans="1:21">
      <c r="A51" s="169">
        <f>VLOOKUP(B51,Misc_inputs!$A$3:$B$33,2,0)</f>
        <v>1.7010725699507729</v>
      </c>
      <c r="B51" s="168">
        <v>2009</v>
      </c>
      <c r="C51" s="169" t="s">
        <v>429</v>
      </c>
      <c r="D51" s="187" t="e">
        <f t="shared" si="123"/>
        <v>#VALUE!</v>
      </c>
      <c r="E51" s="188" t="e">
        <f t="shared" si="124"/>
        <v>#VALUE!</v>
      </c>
      <c r="F51" s="169" t="s">
        <v>429</v>
      </c>
      <c r="G51" s="187" t="e">
        <f t="shared" si="125"/>
        <v>#VALUE!</v>
      </c>
      <c r="H51" s="188" t="e">
        <f t="shared" si="126"/>
        <v>#VALUE!</v>
      </c>
      <c r="I51" s="169" t="s">
        <v>429</v>
      </c>
      <c r="J51" s="187" t="e">
        <f t="shared" si="127"/>
        <v>#VALUE!</v>
      </c>
      <c r="K51" s="188" t="e">
        <f t="shared" si="128"/>
        <v>#VALUE!</v>
      </c>
      <c r="L51" s="169" t="s">
        <v>429</v>
      </c>
      <c r="M51" s="187" t="e">
        <f t="shared" si="129"/>
        <v>#VALUE!</v>
      </c>
      <c r="N51" s="188" t="e">
        <f t="shared" si="130"/>
        <v>#VALUE!</v>
      </c>
      <c r="O51" s="169" t="s">
        <v>429</v>
      </c>
      <c r="P51" s="187" t="e">
        <f t="shared" si="131"/>
        <v>#VALUE!</v>
      </c>
      <c r="Q51" s="188" t="e">
        <f t="shared" si="132"/>
        <v>#VALUE!</v>
      </c>
      <c r="R51" s="169" t="s">
        <v>429</v>
      </c>
      <c r="S51" s="187" t="e">
        <f t="shared" si="133"/>
        <v>#VALUE!</v>
      </c>
      <c r="T51" s="188" t="e">
        <f t="shared" si="134"/>
        <v>#VALUE!</v>
      </c>
      <c r="U51" s="187" t="e">
        <f t="shared" si="122"/>
        <v>#VALUE!</v>
      </c>
    </row>
    <row r="52" spans="1:21">
      <c r="A52" s="169">
        <f>VLOOKUP(B52,Misc_inputs!$A$3:$B$33,2,0)</f>
        <v>1.3734918692079017</v>
      </c>
      <c r="B52" s="168">
        <v>2010</v>
      </c>
      <c r="C52" s="169" t="s">
        <v>429</v>
      </c>
      <c r="D52" s="187" t="e">
        <f t="shared" si="123"/>
        <v>#VALUE!</v>
      </c>
      <c r="E52" s="188" t="e">
        <f t="shared" si="124"/>
        <v>#VALUE!</v>
      </c>
      <c r="F52" s="169" t="s">
        <v>429</v>
      </c>
      <c r="G52" s="187" t="e">
        <f t="shared" si="125"/>
        <v>#VALUE!</v>
      </c>
      <c r="H52" s="188" t="e">
        <f t="shared" si="126"/>
        <v>#VALUE!</v>
      </c>
      <c r="I52" s="169" t="s">
        <v>429</v>
      </c>
      <c r="J52" s="187" t="e">
        <f t="shared" si="127"/>
        <v>#VALUE!</v>
      </c>
      <c r="K52" s="188" t="e">
        <f t="shared" si="128"/>
        <v>#VALUE!</v>
      </c>
      <c r="L52" s="169" t="s">
        <v>429</v>
      </c>
      <c r="M52" s="187" t="e">
        <f t="shared" si="129"/>
        <v>#VALUE!</v>
      </c>
      <c r="N52" s="188" t="e">
        <f t="shared" si="130"/>
        <v>#VALUE!</v>
      </c>
      <c r="O52" s="169" t="s">
        <v>429</v>
      </c>
      <c r="P52" s="187" t="e">
        <f t="shared" si="131"/>
        <v>#VALUE!</v>
      </c>
      <c r="Q52" s="188" t="e">
        <f t="shared" si="132"/>
        <v>#VALUE!</v>
      </c>
      <c r="R52" s="169" t="s">
        <v>429</v>
      </c>
      <c r="S52" s="187" t="e">
        <f t="shared" si="133"/>
        <v>#VALUE!</v>
      </c>
      <c r="T52" s="188" t="e">
        <f t="shared" si="134"/>
        <v>#VALUE!</v>
      </c>
      <c r="U52" s="187" t="e">
        <f t="shared" si="122"/>
        <v>#VALUE!</v>
      </c>
    </row>
    <row r="53" spans="1:21">
      <c r="A53" s="169">
        <f>VLOOKUP(B53,Misc_inputs!$A$3:$B$33,2,0)</f>
        <v>2.0688542081199257</v>
      </c>
      <c r="B53" s="168">
        <v>2011</v>
      </c>
      <c r="C53" s="169" t="s">
        <v>429</v>
      </c>
      <c r="D53" s="187" t="e">
        <f t="shared" si="123"/>
        <v>#VALUE!</v>
      </c>
      <c r="E53" s="188" t="e">
        <f t="shared" si="124"/>
        <v>#VALUE!</v>
      </c>
      <c r="F53" s="169" t="s">
        <v>429</v>
      </c>
      <c r="G53" s="187" t="e">
        <f t="shared" si="125"/>
        <v>#VALUE!</v>
      </c>
      <c r="H53" s="188" t="e">
        <f t="shared" si="126"/>
        <v>#VALUE!</v>
      </c>
      <c r="I53" s="169" t="s">
        <v>429</v>
      </c>
      <c r="J53" s="187" t="e">
        <f t="shared" si="127"/>
        <v>#VALUE!</v>
      </c>
      <c r="K53" s="188" t="e">
        <f t="shared" si="128"/>
        <v>#VALUE!</v>
      </c>
      <c r="L53" s="169" t="s">
        <v>429</v>
      </c>
      <c r="M53" s="187" t="e">
        <f t="shared" si="129"/>
        <v>#VALUE!</v>
      </c>
      <c r="N53" s="188" t="e">
        <f t="shared" si="130"/>
        <v>#VALUE!</v>
      </c>
      <c r="O53" s="169" t="s">
        <v>429</v>
      </c>
      <c r="P53" s="187" t="e">
        <f t="shared" si="131"/>
        <v>#VALUE!</v>
      </c>
      <c r="Q53" s="188" t="e">
        <f t="shared" si="132"/>
        <v>#VALUE!</v>
      </c>
      <c r="R53" s="169" t="s">
        <v>429</v>
      </c>
      <c r="S53" s="187" t="e">
        <f t="shared" si="133"/>
        <v>#VALUE!</v>
      </c>
      <c r="T53" s="188" t="e">
        <f t="shared" si="134"/>
        <v>#VALUE!</v>
      </c>
      <c r="U53" s="187" t="e">
        <f t="shared" si="122"/>
        <v>#VALUE!</v>
      </c>
    </row>
    <row r="54" spans="1:21">
      <c r="A54" s="169">
        <f>VLOOKUP(B54,Misc_inputs!$A$3:$B$33,2,0)</f>
        <v>1.6091515591183065</v>
      </c>
      <c r="B54" s="168">
        <v>2012</v>
      </c>
      <c r="C54" s="169" t="s">
        <v>429</v>
      </c>
      <c r="D54" s="187" t="e">
        <f t="shared" si="123"/>
        <v>#VALUE!</v>
      </c>
      <c r="E54" s="188" t="e">
        <f t="shared" si="124"/>
        <v>#VALUE!</v>
      </c>
      <c r="F54" s="169" t="s">
        <v>429</v>
      </c>
      <c r="G54" s="187" t="e">
        <f t="shared" si="125"/>
        <v>#VALUE!</v>
      </c>
      <c r="H54" s="188" t="e">
        <f t="shared" si="126"/>
        <v>#VALUE!</v>
      </c>
      <c r="I54" s="169" t="s">
        <v>429</v>
      </c>
      <c r="J54" s="187" t="e">
        <f t="shared" si="127"/>
        <v>#VALUE!</v>
      </c>
      <c r="K54" s="188" t="e">
        <f t="shared" si="128"/>
        <v>#VALUE!</v>
      </c>
      <c r="L54" s="169" t="s">
        <v>429</v>
      </c>
      <c r="M54" s="187" t="e">
        <f t="shared" si="129"/>
        <v>#VALUE!</v>
      </c>
      <c r="N54" s="188" t="e">
        <f t="shared" si="130"/>
        <v>#VALUE!</v>
      </c>
      <c r="O54" s="169" t="s">
        <v>429</v>
      </c>
      <c r="P54" s="187" t="e">
        <f t="shared" si="131"/>
        <v>#VALUE!</v>
      </c>
      <c r="Q54" s="188" t="e">
        <f t="shared" si="132"/>
        <v>#VALUE!</v>
      </c>
      <c r="R54" s="169" t="s">
        <v>429</v>
      </c>
      <c r="S54" s="187" t="e">
        <f t="shared" si="133"/>
        <v>#VALUE!</v>
      </c>
      <c r="T54" s="188" t="e">
        <f t="shared" si="134"/>
        <v>#VALUE!</v>
      </c>
      <c r="U54" s="187" t="e">
        <f t="shared" si="122"/>
        <v>#VALUE!</v>
      </c>
    </row>
    <row r="55" spans="1:21">
      <c r="A55" s="169">
        <f>VLOOKUP(B55,Misc_inputs!$A$3:$B$33,2,0)</f>
        <v>2.2357385540164949</v>
      </c>
      <c r="B55" s="168">
        <v>2013</v>
      </c>
      <c r="C55" s="169" t="s">
        <v>429</v>
      </c>
      <c r="D55" s="187" t="e">
        <f t="shared" si="123"/>
        <v>#VALUE!</v>
      </c>
      <c r="E55" s="188" t="e">
        <f t="shared" si="124"/>
        <v>#VALUE!</v>
      </c>
      <c r="F55" s="169" t="s">
        <v>429</v>
      </c>
      <c r="G55" s="187" t="e">
        <f t="shared" si="125"/>
        <v>#VALUE!</v>
      </c>
      <c r="H55" s="188" t="e">
        <f t="shared" si="126"/>
        <v>#VALUE!</v>
      </c>
      <c r="I55" s="169" t="s">
        <v>429</v>
      </c>
      <c r="J55" s="187" t="e">
        <f t="shared" si="127"/>
        <v>#VALUE!</v>
      </c>
      <c r="K55" s="188" t="e">
        <f t="shared" si="128"/>
        <v>#VALUE!</v>
      </c>
      <c r="L55" s="169" t="s">
        <v>429</v>
      </c>
      <c r="M55" s="187" t="e">
        <f t="shared" si="129"/>
        <v>#VALUE!</v>
      </c>
      <c r="N55" s="188" t="e">
        <f t="shared" si="130"/>
        <v>#VALUE!</v>
      </c>
      <c r="O55" s="169" t="s">
        <v>429</v>
      </c>
      <c r="P55" s="187" t="e">
        <f t="shared" si="131"/>
        <v>#VALUE!</v>
      </c>
      <c r="Q55" s="188" t="e">
        <f t="shared" si="132"/>
        <v>#VALUE!</v>
      </c>
      <c r="R55" s="169" t="s">
        <v>429</v>
      </c>
      <c r="S55" s="187" t="e">
        <f t="shared" si="133"/>
        <v>#VALUE!</v>
      </c>
      <c r="T55" s="188" t="e">
        <f t="shared" si="134"/>
        <v>#VALUE!</v>
      </c>
      <c r="U55" s="187" t="e">
        <f t="shared" si="122"/>
        <v>#VALUE!</v>
      </c>
    </row>
    <row r="56" spans="1:21">
      <c r="A56" s="169">
        <f>VLOOKUP(B56,Misc_inputs!$A$3:$B$33,2,0)</f>
        <v>1.5952823611433897</v>
      </c>
      <c r="B56" s="168">
        <v>2014</v>
      </c>
      <c r="C56" s="169" t="s">
        <v>429</v>
      </c>
      <c r="D56" s="187" t="e">
        <f>C56*$A56/100</f>
        <v>#VALUE!</v>
      </c>
      <c r="E56" s="188" t="e">
        <f t="shared" si="124"/>
        <v>#VALUE!</v>
      </c>
      <c r="F56" s="169" t="s">
        <v>429</v>
      </c>
      <c r="G56" s="187" t="e">
        <f>F56*$A56/100</f>
        <v>#VALUE!</v>
      </c>
      <c r="H56" s="188" t="e">
        <f t="shared" si="126"/>
        <v>#VALUE!</v>
      </c>
      <c r="I56" s="169" t="s">
        <v>429</v>
      </c>
      <c r="J56" s="187" t="e">
        <f>I56*$A56/100</f>
        <v>#VALUE!</v>
      </c>
      <c r="K56" s="188" t="e">
        <f t="shared" si="128"/>
        <v>#VALUE!</v>
      </c>
      <c r="L56" s="169" t="s">
        <v>429</v>
      </c>
      <c r="M56" s="187" t="e">
        <f>L56*$A56/100</f>
        <v>#VALUE!</v>
      </c>
      <c r="N56" s="188" t="e">
        <f t="shared" si="130"/>
        <v>#VALUE!</v>
      </c>
      <c r="O56" s="169" t="s">
        <v>429</v>
      </c>
      <c r="P56" s="187" t="e">
        <f>O56*$A56/100</f>
        <v>#VALUE!</v>
      </c>
      <c r="Q56" s="188" t="e">
        <f t="shared" si="132"/>
        <v>#VALUE!</v>
      </c>
      <c r="R56" s="169" t="s">
        <v>429</v>
      </c>
      <c r="S56" s="187" t="e">
        <f>R56*$A56/100</f>
        <v>#VALUE!</v>
      </c>
      <c r="T56" s="188" t="e">
        <f t="shared" si="134"/>
        <v>#VALUE!</v>
      </c>
      <c r="U56" s="187" t="e">
        <f t="shared" si="122"/>
        <v>#VALUE!</v>
      </c>
    </row>
    <row r="57" spans="1:21">
      <c r="A57" s="169">
        <f>VLOOKUP(B57,Misc_inputs!$A$3:$B$33,2,0)</f>
        <v>0.51307917271416026</v>
      </c>
      <c r="B57" s="168">
        <v>2015</v>
      </c>
      <c r="C57" s="169" t="s">
        <v>429</v>
      </c>
      <c r="D57" s="187" t="e">
        <f t="shared" ref="D57:D72" si="135">C57*$A57/100</f>
        <v>#VALUE!</v>
      </c>
      <c r="E57" s="188" t="e">
        <f t="shared" si="124"/>
        <v>#VALUE!</v>
      </c>
      <c r="F57" s="169" t="s">
        <v>429</v>
      </c>
      <c r="G57" s="187" t="e">
        <f t="shared" ref="G57:G72" si="136">F57*$A57/100</f>
        <v>#VALUE!</v>
      </c>
      <c r="H57" s="188" t="e">
        <f t="shared" si="126"/>
        <v>#VALUE!</v>
      </c>
      <c r="I57" s="169" t="s">
        <v>429</v>
      </c>
      <c r="J57" s="187" t="e">
        <f t="shared" ref="J57:J72" si="137">I57*$A57/100</f>
        <v>#VALUE!</v>
      </c>
      <c r="K57" s="188" t="e">
        <f t="shared" si="128"/>
        <v>#VALUE!</v>
      </c>
      <c r="L57" s="169" t="s">
        <v>429</v>
      </c>
      <c r="M57" s="187" t="e">
        <f t="shared" ref="M57:M72" si="138">L57*$A57/100</f>
        <v>#VALUE!</v>
      </c>
      <c r="N57" s="188" t="e">
        <f t="shared" si="130"/>
        <v>#VALUE!</v>
      </c>
      <c r="O57" s="169" t="s">
        <v>429</v>
      </c>
      <c r="P57" s="187" t="e">
        <f t="shared" ref="P57:P72" si="139">O57*$A57/100</f>
        <v>#VALUE!</v>
      </c>
      <c r="Q57" s="188" t="e">
        <f t="shared" si="132"/>
        <v>#VALUE!</v>
      </c>
      <c r="R57" s="169" t="s">
        <v>429</v>
      </c>
      <c r="S57" s="187" t="e">
        <f t="shared" ref="S57:S72" si="140">R57*$A57/100</f>
        <v>#VALUE!</v>
      </c>
      <c r="T57" s="188" t="e">
        <f t="shared" si="134"/>
        <v>#VALUE!</v>
      </c>
      <c r="U57" s="187" t="e">
        <f t="shared" si="122"/>
        <v>#VALUE!</v>
      </c>
    </row>
    <row r="58" spans="1:21">
      <c r="A58" s="169">
        <f>VLOOKUP(B58,Misc_inputs!$A$3:$B$33,2,0)</f>
        <v>1.8963035451147277</v>
      </c>
      <c r="B58" s="168">
        <v>2016</v>
      </c>
      <c r="C58" s="169" t="s">
        <v>429</v>
      </c>
      <c r="D58" s="187" t="e">
        <f t="shared" si="135"/>
        <v>#VALUE!</v>
      </c>
      <c r="E58" s="188" t="e">
        <f t="shared" si="124"/>
        <v>#VALUE!</v>
      </c>
      <c r="F58" s="169" t="s">
        <v>429</v>
      </c>
      <c r="G58" s="187" t="e">
        <f t="shared" si="136"/>
        <v>#VALUE!</v>
      </c>
      <c r="H58" s="188" t="e">
        <f t="shared" si="126"/>
        <v>#VALUE!</v>
      </c>
      <c r="I58" s="169" t="s">
        <v>429</v>
      </c>
      <c r="J58" s="187" t="e">
        <f t="shared" si="137"/>
        <v>#VALUE!</v>
      </c>
      <c r="K58" s="188" t="e">
        <f t="shared" si="128"/>
        <v>#VALUE!</v>
      </c>
      <c r="L58" s="169" t="s">
        <v>429</v>
      </c>
      <c r="M58" s="187" t="e">
        <f t="shared" si="138"/>
        <v>#VALUE!</v>
      </c>
      <c r="N58" s="188" t="e">
        <f t="shared" si="130"/>
        <v>#VALUE!</v>
      </c>
      <c r="O58" s="169" t="s">
        <v>429</v>
      </c>
      <c r="P58" s="187" t="e">
        <f t="shared" si="139"/>
        <v>#VALUE!</v>
      </c>
      <c r="Q58" s="188" t="e">
        <f t="shared" si="132"/>
        <v>#VALUE!</v>
      </c>
      <c r="R58" s="169" t="s">
        <v>429</v>
      </c>
      <c r="S58" s="187" t="e">
        <f t="shared" si="140"/>
        <v>#VALUE!</v>
      </c>
      <c r="T58" s="188" t="e">
        <f t="shared" si="134"/>
        <v>#VALUE!</v>
      </c>
      <c r="U58" s="187" t="e">
        <f t="shared" si="122"/>
        <v>#VALUE!</v>
      </c>
    </row>
    <row r="59" spans="1:21">
      <c r="A59" s="169">
        <f>VLOOKUP(B59,Misc_inputs!$A$3:$B$33,2,0)</f>
        <v>1.8209228570152332</v>
      </c>
      <c r="B59" s="168">
        <v>2017</v>
      </c>
      <c r="C59" s="169" t="s">
        <v>429</v>
      </c>
      <c r="D59" s="187" t="e">
        <f t="shared" si="135"/>
        <v>#VALUE!</v>
      </c>
      <c r="E59" s="188" t="e">
        <f t="shared" si="124"/>
        <v>#VALUE!</v>
      </c>
      <c r="F59" s="169" t="s">
        <v>429</v>
      </c>
      <c r="G59" s="187" t="e">
        <f t="shared" si="136"/>
        <v>#VALUE!</v>
      </c>
      <c r="H59" s="188" t="e">
        <f t="shared" si="126"/>
        <v>#VALUE!</v>
      </c>
      <c r="I59" s="169" t="s">
        <v>429</v>
      </c>
      <c r="J59" s="187" t="e">
        <f t="shared" si="137"/>
        <v>#VALUE!</v>
      </c>
      <c r="K59" s="188" t="e">
        <f t="shared" si="128"/>
        <v>#VALUE!</v>
      </c>
      <c r="L59" s="169" t="s">
        <v>429</v>
      </c>
      <c r="M59" s="187" t="e">
        <f t="shared" si="138"/>
        <v>#VALUE!</v>
      </c>
      <c r="N59" s="188" t="e">
        <f t="shared" si="130"/>
        <v>#VALUE!</v>
      </c>
      <c r="O59" s="169" t="s">
        <v>429</v>
      </c>
      <c r="P59" s="187" t="e">
        <f t="shared" si="139"/>
        <v>#VALUE!</v>
      </c>
      <c r="Q59" s="188" t="e">
        <f t="shared" si="132"/>
        <v>#VALUE!</v>
      </c>
      <c r="R59" s="169" t="s">
        <v>429</v>
      </c>
      <c r="S59" s="187" t="e">
        <f t="shared" si="140"/>
        <v>#VALUE!</v>
      </c>
      <c r="T59" s="188" t="e">
        <f t="shared" si="134"/>
        <v>#VALUE!</v>
      </c>
      <c r="U59" s="187" t="e">
        <f t="shared" si="122"/>
        <v>#VALUE!</v>
      </c>
    </row>
    <row r="60" spans="1:21">
      <c r="A60" s="169">
        <f>VLOOKUP(B60,Misc_inputs!$A$3:$B$33,2,0)</f>
        <v>1.9988242855231282</v>
      </c>
      <c r="B60" s="168">
        <v>2018</v>
      </c>
      <c r="C60" s="169" t="s">
        <v>429</v>
      </c>
      <c r="D60" s="187" t="e">
        <f t="shared" si="135"/>
        <v>#VALUE!</v>
      </c>
      <c r="E60" s="188" t="e">
        <f t="shared" si="124"/>
        <v>#VALUE!</v>
      </c>
      <c r="F60" s="169" t="s">
        <v>429</v>
      </c>
      <c r="G60" s="187" t="e">
        <f t="shared" si="136"/>
        <v>#VALUE!</v>
      </c>
      <c r="H60" s="188" t="e">
        <f t="shared" si="126"/>
        <v>#VALUE!</v>
      </c>
      <c r="I60" s="169" t="s">
        <v>429</v>
      </c>
      <c r="J60" s="187" t="e">
        <f t="shared" si="137"/>
        <v>#VALUE!</v>
      </c>
      <c r="K60" s="188" t="e">
        <f t="shared" si="128"/>
        <v>#VALUE!</v>
      </c>
      <c r="L60" s="169" t="s">
        <v>429</v>
      </c>
      <c r="M60" s="187" t="e">
        <f t="shared" si="138"/>
        <v>#VALUE!</v>
      </c>
      <c r="N60" s="188" t="e">
        <f t="shared" si="130"/>
        <v>#VALUE!</v>
      </c>
      <c r="O60" s="169" t="s">
        <v>429</v>
      </c>
      <c r="P60" s="187" t="e">
        <f t="shared" si="139"/>
        <v>#VALUE!</v>
      </c>
      <c r="Q60" s="188" t="e">
        <f t="shared" si="132"/>
        <v>#VALUE!</v>
      </c>
      <c r="R60" s="169" t="s">
        <v>429</v>
      </c>
      <c r="S60" s="187" t="e">
        <f t="shared" si="140"/>
        <v>#VALUE!</v>
      </c>
      <c r="T60" s="188" t="e">
        <f t="shared" si="134"/>
        <v>#VALUE!</v>
      </c>
      <c r="U60" s="187" t="e">
        <f t="shared" si="122"/>
        <v>#VALUE!</v>
      </c>
    </row>
    <row r="61" spans="1:21">
      <c r="A61" s="169">
        <f>VLOOKUP(B61,Misc_inputs!$A$3:$B$33,2,0)</f>
        <v>2.0163202370724722</v>
      </c>
      <c r="B61" s="168">
        <v>2019</v>
      </c>
      <c r="C61" s="169" t="s">
        <v>429</v>
      </c>
      <c r="D61" s="187" t="e">
        <f t="shared" si="135"/>
        <v>#VALUE!</v>
      </c>
      <c r="E61" s="188" t="e">
        <f t="shared" si="124"/>
        <v>#VALUE!</v>
      </c>
      <c r="F61" s="169" t="s">
        <v>429</v>
      </c>
      <c r="G61" s="187" t="e">
        <f t="shared" si="136"/>
        <v>#VALUE!</v>
      </c>
      <c r="H61" s="188" t="e">
        <f t="shared" si="126"/>
        <v>#VALUE!</v>
      </c>
      <c r="I61" s="169" t="s">
        <v>429</v>
      </c>
      <c r="J61" s="187" t="e">
        <f t="shared" si="137"/>
        <v>#VALUE!</v>
      </c>
      <c r="K61" s="188" t="e">
        <f t="shared" si="128"/>
        <v>#VALUE!</v>
      </c>
      <c r="L61" s="169" t="s">
        <v>429</v>
      </c>
      <c r="M61" s="187" t="e">
        <f t="shared" si="138"/>
        <v>#VALUE!</v>
      </c>
      <c r="N61" s="188" t="e">
        <f t="shared" si="130"/>
        <v>#VALUE!</v>
      </c>
      <c r="O61" s="169" t="s">
        <v>429</v>
      </c>
      <c r="P61" s="187" t="e">
        <f t="shared" si="139"/>
        <v>#VALUE!</v>
      </c>
      <c r="Q61" s="188" t="e">
        <f t="shared" si="132"/>
        <v>#VALUE!</v>
      </c>
      <c r="R61" s="169" t="s">
        <v>429</v>
      </c>
      <c r="S61" s="187" t="e">
        <f t="shared" si="140"/>
        <v>#VALUE!</v>
      </c>
      <c r="T61" s="188" t="e">
        <f t="shared" si="134"/>
        <v>#VALUE!</v>
      </c>
      <c r="U61" s="187" t="e">
        <f t="shared" si="122"/>
        <v>#VALUE!</v>
      </c>
    </row>
    <row r="62" spans="1:21">
      <c r="A62" s="169">
        <f>VLOOKUP(B62,Misc_inputs!$A$3:$B$33,2,0)</f>
        <v>5.3200852056836103</v>
      </c>
      <c r="B62" s="168">
        <v>2020</v>
      </c>
      <c r="C62" s="169" t="s">
        <v>429</v>
      </c>
      <c r="D62" s="187" t="e">
        <f t="shared" si="135"/>
        <v>#VALUE!</v>
      </c>
      <c r="E62" s="188" t="e">
        <f t="shared" si="124"/>
        <v>#VALUE!</v>
      </c>
      <c r="F62" s="169" t="s">
        <v>429</v>
      </c>
      <c r="G62" s="187" t="e">
        <f t="shared" si="136"/>
        <v>#VALUE!</v>
      </c>
      <c r="H62" s="188" t="e">
        <f t="shared" si="126"/>
        <v>#VALUE!</v>
      </c>
      <c r="I62" s="169" t="s">
        <v>429</v>
      </c>
      <c r="J62" s="187" t="e">
        <f t="shared" si="137"/>
        <v>#VALUE!</v>
      </c>
      <c r="K62" s="188" t="e">
        <f t="shared" si="128"/>
        <v>#VALUE!</v>
      </c>
      <c r="L62" s="169" t="s">
        <v>429</v>
      </c>
      <c r="M62" s="187" t="e">
        <f t="shared" si="138"/>
        <v>#VALUE!</v>
      </c>
      <c r="N62" s="188" t="e">
        <f t="shared" si="130"/>
        <v>#VALUE!</v>
      </c>
      <c r="O62" s="169" t="s">
        <v>429</v>
      </c>
      <c r="P62" s="187" t="e">
        <f t="shared" si="139"/>
        <v>#VALUE!</v>
      </c>
      <c r="Q62" s="188" t="e">
        <f t="shared" si="132"/>
        <v>#VALUE!</v>
      </c>
      <c r="R62" s="169" t="s">
        <v>429</v>
      </c>
      <c r="S62" s="187" t="e">
        <f t="shared" si="140"/>
        <v>#VALUE!</v>
      </c>
      <c r="T62" s="188" t="e">
        <f t="shared" si="134"/>
        <v>#VALUE!</v>
      </c>
      <c r="U62" s="187" t="e">
        <f t="shared" si="122"/>
        <v>#VALUE!</v>
      </c>
    </row>
    <row r="63" spans="1:21">
      <c r="A63" s="169">
        <f>VLOOKUP(B63,Misc_inputs!$A$3:$B$33,2,0)</f>
        <v>7.6258108678813302E-2</v>
      </c>
      <c r="B63" s="168">
        <v>2021</v>
      </c>
      <c r="C63" s="169" t="s">
        <v>429</v>
      </c>
      <c r="D63" s="187" t="e">
        <f t="shared" si="135"/>
        <v>#VALUE!</v>
      </c>
      <c r="E63" s="188" t="e">
        <f t="shared" si="124"/>
        <v>#VALUE!</v>
      </c>
      <c r="F63" s="169" t="s">
        <v>429</v>
      </c>
      <c r="G63" s="187" t="e">
        <f t="shared" si="136"/>
        <v>#VALUE!</v>
      </c>
      <c r="H63" s="188" t="e">
        <f t="shared" si="126"/>
        <v>#VALUE!</v>
      </c>
      <c r="I63" s="169" t="s">
        <v>429</v>
      </c>
      <c r="J63" s="187" t="e">
        <f t="shared" si="137"/>
        <v>#VALUE!</v>
      </c>
      <c r="K63" s="188" t="e">
        <f t="shared" si="128"/>
        <v>#VALUE!</v>
      </c>
      <c r="L63" s="169" t="s">
        <v>429</v>
      </c>
      <c r="M63" s="187" t="e">
        <f t="shared" si="138"/>
        <v>#VALUE!</v>
      </c>
      <c r="N63" s="188" t="e">
        <f t="shared" si="130"/>
        <v>#VALUE!</v>
      </c>
      <c r="O63" s="169" t="s">
        <v>429</v>
      </c>
      <c r="P63" s="187" t="e">
        <f t="shared" si="139"/>
        <v>#VALUE!</v>
      </c>
      <c r="Q63" s="188" t="e">
        <f t="shared" si="132"/>
        <v>#VALUE!</v>
      </c>
      <c r="R63" s="169" t="s">
        <v>429</v>
      </c>
      <c r="S63" s="187" t="e">
        <f t="shared" si="140"/>
        <v>#VALUE!</v>
      </c>
      <c r="T63" s="188" t="e">
        <f t="shared" si="134"/>
        <v>#VALUE!</v>
      </c>
      <c r="U63" s="187" t="e">
        <f t="shared" si="122"/>
        <v>#VALUE!</v>
      </c>
    </row>
    <row r="64" spans="1:21">
      <c r="A64" s="169">
        <f>VLOOKUP(B64,Misc_inputs!$A$3:$B$33,2,0)</f>
        <v>2.8492930312000952</v>
      </c>
      <c r="B64" s="168">
        <v>2022</v>
      </c>
      <c r="C64" s="169" t="s">
        <v>429</v>
      </c>
      <c r="D64" s="187" t="e">
        <f t="shared" si="135"/>
        <v>#VALUE!</v>
      </c>
      <c r="E64" s="188" t="e">
        <f t="shared" si="124"/>
        <v>#VALUE!</v>
      </c>
      <c r="F64" s="169" t="s">
        <v>429</v>
      </c>
      <c r="G64" s="187" t="e">
        <f t="shared" si="136"/>
        <v>#VALUE!</v>
      </c>
      <c r="H64" s="188" t="e">
        <f t="shared" si="126"/>
        <v>#VALUE!</v>
      </c>
      <c r="I64" s="169" t="s">
        <v>429</v>
      </c>
      <c r="J64" s="187" t="e">
        <f t="shared" si="137"/>
        <v>#VALUE!</v>
      </c>
      <c r="K64" s="188" t="e">
        <f t="shared" si="128"/>
        <v>#VALUE!</v>
      </c>
      <c r="L64" s="169" t="s">
        <v>429</v>
      </c>
      <c r="M64" s="187" t="e">
        <f t="shared" si="138"/>
        <v>#VALUE!</v>
      </c>
      <c r="N64" s="188" t="e">
        <f t="shared" si="130"/>
        <v>#VALUE!</v>
      </c>
      <c r="O64" s="169" t="s">
        <v>429</v>
      </c>
      <c r="P64" s="187" t="e">
        <f t="shared" si="139"/>
        <v>#VALUE!</v>
      </c>
      <c r="Q64" s="188" t="e">
        <f t="shared" si="132"/>
        <v>#VALUE!</v>
      </c>
      <c r="R64" s="169" t="s">
        <v>429</v>
      </c>
      <c r="S64" s="187" t="e">
        <f t="shared" si="140"/>
        <v>#VALUE!</v>
      </c>
      <c r="T64" s="188" t="e">
        <f t="shared" si="134"/>
        <v>#VALUE!</v>
      </c>
      <c r="U64" s="187" t="e">
        <f t="shared" si="122"/>
        <v>#VALUE!</v>
      </c>
    </row>
    <row r="65" spans="1:21">
      <c r="A65" s="169">
        <f>VLOOKUP(B65,Misc_inputs!$A$3:$B$33,2,0)</f>
        <v>3.143440902459993</v>
      </c>
      <c r="B65" s="168">
        <v>2023</v>
      </c>
      <c r="C65" s="169" t="s">
        <v>429</v>
      </c>
      <c r="D65" s="187" t="e">
        <f t="shared" si="135"/>
        <v>#VALUE!</v>
      </c>
      <c r="E65" s="188" t="e">
        <f t="shared" si="124"/>
        <v>#VALUE!</v>
      </c>
      <c r="F65" s="169" t="s">
        <v>429</v>
      </c>
      <c r="G65" s="187" t="e">
        <f t="shared" si="136"/>
        <v>#VALUE!</v>
      </c>
      <c r="H65" s="188" t="e">
        <f t="shared" si="126"/>
        <v>#VALUE!</v>
      </c>
      <c r="I65" s="169" t="s">
        <v>429</v>
      </c>
      <c r="J65" s="187" t="e">
        <f t="shared" si="137"/>
        <v>#VALUE!</v>
      </c>
      <c r="K65" s="188" t="e">
        <f t="shared" si="128"/>
        <v>#VALUE!</v>
      </c>
      <c r="L65" s="169" t="s">
        <v>429</v>
      </c>
      <c r="M65" s="187" t="e">
        <f t="shared" si="138"/>
        <v>#VALUE!</v>
      </c>
      <c r="N65" s="188" t="e">
        <f t="shared" si="130"/>
        <v>#VALUE!</v>
      </c>
      <c r="O65" s="169" t="s">
        <v>429</v>
      </c>
      <c r="P65" s="187" t="e">
        <f t="shared" si="139"/>
        <v>#VALUE!</v>
      </c>
      <c r="Q65" s="188" t="e">
        <f t="shared" si="132"/>
        <v>#VALUE!</v>
      </c>
      <c r="R65" s="169" t="s">
        <v>429</v>
      </c>
      <c r="S65" s="187" t="e">
        <f t="shared" si="140"/>
        <v>#VALUE!</v>
      </c>
      <c r="T65" s="188" t="e">
        <f t="shared" si="134"/>
        <v>#VALUE!</v>
      </c>
      <c r="U65" s="187" t="e">
        <f t="shared" si="122"/>
        <v>#VALUE!</v>
      </c>
    </row>
    <row r="66" spans="1:21">
      <c r="A66" s="169">
        <f>VLOOKUP(B66,Misc_inputs!$A$3:$B$33,2,0)</f>
        <v>1.8594732384912049</v>
      </c>
      <c r="B66" s="168">
        <v>2024</v>
      </c>
      <c r="C66" s="169" t="s">
        <v>429</v>
      </c>
      <c r="D66" s="187" t="e">
        <f t="shared" si="135"/>
        <v>#VALUE!</v>
      </c>
      <c r="E66" s="188" t="e">
        <f t="shared" si="124"/>
        <v>#VALUE!</v>
      </c>
      <c r="F66" s="169" t="s">
        <v>429</v>
      </c>
      <c r="G66" s="187" t="e">
        <f t="shared" si="136"/>
        <v>#VALUE!</v>
      </c>
      <c r="H66" s="188" t="e">
        <f t="shared" si="126"/>
        <v>#VALUE!</v>
      </c>
      <c r="I66" s="169" t="s">
        <v>429</v>
      </c>
      <c r="J66" s="187" t="e">
        <f t="shared" si="137"/>
        <v>#VALUE!</v>
      </c>
      <c r="K66" s="188" t="e">
        <f t="shared" si="128"/>
        <v>#VALUE!</v>
      </c>
      <c r="L66" s="169" t="s">
        <v>429</v>
      </c>
      <c r="M66" s="187" t="e">
        <f t="shared" si="138"/>
        <v>#VALUE!</v>
      </c>
      <c r="N66" s="188" t="e">
        <f t="shared" si="130"/>
        <v>#VALUE!</v>
      </c>
      <c r="O66" s="169" t="s">
        <v>429</v>
      </c>
      <c r="P66" s="187" t="e">
        <f t="shared" si="139"/>
        <v>#VALUE!</v>
      </c>
      <c r="Q66" s="188" t="e">
        <f t="shared" si="132"/>
        <v>#VALUE!</v>
      </c>
      <c r="R66" s="169" t="s">
        <v>429</v>
      </c>
      <c r="S66" s="187" t="e">
        <f t="shared" si="140"/>
        <v>#VALUE!</v>
      </c>
      <c r="T66" s="188" t="e">
        <f t="shared" si="134"/>
        <v>#VALUE!</v>
      </c>
      <c r="U66" s="187" t="e">
        <f t="shared" si="122"/>
        <v>#VALUE!</v>
      </c>
    </row>
    <row r="67" spans="1:21">
      <c r="A67" s="169">
        <f>VLOOKUP(B67,Misc_inputs!$A$3:$B$33,2,0)</f>
        <v>1.892198034308179</v>
      </c>
      <c r="B67" s="168">
        <v>2025</v>
      </c>
      <c r="C67" s="169" t="s">
        <v>429</v>
      </c>
      <c r="D67" s="187" t="e">
        <f t="shared" si="135"/>
        <v>#VALUE!</v>
      </c>
      <c r="E67" s="188" t="e">
        <f t="shared" si="124"/>
        <v>#VALUE!</v>
      </c>
      <c r="F67" s="169" t="s">
        <v>429</v>
      </c>
      <c r="G67" s="187" t="e">
        <f t="shared" si="136"/>
        <v>#VALUE!</v>
      </c>
      <c r="H67" s="188" t="e">
        <f t="shared" si="126"/>
        <v>#VALUE!</v>
      </c>
      <c r="I67" s="169" t="s">
        <v>429</v>
      </c>
      <c r="J67" s="187" t="e">
        <f t="shared" si="137"/>
        <v>#VALUE!</v>
      </c>
      <c r="K67" s="188" t="e">
        <f t="shared" si="128"/>
        <v>#VALUE!</v>
      </c>
      <c r="L67" s="169" t="s">
        <v>429</v>
      </c>
      <c r="M67" s="187" t="e">
        <f t="shared" si="138"/>
        <v>#VALUE!</v>
      </c>
      <c r="N67" s="188" t="e">
        <f t="shared" si="130"/>
        <v>#VALUE!</v>
      </c>
      <c r="O67" s="169" t="s">
        <v>429</v>
      </c>
      <c r="P67" s="187" t="e">
        <f t="shared" si="139"/>
        <v>#VALUE!</v>
      </c>
      <c r="Q67" s="188" t="e">
        <f t="shared" si="132"/>
        <v>#VALUE!</v>
      </c>
      <c r="R67" s="169" t="s">
        <v>429</v>
      </c>
      <c r="S67" s="187" t="e">
        <f t="shared" si="140"/>
        <v>#VALUE!</v>
      </c>
      <c r="T67" s="188" t="e">
        <f t="shared" si="134"/>
        <v>#VALUE!</v>
      </c>
      <c r="U67" s="187" t="e">
        <f t="shared" si="122"/>
        <v>#VALUE!</v>
      </c>
    </row>
    <row r="68" spans="1:21">
      <c r="A68" s="169">
        <f>VLOOKUP(B68,Misc_inputs!$A$3:$B$33,2,0)</f>
        <v>2.0003592159356653</v>
      </c>
      <c r="B68" s="168">
        <v>2026</v>
      </c>
      <c r="C68" s="169" t="s">
        <v>429</v>
      </c>
      <c r="D68" s="187" t="e">
        <f t="shared" si="135"/>
        <v>#VALUE!</v>
      </c>
      <c r="E68" s="188" t="e">
        <f t="shared" si="124"/>
        <v>#VALUE!</v>
      </c>
      <c r="F68" s="169" t="s">
        <v>429</v>
      </c>
      <c r="G68" s="187" t="e">
        <f t="shared" si="136"/>
        <v>#VALUE!</v>
      </c>
      <c r="H68" s="188" t="e">
        <f t="shared" si="126"/>
        <v>#VALUE!</v>
      </c>
      <c r="I68" s="169" t="s">
        <v>429</v>
      </c>
      <c r="J68" s="187" t="e">
        <f t="shared" si="137"/>
        <v>#VALUE!</v>
      </c>
      <c r="K68" s="188" t="e">
        <f t="shared" si="128"/>
        <v>#VALUE!</v>
      </c>
      <c r="L68" s="169" t="s">
        <v>429</v>
      </c>
      <c r="M68" s="187" t="e">
        <f t="shared" si="138"/>
        <v>#VALUE!</v>
      </c>
      <c r="N68" s="188" t="e">
        <f t="shared" si="130"/>
        <v>#VALUE!</v>
      </c>
      <c r="O68" s="169" t="s">
        <v>429</v>
      </c>
      <c r="P68" s="187" t="e">
        <f t="shared" si="139"/>
        <v>#VALUE!</v>
      </c>
      <c r="Q68" s="188" t="e">
        <f t="shared" si="132"/>
        <v>#VALUE!</v>
      </c>
      <c r="R68" s="169" t="s">
        <v>429</v>
      </c>
      <c r="S68" s="187" t="e">
        <f t="shared" si="140"/>
        <v>#VALUE!</v>
      </c>
      <c r="T68" s="188" t="e">
        <f t="shared" si="134"/>
        <v>#VALUE!</v>
      </c>
      <c r="U68" s="187" t="e">
        <f t="shared" si="122"/>
        <v>#VALUE!</v>
      </c>
    </row>
    <row r="69" spans="1:21">
      <c r="A69" s="169">
        <f>VLOOKUP(B69,Misc_inputs!$A$3:$B$33,2,0)</f>
        <v>0</v>
      </c>
      <c r="B69" s="168">
        <v>2027</v>
      </c>
      <c r="C69" s="169" t="s">
        <v>429</v>
      </c>
      <c r="D69" s="187" t="e">
        <f t="shared" si="135"/>
        <v>#VALUE!</v>
      </c>
      <c r="E69" s="188" t="e">
        <f t="shared" si="124"/>
        <v>#VALUE!</v>
      </c>
      <c r="F69" s="169" t="s">
        <v>429</v>
      </c>
      <c r="G69" s="187" t="e">
        <f t="shared" si="136"/>
        <v>#VALUE!</v>
      </c>
      <c r="H69" s="188" t="e">
        <f t="shared" si="126"/>
        <v>#VALUE!</v>
      </c>
      <c r="I69" s="169" t="s">
        <v>429</v>
      </c>
      <c r="J69" s="187" t="e">
        <f t="shared" si="137"/>
        <v>#VALUE!</v>
      </c>
      <c r="K69" s="188" t="e">
        <f t="shared" si="128"/>
        <v>#VALUE!</v>
      </c>
      <c r="L69" s="169" t="s">
        <v>429</v>
      </c>
      <c r="M69" s="187" t="e">
        <f t="shared" si="138"/>
        <v>#VALUE!</v>
      </c>
      <c r="N69" s="188" t="e">
        <f t="shared" si="130"/>
        <v>#VALUE!</v>
      </c>
      <c r="O69" s="169" t="s">
        <v>429</v>
      </c>
      <c r="P69" s="187" t="e">
        <f t="shared" si="139"/>
        <v>#VALUE!</v>
      </c>
      <c r="Q69" s="188" t="e">
        <f t="shared" si="132"/>
        <v>#VALUE!</v>
      </c>
      <c r="R69" s="169" t="s">
        <v>429</v>
      </c>
      <c r="S69" s="187" t="e">
        <f t="shared" si="140"/>
        <v>#VALUE!</v>
      </c>
      <c r="T69" s="188" t="e">
        <f t="shared" si="134"/>
        <v>#VALUE!</v>
      </c>
      <c r="U69" s="187" t="e">
        <f t="shared" si="122"/>
        <v>#VALUE!</v>
      </c>
    </row>
    <row r="70" spans="1:21">
      <c r="A70" s="169">
        <f>VLOOKUP(B70,Misc_inputs!$A$3:$B$33,2,0)</f>
        <v>0</v>
      </c>
      <c r="B70" s="168">
        <v>2028</v>
      </c>
      <c r="C70" s="169" t="s">
        <v>429</v>
      </c>
      <c r="D70" s="187" t="e">
        <f t="shared" si="135"/>
        <v>#VALUE!</v>
      </c>
      <c r="E70" s="188" t="e">
        <f t="shared" si="124"/>
        <v>#VALUE!</v>
      </c>
      <c r="F70" s="169" t="s">
        <v>429</v>
      </c>
      <c r="G70" s="187" t="e">
        <f t="shared" si="136"/>
        <v>#VALUE!</v>
      </c>
      <c r="H70" s="188" t="e">
        <f t="shared" si="126"/>
        <v>#VALUE!</v>
      </c>
      <c r="I70" s="169" t="s">
        <v>429</v>
      </c>
      <c r="J70" s="187" t="e">
        <f t="shared" si="137"/>
        <v>#VALUE!</v>
      </c>
      <c r="K70" s="188" t="e">
        <f t="shared" si="128"/>
        <v>#VALUE!</v>
      </c>
      <c r="L70" s="169" t="s">
        <v>429</v>
      </c>
      <c r="M70" s="187" t="e">
        <f t="shared" si="138"/>
        <v>#VALUE!</v>
      </c>
      <c r="N70" s="188" t="e">
        <f t="shared" si="130"/>
        <v>#VALUE!</v>
      </c>
      <c r="O70" s="169" t="s">
        <v>429</v>
      </c>
      <c r="P70" s="187" t="e">
        <f t="shared" si="139"/>
        <v>#VALUE!</v>
      </c>
      <c r="Q70" s="188" t="e">
        <f t="shared" si="132"/>
        <v>#VALUE!</v>
      </c>
      <c r="R70" s="169" t="s">
        <v>429</v>
      </c>
      <c r="S70" s="187" t="e">
        <f t="shared" si="140"/>
        <v>#VALUE!</v>
      </c>
      <c r="T70" s="188" t="e">
        <f t="shared" si="134"/>
        <v>#VALUE!</v>
      </c>
      <c r="U70" s="187" t="e">
        <f t="shared" si="122"/>
        <v>#VALUE!</v>
      </c>
    </row>
    <row r="71" spans="1:21">
      <c r="A71" s="169">
        <f>VLOOKUP(B71,Misc_inputs!$A$3:$B$33,2,0)</f>
        <v>0</v>
      </c>
      <c r="B71" s="168">
        <v>2029</v>
      </c>
      <c r="C71" s="169" t="s">
        <v>429</v>
      </c>
      <c r="D71" s="187" t="e">
        <f t="shared" si="135"/>
        <v>#VALUE!</v>
      </c>
      <c r="E71" s="188" t="e">
        <f t="shared" si="124"/>
        <v>#VALUE!</v>
      </c>
      <c r="F71" s="169" t="s">
        <v>429</v>
      </c>
      <c r="G71" s="187" t="e">
        <f t="shared" si="136"/>
        <v>#VALUE!</v>
      </c>
      <c r="H71" s="188" t="e">
        <f t="shared" si="126"/>
        <v>#VALUE!</v>
      </c>
      <c r="I71" s="169" t="s">
        <v>429</v>
      </c>
      <c r="J71" s="187" t="e">
        <f t="shared" si="137"/>
        <v>#VALUE!</v>
      </c>
      <c r="K71" s="188" t="e">
        <f t="shared" si="128"/>
        <v>#VALUE!</v>
      </c>
      <c r="L71" s="169" t="s">
        <v>429</v>
      </c>
      <c r="M71" s="187" t="e">
        <f t="shared" si="138"/>
        <v>#VALUE!</v>
      </c>
      <c r="N71" s="188" t="e">
        <f t="shared" si="130"/>
        <v>#VALUE!</v>
      </c>
      <c r="O71" s="169" t="s">
        <v>429</v>
      </c>
      <c r="P71" s="187" t="e">
        <f t="shared" si="139"/>
        <v>#VALUE!</v>
      </c>
      <c r="Q71" s="188" t="e">
        <f t="shared" si="132"/>
        <v>#VALUE!</v>
      </c>
      <c r="R71" s="169" t="s">
        <v>429</v>
      </c>
      <c r="S71" s="187" t="e">
        <f t="shared" si="140"/>
        <v>#VALUE!</v>
      </c>
      <c r="T71" s="188" t="e">
        <f t="shared" si="134"/>
        <v>#VALUE!</v>
      </c>
      <c r="U71" s="187" t="e">
        <f t="shared" si="122"/>
        <v>#VALUE!</v>
      </c>
    </row>
    <row r="72" spans="1:21">
      <c r="A72" s="169">
        <f>VLOOKUP(B72,Misc_inputs!$A$3:$B$33,2,0)</f>
        <v>0</v>
      </c>
      <c r="B72" s="168">
        <v>2030</v>
      </c>
      <c r="C72" s="169" t="s">
        <v>429</v>
      </c>
      <c r="D72" s="187" t="e">
        <f t="shared" si="135"/>
        <v>#VALUE!</v>
      </c>
      <c r="E72" s="188" t="e">
        <f t="shared" si="124"/>
        <v>#VALUE!</v>
      </c>
      <c r="F72" s="169" t="s">
        <v>429</v>
      </c>
      <c r="G72" s="187" t="e">
        <f t="shared" si="136"/>
        <v>#VALUE!</v>
      </c>
      <c r="H72" s="188" t="e">
        <f t="shared" si="126"/>
        <v>#VALUE!</v>
      </c>
      <c r="I72" s="169" t="s">
        <v>429</v>
      </c>
      <c r="J72" s="187" t="e">
        <f t="shared" si="137"/>
        <v>#VALUE!</v>
      </c>
      <c r="K72" s="188" t="e">
        <f t="shared" si="128"/>
        <v>#VALUE!</v>
      </c>
      <c r="L72" s="169" t="s">
        <v>429</v>
      </c>
      <c r="M72" s="187" t="e">
        <f t="shared" si="138"/>
        <v>#VALUE!</v>
      </c>
      <c r="N72" s="188" t="e">
        <f t="shared" si="130"/>
        <v>#VALUE!</v>
      </c>
      <c r="O72" s="169" t="s">
        <v>429</v>
      </c>
      <c r="P72" s="187" t="e">
        <f t="shared" si="139"/>
        <v>#VALUE!</v>
      </c>
      <c r="Q72" s="188" t="e">
        <f t="shared" si="132"/>
        <v>#VALUE!</v>
      </c>
      <c r="R72" s="169" t="s">
        <v>429</v>
      </c>
      <c r="S72" s="187" t="e">
        <f t="shared" si="140"/>
        <v>#VALUE!</v>
      </c>
      <c r="T72" s="188" t="e">
        <f t="shared" si="134"/>
        <v>#VALUE!</v>
      </c>
      <c r="U72" s="187" t="e">
        <f t="shared" si="122"/>
        <v>#VALUE!</v>
      </c>
    </row>
    <row r="77" spans="1:21" s="222" customFormat="1">
      <c r="A77" s="222" t="s">
        <v>697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tabColor rgb="FF0070C0"/>
  </sheetPr>
  <dimension ref="A1:AV77"/>
  <sheetViews>
    <sheetView workbookViewId="0"/>
  </sheetViews>
  <sheetFormatPr defaultColWidth="10.921875" defaultRowHeight="15.5"/>
  <cols>
    <col min="1" max="1" width="10.921875" style="169"/>
    <col min="2" max="4" width="10.921875" style="168"/>
    <col min="5" max="5" width="13.15234375" style="193" customWidth="1"/>
    <col min="6" max="6" width="12.921875" style="168" customWidth="1"/>
    <col min="7" max="7" width="11.4609375" style="168" customWidth="1"/>
    <col min="8" max="8" width="14.23046875" style="193" customWidth="1"/>
    <col min="9" max="10" width="10.921875" style="168"/>
    <col min="11" max="11" width="10.921875" style="193"/>
    <col min="12" max="13" width="10.921875" style="168"/>
    <col min="14" max="14" width="10.921875" style="193"/>
    <col min="15" max="16" width="10.921875" style="168"/>
    <col min="17" max="17" width="10.921875" style="193"/>
    <col min="18" max="18" width="13.69140625" style="168" customWidth="1"/>
    <col min="19" max="19" width="10.921875" style="168"/>
    <col min="20" max="20" width="11.4609375" style="193" customWidth="1"/>
    <col min="21" max="22" width="10.921875" style="168"/>
    <col min="23" max="23" width="10.921875" style="193"/>
    <col min="24" max="24" width="14.4609375" style="168" customWidth="1"/>
    <col min="25" max="25" width="10.921875" style="168"/>
    <col min="26" max="26" width="10.921875" style="193"/>
    <col min="27" max="28" width="10.921875" style="168"/>
    <col min="29" max="29" width="10.921875" style="193"/>
    <col min="30" max="31" width="10.921875" style="168"/>
    <col min="32" max="32" width="10.921875" style="193"/>
    <col min="33" max="34" width="10.921875" style="168"/>
    <col min="35" max="35" width="10.921875" style="193"/>
    <col min="36" max="37" width="10.921875" style="168"/>
    <col min="38" max="38" width="10.921875" style="193"/>
    <col min="39" max="40" width="10.921875" style="168"/>
    <col min="41" max="41" width="10.921875" style="193"/>
    <col min="42" max="43" width="10.921875" style="168"/>
    <col min="44" max="44" width="10.921875" style="193"/>
    <col min="45" max="46" width="10.921875" style="168"/>
    <col min="47" max="47" width="10.921875" style="193"/>
    <col min="48" max="48" width="15.4609375" style="168" customWidth="1"/>
    <col min="49" max="16384" width="10.921875" style="169"/>
  </cols>
  <sheetData>
    <row r="1" spans="1:48" s="182" customFormat="1" ht="37.5" customHeight="1">
      <c r="A1" s="179" t="str">
        <f>Cost_of_crime_Raw_data!F40</f>
        <v>Victim Services (VS)</v>
      </c>
      <c r="B1" s="180"/>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row>
    <row r="2" spans="1:48" s="182" customFormat="1" ht="37.5" customHeight="1">
      <c r="A2" s="183" t="s">
        <v>574</v>
      </c>
      <c r="B2" s="180"/>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row>
    <row r="3" spans="1:48" s="173" customFormat="1" ht="77.5">
      <c r="A3" s="173" t="s">
        <v>539</v>
      </c>
      <c r="B3" s="172" t="s">
        <v>342</v>
      </c>
      <c r="C3" s="184" t="s">
        <v>290</v>
      </c>
      <c r="D3" s="184" t="s">
        <v>540</v>
      </c>
      <c r="E3" s="185" t="s">
        <v>541</v>
      </c>
      <c r="F3" s="184" t="s">
        <v>542</v>
      </c>
      <c r="G3" s="184" t="s">
        <v>540</v>
      </c>
      <c r="H3" s="185" t="s">
        <v>541</v>
      </c>
      <c r="I3" s="184" t="s">
        <v>543</v>
      </c>
      <c r="J3" s="184" t="s">
        <v>540</v>
      </c>
      <c r="K3" s="185" t="s">
        <v>541</v>
      </c>
      <c r="L3" s="184" t="s">
        <v>544</v>
      </c>
      <c r="M3" s="184" t="s">
        <v>540</v>
      </c>
      <c r="N3" s="185" t="s">
        <v>541</v>
      </c>
      <c r="O3" s="184" t="s">
        <v>545</v>
      </c>
      <c r="P3" s="184" t="s">
        <v>540</v>
      </c>
      <c r="Q3" s="185" t="s">
        <v>541</v>
      </c>
      <c r="R3" s="184" t="s">
        <v>292</v>
      </c>
      <c r="S3" s="184" t="s">
        <v>540</v>
      </c>
      <c r="T3" s="185" t="s">
        <v>541</v>
      </c>
      <c r="U3" s="184" t="s">
        <v>546</v>
      </c>
      <c r="V3" s="184" t="s">
        <v>540</v>
      </c>
      <c r="W3" s="185" t="s">
        <v>541</v>
      </c>
      <c r="X3" s="184" t="s">
        <v>547</v>
      </c>
      <c r="Y3" s="184" t="s">
        <v>540</v>
      </c>
      <c r="Z3" s="185" t="s">
        <v>541</v>
      </c>
      <c r="AA3" s="184" t="s">
        <v>548</v>
      </c>
      <c r="AB3" s="184" t="s">
        <v>540</v>
      </c>
      <c r="AC3" s="185" t="s">
        <v>541</v>
      </c>
      <c r="AD3" s="184" t="s">
        <v>549</v>
      </c>
      <c r="AE3" s="184" t="s">
        <v>540</v>
      </c>
      <c r="AF3" s="185" t="s">
        <v>541</v>
      </c>
      <c r="AG3" s="184" t="s">
        <v>550</v>
      </c>
      <c r="AH3" s="184" t="s">
        <v>540</v>
      </c>
      <c r="AI3" s="185" t="s">
        <v>541</v>
      </c>
      <c r="AJ3" s="184" t="s">
        <v>551</v>
      </c>
      <c r="AK3" s="184" t="s">
        <v>540</v>
      </c>
      <c r="AL3" s="185" t="s">
        <v>541</v>
      </c>
      <c r="AM3" s="184" t="s">
        <v>424</v>
      </c>
      <c r="AN3" s="184" t="s">
        <v>540</v>
      </c>
      <c r="AO3" s="185" t="s">
        <v>541</v>
      </c>
      <c r="AP3" s="184" t="s">
        <v>552</v>
      </c>
      <c r="AQ3" s="184" t="s">
        <v>540</v>
      </c>
      <c r="AR3" s="185" t="s">
        <v>541</v>
      </c>
      <c r="AS3" s="184" t="s">
        <v>425</v>
      </c>
    </row>
    <row r="4" spans="1:48">
      <c r="B4" s="168">
        <v>2015</v>
      </c>
      <c r="C4" s="186">
        <f>IF(Cost_of_crime_Raw_data!F43="not estimated","0",IF(Cost_of_crime_Raw_data!F43="N/A","0",Cost_of_crime_Raw_data!F43))</f>
        <v>5480</v>
      </c>
      <c r="D4" s="187">
        <f>C4*$A4/100</f>
        <v>0</v>
      </c>
      <c r="E4" s="188">
        <f>C4+D4</f>
        <v>5480</v>
      </c>
      <c r="F4" s="186">
        <f>IF(Cost_of_crime_Raw_data!F44="not estimated","0",IF(Cost_of_crime_Raw_data!F44="N/A","0",Cost_of_crime_Raw_data!F44))</f>
        <v>0</v>
      </c>
      <c r="G4" s="187">
        <f>F4*$A4/100</f>
        <v>0</v>
      </c>
      <c r="H4" s="188">
        <f>F4+G4</f>
        <v>0</v>
      </c>
      <c r="I4" s="186">
        <f>IF(Cost_of_crime_Raw_data!F45="not estimated","0",IF(Cost_of_crime_Raw_data!F45="N/A","0",Cost_of_crime_Raw_data!F45))</f>
        <v>10</v>
      </c>
      <c r="J4" s="187">
        <f>I4*$A4/100</f>
        <v>0</v>
      </c>
      <c r="K4" s="188">
        <f>I4+J4</f>
        <v>10</v>
      </c>
      <c r="L4" s="186">
        <f>IF(Cost_of_crime_Raw_data!F46="not estimated","0",IF(Cost_of_crime_Raw_data!F46="N/A","0",Cost_of_crime_Raw_data!F46))</f>
        <v>40</v>
      </c>
      <c r="M4" s="187">
        <f>L4*$A4/100</f>
        <v>0</v>
      </c>
      <c r="N4" s="188">
        <f>L4+M4</f>
        <v>40</v>
      </c>
      <c r="O4" s="186">
        <f>IF(Cost_of_crime_Raw_data!F47="not estimated","0",IF(Cost_of_crime_Raw_data!F47="N/A","0",Cost_of_crime_Raw_data!F47))</f>
        <v>10</v>
      </c>
      <c r="P4" s="187">
        <f>O4*$A4/100</f>
        <v>0</v>
      </c>
      <c r="Q4" s="188">
        <f>O4+P4</f>
        <v>10</v>
      </c>
      <c r="R4" s="186">
        <f>IF(Cost_of_crime_Raw_data!F48="not estimated","0",IF(Cost_of_crime_Raw_data!F48="N/A","0",Cost_of_crime_Raw_data!F48))</f>
        <v>10</v>
      </c>
      <c r="S4" s="187">
        <f>R4*$A4/100</f>
        <v>0</v>
      </c>
      <c r="T4" s="188">
        <f>R4+S4</f>
        <v>10</v>
      </c>
      <c r="U4" s="186">
        <f>IF(Cost_of_crime_Raw_data!F49="not estimated","0",IF(Cost_of_crime_Raw_data!F49="N/A","0",Cost_of_crime_Raw_data!F49))</f>
        <v>0</v>
      </c>
      <c r="V4" s="187">
        <f>U4*$A4/100</f>
        <v>0</v>
      </c>
      <c r="W4" s="188">
        <f>U4+V4</f>
        <v>0</v>
      </c>
      <c r="X4" s="186">
        <f>Cost_of_crime_Raw_data!F50</f>
        <v>0</v>
      </c>
      <c r="Y4" s="187">
        <f>X4*$A4/100</f>
        <v>0</v>
      </c>
      <c r="Z4" s="188">
        <f>X4+Y4</f>
        <v>0</v>
      </c>
      <c r="AA4" s="186">
        <f>Cost_of_crime_Raw_data!F51</f>
        <v>0</v>
      </c>
      <c r="AB4" s="187">
        <f>AA4*$A4/100</f>
        <v>0</v>
      </c>
      <c r="AC4" s="188">
        <f>AA4+AB4</f>
        <v>0</v>
      </c>
      <c r="AD4" s="186">
        <f>Cost_of_crime_Raw_data!F52</f>
        <v>0</v>
      </c>
      <c r="AE4" s="187">
        <f>AD4*$A4/100</f>
        <v>0</v>
      </c>
      <c r="AF4" s="188">
        <f>AD4+AE4</f>
        <v>0</v>
      </c>
      <c r="AG4" s="186">
        <f>Cost_of_crime_Raw_data!F53</f>
        <v>10</v>
      </c>
      <c r="AH4" s="187">
        <f>AG4*$A4/100</f>
        <v>0</v>
      </c>
      <c r="AI4" s="188">
        <f>AG4+AH4</f>
        <v>10</v>
      </c>
      <c r="AJ4" s="186">
        <f>Cost_of_crime_Raw_data!F54</f>
        <v>0</v>
      </c>
      <c r="AK4" s="187">
        <f>AJ4*$A4/100</f>
        <v>0</v>
      </c>
      <c r="AL4" s="188">
        <f>AJ4+AK4</f>
        <v>0</v>
      </c>
      <c r="AM4" s="186">
        <f>IF(Cost_of_crime_Raw_data!F55="not estimated","0",IF(Cost_of_crime_Raw_data!F55="N/A","0",Cost_of_crime_Raw_data!F55))</f>
        <v>0</v>
      </c>
      <c r="AN4" s="187">
        <f>AM4*$A4/100</f>
        <v>0</v>
      </c>
      <c r="AO4" s="188">
        <f>AM4+AN4</f>
        <v>0</v>
      </c>
      <c r="AP4" s="194" t="s">
        <v>429</v>
      </c>
      <c r="AQ4" s="187" t="e">
        <f>AP4*$A4/100</f>
        <v>#VALUE!</v>
      </c>
      <c r="AR4" s="188" t="e">
        <f>AP4+AQ4</f>
        <v>#VALUE!</v>
      </c>
      <c r="AS4" s="186">
        <f>SUM(C4,I4,L4,O4,R4,U4,X4,AD4,AG4,AJ4,AM4,AP4)</f>
        <v>5560</v>
      </c>
      <c r="AT4" s="169"/>
      <c r="AU4" s="169"/>
      <c r="AV4" s="169"/>
    </row>
    <row r="5" spans="1:48">
      <c r="A5" s="169">
        <f>VLOOKUP(B5,Misc_inputs!$A$3:$B$33,2,0)</f>
        <v>1.8963035451147277</v>
      </c>
      <c r="B5" s="168">
        <v>2016</v>
      </c>
      <c r="C5" s="187">
        <f>E4</f>
        <v>5480</v>
      </c>
      <c r="D5" s="187">
        <f t="shared" ref="D5" si="0">C5*$A5/100</f>
        <v>103.91743427228708</v>
      </c>
      <c r="E5" s="188">
        <f t="shared" ref="E5" si="1">C5+D5</f>
        <v>5583.9174342722872</v>
      </c>
      <c r="F5" s="187">
        <f>H4</f>
        <v>0</v>
      </c>
      <c r="G5" s="187">
        <f t="shared" ref="G5" si="2">F5*$A5/100</f>
        <v>0</v>
      </c>
      <c r="H5" s="188">
        <f t="shared" ref="H5" si="3">F5+G5</f>
        <v>0</v>
      </c>
      <c r="I5" s="187">
        <f>K4</f>
        <v>10</v>
      </c>
      <c r="J5" s="187">
        <f t="shared" ref="J5" si="4">I5*$A5/100</f>
        <v>0.18963035451147278</v>
      </c>
      <c r="K5" s="188">
        <f t="shared" ref="K5" si="5">I5+J5</f>
        <v>10.189630354511472</v>
      </c>
      <c r="L5" s="187">
        <f>N4</f>
        <v>40</v>
      </c>
      <c r="M5" s="187">
        <f t="shared" ref="M5" si="6">L5*$A5/100</f>
        <v>0.75852141804589113</v>
      </c>
      <c r="N5" s="188">
        <f t="shared" ref="N5" si="7">L5+M5</f>
        <v>40.758521418045888</v>
      </c>
      <c r="O5" s="187">
        <f>Q4</f>
        <v>10</v>
      </c>
      <c r="P5" s="187">
        <f t="shared" ref="P5" si="8">O5*$A5/100</f>
        <v>0.18963035451147278</v>
      </c>
      <c r="Q5" s="188">
        <f t="shared" ref="Q5" si="9">O5+P5</f>
        <v>10.189630354511472</v>
      </c>
      <c r="R5" s="187">
        <f>T4</f>
        <v>10</v>
      </c>
      <c r="S5" s="187">
        <f t="shared" ref="S5" si="10">R5*$A5/100</f>
        <v>0.18963035451147278</v>
      </c>
      <c r="T5" s="188">
        <f t="shared" ref="T5" si="11">R5+S5</f>
        <v>10.189630354511472</v>
      </c>
      <c r="U5" s="187">
        <f>W4</f>
        <v>0</v>
      </c>
      <c r="V5" s="187">
        <f t="shared" ref="V5" si="12">U5*$A5/100</f>
        <v>0</v>
      </c>
      <c r="W5" s="188">
        <f t="shared" ref="W5" si="13">U5+V5</f>
        <v>0</v>
      </c>
      <c r="X5" s="187">
        <f>Z4</f>
        <v>0</v>
      </c>
      <c r="Y5" s="187">
        <f t="shared" ref="Y5" si="14">X5*$A5/100</f>
        <v>0</v>
      </c>
      <c r="Z5" s="188">
        <f t="shared" ref="Z5" si="15">X5+Y5</f>
        <v>0</v>
      </c>
      <c r="AA5" s="187">
        <f>AC4</f>
        <v>0</v>
      </c>
      <c r="AB5" s="187">
        <f t="shared" ref="AB5" si="16">AA5*$A5/100</f>
        <v>0</v>
      </c>
      <c r="AC5" s="188">
        <f t="shared" ref="AC5" si="17">AA5+AB5</f>
        <v>0</v>
      </c>
      <c r="AD5" s="187">
        <f>AF4</f>
        <v>0</v>
      </c>
      <c r="AE5" s="187">
        <f t="shared" ref="AE5" si="18">AD5*$A5/100</f>
        <v>0</v>
      </c>
      <c r="AF5" s="188">
        <f t="shared" ref="AF5" si="19">AD5+AE5</f>
        <v>0</v>
      </c>
      <c r="AG5" s="187">
        <f>AI4</f>
        <v>10</v>
      </c>
      <c r="AH5" s="187">
        <f t="shared" ref="AH5" si="20">AG5*$A5/100</f>
        <v>0.18963035451147278</v>
      </c>
      <c r="AI5" s="188">
        <f t="shared" ref="AI5" si="21">AG5+AH5</f>
        <v>10.189630354511472</v>
      </c>
      <c r="AJ5" s="187">
        <f>AL4</f>
        <v>0</v>
      </c>
      <c r="AK5" s="187">
        <f t="shared" ref="AK5" si="22">AJ5*$A5/100</f>
        <v>0</v>
      </c>
      <c r="AL5" s="188">
        <f t="shared" ref="AL5" si="23">AJ5+AK5</f>
        <v>0</v>
      </c>
      <c r="AM5" s="187">
        <f>AO4</f>
        <v>0</v>
      </c>
      <c r="AN5" s="187">
        <f t="shared" ref="AN5" si="24">AM5*$A5/100</f>
        <v>0</v>
      </c>
      <c r="AO5" s="188">
        <f t="shared" ref="AO5" si="25">AM5+AN5</f>
        <v>0</v>
      </c>
      <c r="AP5" s="194" t="s">
        <v>429</v>
      </c>
      <c r="AQ5" s="187" t="e">
        <f t="shared" ref="AQ5" si="26">AP5*$A5/100</f>
        <v>#VALUE!</v>
      </c>
      <c r="AR5" s="188" t="e">
        <f t="shared" ref="AR5" si="27">AP5+AQ5</f>
        <v>#VALUE!</v>
      </c>
      <c r="AS5" s="186">
        <f t="shared" ref="AS5" si="28">SUM(C5,I5,L5,O5,R5,U5,X5,AD5,AG5,AJ5,AM5,AP5)</f>
        <v>5560</v>
      </c>
      <c r="AT5" s="187"/>
      <c r="AU5" s="169"/>
      <c r="AV5" s="169"/>
    </row>
    <row r="6" spans="1:48">
      <c r="A6" s="169">
        <f>VLOOKUP(B6,Misc_inputs!$A$3:$B$33,2,0)</f>
        <v>1.8209228570152332</v>
      </c>
      <c r="B6" s="168">
        <v>2017</v>
      </c>
      <c r="C6" s="187">
        <f t="shared" ref="C6:C19" si="29">E5</f>
        <v>5583.9174342722872</v>
      </c>
      <c r="D6" s="187">
        <f t="shared" ref="D6:D19" si="30">C6*$A6/100</f>
        <v>101.67882887752263</v>
      </c>
      <c r="E6" s="188">
        <f t="shared" ref="E6:E19" si="31">C6+D6</f>
        <v>5685.5962631498096</v>
      </c>
      <c r="F6" s="187">
        <f t="shared" ref="F6:F19" si="32">H5</f>
        <v>0</v>
      </c>
      <c r="G6" s="187">
        <f t="shared" ref="G6:G7" si="33">F6*$A6/100</f>
        <v>0</v>
      </c>
      <c r="H6" s="188">
        <f t="shared" ref="H6:H19" si="34">F6+G6</f>
        <v>0</v>
      </c>
      <c r="I6" s="187">
        <f t="shared" ref="I6:I19" si="35">K5</f>
        <v>10.189630354511472</v>
      </c>
      <c r="J6" s="187">
        <f t="shared" ref="J6:J7" si="36">I6*$A6/100</f>
        <v>0.18554530817066173</v>
      </c>
      <c r="K6" s="188">
        <f t="shared" ref="K6:K19" si="37">I6+J6</f>
        <v>10.375175662682134</v>
      </c>
      <c r="L6" s="187">
        <f t="shared" ref="L6:L19" si="38">N5</f>
        <v>40.758521418045888</v>
      </c>
      <c r="M6" s="187">
        <f t="shared" ref="M6:M7" si="39">L6*$A6/100</f>
        <v>0.74218123268264691</v>
      </c>
      <c r="N6" s="188">
        <f t="shared" ref="N6:N19" si="40">L6+M6</f>
        <v>41.500702650728535</v>
      </c>
      <c r="O6" s="187">
        <f t="shared" ref="O6:O19" si="41">Q5</f>
        <v>10.189630354511472</v>
      </c>
      <c r="P6" s="187">
        <f t="shared" ref="P6:P7" si="42">O6*$A6/100</f>
        <v>0.18554530817066173</v>
      </c>
      <c r="Q6" s="188">
        <f t="shared" ref="Q6:Q19" si="43">O6+P6</f>
        <v>10.375175662682134</v>
      </c>
      <c r="R6" s="187">
        <f t="shared" ref="R6:R19" si="44">T5</f>
        <v>10.189630354511472</v>
      </c>
      <c r="S6" s="187">
        <f t="shared" ref="S6:S7" si="45">R6*$A6/100</f>
        <v>0.18554530817066173</v>
      </c>
      <c r="T6" s="188">
        <f t="shared" ref="T6:T19" si="46">R6+S6</f>
        <v>10.375175662682134</v>
      </c>
      <c r="U6" s="187">
        <f t="shared" ref="U6:U19" si="47">W5</f>
        <v>0</v>
      </c>
      <c r="V6" s="187">
        <f t="shared" ref="V6:V7" si="48">U6*$A6/100</f>
        <v>0</v>
      </c>
      <c r="W6" s="188">
        <f t="shared" ref="W6:W19" si="49">U6+V6</f>
        <v>0</v>
      </c>
      <c r="X6" s="187">
        <f t="shared" ref="X6:X19" si="50">Z5</f>
        <v>0</v>
      </c>
      <c r="Y6" s="187">
        <f t="shared" ref="Y6:Y7" si="51">X6*$A6/100</f>
        <v>0</v>
      </c>
      <c r="Z6" s="188">
        <f t="shared" ref="Z6:Z19" si="52">X6+Y6</f>
        <v>0</v>
      </c>
      <c r="AA6" s="187">
        <f t="shared" ref="AA6:AA19" si="53">AC5</f>
        <v>0</v>
      </c>
      <c r="AB6" s="187">
        <f t="shared" ref="AB6:AB7" si="54">AA6*$A6/100</f>
        <v>0</v>
      </c>
      <c r="AC6" s="188">
        <f t="shared" ref="AC6:AC19" si="55">AA6+AB6</f>
        <v>0</v>
      </c>
      <c r="AD6" s="187">
        <f t="shared" ref="AD6:AD19" si="56">AF5</f>
        <v>0</v>
      </c>
      <c r="AE6" s="187">
        <f t="shared" ref="AE6:AE7" si="57">AD6*$A6/100</f>
        <v>0</v>
      </c>
      <c r="AF6" s="188">
        <f t="shared" ref="AF6:AF19" si="58">AD6+AE6</f>
        <v>0</v>
      </c>
      <c r="AG6" s="187">
        <f t="shared" ref="AG6:AG19" si="59">AI5</f>
        <v>10.189630354511472</v>
      </c>
      <c r="AH6" s="187">
        <f t="shared" ref="AH6:AH7" si="60">AG6*$A6/100</f>
        <v>0.18554530817066173</v>
      </c>
      <c r="AI6" s="188">
        <f t="shared" ref="AI6:AI19" si="61">AG6+AH6</f>
        <v>10.375175662682134</v>
      </c>
      <c r="AJ6" s="187">
        <f t="shared" ref="AJ6:AJ19" si="62">AL5</f>
        <v>0</v>
      </c>
      <c r="AK6" s="187">
        <f t="shared" ref="AK6:AK7" si="63">AJ6*$A6/100</f>
        <v>0</v>
      </c>
      <c r="AL6" s="188">
        <f t="shared" ref="AL6:AL19" si="64">AJ6+AK6</f>
        <v>0</v>
      </c>
      <c r="AM6" s="187">
        <f t="shared" ref="AM6:AM19" si="65">AO5</f>
        <v>0</v>
      </c>
      <c r="AN6" s="187">
        <f t="shared" ref="AN6:AN7" si="66">AM6*$A6/100</f>
        <v>0</v>
      </c>
      <c r="AO6" s="188">
        <f t="shared" ref="AO6:AO19" si="67">AM6+AN6</f>
        <v>0</v>
      </c>
      <c r="AP6" s="194" t="s">
        <v>429</v>
      </c>
      <c r="AQ6" s="187" t="e">
        <f t="shared" ref="AQ6:AQ7" si="68">AP6*$A6/100</f>
        <v>#VALUE!</v>
      </c>
      <c r="AR6" s="188" t="e">
        <f t="shared" ref="AR6:AR19" si="69">AP6+AQ6</f>
        <v>#VALUE!</v>
      </c>
      <c r="AS6" s="186">
        <f t="shared" ref="AS6:AS19" si="70">SUM(C6,I6,L6,O6,R6,U6,X6,AD6,AG6,AJ6,AM6,AP6)</f>
        <v>5665.4344771083806</v>
      </c>
      <c r="AT6" s="187"/>
      <c r="AU6" s="169"/>
      <c r="AV6" s="169"/>
    </row>
    <row r="7" spans="1:48">
      <c r="A7" s="169">
        <f>VLOOKUP(B7,Misc_inputs!$A$3:$B$33,2,0)</f>
        <v>1.9988242855231282</v>
      </c>
      <c r="B7" s="168">
        <v>2018</v>
      </c>
      <c r="C7" s="187">
        <f t="shared" si="29"/>
        <v>5685.5962631498096</v>
      </c>
      <c r="D7" s="187">
        <f t="shared" si="30"/>
        <v>113.64507888463386</v>
      </c>
      <c r="E7" s="188">
        <f t="shared" si="31"/>
        <v>5799.2413420344437</v>
      </c>
      <c r="F7" s="187">
        <f t="shared" si="32"/>
        <v>0</v>
      </c>
      <c r="G7" s="187">
        <f t="shared" si="33"/>
        <v>0</v>
      </c>
      <c r="H7" s="188">
        <f t="shared" si="34"/>
        <v>0</v>
      </c>
      <c r="I7" s="187">
        <f t="shared" si="35"/>
        <v>10.375175662682134</v>
      </c>
      <c r="J7" s="187">
        <f t="shared" si="36"/>
        <v>0.20738153081137564</v>
      </c>
      <c r="K7" s="188">
        <f t="shared" si="37"/>
        <v>10.582557193493509</v>
      </c>
      <c r="L7" s="187">
        <f t="shared" si="38"/>
        <v>41.500702650728535</v>
      </c>
      <c r="M7" s="187">
        <f t="shared" si="39"/>
        <v>0.82952612324550257</v>
      </c>
      <c r="N7" s="188">
        <f t="shared" si="40"/>
        <v>42.330228773974035</v>
      </c>
      <c r="O7" s="187">
        <f t="shared" si="41"/>
        <v>10.375175662682134</v>
      </c>
      <c r="P7" s="187">
        <f t="shared" si="42"/>
        <v>0.20738153081137564</v>
      </c>
      <c r="Q7" s="188">
        <f t="shared" si="43"/>
        <v>10.582557193493509</v>
      </c>
      <c r="R7" s="187">
        <f t="shared" si="44"/>
        <v>10.375175662682134</v>
      </c>
      <c r="S7" s="187">
        <f t="shared" si="45"/>
        <v>0.20738153081137564</v>
      </c>
      <c r="T7" s="188">
        <f t="shared" si="46"/>
        <v>10.582557193493509</v>
      </c>
      <c r="U7" s="187">
        <f t="shared" si="47"/>
        <v>0</v>
      </c>
      <c r="V7" s="187">
        <f t="shared" si="48"/>
        <v>0</v>
      </c>
      <c r="W7" s="188">
        <f t="shared" si="49"/>
        <v>0</v>
      </c>
      <c r="X7" s="187">
        <f t="shared" si="50"/>
        <v>0</v>
      </c>
      <c r="Y7" s="187">
        <f t="shared" si="51"/>
        <v>0</v>
      </c>
      <c r="Z7" s="188">
        <f t="shared" si="52"/>
        <v>0</v>
      </c>
      <c r="AA7" s="187">
        <f t="shared" si="53"/>
        <v>0</v>
      </c>
      <c r="AB7" s="187">
        <f t="shared" si="54"/>
        <v>0</v>
      </c>
      <c r="AC7" s="188">
        <f t="shared" si="55"/>
        <v>0</v>
      </c>
      <c r="AD7" s="187">
        <f t="shared" si="56"/>
        <v>0</v>
      </c>
      <c r="AE7" s="187">
        <f t="shared" si="57"/>
        <v>0</v>
      </c>
      <c r="AF7" s="188">
        <f t="shared" si="58"/>
        <v>0</v>
      </c>
      <c r="AG7" s="187">
        <f t="shared" si="59"/>
        <v>10.375175662682134</v>
      </c>
      <c r="AH7" s="187">
        <f t="shared" si="60"/>
        <v>0.20738153081137564</v>
      </c>
      <c r="AI7" s="188">
        <f t="shared" si="61"/>
        <v>10.582557193493509</v>
      </c>
      <c r="AJ7" s="187">
        <f t="shared" si="62"/>
        <v>0</v>
      </c>
      <c r="AK7" s="187">
        <f t="shared" si="63"/>
        <v>0</v>
      </c>
      <c r="AL7" s="188">
        <f t="shared" si="64"/>
        <v>0</v>
      </c>
      <c r="AM7" s="187">
        <f t="shared" si="65"/>
        <v>0</v>
      </c>
      <c r="AN7" s="187">
        <f t="shared" si="66"/>
        <v>0</v>
      </c>
      <c r="AO7" s="188">
        <f t="shared" si="67"/>
        <v>0</v>
      </c>
      <c r="AP7" s="194" t="s">
        <v>429</v>
      </c>
      <c r="AQ7" s="187" t="e">
        <f t="shared" si="68"/>
        <v>#VALUE!</v>
      </c>
      <c r="AR7" s="188" t="e">
        <f t="shared" si="69"/>
        <v>#VALUE!</v>
      </c>
      <c r="AS7" s="186">
        <f t="shared" si="70"/>
        <v>5768.597668451268</v>
      </c>
      <c r="AT7" s="187"/>
      <c r="AU7" s="169"/>
      <c r="AV7" s="169"/>
    </row>
    <row r="8" spans="1:48">
      <c r="A8" s="169">
        <f>VLOOKUP(B8,Misc_inputs!$A$3:$B$33,2,0)</f>
        <v>2.0163202370724722</v>
      </c>
      <c r="B8" s="168">
        <v>2019</v>
      </c>
      <c r="C8" s="187">
        <f t="shared" si="29"/>
        <v>5799.2413420344437</v>
      </c>
      <c r="D8" s="187">
        <f>C8*$A8/100</f>
        <v>116.93127677611372</v>
      </c>
      <c r="E8" s="188">
        <f t="shared" si="31"/>
        <v>5916.1726188105577</v>
      </c>
      <c r="F8" s="187">
        <f t="shared" si="32"/>
        <v>0</v>
      </c>
      <c r="G8" s="187">
        <f>F8*$A8/100</f>
        <v>0</v>
      </c>
      <c r="H8" s="188">
        <f t="shared" si="34"/>
        <v>0</v>
      </c>
      <c r="I8" s="187">
        <f t="shared" si="35"/>
        <v>10.582557193493509</v>
      </c>
      <c r="J8" s="187">
        <f>I8*$A8/100</f>
        <v>0.21337824229217828</v>
      </c>
      <c r="K8" s="188">
        <f t="shared" si="37"/>
        <v>10.795935435785687</v>
      </c>
      <c r="L8" s="187">
        <f t="shared" si="38"/>
        <v>42.330228773974035</v>
      </c>
      <c r="M8" s="187">
        <f>L8*$A8/100</f>
        <v>0.85351296916871311</v>
      </c>
      <c r="N8" s="188">
        <f t="shared" si="40"/>
        <v>43.183741743142747</v>
      </c>
      <c r="O8" s="187">
        <f t="shared" si="41"/>
        <v>10.582557193493509</v>
      </c>
      <c r="P8" s="187">
        <f>O8*$A8/100</f>
        <v>0.21337824229217828</v>
      </c>
      <c r="Q8" s="188">
        <f t="shared" si="43"/>
        <v>10.795935435785687</v>
      </c>
      <c r="R8" s="187">
        <f t="shared" si="44"/>
        <v>10.582557193493509</v>
      </c>
      <c r="S8" s="187">
        <f>R8*$A8/100</f>
        <v>0.21337824229217828</v>
      </c>
      <c r="T8" s="188">
        <f t="shared" si="46"/>
        <v>10.795935435785687</v>
      </c>
      <c r="U8" s="187">
        <f t="shared" si="47"/>
        <v>0</v>
      </c>
      <c r="V8" s="187">
        <f>U8*$A8/100</f>
        <v>0</v>
      </c>
      <c r="W8" s="188">
        <f t="shared" si="49"/>
        <v>0</v>
      </c>
      <c r="X8" s="187">
        <f t="shared" si="50"/>
        <v>0</v>
      </c>
      <c r="Y8" s="187">
        <f>X8*$A8/100</f>
        <v>0</v>
      </c>
      <c r="Z8" s="188">
        <f t="shared" si="52"/>
        <v>0</v>
      </c>
      <c r="AA8" s="187">
        <f t="shared" si="53"/>
        <v>0</v>
      </c>
      <c r="AB8" s="187">
        <f>AA8*$A8/100</f>
        <v>0</v>
      </c>
      <c r="AC8" s="188">
        <f t="shared" si="55"/>
        <v>0</v>
      </c>
      <c r="AD8" s="187">
        <f t="shared" si="56"/>
        <v>0</v>
      </c>
      <c r="AE8" s="187">
        <f>AD8*$A8/100</f>
        <v>0</v>
      </c>
      <c r="AF8" s="188">
        <f t="shared" si="58"/>
        <v>0</v>
      </c>
      <c r="AG8" s="187">
        <f t="shared" si="59"/>
        <v>10.582557193493509</v>
      </c>
      <c r="AH8" s="187">
        <f>AG8*$A8/100</f>
        <v>0.21337824229217828</v>
      </c>
      <c r="AI8" s="188">
        <f t="shared" si="61"/>
        <v>10.795935435785687</v>
      </c>
      <c r="AJ8" s="187">
        <f t="shared" si="62"/>
        <v>0</v>
      </c>
      <c r="AK8" s="187">
        <f>AJ8*$A8/100</f>
        <v>0</v>
      </c>
      <c r="AL8" s="188">
        <f t="shared" si="64"/>
        <v>0</v>
      </c>
      <c r="AM8" s="187">
        <f t="shared" si="65"/>
        <v>0</v>
      </c>
      <c r="AN8" s="187">
        <f>AM8*$A8/100</f>
        <v>0</v>
      </c>
      <c r="AO8" s="188">
        <f t="shared" si="67"/>
        <v>0</v>
      </c>
      <c r="AP8" s="194" t="s">
        <v>429</v>
      </c>
      <c r="AQ8" s="187" t="e">
        <f>AP8*$A8/100</f>
        <v>#VALUE!</v>
      </c>
      <c r="AR8" s="188" t="e">
        <f t="shared" si="69"/>
        <v>#VALUE!</v>
      </c>
      <c r="AS8" s="186">
        <f t="shared" si="70"/>
        <v>5883.9017995823933</v>
      </c>
      <c r="AT8" s="187"/>
      <c r="AU8" s="169"/>
      <c r="AV8" s="169"/>
    </row>
    <row r="9" spans="1:48">
      <c r="A9" s="169">
        <f>VLOOKUP(B9,Misc_inputs!$A$3:$B$33,2,0)</f>
        <v>5.3200852056836103</v>
      </c>
      <c r="B9" s="168">
        <v>2020</v>
      </c>
      <c r="C9" s="187">
        <f t="shared" si="29"/>
        <v>5916.1726188105577</v>
      </c>
      <c r="D9" s="187">
        <f t="shared" si="30"/>
        <v>314.7454242360451</v>
      </c>
      <c r="E9" s="188">
        <f t="shared" si="31"/>
        <v>6230.9180430466031</v>
      </c>
      <c r="F9" s="187">
        <f t="shared" si="32"/>
        <v>0</v>
      </c>
      <c r="G9" s="187">
        <f t="shared" ref="G9:G19" si="71">F9*$A9/100</f>
        <v>0</v>
      </c>
      <c r="H9" s="188">
        <f t="shared" si="34"/>
        <v>0</v>
      </c>
      <c r="I9" s="187">
        <f t="shared" si="35"/>
        <v>10.795935435785687</v>
      </c>
      <c r="J9" s="187">
        <f t="shared" ref="J9:J19" si="72">I9*$A9/100</f>
        <v>0.57435296393438873</v>
      </c>
      <c r="K9" s="188">
        <f t="shared" si="37"/>
        <v>11.370288399720076</v>
      </c>
      <c r="L9" s="187">
        <f t="shared" si="38"/>
        <v>43.183741743142747</v>
      </c>
      <c r="M9" s="187">
        <f t="shared" ref="M9:M19" si="73">L9*$A9/100</f>
        <v>2.2974118557375549</v>
      </c>
      <c r="N9" s="188">
        <f t="shared" si="40"/>
        <v>45.481153598880304</v>
      </c>
      <c r="O9" s="187">
        <f t="shared" si="41"/>
        <v>10.795935435785687</v>
      </c>
      <c r="P9" s="187">
        <f t="shared" ref="P9:P19" si="74">O9*$A9/100</f>
        <v>0.57435296393438873</v>
      </c>
      <c r="Q9" s="188">
        <f t="shared" si="43"/>
        <v>11.370288399720076</v>
      </c>
      <c r="R9" s="187">
        <f t="shared" si="44"/>
        <v>10.795935435785687</v>
      </c>
      <c r="S9" s="187">
        <f t="shared" ref="S9:S19" si="75">R9*$A9/100</f>
        <v>0.57435296393438873</v>
      </c>
      <c r="T9" s="188">
        <f t="shared" si="46"/>
        <v>11.370288399720076</v>
      </c>
      <c r="U9" s="187">
        <f t="shared" si="47"/>
        <v>0</v>
      </c>
      <c r="V9" s="187">
        <f t="shared" ref="V9:V19" si="76">U9*$A9/100</f>
        <v>0</v>
      </c>
      <c r="W9" s="188">
        <f t="shared" si="49"/>
        <v>0</v>
      </c>
      <c r="X9" s="187">
        <f t="shared" si="50"/>
        <v>0</v>
      </c>
      <c r="Y9" s="187">
        <f t="shared" ref="Y9:Y19" si="77">X9*$A9/100</f>
        <v>0</v>
      </c>
      <c r="Z9" s="188">
        <f t="shared" si="52"/>
        <v>0</v>
      </c>
      <c r="AA9" s="187">
        <f t="shared" si="53"/>
        <v>0</v>
      </c>
      <c r="AB9" s="187">
        <f t="shared" ref="AB9:AB19" si="78">AA9*$A9/100</f>
        <v>0</v>
      </c>
      <c r="AC9" s="188">
        <f t="shared" si="55"/>
        <v>0</v>
      </c>
      <c r="AD9" s="187">
        <f t="shared" si="56"/>
        <v>0</v>
      </c>
      <c r="AE9" s="187">
        <f t="shared" ref="AE9:AE19" si="79">AD9*$A9/100</f>
        <v>0</v>
      </c>
      <c r="AF9" s="188">
        <f t="shared" si="58"/>
        <v>0</v>
      </c>
      <c r="AG9" s="187">
        <f t="shared" si="59"/>
        <v>10.795935435785687</v>
      </c>
      <c r="AH9" s="187">
        <f t="shared" ref="AH9:AH19" si="80">AG9*$A9/100</f>
        <v>0.57435296393438873</v>
      </c>
      <c r="AI9" s="188">
        <f t="shared" si="61"/>
        <v>11.370288399720076</v>
      </c>
      <c r="AJ9" s="187">
        <f t="shared" si="62"/>
        <v>0</v>
      </c>
      <c r="AK9" s="187">
        <f t="shared" ref="AK9:AK19" si="81">AJ9*$A9/100</f>
        <v>0</v>
      </c>
      <c r="AL9" s="188">
        <f t="shared" si="64"/>
        <v>0</v>
      </c>
      <c r="AM9" s="187">
        <f t="shared" si="65"/>
        <v>0</v>
      </c>
      <c r="AN9" s="187">
        <f t="shared" ref="AN9:AN19" si="82">AM9*$A9/100</f>
        <v>0</v>
      </c>
      <c r="AO9" s="188">
        <f t="shared" si="67"/>
        <v>0</v>
      </c>
      <c r="AP9" s="194" t="s">
        <v>429</v>
      </c>
      <c r="AQ9" s="187" t="e">
        <f t="shared" ref="AQ9:AQ19" si="83">AP9*$A9/100</f>
        <v>#VALUE!</v>
      </c>
      <c r="AR9" s="188" t="e">
        <f t="shared" si="69"/>
        <v>#VALUE!</v>
      </c>
      <c r="AS9" s="186">
        <f t="shared" si="70"/>
        <v>6002.5401022968417</v>
      </c>
      <c r="AT9" s="187"/>
      <c r="AU9" s="169"/>
      <c r="AV9" s="169"/>
    </row>
    <row r="10" spans="1:48">
      <c r="A10" s="169">
        <f>VLOOKUP(B10,Misc_inputs!$A$3:$B$33,2,0)</f>
        <v>7.6258108678813302E-2</v>
      </c>
      <c r="B10" s="168">
        <v>2021</v>
      </c>
      <c r="C10" s="187">
        <f t="shared" si="29"/>
        <v>6230.9180430466031</v>
      </c>
      <c r="D10" s="187">
        <f t="shared" si="30"/>
        <v>4.7515802529542661</v>
      </c>
      <c r="E10" s="188">
        <f t="shared" si="31"/>
        <v>6235.6696232995573</v>
      </c>
      <c r="F10" s="187">
        <f t="shared" si="32"/>
        <v>0</v>
      </c>
      <c r="G10" s="187">
        <f t="shared" si="71"/>
        <v>0</v>
      </c>
      <c r="H10" s="188">
        <f t="shared" si="34"/>
        <v>0</v>
      </c>
      <c r="I10" s="187">
        <f t="shared" si="35"/>
        <v>11.370288399720076</v>
      </c>
      <c r="J10" s="187">
        <f t="shared" si="72"/>
        <v>8.6707668849530378E-3</v>
      </c>
      <c r="K10" s="188">
        <f t="shared" si="37"/>
        <v>11.378959166605028</v>
      </c>
      <c r="L10" s="187">
        <f t="shared" si="38"/>
        <v>45.481153598880304</v>
      </c>
      <c r="M10" s="187">
        <f t="shared" si="73"/>
        <v>3.4683067539812151E-2</v>
      </c>
      <c r="N10" s="188">
        <f t="shared" si="40"/>
        <v>45.515836666420114</v>
      </c>
      <c r="O10" s="187">
        <f t="shared" si="41"/>
        <v>11.370288399720076</v>
      </c>
      <c r="P10" s="187">
        <f t="shared" si="74"/>
        <v>8.6707668849530378E-3</v>
      </c>
      <c r="Q10" s="188">
        <f t="shared" si="43"/>
        <v>11.378959166605028</v>
      </c>
      <c r="R10" s="187">
        <f t="shared" si="44"/>
        <v>11.370288399720076</v>
      </c>
      <c r="S10" s="187">
        <f t="shared" si="75"/>
        <v>8.6707668849530378E-3</v>
      </c>
      <c r="T10" s="188">
        <f t="shared" si="46"/>
        <v>11.378959166605028</v>
      </c>
      <c r="U10" s="187">
        <f t="shared" si="47"/>
        <v>0</v>
      </c>
      <c r="V10" s="187">
        <f t="shared" si="76"/>
        <v>0</v>
      </c>
      <c r="W10" s="188">
        <f t="shared" si="49"/>
        <v>0</v>
      </c>
      <c r="X10" s="187">
        <f t="shared" si="50"/>
        <v>0</v>
      </c>
      <c r="Y10" s="187">
        <f t="shared" si="77"/>
        <v>0</v>
      </c>
      <c r="Z10" s="188">
        <f t="shared" si="52"/>
        <v>0</v>
      </c>
      <c r="AA10" s="187">
        <f t="shared" si="53"/>
        <v>0</v>
      </c>
      <c r="AB10" s="187">
        <f t="shared" si="78"/>
        <v>0</v>
      </c>
      <c r="AC10" s="188">
        <f t="shared" si="55"/>
        <v>0</v>
      </c>
      <c r="AD10" s="187">
        <f t="shared" si="56"/>
        <v>0</v>
      </c>
      <c r="AE10" s="187">
        <f t="shared" si="79"/>
        <v>0</v>
      </c>
      <c r="AF10" s="188">
        <f t="shared" si="58"/>
        <v>0</v>
      </c>
      <c r="AG10" s="187">
        <f t="shared" si="59"/>
        <v>11.370288399720076</v>
      </c>
      <c r="AH10" s="187">
        <f t="shared" si="80"/>
        <v>8.6707668849530378E-3</v>
      </c>
      <c r="AI10" s="188">
        <f t="shared" si="61"/>
        <v>11.378959166605028</v>
      </c>
      <c r="AJ10" s="187">
        <f t="shared" si="62"/>
        <v>0</v>
      </c>
      <c r="AK10" s="187">
        <f t="shared" si="81"/>
        <v>0</v>
      </c>
      <c r="AL10" s="188">
        <f t="shared" si="64"/>
        <v>0</v>
      </c>
      <c r="AM10" s="187">
        <f t="shared" si="65"/>
        <v>0</v>
      </c>
      <c r="AN10" s="187">
        <f t="shared" si="82"/>
        <v>0</v>
      </c>
      <c r="AO10" s="188">
        <f t="shared" si="67"/>
        <v>0</v>
      </c>
      <c r="AP10" s="194" t="s">
        <v>429</v>
      </c>
      <c r="AQ10" s="187" t="e">
        <f t="shared" si="83"/>
        <v>#VALUE!</v>
      </c>
      <c r="AR10" s="188" t="e">
        <f t="shared" si="69"/>
        <v>#VALUE!</v>
      </c>
      <c r="AS10" s="186">
        <f t="shared" si="70"/>
        <v>6321.8803502443643</v>
      </c>
      <c r="AT10" s="169"/>
      <c r="AU10" s="169"/>
      <c r="AV10" s="169"/>
    </row>
    <row r="11" spans="1:48">
      <c r="A11" s="169">
        <f>VLOOKUP(B11,Misc_inputs!$A$3:$B$33,2,0)</f>
        <v>2.8492930312000952</v>
      </c>
      <c r="B11" s="168">
        <v>2022</v>
      </c>
      <c r="C11" s="187">
        <f t="shared" si="29"/>
        <v>6235.6696232995573</v>
      </c>
      <c r="D11" s="187">
        <f t="shared" si="30"/>
        <v>177.67250002533549</v>
      </c>
      <c r="E11" s="188">
        <f t="shared" si="31"/>
        <v>6413.3421233248928</v>
      </c>
      <c r="F11" s="187">
        <f t="shared" si="32"/>
        <v>0</v>
      </c>
      <c r="G11" s="187">
        <f t="shared" si="71"/>
        <v>0</v>
      </c>
      <c r="H11" s="188">
        <f t="shared" si="34"/>
        <v>0</v>
      </c>
      <c r="I11" s="187">
        <f t="shared" si="35"/>
        <v>11.378959166605028</v>
      </c>
      <c r="J11" s="187">
        <f t="shared" si="72"/>
        <v>0.32421989055718148</v>
      </c>
      <c r="K11" s="188">
        <f t="shared" si="37"/>
        <v>11.70317905716221</v>
      </c>
      <c r="L11" s="187">
        <f t="shared" si="38"/>
        <v>45.515836666420114</v>
      </c>
      <c r="M11" s="187">
        <f t="shared" si="73"/>
        <v>1.2968795622287259</v>
      </c>
      <c r="N11" s="188">
        <f t="shared" si="40"/>
        <v>46.812716228648839</v>
      </c>
      <c r="O11" s="187">
        <f t="shared" si="41"/>
        <v>11.378959166605028</v>
      </c>
      <c r="P11" s="187">
        <f t="shared" si="74"/>
        <v>0.32421989055718148</v>
      </c>
      <c r="Q11" s="188">
        <f t="shared" si="43"/>
        <v>11.70317905716221</v>
      </c>
      <c r="R11" s="187">
        <f t="shared" si="44"/>
        <v>11.378959166605028</v>
      </c>
      <c r="S11" s="187">
        <f t="shared" si="75"/>
        <v>0.32421989055718148</v>
      </c>
      <c r="T11" s="188">
        <f t="shared" si="46"/>
        <v>11.70317905716221</v>
      </c>
      <c r="U11" s="187">
        <f t="shared" si="47"/>
        <v>0</v>
      </c>
      <c r="V11" s="187">
        <f t="shared" si="76"/>
        <v>0</v>
      </c>
      <c r="W11" s="188">
        <f t="shared" si="49"/>
        <v>0</v>
      </c>
      <c r="X11" s="187">
        <f t="shared" si="50"/>
        <v>0</v>
      </c>
      <c r="Y11" s="187">
        <f t="shared" si="77"/>
        <v>0</v>
      </c>
      <c r="Z11" s="188">
        <f t="shared" si="52"/>
        <v>0</v>
      </c>
      <c r="AA11" s="187">
        <f t="shared" si="53"/>
        <v>0</v>
      </c>
      <c r="AB11" s="187">
        <f t="shared" si="78"/>
        <v>0</v>
      </c>
      <c r="AC11" s="188">
        <f t="shared" si="55"/>
        <v>0</v>
      </c>
      <c r="AD11" s="187">
        <f t="shared" si="56"/>
        <v>0</v>
      </c>
      <c r="AE11" s="187">
        <f t="shared" si="79"/>
        <v>0</v>
      </c>
      <c r="AF11" s="188">
        <f t="shared" si="58"/>
        <v>0</v>
      </c>
      <c r="AG11" s="187">
        <f t="shared" si="59"/>
        <v>11.378959166605028</v>
      </c>
      <c r="AH11" s="187">
        <f t="shared" si="80"/>
        <v>0.32421989055718148</v>
      </c>
      <c r="AI11" s="188">
        <f t="shared" si="61"/>
        <v>11.70317905716221</v>
      </c>
      <c r="AJ11" s="187">
        <f t="shared" si="62"/>
        <v>0</v>
      </c>
      <c r="AK11" s="187">
        <f t="shared" si="81"/>
        <v>0</v>
      </c>
      <c r="AL11" s="188">
        <f t="shared" si="64"/>
        <v>0</v>
      </c>
      <c r="AM11" s="187">
        <f t="shared" si="65"/>
        <v>0</v>
      </c>
      <c r="AN11" s="187">
        <f t="shared" si="82"/>
        <v>0</v>
      </c>
      <c r="AO11" s="188">
        <f t="shared" si="67"/>
        <v>0</v>
      </c>
      <c r="AP11" s="194" t="s">
        <v>429</v>
      </c>
      <c r="AQ11" s="187" t="e">
        <f t="shared" si="83"/>
        <v>#VALUE!</v>
      </c>
      <c r="AR11" s="188" t="e">
        <f t="shared" si="69"/>
        <v>#VALUE!</v>
      </c>
      <c r="AS11" s="186">
        <f t="shared" si="70"/>
        <v>6326.7012966323991</v>
      </c>
      <c r="AT11" s="169"/>
      <c r="AU11" s="169"/>
      <c r="AV11" s="169"/>
    </row>
    <row r="12" spans="1:48">
      <c r="A12" s="169">
        <f>VLOOKUP(B12,Misc_inputs!$A$3:$B$33,2,0)</f>
        <v>3.143440902459993</v>
      </c>
      <c r="B12" s="168">
        <v>2023</v>
      </c>
      <c r="C12" s="187">
        <f t="shared" si="29"/>
        <v>6413.3421233248928</v>
      </c>
      <c r="D12" s="187">
        <f t="shared" si="30"/>
        <v>201.59961951929091</v>
      </c>
      <c r="E12" s="188">
        <f t="shared" si="31"/>
        <v>6614.9417428441839</v>
      </c>
      <c r="F12" s="187">
        <f t="shared" si="32"/>
        <v>0</v>
      </c>
      <c r="G12" s="187">
        <f t="shared" si="71"/>
        <v>0</v>
      </c>
      <c r="H12" s="188">
        <f t="shared" si="34"/>
        <v>0</v>
      </c>
      <c r="I12" s="187">
        <f t="shared" si="35"/>
        <v>11.70317905716221</v>
      </c>
      <c r="J12" s="187">
        <f t="shared" si="72"/>
        <v>0.36788251737096866</v>
      </c>
      <c r="K12" s="188">
        <f t="shared" si="37"/>
        <v>12.071061574533179</v>
      </c>
      <c r="L12" s="187">
        <f t="shared" si="38"/>
        <v>46.812716228648839</v>
      </c>
      <c r="M12" s="187">
        <f t="shared" si="73"/>
        <v>1.4715300694838747</v>
      </c>
      <c r="N12" s="188">
        <f t="shared" si="40"/>
        <v>48.284246298132715</v>
      </c>
      <c r="O12" s="187">
        <f t="shared" si="41"/>
        <v>11.70317905716221</v>
      </c>
      <c r="P12" s="187">
        <f t="shared" si="74"/>
        <v>0.36788251737096866</v>
      </c>
      <c r="Q12" s="188">
        <f t="shared" si="43"/>
        <v>12.071061574533179</v>
      </c>
      <c r="R12" s="187">
        <f t="shared" si="44"/>
        <v>11.70317905716221</v>
      </c>
      <c r="S12" s="187">
        <f t="shared" si="75"/>
        <v>0.36788251737096866</v>
      </c>
      <c r="T12" s="188">
        <f t="shared" si="46"/>
        <v>12.071061574533179</v>
      </c>
      <c r="U12" s="187">
        <f t="shared" si="47"/>
        <v>0</v>
      </c>
      <c r="V12" s="187">
        <f t="shared" si="76"/>
        <v>0</v>
      </c>
      <c r="W12" s="188">
        <f t="shared" si="49"/>
        <v>0</v>
      </c>
      <c r="X12" s="187">
        <f t="shared" si="50"/>
        <v>0</v>
      </c>
      <c r="Y12" s="187">
        <f t="shared" si="77"/>
        <v>0</v>
      </c>
      <c r="Z12" s="188">
        <f t="shared" si="52"/>
        <v>0</v>
      </c>
      <c r="AA12" s="187">
        <f t="shared" si="53"/>
        <v>0</v>
      </c>
      <c r="AB12" s="187">
        <f t="shared" si="78"/>
        <v>0</v>
      </c>
      <c r="AC12" s="188">
        <f t="shared" si="55"/>
        <v>0</v>
      </c>
      <c r="AD12" s="187">
        <f t="shared" si="56"/>
        <v>0</v>
      </c>
      <c r="AE12" s="187">
        <f t="shared" si="79"/>
        <v>0</v>
      </c>
      <c r="AF12" s="188">
        <f t="shared" si="58"/>
        <v>0</v>
      </c>
      <c r="AG12" s="187">
        <f t="shared" si="59"/>
        <v>11.70317905716221</v>
      </c>
      <c r="AH12" s="187">
        <f t="shared" si="80"/>
        <v>0.36788251737096866</v>
      </c>
      <c r="AI12" s="188">
        <f t="shared" si="61"/>
        <v>12.071061574533179</v>
      </c>
      <c r="AJ12" s="187">
        <f t="shared" si="62"/>
        <v>0</v>
      </c>
      <c r="AK12" s="187">
        <f t="shared" si="81"/>
        <v>0</v>
      </c>
      <c r="AL12" s="188">
        <f t="shared" si="64"/>
        <v>0</v>
      </c>
      <c r="AM12" s="187">
        <f t="shared" si="65"/>
        <v>0</v>
      </c>
      <c r="AN12" s="187">
        <f t="shared" si="82"/>
        <v>0</v>
      </c>
      <c r="AO12" s="188">
        <f t="shared" si="67"/>
        <v>0</v>
      </c>
      <c r="AP12" s="194" t="s">
        <v>429</v>
      </c>
      <c r="AQ12" s="187" t="e">
        <f t="shared" si="83"/>
        <v>#VALUE!</v>
      </c>
      <c r="AR12" s="188" t="e">
        <f t="shared" si="69"/>
        <v>#VALUE!</v>
      </c>
      <c r="AS12" s="186">
        <f t="shared" si="70"/>
        <v>6506.9675557821893</v>
      </c>
      <c r="AT12" s="169"/>
      <c r="AU12" s="169"/>
      <c r="AV12" s="169"/>
    </row>
    <row r="13" spans="1:48">
      <c r="A13" s="169">
        <f>VLOOKUP(B13,Misc_inputs!$A$3:$B$33,2,0)</f>
        <v>1.8594732384912049</v>
      </c>
      <c r="B13" s="168">
        <v>2024</v>
      </c>
      <c r="C13" s="187">
        <f t="shared" si="29"/>
        <v>6614.9417428441839</v>
      </c>
      <c r="D13" s="187">
        <f t="shared" si="30"/>
        <v>123.0030714499713</v>
      </c>
      <c r="E13" s="188">
        <f t="shared" si="31"/>
        <v>6737.9448142941555</v>
      </c>
      <c r="F13" s="187">
        <f t="shared" si="32"/>
        <v>0</v>
      </c>
      <c r="G13" s="187">
        <f t="shared" si="71"/>
        <v>0</v>
      </c>
      <c r="H13" s="188">
        <f t="shared" si="34"/>
        <v>0</v>
      </c>
      <c r="I13" s="187">
        <f t="shared" si="35"/>
        <v>12.071061574533179</v>
      </c>
      <c r="J13" s="187">
        <f t="shared" si="72"/>
        <v>0.22445815958023954</v>
      </c>
      <c r="K13" s="188">
        <f t="shared" si="37"/>
        <v>12.295519734113418</v>
      </c>
      <c r="L13" s="187">
        <f t="shared" si="38"/>
        <v>48.284246298132715</v>
      </c>
      <c r="M13" s="187">
        <f t="shared" si="73"/>
        <v>0.89783263832095817</v>
      </c>
      <c r="N13" s="188">
        <f t="shared" si="40"/>
        <v>49.182078936453671</v>
      </c>
      <c r="O13" s="187">
        <f t="shared" si="41"/>
        <v>12.071061574533179</v>
      </c>
      <c r="P13" s="187">
        <f t="shared" si="74"/>
        <v>0.22445815958023954</v>
      </c>
      <c r="Q13" s="188">
        <f t="shared" si="43"/>
        <v>12.295519734113418</v>
      </c>
      <c r="R13" s="187">
        <f t="shared" si="44"/>
        <v>12.071061574533179</v>
      </c>
      <c r="S13" s="187">
        <f t="shared" si="75"/>
        <v>0.22445815958023954</v>
      </c>
      <c r="T13" s="188">
        <f t="shared" si="46"/>
        <v>12.295519734113418</v>
      </c>
      <c r="U13" s="187">
        <f t="shared" si="47"/>
        <v>0</v>
      </c>
      <c r="V13" s="187">
        <f t="shared" si="76"/>
        <v>0</v>
      </c>
      <c r="W13" s="188">
        <f t="shared" si="49"/>
        <v>0</v>
      </c>
      <c r="X13" s="187">
        <f t="shared" si="50"/>
        <v>0</v>
      </c>
      <c r="Y13" s="187">
        <f t="shared" si="77"/>
        <v>0</v>
      </c>
      <c r="Z13" s="188">
        <f t="shared" si="52"/>
        <v>0</v>
      </c>
      <c r="AA13" s="187">
        <f t="shared" si="53"/>
        <v>0</v>
      </c>
      <c r="AB13" s="187">
        <f t="shared" si="78"/>
        <v>0</v>
      </c>
      <c r="AC13" s="188">
        <f t="shared" si="55"/>
        <v>0</v>
      </c>
      <c r="AD13" s="187">
        <f t="shared" si="56"/>
        <v>0</v>
      </c>
      <c r="AE13" s="187">
        <f t="shared" si="79"/>
        <v>0</v>
      </c>
      <c r="AF13" s="188">
        <f t="shared" si="58"/>
        <v>0</v>
      </c>
      <c r="AG13" s="187">
        <f t="shared" si="59"/>
        <v>12.071061574533179</v>
      </c>
      <c r="AH13" s="187">
        <f t="shared" si="80"/>
        <v>0.22445815958023954</v>
      </c>
      <c r="AI13" s="188">
        <f t="shared" si="61"/>
        <v>12.295519734113418</v>
      </c>
      <c r="AJ13" s="187">
        <f t="shared" si="62"/>
        <v>0</v>
      </c>
      <c r="AK13" s="187">
        <f t="shared" si="81"/>
        <v>0</v>
      </c>
      <c r="AL13" s="188">
        <f t="shared" si="64"/>
        <v>0</v>
      </c>
      <c r="AM13" s="187">
        <f t="shared" si="65"/>
        <v>0</v>
      </c>
      <c r="AN13" s="187">
        <f t="shared" si="82"/>
        <v>0</v>
      </c>
      <c r="AO13" s="188">
        <f t="shared" si="67"/>
        <v>0</v>
      </c>
      <c r="AP13" s="194" t="s">
        <v>429</v>
      </c>
      <c r="AQ13" s="187" t="e">
        <f t="shared" si="83"/>
        <v>#VALUE!</v>
      </c>
      <c r="AR13" s="188" t="e">
        <f t="shared" si="69"/>
        <v>#VALUE!</v>
      </c>
      <c r="AS13" s="186">
        <f t="shared" si="70"/>
        <v>6711.510235440448</v>
      </c>
      <c r="AT13" s="169"/>
      <c r="AU13" s="169"/>
      <c r="AV13" s="169"/>
    </row>
    <row r="14" spans="1:48">
      <c r="A14" s="169">
        <f>VLOOKUP(B14,Misc_inputs!$A$3:$B$33,2,0)</f>
        <v>1.892198034308179</v>
      </c>
      <c r="B14" s="168">
        <v>2025</v>
      </c>
      <c r="C14" s="187">
        <f t="shared" si="29"/>
        <v>6737.9448142941555</v>
      </c>
      <c r="D14" s="187">
        <f t="shared" si="30"/>
        <v>127.4952593288439</v>
      </c>
      <c r="E14" s="188">
        <f t="shared" si="31"/>
        <v>6865.4400736229991</v>
      </c>
      <c r="F14" s="187">
        <f t="shared" si="32"/>
        <v>0</v>
      </c>
      <c r="G14" s="187">
        <f t="shared" si="71"/>
        <v>0</v>
      </c>
      <c r="H14" s="188">
        <f t="shared" si="34"/>
        <v>0</v>
      </c>
      <c r="I14" s="187">
        <f t="shared" si="35"/>
        <v>12.295519734113418</v>
      </c>
      <c r="J14" s="187">
        <f t="shared" si="72"/>
        <v>0.23265558271686831</v>
      </c>
      <c r="K14" s="188">
        <f t="shared" si="37"/>
        <v>12.528175316830286</v>
      </c>
      <c r="L14" s="187">
        <f t="shared" si="38"/>
        <v>49.182078936453671</v>
      </c>
      <c r="M14" s="187">
        <f t="shared" si="73"/>
        <v>0.93062233086747326</v>
      </c>
      <c r="N14" s="188">
        <f t="shared" si="40"/>
        <v>50.112701267321142</v>
      </c>
      <c r="O14" s="187">
        <f t="shared" si="41"/>
        <v>12.295519734113418</v>
      </c>
      <c r="P14" s="187">
        <f t="shared" si="74"/>
        <v>0.23265558271686831</v>
      </c>
      <c r="Q14" s="188">
        <f t="shared" si="43"/>
        <v>12.528175316830286</v>
      </c>
      <c r="R14" s="187">
        <f t="shared" si="44"/>
        <v>12.295519734113418</v>
      </c>
      <c r="S14" s="187">
        <f t="shared" si="75"/>
        <v>0.23265558271686831</v>
      </c>
      <c r="T14" s="188">
        <f t="shared" si="46"/>
        <v>12.528175316830286</v>
      </c>
      <c r="U14" s="187">
        <f t="shared" si="47"/>
        <v>0</v>
      </c>
      <c r="V14" s="187">
        <f t="shared" si="76"/>
        <v>0</v>
      </c>
      <c r="W14" s="188">
        <f t="shared" si="49"/>
        <v>0</v>
      </c>
      <c r="X14" s="187">
        <f t="shared" si="50"/>
        <v>0</v>
      </c>
      <c r="Y14" s="187">
        <f t="shared" si="77"/>
        <v>0</v>
      </c>
      <c r="Z14" s="188">
        <f t="shared" si="52"/>
        <v>0</v>
      </c>
      <c r="AA14" s="187">
        <f t="shared" si="53"/>
        <v>0</v>
      </c>
      <c r="AB14" s="187">
        <f t="shared" si="78"/>
        <v>0</v>
      </c>
      <c r="AC14" s="188">
        <f t="shared" si="55"/>
        <v>0</v>
      </c>
      <c r="AD14" s="187">
        <f t="shared" si="56"/>
        <v>0</v>
      </c>
      <c r="AE14" s="187">
        <f t="shared" si="79"/>
        <v>0</v>
      </c>
      <c r="AF14" s="188">
        <f t="shared" si="58"/>
        <v>0</v>
      </c>
      <c r="AG14" s="187">
        <f t="shared" si="59"/>
        <v>12.295519734113418</v>
      </c>
      <c r="AH14" s="187">
        <f t="shared" si="80"/>
        <v>0.23265558271686831</v>
      </c>
      <c r="AI14" s="188">
        <f t="shared" si="61"/>
        <v>12.528175316830286</v>
      </c>
      <c r="AJ14" s="187">
        <f t="shared" si="62"/>
        <v>0</v>
      </c>
      <c r="AK14" s="187">
        <f t="shared" si="81"/>
        <v>0</v>
      </c>
      <c r="AL14" s="188">
        <f t="shared" si="64"/>
        <v>0</v>
      </c>
      <c r="AM14" s="187">
        <f t="shared" si="65"/>
        <v>0</v>
      </c>
      <c r="AN14" s="187">
        <f t="shared" si="82"/>
        <v>0</v>
      </c>
      <c r="AO14" s="188">
        <f t="shared" si="67"/>
        <v>0</v>
      </c>
      <c r="AP14" s="194" t="s">
        <v>429</v>
      </c>
      <c r="AQ14" s="187" t="e">
        <f t="shared" si="83"/>
        <v>#VALUE!</v>
      </c>
      <c r="AR14" s="188" t="e">
        <f t="shared" si="69"/>
        <v>#VALUE!</v>
      </c>
      <c r="AS14" s="186">
        <f t="shared" si="70"/>
        <v>6836.3089721670631</v>
      </c>
      <c r="AT14" s="169"/>
      <c r="AU14" s="169"/>
      <c r="AV14" s="169"/>
    </row>
    <row r="15" spans="1:48">
      <c r="A15" s="169">
        <f>VLOOKUP(B15,Misc_inputs!$A$3:$B$33,2,0)</f>
        <v>2.0003592159356653</v>
      </c>
      <c r="B15" s="168">
        <v>2026</v>
      </c>
      <c r="C15" s="187">
        <f t="shared" si="29"/>
        <v>6865.4400736229991</v>
      </c>
      <c r="D15" s="187">
        <f t="shared" si="30"/>
        <v>137.33346322725799</v>
      </c>
      <c r="E15" s="188">
        <f t="shared" si="31"/>
        <v>7002.7735368502572</v>
      </c>
      <c r="F15" s="187">
        <f t="shared" si="32"/>
        <v>0</v>
      </c>
      <c r="G15" s="187">
        <f t="shared" si="71"/>
        <v>0</v>
      </c>
      <c r="H15" s="188">
        <f t="shared" si="34"/>
        <v>0</v>
      </c>
      <c r="I15" s="187">
        <f t="shared" si="35"/>
        <v>12.528175316830286</v>
      </c>
      <c r="J15" s="187">
        <f t="shared" si="72"/>
        <v>0.25060850953879188</v>
      </c>
      <c r="K15" s="188">
        <f t="shared" si="37"/>
        <v>12.778783826369077</v>
      </c>
      <c r="L15" s="187">
        <f t="shared" si="38"/>
        <v>50.112701267321142</v>
      </c>
      <c r="M15" s="187">
        <f t="shared" si="73"/>
        <v>1.0024340381551675</v>
      </c>
      <c r="N15" s="188">
        <f t="shared" si="40"/>
        <v>51.115135305476308</v>
      </c>
      <c r="O15" s="187">
        <f t="shared" si="41"/>
        <v>12.528175316830286</v>
      </c>
      <c r="P15" s="187">
        <f t="shared" si="74"/>
        <v>0.25060850953879188</v>
      </c>
      <c r="Q15" s="188">
        <f t="shared" si="43"/>
        <v>12.778783826369077</v>
      </c>
      <c r="R15" s="187">
        <f t="shared" si="44"/>
        <v>12.528175316830286</v>
      </c>
      <c r="S15" s="187">
        <f t="shared" si="75"/>
        <v>0.25060850953879188</v>
      </c>
      <c r="T15" s="188">
        <f t="shared" si="46"/>
        <v>12.778783826369077</v>
      </c>
      <c r="U15" s="187">
        <f t="shared" si="47"/>
        <v>0</v>
      </c>
      <c r="V15" s="187">
        <f t="shared" si="76"/>
        <v>0</v>
      </c>
      <c r="W15" s="188">
        <f t="shared" si="49"/>
        <v>0</v>
      </c>
      <c r="X15" s="187">
        <f t="shared" si="50"/>
        <v>0</v>
      </c>
      <c r="Y15" s="187">
        <f t="shared" si="77"/>
        <v>0</v>
      </c>
      <c r="Z15" s="188">
        <f t="shared" si="52"/>
        <v>0</v>
      </c>
      <c r="AA15" s="187">
        <f t="shared" si="53"/>
        <v>0</v>
      </c>
      <c r="AB15" s="187">
        <f t="shared" si="78"/>
        <v>0</v>
      </c>
      <c r="AC15" s="188">
        <f t="shared" si="55"/>
        <v>0</v>
      </c>
      <c r="AD15" s="187">
        <f t="shared" si="56"/>
        <v>0</v>
      </c>
      <c r="AE15" s="187">
        <f t="shared" si="79"/>
        <v>0</v>
      </c>
      <c r="AF15" s="188">
        <f t="shared" si="58"/>
        <v>0</v>
      </c>
      <c r="AG15" s="187">
        <f t="shared" si="59"/>
        <v>12.528175316830286</v>
      </c>
      <c r="AH15" s="187">
        <f t="shared" si="80"/>
        <v>0.25060850953879188</v>
      </c>
      <c r="AI15" s="188">
        <f t="shared" si="61"/>
        <v>12.778783826369077</v>
      </c>
      <c r="AJ15" s="187">
        <f t="shared" si="62"/>
        <v>0</v>
      </c>
      <c r="AK15" s="187">
        <f t="shared" si="81"/>
        <v>0</v>
      </c>
      <c r="AL15" s="188">
        <f t="shared" si="64"/>
        <v>0</v>
      </c>
      <c r="AM15" s="187">
        <f t="shared" si="65"/>
        <v>0</v>
      </c>
      <c r="AN15" s="187">
        <f t="shared" si="82"/>
        <v>0</v>
      </c>
      <c r="AO15" s="188">
        <f t="shared" si="67"/>
        <v>0</v>
      </c>
      <c r="AP15" s="194" t="s">
        <v>429</v>
      </c>
      <c r="AQ15" s="187" t="e">
        <f t="shared" si="83"/>
        <v>#VALUE!</v>
      </c>
      <c r="AR15" s="188" t="e">
        <f t="shared" si="69"/>
        <v>#VALUE!</v>
      </c>
      <c r="AS15" s="186">
        <f t="shared" si="70"/>
        <v>6965.665476157641</v>
      </c>
      <c r="AT15" s="169"/>
      <c r="AU15" s="169"/>
      <c r="AV15" s="169"/>
    </row>
    <row r="16" spans="1:48">
      <c r="A16" s="169">
        <f>VLOOKUP(B16,Misc_inputs!$A$3:$B$33,2,0)</f>
        <v>0</v>
      </c>
      <c r="B16" s="168">
        <v>2027</v>
      </c>
      <c r="C16" s="187">
        <f t="shared" si="29"/>
        <v>7002.7735368502572</v>
      </c>
      <c r="D16" s="187">
        <f t="shared" si="30"/>
        <v>0</v>
      </c>
      <c r="E16" s="188">
        <f t="shared" si="31"/>
        <v>7002.7735368502572</v>
      </c>
      <c r="F16" s="187">
        <f t="shared" si="32"/>
        <v>0</v>
      </c>
      <c r="G16" s="187">
        <f t="shared" si="71"/>
        <v>0</v>
      </c>
      <c r="H16" s="188">
        <f t="shared" si="34"/>
        <v>0</v>
      </c>
      <c r="I16" s="187">
        <f t="shared" si="35"/>
        <v>12.778783826369077</v>
      </c>
      <c r="J16" s="187">
        <f t="shared" si="72"/>
        <v>0</v>
      </c>
      <c r="K16" s="188">
        <f t="shared" si="37"/>
        <v>12.778783826369077</v>
      </c>
      <c r="L16" s="187">
        <f t="shared" si="38"/>
        <v>51.115135305476308</v>
      </c>
      <c r="M16" s="187">
        <f t="shared" si="73"/>
        <v>0</v>
      </c>
      <c r="N16" s="188">
        <f t="shared" si="40"/>
        <v>51.115135305476308</v>
      </c>
      <c r="O16" s="187">
        <f t="shared" si="41"/>
        <v>12.778783826369077</v>
      </c>
      <c r="P16" s="187">
        <f t="shared" si="74"/>
        <v>0</v>
      </c>
      <c r="Q16" s="188">
        <f t="shared" si="43"/>
        <v>12.778783826369077</v>
      </c>
      <c r="R16" s="187">
        <f t="shared" si="44"/>
        <v>12.778783826369077</v>
      </c>
      <c r="S16" s="187">
        <f t="shared" si="75"/>
        <v>0</v>
      </c>
      <c r="T16" s="188">
        <f t="shared" si="46"/>
        <v>12.778783826369077</v>
      </c>
      <c r="U16" s="187">
        <f t="shared" si="47"/>
        <v>0</v>
      </c>
      <c r="V16" s="187">
        <f t="shared" si="76"/>
        <v>0</v>
      </c>
      <c r="W16" s="188">
        <f t="shared" si="49"/>
        <v>0</v>
      </c>
      <c r="X16" s="187">
        <f t="shared" si="50"/>
        <v>0</v>
      </c>
      <c r="Y16" s="187">
        <f t="shared" si="77"/>
        <v>0</v>
      </c>
      <c r="Z16" s="188">
        <f t="shared" si="52"/>
        <v>0</v>
      </c>
      <c r="AA16" s="187">
        <f t="shared" si="53"/>
        <v>0</v>
      </c>
      <c r="AB16" s="187">
        <f t="shared" si="78"/>
        <v>0</v>
      </c>
      <c r="AC16" s="188">
        <f t="shared" si="55"/>
        <v>0</v>
      </c>
      <c r="AD16" s="187">
        <f t="shared" si="56"/>
        <v>0</v>
      </c>
      <c r="AE16" s="187">
        <f t="shared" si="79"/>
        <v>0</v>
      </c>
      <c r="AF16" s="188">
        <f t="shared" si="58"/>
        <v>0</v>
      </c>
      <c r="AG16" s="187">
        <f t="shared" si="59"/>
        <v>12.778783826369077</v>
      </c>
      <c r="AH16" s="187">
        <f t="shared" si="80"/>
        <v>0</v>
      </c>
      <c r="AI16" s="188">
        <f t="shared" si="61"/>
        <v>12.778783826369077</v>
      </c>
      <c r="AJ16" s="187">
        <f t="shared" si="62"/>
        <v>0</v>
      </c>
      <c r="AK16" s="187">
        <f t="shared" si="81"/>
        <v>0</v>
      </c>
      <c r="AL16" s="188">
        <f t="shared" si="64"/>
        <v>0</v>
      </c>
      <c r="AM16" s="187">
        <f t="shared" si="65"/>
        <v>0</v>
      </c>
      <c r="AN16" s="187">
        <f t="shared" si="82"/>
        <v>0</v>
      </c>
      <c r="AO16" s="188">
        <f t="shared" si="67"/>
        <v>0</v>
      </c>
      <c r="AP16" s="194" t="s">
        <v>429</v>
      </c>
      <c r="AQ16" s="187" t="e">
        <f t="shared" si="83"/>
        <v>#VALUE!</v>
      </c>
      <c r="AR16" s="188" t="e">
        <f t="shared" si="69"/>
        <v>#VALUE!</v>
      </c>
      <c r="AS16" s="186">
        <f t="shared" si="70"/>
        <v>7105.0038074612112</v>
      </c>
      <c r="AT16" s="169"/>
      <c r="AU16" s="169"/>
      <c r="AV16" s="169"/>
    </row>
    <row r="17" spans="1:48">
      <c r="A17" s="169">
        <f>VLOOKUP(B17,Misc_inputs!$A$3:$B$33,2,0)</f>
        <v>0</v>
      </c>
      <c r="B17" s="168">
        <v>2028</v>
      </c>
      <c r="C17" s="187">
        <f t="shared" si="29"/>
        <v>7002.7735368502572</v>
      </c>
      <c r="D17" s="187">
        <f t="shared" si="30"/>
        <v>0</v>
      </c>
      <c r="E17" s="188">
        <f t="shared" si="31"/>
        <v>7002.7735368502572</v>
      </c>
      <c r="F17" s="187">
        <f t="shared" si="32"/>
        <v>0</v>
      </c>
      <c r="G17" s="187">
        <f t="shared" si="71"/>
        <v>0</v>
      </c>
      <c r="H17" s="188">
        <f t="shared" si="34"/>
        <v>0</v>
      </c>
      <c r="I17" s="187">
        <f t="shared" si="35"/>
        <v>12.778783826369077</v>
      </c>
      <c r="J17" s="187">
        <f t="shared" si="72"/>
        <v>0</v>
      </c>
      <c r="K17" s="188">
        <f t="shared" si="37"/>
        <v>12.778783826369077</v>
      </c>
      <c r="L17" s="187">
        <f t="shared" si="38"/>
        <v>51.115135305476308</v>
      </c>
      <c r="M17" s="187">
        <f t="shared" si="73"/>
        <v>0</v>
      </c>
      <c r="N17" s="188">
        <f t="shared" si="40"/>
        <v>51.115135305476308</v>
      </c>
      <c r="O17" s="187">
        <f t="shared" si="41"/>
        <v>12.778783826369077</v>
      </c>
      <c r="P17" s="187">
        <f t="shared" si="74"/>
        <v>0</v>
      </c>
      <c r="Q17" s="188">
        <f t="shared" si="43"/>
        <v>12.778783826369077</v>
      </c>
      <c r="R17" s="187">
        <f t="shared" si="44"/>
        <v>12.778783826369077</v>
      </c>
      <c r="S17" s="187">
        <f t="shared" si="75"/>
        <v>0</v>
      </c>
      <c r="T17" s="188">
        <f t="shared" si="46"/>
        <v>12.778783826369077</v>
      </c>
      <c r="U17" s="187">
        <f t="shared" si="47"/>
        <v>0</v>
      </c>
      <c r="V17" s="187">
        <f t="shared" si="76"/>
        <v>0</v>
      </c>
      <c r="W17" s="188">
        <f t="shared" si="49"/>
        <v>0</v>
      </c>
      <c r="X17" s="187">
        <f t="shared" si="50"/>
        <v>0</v>
      </c>
      <c r="Y17" s="187">
        <f t="shared" si="77"/>
        <v>0</v>
      </c>
      <c r="Z17" s="188">
        <f t="shared" si="52"/>
        <v>0</v>
      </c>
      <c r="AA17" s="187">
        <f t="shared" si="53"/>
        <v>0</v>
      </c>
      <c r="AB17" s="187">
        <f t="shared" si="78"/>
        <v>0</v>
      </c>
      <c r="AC17" s="188">
        <f t="shared" si="55"/>
        <v>0</v>
      </c>
      <c r="AD17" s="187">
        <f t="shared" si="56"/>
        <v>0</v>
      </c>
      <c r="AE17" s="187">
        <f t="shared" si="79"/>
        <v>0</v>
      </c>
      <c r="AF17" s="188">
        <f t="shared" si="58"/>
        <v>0</v>
      </c>
      <c r="AG17" s="187">
        <f t="shared" si="59"/>
        <v>12.778783826369077</v>
      </c>
      <c r="AH17" s="187">
        <f t="shared" si="80"/>
        <v>0</v>
      </c>
      <c r="AI17" s="188">
        <f t="shared" si="61"/>
        <v>12.778783826369077</v>
      </c>
      <c r="AJ17" s="187">
        <f t="shared" si="62"/>
        <v>0</v>
      </c>
      <c r="AK17" s="187">
        <f t="shared" si="81"/>
        <v>0</v>
      </c>
      <c r="AL17" s="188">
        <f t="shared" si="64"/>
        <v>0</v>
      </c>
      <c r="AM17" s="187">
        <f t="shared" si="65"/>
        <v>0</v>
      </c>
      <c r="AN17" s="187">
        <f t="shared" si="82"/>
        <v>0</v>
      </c>
      <c r="AO17" s="188">
        <f t="shared" si="67"/>
        <v>0</v>
      </c>
      <c r="AP17" s="194" t="s">
        <v>429</v>
      </c>
      <c r="AQ17" s="187" t="e">
        <f t="shared" si="83"/>
        <v>#VALUE!</v>
      </c>
      <c r="AR17" s="188" t="e">
        <f t="shared" si="69"/>
        <v>#VALUE!</v>
      </c>
      <c r="AS17" s="186">
        <f t="shared" si="70"/>
        <v>7105.0038074612112</v>
      </c>
      <c r="AT17" s="169"/>
      <c r="AU17" s="169"/>
      <c r="AV17" s="169"/>
    </row>
    <row r="18" spans="1:48">
      <c r="A18" s="169">
        <f>VLOOKUP(B18,Misc_inputs!$A$3:$B$33,2,0)</f>
        <v>0</v>
      </c>
      <c r="B18" s="168">
        <v>2029</v>
      </c>
      <c r="C18" s="187">
        <f t="shared" si="29"/>
        <v>7002.7735368502572</v>
      </c>
      <c r="D18" s="187">
        <f t="shared" si="30"/>
        <v>0</v>
      </c>
      <c r="E18" s="188">
        <f t="shared" si="31"/>
        <v>7002.7735368502572</v>
      </c>
      <c r="F18" s="187">
        <f t="shared" si="32"/>
        <v>0</v>
      </c>
      <c r="G18" s="187">
        <f t="shared" si="71"/>
        <v>0</v>
      </c>
      <c r="H18" s="188">
        <f t="shared" si="34"/>
        <v>0</v>
      </c>
      <c r="I18" s="187">
        <f t="shared" si="35"/>
        <v>12.778783826369077</v>
      </c>
      <c r="J18" s="187">
        <f t="shared" si="72"/>
        <v>0</v>
      </c>
      <c r="K18" s="188">
        <f t="shared" si="37"/>
        <v>12.778783826369077</v>
      </c>
      <c r="L18" s="187">
        <f t="shared" si="38"/>
        <v>51.115135305476308</v>
      </c>
      <c r="M18" s="187">
        <f t="shared" si="73"/>
        <v>0</v>
      </c>
      <c r="N18" s="188">
        <f t="shared" si="40"/>
        <v>51.115135305476308</v>
      </c>
      <c r="O18" s="187">
        <f t="shared" si="41"/>
        <v>12.778783826369077</v>
      </c>
      <c r="P18" s="187">
        <f t="shared" si="74"/>
        <v>0</v>
      </c>
      <c r="Q18" s="188">
        <f t="shared" si="43"/>
        <v>12.778783826369077</v>
      </c>
      <c r="R18" s="187">
        <f t="shared" si="44"/>
        <v>12.778783826369077</v>
      </c>
      <c r="S18" s="187">
        <f t="shared" si="75"/>
        <v>0</v>
      </c>
      <c r="T18" s="188">
        <f t="shared" si="46"/>
        <v>12.778783826369077</v>
      </c>
      <c r="U18" s="187">
        <f t="shared" si="47"/>
        <v>0</v>
      </c>
      <c r="V18" s="187">
        <f t="shared" si="76"/>
        <v>0</v>
      </c>
      <c r="W18" s="188">
        <f t="shared" si="49"/>
        <v>0</v>
      </c>
      <c r="X18" s="187">
        <f t="shared" si="50"/>
        <v>0</v>
      </c>
      <c r="Y18" s="187">
        <f t="shared" si="77"/>
        <v>0</v>
      </c>
      <c r="Z18" s="188">
        <f t="shared" si="52"/>
        <v>0</v>
      </c>
      <c r="AA18" s="187">
        <f t="shared" si="53"/>
        <v>0</v>
      </c>
      <c r="AB18" s="187">
        <f t="shared" si="78"/>
        <v>0</v>
      </c>
      <c r="AC18" s="188">
        <f t="shared" si="55"/>
        <v>0</v>
      </c>
      <c r="AD18" s="187">
        <f t="shared" si="56"/>
        <v>0</v>
      </c>
      <c r="AE18" s="187">
        <f t="shared" si="79"/>
        <v>0</v>
      </c>
      <c r="AF18" s="188">
        <f t="shared" si="58"/>
        <v>0</v>
      </c>
      <c r="AG18" s="187">
        <f t="shared" si="59"/>
        <v>12.778783826369077</v>
      </c>
      <c r="AH18" s="187">
        <f t="shared" si="80"/>
        <v>0</v>
      </c>
      <c r="AI18" s="188">
        <f t="shared" si="61"/>
        <v>12.778783826369077</v>
      </c>
      <c r="AJ18" s="187">
        <f t="shared" si="62"/>
        <v>0</v>
      </c>
      <c r="AK18" s="187">
        <f t="shared" si="81"/>
        <v>0</v>
      </c>
      <c r="AL18" s="188">
        <f t="shared" si="64"/>
        <v>0</v>
      </c>
      <c r="AM18" s="187">
        <f t="shared" si="65"/>
        <v>0</v>
      </c>
      <c r="AN18" s="187">
        <f t="shared" si="82"/>
        <v>0</v>
      </c>
      <c r="AO18" s="188">
        <f t="shared" si="67"/>
        <v>0</v>
      </c>
      <c r="AP18" s="194" t="s">
        <v>429</v>
      </c>
      <c r="AQ18" s="187" t="e">
        <f t="shared" si="83"/>
        <v>#VALUE!</v>
      </c>
      <c r="AR18" s="188" t="e">
        <f t="shared" si="69"/>
        <v>#VALUE!</v>
      </c>
      <c r="AS18" s="186">
        <f t="shared" si="70"/>
        <v>7105.0038074612112</v>
      </c>
      <c r="AT18" s="169"/>
      <c r="AU18" s="169"/>
      <c r="AV18" s="169"/>
    </row>
    <row r="19" spans="1:48">
      <c r="A19" s="169">
        <f>VLOOKUP(B19,Misc_inputs!$A$3:$B$33,2,0)</f>
        <v>0</v>
      </c>
      <c r="B19" s="168">
        <v>2030</v>
      </c>
      <c r="C19" s="187">
        <f t="shared" si="29"/>
        <v>7002.7735368502572</v>
      </c>
      <c r="D19" s="187">
        <f t="shared" si="30"/>
        <v>0</v>
      </c>
      <c r="E19" s="188">
        <f t="shared" si="31"/>
        <v>7002.7735368502572</v>
      </c>
      <c r="F19" s="187">
        <f t="shared" si="32"/>
        <v>0</v>
      </c>
      <c r="G19" s="187">
        <f t="shared" si="71"/>
        <v>0</v>
      </c>
      <c r="H19" s="188">
        <f t="shared" si="34"/>
        <v>0</v>
      </c>
      <c r="I19" s="187">
        <f t="shared" si="35"/>
        <v>12.778783826369077</v>
      </c>
      <c r="J19" s="187">
        <f t="shared" si="72"/>
        <v>0</v>
      </c>
      <c r="K19" s="188">
        <f t="shared" si="37"/>
        <v>12.778783826369077</v>
      </c>
      <c r="L19" s="187">
        <f t="shared" si="38"/>
        <v>51.115135305476308</v>
      </c>
      <c r="M19" s="187">
        <f t="shared" si="73"/>
        <v>0</v>
      </c>
      <c r="N19" s="188">
        <f t="shared" si="40"/>
        <v>51.115135305476308</v>
      </c>
      <c r="O19" s="187">
        <f t="shared" si="41"/>
        <v>12.778783826369077</v>
      </c>
      <c r="P19" s="187">
        <f t="shared" si="74"/>
        <v>0</v>
      </c>
      <c r="Q19" s="188">
        <f t="shared" si="43"/>
        <v>12.778783826369077</v>
      </c>
      <c r="R19" s="187">
        <f t="shared" si="44"/>
        <v>12.778783826369077</v>
      </c>
      <c r="S19" s="187">
        <f t="shared" si="75"/>
        <v>0</v>
      </c>
      <c r="T19" s="188">
        <f t="shared" si="46"/>
        <v>12.778783826369077</v>
      </c>
      <c r="U19" s="187">
        <f t="shared" si="47"/>
        <v>0</v>
      </c>
      <c r="V19" s="187">
        <f t="shared" si="76"/>
        <v>0</v>
      </c>
      <c r="W19" s="188">
        <f t="shared" si="49"/>
        <v>0</v>
      </c>
      <c r="X19" s="187">
        <f t="shared" si="50"/>
        <v>0</v>
      </c>
      <c r="Y19" s="187">
        <f t="shared" si="77"/>
        <v>0</v>
      </c>
      <c r="Z19" s="188">
        <f t="shared" si="52"/>
        <v>0</v>
      </c>
      <c r="AA19" s="187">
        <f t="shared" si="53"/>
        <v>0</v>
      </c>
      <c r="AB19" s="187">
        <f t="shared" si="78"/>
        <v>0</v>
      </c>
      <c r="AC19" s="188">
        <f t="shared" si="55"/>
        <v>0</v>
      </c>
      <c r="AD19" s="187">
        <f t="shared" si="56"/>
        <v>0</v>
      </c>
      <c r="AE19" s="187">
        <f t="shared" si="79"/>
        <v>0</v>
      </c>
      <c r="AF19" s="188">
        <f t="shared" si="58"/>
        <v>0</v>
      </c>
      <c r="AG19" s="187">
        <f t="shared" si="59"/>
        <v>12.778783826369077</v>
      </c>
      <c r="AH19" s="187">
        <f t="shared" si="80"/>
        <v>0</v>
      </c>
      <c r="AI19" s="188">
        <f t="shared" si="61"/>
        <v>12.778783826369077</v>
      </c>
      <c r="AJ19" s="187">
        <f t="shared" si="62"/>
        <v>0</v>
      </c>
      <c r="AK19" s="187">
        <f t="shared" si="81"/>
        <v>0</v>
      </c>
      <c r="AL19" s="188">
        <f t="shared" si="64"/>
        <v>0</v>
      </c>
      <c r="AM19" s="187">
        <f t="shared" si="65"/>
        <v>0</v>
      </c>
      <c r="AN19" s="187">
        <f t="shared" si="82"/>
        <v>0</v>
      </c>
      <c r="AO19" s="188">
        <f t="shared" si="67"/>
        <v>0</v>
      </c>
      <c r="AP19" s="194" t="s">
        <v>429</v>
      </c>
      <c r="AQ19" s="187" t="e">
        <f t="shared" si="83"/>
        <v>#VALUE!</v>
      </c>
      <c r="AR19" s="188" t="e">
        <f t="shared" si="69"/>
        <v>#VALUE!</v>
      </c>
      <c r="AS19" s="186">
        <f t="shared" si="70"/>
        <v>7105.0038074612112</v>
      </c>
      <c r="AT19" s="169"/>
      <c r="AU19" s="169"/>
      <c r="AV19" s="169"/>
    </row>
    <row r="21" spans="1:48" s="190" customFormat="1" ht="23">
      <c r="A21" s="183" t="s">
        <v>575</v>
      </c>
      <c r="B21" s="189"/>
      <c r="C21" s="189"/>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row>
    <row r="22" spans="1:48" s="173" customFormat="1" ht="63.75" customHeight="1">
      <c r="A22" s="173" t="s">
        <v>539</v>
      </c>
      <c r="B22" s="172" t="s">
        <v>342</v>
      </c>
      <c r="C22" s="172" t="str">
        <f>Cost_of_crime_Raw_data!A21</f>
        <v>Commercial robbery</v>
      </c>
      <c r="D22" s="184" t="s">
        <v>540</v>
      </c>
      <c r="E22" s="185" t="s">
        <v>541</v>
      </c>
      <c r="F22" s="172" t="str">
        <f>Cost_of_crime_Raw_data!A22</f>
        <v>Commercial burglary</v>
      </c>
      <c r="G22" s="184" t="s">
        <v>540</v>
      </c>
      <c r="H22" s="185" t="s">
        <v>541</v>
      </c>
      <c r="I22" s="172" t="str">
        <f>Cost_of_crime_Raw_data!A23</f>
        <v>Commercial theft</v>
      </c>
      <c r="J22" s="184" t="s">
        <v>540</v>
      </c>
      <c r="K22" s="185" t="s">
        <v>541</v>
      </c>
      <c r="L22" s="172" t="str">
        <f>Cost_of_crime_Raw_data!A24</f>
        <v>Theft of commercial vehicle</v>
      </c>
      <c r="M22" s="184" t="s">
        <v>540</v>
      </c>
      <c r="N22" s="185" t="s">
        <v>541</v>
      </c>
      <c r="O22" s="172" t="str">
        <f>Cost_of_crime_Raw_data!A25</f>
        <v>Theft from commercial vehicle</v>
      </c>
      <c r="P22" s="184" t="s">
        <v>540</v>
      </c>
      <c r="Q22" s="185" t="s">
        <v>541</v>
      </c>
      <c r="R22" s="172" t="str">
        <f>Cost_of_crime_Raw_data!A26</f>
        <v>Commercial criminal damage - arson</v>
      </c>
      <c r="S22" s="184" t="s">
        <v>540</v>
      </c>
      <c r="T22" s="185" t="s">
        <v>541</v>
      </c>
      <c r="U22" s="172" t="str">
        <f>Cost_of_crime_Raw_data!A27</f>
        <v>Commercial criminal damage - other</v>
      </c>
      <c r="V22" s="184" t="s">
        <v>540</v>
      </c>
      <c r="W22" s="185" t="s">
        <v>541</v>
      </c>
      <c r="X22" s="191" t="s">
        <v>412</v>
      </c>
      <c r="Y22" s="172"/>
      <c r="Z22" s="192"/>
      <c r="AA22" s="172"/>
      <c r="AB22" s="172"/>
      <c r="AC22" s="192"/>
      <c r="AD22" s="172"/>
      <c r="AE22" s="172"/>
      <c r="AF22" s="192"/>
      <c r="AG22" s="172"/>
      <c r="AH22" s="172"/>
      <c r="AI22" s="192"/>
      <c r="AJ22" s="172"/>
      <c r="AK22" s="172"/>
      <c r="AL22" s="192"/>
      <c r="AM22" s="172"/>
      <c r="AN22" s="172"/>
      <c r="AO22" s="192"/>
      <c r="AP22" s="172"/>
      <c r="AQ22" s="172"/>
      <c r="AR22" s="192"/>
      <c r="AS22" s="172"/>
      <c r="AT22" s="172"/>
      <c r="AU22" s="192"/>
      <c r="AV22" s="172"/>
    </row>
    <row r="23" spans="1:48">
      <c r="B23" s="168">
        <v>2015</v>
      </c>
      <c r="C23" s="186">
        <f>IF(Cost_of_crime_Raw_data!F59="not estimated","0",Cost_of_crime_Raw_data!F59)</f>
        <v>20</v>
      </c>
      <c r="D23" s="187">
        <f>C23*$A23/100</f>
        <v>0</v>
      </c>
      <c r="E23" s="188">
        <f>C23+D23</f>
        <v>20</v>
      </c>
      <c r="F23" s="186">
        <f>IF(Cost_of_crime_Raw_data!F60="not estimated","0",Cost_of_crime_Raw_data!F60)</f>
        <v>0</v>
      </c>
      <c r="G23" s="187">
        <f>F23*$A23/100</f>
        <v>0</v>
      </c>
      <c r="H23" s="188">
        <f>F23+G23</f>
        <v>0</v>
      </c>
      <c r="I23" s="186">
        <f>IF(Cost_of_crime_Raw_data!F61="not estimated","0",Cost_of_crime_Raw_data!F61)</f>
        <v>0</v>
      </c>
      <c r="J23" s="187">
        <f>I23*$A23/100</f>
        <v>0</v>
      </c>
      <c r="K23" s="188">
        <f>I23+J23</f>
        <v>0</v>
      </c>
      <c r="L23" s="186">
        <f>IF(Cost_of_crime_Raw_data!F62="not estimated","0",Cost_of_crime_Raw_data!F62)</f>
        <v>0</v>
      </c>
      <c r="M23" s="187">
        <f>L23*$A23/100</f>
        <v>0</v>
      </c>
      <c r="N23" s="188">
        <f>L23+M23</f>
        <v>0</v>
      </c>
      <c r="O23" s="186">
        <f>IF(Cost_of_crime_Raw_data!F63="not estimated","0",Cost_of_crime_Raw_data!F63)</f>
        <v>0</v>
      </c>
      <c r="P23" s="187">
        <f>O23*$A23/100</f>
        <v>0</v>
      </c>
      <c r="Q23" s="188">
        <f>O23+P23</f>
        <v>0</v>
      </c>
      <c r="R23" s="186">
        <f>IF(Cost_of_crime_Raw_data!F64="not estimated","0",Cost_of_crime_Raw_data!F64)</f>
        <v>10</v>
      </c>
      <c r="S23" s="187">
        <f>R23*$A23/100</f>
        <v>0</v>
      </c>
      <c r="T23" s="188">
        <f>R23+S23</f>
        <v>10</v>
      </c>
      <c r="U23" s="186">
        <f>IF(Cost_of_crime_Raw_data!F65="not estimated","0",Cost_of_crime_Raw_data!F65)</f>
        <v>0</v>
      </c>
      <c r="V23" s="187">
        <f>U23*$A23/100</f>
        <v>0</v>
      </c>
      <c r="W23" s="188">
        <f>U23+V23</f>
        <v>0</v>
      </c>
      <c r="X23" s="187">
        <f>SUM(W23,T23,Q23,N23,K23,H23,E23)</f>
        <v>30</v>
      </c>
    </row>
    <row r="24" spans="1:48">
      <c r="A24" s="169">
        <f>VLOOKUP(B24,Misc_inputs!$A$3:$B$33,2,0)</f>
        <v>1.8963035451147277</v>
      </c>
      <c r="B24" s="168">
        <v>2016</v>
      </c>
      <c r="C24" s="187">
        <f>E23</f>
        <v>20</v>
      </c>
      <c r="D24" s="187">
        <f t="shared" ref="D24" si="84">C24*$A24/100</f>
        <v>0.37926070902294556</v>
      </c>
      <c r="E24" s="188">
        <f t="shared" ref="E24" si="85">C24+D24</f>
        <v>20.379260709022944</v>
      </c>
      <c r="F24" s="187">
        <f>H23</f>
        <v>0</v>
      </c>
      <c r="G24" s="187">
        <f t="shared" ref="G24" si="86">F24*$A24/100</f>
        <v>0</v>
      </c>
      <c r="H24" s="188">
        <f t="shared" ref="H24" si="87">F24+G24</f>
        <v>0</v>
      </c>
      <c r="I24" s="187">
        <f>K23</f>
        <v>0</v>
      </c>
      <c r="J24" s="187">
        <f t="shared" ref="J24" si="88">I24*$A24/100</f>
        <v>0</v>
      </c>
      <c r="K24" s="188">
        <f t="shared" ref="K24" si="89">I24+J24</f>
        <v>0</v>
      </c>
      <c r="L24" s="187">
        <f>N23</f>
        <v>0</v>
      </c>
      <c r="M24" s="187">
        <f t="shared" ref="M24" si="90">L24*$A24/100</f>
        <v>0</v>
      </c>
      <c r="N24" s="188">
        <f t="shared" ref="N24" si="91">L24+M24</f>
        <v>0</v>
      </c>
      <c r="O24" s="187">
        <f>Q23</f>
        <v>0</v>
      </c>
      <c r="P24" s="187">
        <f t="shared" ref="P24" si="92">O24*$A24/100</f>
        <v>0</v>
      </c>
      <c r="Q24" s="188">
        <f t="shared" ref="Q24" si="93">O24+P24</f>
        <v>0</v>
      </c>
      <c r="R24" s="187">
        <f>T23</f>
        <v>10</v>
      </c>
      <c r="S24" s="187">
        <f t="shared" ref="S24" si="94">R24*$A24/100</f>
        <v>0.18963035451147278</v>
      </c>
      <c r="T24" s="188">
        <f t="shared" ref="T24" si="95">R24+S24</f>
        <v>10.189630354511472</v>
      </c>
      <c r="U24" s="187">
        <f>W23</f>
        <v>0</v>
      </c>
      <c r="V24" s="187">
        <f t="shared" ref="V24" si="96">U24*$A24/100</f>
        <v>0</v>
      </c>
      <c r="W24" s="188">
        <f t="shared" ref="W24" si="97">U24+V24</f>
        <v>0</v>
      </c>
      <c r="X24" s="187">
        <f t="shared" ref="X24" si="98">SUM(W24,T24,Q24,N24,K24,H24,E24)</f>
        <v>30.568891063534416</v>
      </c>
    </row>
    <row r="25" spans="1:48">
      <c r="A25" s="169">
        <f>VLOOKUP(B25,Misc_inputs!$A$3:$B$33,2,0)</f>
        <v>1.8963035451147277</v>
      </c>
      <c r="B25" s="168">
        <v>2016</v>
      </c>
      <c r="C25" s="187">
        <f t="shared" ref="C25:C39" si="99">E24</f>
        <v>20.379260709022944</v>
      </c>
      <c r="D25" s="187">
        <f t="shared" ref="D25:D39" si="100">C25*$A25/100</f>
        <v>0.38645264329337486</v>
      </c>
      <c r="E25" s="188">
        <f t="shared" ref="E25:E39" si="101">C25+D25</f>
        <v>20.765713352316318</v>
      </c>
      <c r="F25" s="187">
        <f t="shared" ref="F25:F39" si="102">H24</f>
        <v>0</v>
      </c>
      <c r="G25" s="187">
        <f t="shared" ref="G25:G39" si="103">F25*$A25/100</f>
        <v>0</v>
      </c>
      <c r="H25" s="188">
        <f t="shared" ref="H25:H39" si="104">F25+G25</f>
        <v>0</v>
      </c>
      <c r="I25" s="187">
        <f t="shared" ref="I25:I39" si="105">K24</f>
        <v>0</v>
      </c>
      <c r="J25" s="187">
        <f t="shared" ref="J25:J39" si="106">I25*$A25/100</f>
        <v>0</v>
      </c>
      <c r="K25" s="188">
        <f t="shared" ref="K25:K39" si="107">I25+J25</f>
        <v>0</v>
      </c>
      <c r="L25" s="187">
        <f t="shared" ref="L25:L39" si="108">N24</f>
        <v>0</v>
      </c>
      <c r="M25" s="187">
        <f t="shared" ref="M25:M39" si="109">L25*$A25/100</f>
        <v>0</v>
      </c>
      <c r="N25" s="188">
        <f t="shared" ref="N25:N39" si="110">L25+M25</f>
        <v>0</v>
      </c>
      <c r="O25" s="187">
        <f t="shared" ref="O25:O39" si="111">Q24</f>
        <v>0</v>
      </c>
      <c r="P25" s="187">
        <f t="shared" ref="P25:P39" si="112">O25*$A25/100</f>
        <v>0</v>
      </c>
      <c r="Q25" s="188">
        <f t="shared" ref="Q25:Q39" si="113">O25+P25</f>
        <v>0</v>
      </c>
      <c r="R25" s="187">
        <f t="shared" ref="R25:R39" si="114">T24</f>
        <v>10.189630354511472</v>
      </c>
      <c r="S25" s="187">
        <f t="shared" ref="S25:S39" si="115">R25*$A25/100</f>
        <v>0.19322632164668743</v>
      </c>
      <c r="T25" s="188">
        <f t="shared" ref="T25:T39" si="116">R25+S25</f>
        <v>10.382856676158159</v>
      </c>
      <c r="U25" s="187">
        <f t="shared" ref="U25:U39" si="117">W24</f>
        <v>0</v>
      </c>
      <c r="V25" s="187">
        <f t="shared" ref="V25:V39" si="118">U25*$A25/100</f>
        <v>0</v>
      </c>
      <c r="W25" s="188">
        <f t="shared" ref="W25:W39" si="119">U25+V25</f>
        <v>0</v>
      </c>
      <c r="X25" s="187">
        <f t="shared" ref="X25:X39" si="120">SUM(W25,T25,Q25,N25,K25,H25,E25)</f>
        <v>31.148570028474477</v>
      </c>
    </row>
    <row r="26" spans="1:48">
      <c r="A26" s="169">
        <f>VLOOKUP(B26,Misc_inputs!$A$3:$B$33,2,0)</f>
        <v>1.8209228570152332</v>
      </c>
      <c r="B26" s="168">
        <v>2017</v>
      </c>
      <c r="C26" s="187">
        <f t="shared" si="99"/>
        <v>20.765713352316318</v>
      </c>
      <c r="D26" s="187">
        <f t="shared" si="100"/>
        <v>0.37812762085459206</v>
      </c>
      <c r="E26" s="188">
        <f t="shared" si="101"/>
        <v>21.14384097317091</v>
      </c>
      <c r="F26" s="187">
        <f t="shared" si="102"/>
        <v>0</v>
      </c>
      <c r="G26" s="187">
        <f t="shared" si="103"/>
        <v>0</v>
      </c>
      <c r="H26" s="188">
        <f t="shared" si="104"/>
        <v>0</v>
      </c>
      <c r="I26" s="187">
        <f t="shared" si="105"/>
        <v>0</v>
      </c>
      <c r="J26" s="187">
        <f t="shared" si="106"/>
        <v>0</v>
      </c>
      <c r="K26" s="188">
        <f t="shared" si="107"/>
        <v>0</v>
      </c>
      <c r="L26" s="187">
        <f t="shared" si="108"/>
        <v>0</v>
      </c>
      <c r="M26" s="187">
        <f t="shared" si="109"/>
        <v>0</v>
      </c>
      <c r="N26" s="188">
        <f t="shared" si="110"/>
        <v>0</v>
      </c>
      <c r="O26" s="187">
        <f t="shared" si="111"/>
        <v>0</v>
      </c>
      <c r="P26" s="187">
        <f t="shared" si="112"/>
        <v>0</v>
      </c>
      <c r="Q26" s="188">
        <f t="shared" si="113"/>
        <v>0</v>
      </c>
      <c r="R26" s="187">
        <f t="shared" si="114"/>
        <v>10.382856676158159</v>
      </c>
      <c r="S26" s="187">
        <f t="shared" si="115"/>
        <v>0.18906381042729603</v>
      </c>
      <c r="T26" s="188">
        <f t="shared" si="116"/>
        <v>10.571920486585455</v>
      </c>
      <c r="U26" s="187">
        <f t="shared" si="117"/>
        <v>0</v>
      </c>
      <c r="V26" s="187">
        <f t="shared" si="118"/>
        <v>0</v>
      </c>
      <c r="W26" s="188">
        <f t="shared" si="119"/>
        <v>0</v>
      </c>
      <c r="X26" s="187">
        <f t="shared" si="120"/>
        <v>31.715761459756365</v>
      </c>
    </row>
    <row r="27" spans="1:48">
      <c r="A27" s="169">
        <f>VLOOKUP(B27,Misc_inputs!$A$3:$B$33,2,0)</f>
        <v>1.9988242855231282</v>
      </c>
      <c r="B27" s="168">
        <v>2018</v>
      </c>
      <c r="C27" s="187">
        <f t="shared" si="99"/>
        <v>21.14384097317091</v>
      </c>
      <c r="D27" s="187">
        <f t="shared" si="100"/>
        <v>0.42262822826412988</v>
      </c>
      <c r="E27" s="188">
        <f t="shared" si="101"/>
        <v>21.566469201435041</v>
      </c>
      <c r="F27" s="187">
        <f t="shared" si="102"/>
        <v>0</v>
      </c>
      <c r="G27" s="187">
        <f t="shared" si="103"/>
        <v>0</v>
      </c>
      <c r="H27" s="188">
        <f t="shared" si="104"/>
        <v>0</v>
      </c>
      <c r="I27" s="187">
        <f t="shared" si="105"/>
        <v>0</v>
      </c>
      <c r="J27" s="187">
        <f t="shared" si="106"/>
        <v>0</v>
      </c>
      <c r="K27" s="188">
        <f t="shared" si="107"/>
        <v>0</v>
      </c>
      <c r="L27" s="187">
        <f t="shared" si="108"/>
        <v>0</v>
      </c>
      <c r="M27" s="187">
        <f t="shared" si="109"/>
        <v>0</v>
      </c>
      <c r="N27" s="188">
        <f t="shared" si="110"/>
        <v>0</v>
      </c>
      <c r="O27" s="187">
        <f t="shared" si="111"/>
        <v>0</v>
      </c>
      <c r="P27" s="187">
        <f t="shared" si="112"/>
        <v>0</v>
      </c>
      <c r="Q27" s="188">
        <f t="shared" si="113"/>
        <v>0</v>
      </c>
      <c r="R27" s="187">
        <f t="shared" si="114"/>
        <v>10.571920486585455</v>
      </c>
      <c r="S27" s="187">
        <f t="shared" si="115"/>
        <v>0.21131411413206494</v>
      </c>
      <c r="T27" s="188">
        <f t="shared" si="116"/>
        <v>10.78323460071752</v>
      </c>
      <c r="U27" s="187">
        <f t="shared" si="117"/>
        <v>0</v>
      </c>
      <c r="V27" s="187">
        <f t="shared" si="118"/>
        <v>0</v>
      </c>
      <c r="W27" s="188">
        <f t="shared" si="119"/>
        <v>0</v>
      </c>
      <c r="X27" s="187">
        <f t="shared" si="120"/>
        <v>32.349703802152561</v>
      </c>
    </row>
    <row r="28" spans="1:48">
      <c r="A28" s="169">
        <f>VLOOKUP(B28,Misc_inputs!$A$3:$B$33,2,0)</f>
        <v>2.0163202370724722</v>
      </c>
      <c r="B28" s="168">
        <v>2019</v>
      </c>
      <c r="C28" s="187">
        <f t="shared" si="99"/>
        <v>21.566469201435041</v>
      </c>
      <c r="D28" s="187">
        <f t="shared" si="100"/>
        <v>0.4348490829305367</v>
      </c>
      <c r="E28" s="188">
        <f t="shared" si="101"/>
        <v>22.001318284365578</v>
      </c>
      <c r="F28" s="187">
        <f t="shared" si="102"/>
        <v>0</v>
      </c>
      <c r="G28" s="187">
        <f t="shared" si="103"/>
        <v>0</v>
      </c>
      <c r="H28" s="188">
        <f t="shared" si="104"/>
        <v>0</v>
      </c>
      <c r="I28" s="187">
        <f t="shared" si="105"/>
        <v>0</v>
      </c>
      <c r="J28" s="187">
        <f t="shared" si="106"/>
        <v>0</v>
      </c>
      <c r="K28" s="188">
        <f t="shared" si="107"/>
        <v>0</v>
      </c>
      <c r="L28" s="187">
        <f t="shared" si="108"/>
        <v>0</v>
      </c>
      <c r="M28" s="187">
        <f t="shared" si="109"/>
        <v>0</v>
      </c>
      <c r="N28" s="188">
        <f t="shared" si="110"/>
        <v>0</v>
      </c>
      <c r="O28" s="187">
        <f t="shared" si="111"/>
        <v>0</v>
      </c>
      <c r="P28" s="187">
        <f t="shared" si="112"/>
        <v>0</v>
      </c>
      <c r="Q28" s="188">
        <f t="shared" si="113"/>
        <v>0</v>
      </c>
      <c r="R28" s="187">
        <f t="shared" si="114"/>
        <v>10.78323460071752</v>
      </c>
      <c r="S28" s="187">
        <f t="shared" si="115"/>
        <v>0.21742454146526835</v>
      </c>
      <c r="T28" s="188">
        <f t="shared" si="116"/>
        <v>11.000659142182789</v>
      </c>
      <c r="U28" s="187">
        <f t="shared" si="117"/>
        <v>0</v>
      </c>
      <c r="V28" s="187">
        <f t="shared" si="118"/>
        <v>0</v>
      </c>
      <c r="W28" s="188">
        <f t="shared" si="119"/>
        <v>0</v>
      </c>
      <c r="X28" s="187">
        <f t="shared" si="120"/>
        <v>33.001977426548365</v>
      </c>
    </row>
    <row r="29" spans="1:48">
      <c r="A29" s="169">
        <f>VLOOKUP(B29,Misc_inputs!$A$3:$B$33,2,0)</f>
        <v>5.3200852056836103</v>
      </c>
      <c r="B29" s="168">
        <v>2020</v>
      </c>
      <c r="C29" s="187">
        <f t="shared" si="99"/>
        <v>22.001318284365578</v>
      </c>
      <c r="D29" s="187">
        <f t="shared" si="100"/>
        <v>1.1704888791018961</v>
      </c>
      <c r="E29" s="188">
        <f t="shared" si="101"/>
        <v>23.171807163467474</v>
      </c>
      <c r="F29" s="187">
        <f t="shared" si="102"/>
        <v>0</v>
      </c>
      <c r="G29" s="187">
        <f t="shared" si="103"/>
        <v>0</v>
      </c>
      <c r="H29" s="188">
        <f t="shared" si="104"/>
        <v>0</v>
      </c>
      <c r="I29" s="187">
        <f t="shared" si="105"/>
        <v>0</v>
      </c>
      <c r="J29" s="187">
        <f t="shared" si="106"/>
        <v>0</v>
      </c>
      <c r="K29" s="188">
        <f t="shared" si="107"/>
        <v>0</v>
      </c>
      <c r="L29" s="187">
        <f t="shared" si="108"/>
        <v>0</v>
      </c>
      <c r="M29" s="187">
        <f t="shared" si="109"/>
        <v>0</v>
      </c>
      <c r="N29" s="188">
        <f t="shared" si="110"/>
        <v>0</v>
      </c>
      <c r="O29" s="187">
        <f t="shared" si="111"/>
        <v>0</v>
      </c>
      <c r="P29" s="187">
        <f t="shared" si="112"/>
        <v>0</v>
      </c>
      <c r="Q29" s="188">
        <f t="shared" si="113"/>
        <v>0</v>
      </c>
      <c r="R29" s="187">
        <f t="shared" si="114"/>
        <v>11.000659142182789</v>
      </c>
      <c r="S29" s="187">
        <f t="shared" si="115"/>
        <v>0.58524443955094807</v>
      </c>
      <c r="T29" s="188">
        <f t="shared" si="116"/>
        <v>11.585903581733737</v>
      </c>
      <c r="U29" s="187">
        <f t="shared" si="117"/>
        <v>0</v>
      </c>
      <c r="V29" s="187">
        <f t="shared" si="118"/>
        <v>0</v>
      </c>
      <c r="W29" s="188">
        <f t="shared" si="119"/>
        <v>0</v>
      </c>
      <c r="X29" s="187">
        <f t="shared" si="120"/>
        <v>34.757710745201209</v>
      </c>
    </row>
    <row r="30" spans="1:48">
      <c r="A30" s="169">
        <f>VLOOKUP(B30,Misc_inputs!$A$3:$B$33,2,0)</f>
        <v>7.6258108678813302E-2</v>
      </c>
      <c r="B30" s="168">
        <v>2021</v>
      </c>
      <c r="C30" s="187">
        <f t="shared" si="99"/>
        <v>23.171807163467474</v>
      </c>
      <c r="D30" s="187">
        <f t="shared" si="100"/>
        <v>1.7670381889562072E-2</v>
      </c>
      <c r="E30" s="188">
        <f t="shared" si="101"/>
        <v>23.189477545357036</v>
      </c>
      <c r="F30" s="187">
        <f t="shared" si="102"/>
        <v>0</v>
      </c>
      <c r="G30" s="187">
        <f t="shared" si="103"/>
        <v>0</v>
      </c>
      <c r="H30" s="188">
        <f t="shared" si="104"/>
        <v>0</v>
      </c>
      <c r="I30" s="187">
        <f t="shared" si="105"/>
        <v>0</v>
      </c>
      <c r="J30" s="187">
        <f t="shared" si="106"/>
        <v>0</v>
      </c>
      <c r="K30" s="188">
        <f t="shared" si="107"/>
        <v>0</v>
      </c>
      <c r="L30" s="187">
        <f t="shared" si="108"/>
        <v>0</v>
      </c>
      <c r="M30" s="187">
        <f t="shared" si="109"/>
        <v>0</v>
      </c>
      <c r="N30" s="188">
        <f t="shared" si="110"/>
        <v>0</v>
      </c>
      <c r="O30" s="187">
        <f t="shared" si="111"/>
        <v>0</v>
      </c>
      <c r="P30" s="187">
        <f t="shared" si="112"/>
        <v>0</v>
      </c>
      <c r="Q30" s="188">
        <f t="shared" si="113"/>
        <v>0</v>
      </c>
      <c r="R30" s="187">
        <f t="shared" si="114"/>
        <v>11.585903581733737</v>
      </c>
      <c r="S30" s="187">
        <f t="shared" si="115"/>
        <v>8.8351909447810361E-3</v>
      </c>
      <c r="T30" s="188">
        <f t="shared" si="116"/>
        <v>11.594738772678518</v>
      </c>
      <c r="U30" s="187">
        <f t="shared" si="117"/>
        <v>0</v>
      </c>
      <c r="V30" s="187">
        <f t="shared" si="118"/>
        <v>0</v>
      </c>
      <c r="W30" s="188">
        <f t="shared" si="119"/>
        <v>0</v>
      </c>
      <c r="X30" s="187">
        <f t="shared" si="120"/>
        <v>34.784216318035554</v>
      </c>
    </row>
    <row r="31" spans="1:48">
      <c r="A31" s="169">
        <f>VLOOKUP(B31,Misc_inputs!$A$3:$B$33,2,0)</f>
        <v>2.8492930312000952</v>
      </c>
      <c r="B31" s="168">
        <v>2022</v>
      </c>
      <c r="C31" s="187">
        <f t="shared" si="99"/>
        <v>23.189477545357036</v>
      </c>
      <c r="D31" s="187">
        <f t="shared" si="100"/>
        <v>0.66073616767156895</v>
      </c>
      <c r="E31" s="188">
        <f t="shared" si="101"/>
        <v>23.850213713028605</v>
      </c>
      <c r="F31" s="187">
        <f t="shared" si="102"/>
        <v>0</v>
      </c>
      <c r="G31" s="187">
        <f t="shared" si="103"/>
        <v>0</v>
      </c>
      <c r="H31" s="188">
        <f t="shared" si="104"/>
        <v>0</v>
      </c>
      <c r="I31" s="187">
        <f t="shared" si="105"/>
        <v>0</v>
      </c>
      <c r="J31" s="187">
        <f t="shared" si="106"/>
        <v>0</v>
      </c>
      <c r="K31" s="188">
        <f t="shared" si="107"/>
        <v>0</v>
      </c>
      <c r="L31" s="187">
        <f t="shared" si="108"/>
        <v>0</v>
      </c>
      <c r="M31" s="187">
        <f t="shared" si="109"/>
        <v>0</v>
      </c>
      <c r="N31" s="188">
        <f t="shared" si="110"/>
        <v>0</v>
      </c>
      <c r="O31" s="187">
        <f t="shared" si="111"/>
        <v>0</v>
      </c>
      <c r="P31" s="187">
        <f t="shared" si="112"/>
        <v>0</v>
      </c>
      <c r="Q31" s="188">
        <f t="shared" si="113"/>
        <v>0</v>
      </c>
      <c r="R31" s="187">
        <f t="shared" si="114"/>
        <v>11.594738772678518</v>
      </c>
      <c r="S31" s="187">
        <f t="shared" si="115"/>
        <v>0.33036808383578448</v>
      </c>
      <c r="T31" s="188">
        <f t="shared" si="116"/>
        <v>11.925106856514303</v>
      </c>
      <c r="U31" s="187">
        <f t="shared" si="117"/>
        <v>0</v>
      </c>
      <c r="V31" s="187">
        <f t="shared" si="118"/>
        <v>0</v>
      </c>
      <c r="W31" s="188">
        <f t="shared" si="119"/>
        <v>0</v>
      </c>
      <c r="X31" s="187">
        <f t="shared" si="120"/>
        <v>35.775320569542906</v>
      </c>
    </row>
    <row r="32" spans="1:48">
      <c r="A32" s="169">
        <f>VLOOKUP(B32,Misc_inputs!$A$3:$B$33,2,0)</f>
        <v>3.143440902459993</v>
      </c>
      <c r="B32" s="168">
        <v>2023</v>
      </c>
      <c r="C32" s="187">
        <f t="shared" si="99"/>
        <v>23.850213713028605</v>
      </c>
      <c r="D32" s="187">
        <f t="shared" si="100"/>
        <v>0.7497173731794633</v>
      </c>
      <c r="E32" s="188">
        <f t="shared" si="101"/>
        <v>24.59993108620807</v>
      </c>
      <c r="F32" s="187">
        <f t="shared" si="102"/>
        <v>0</v>
      </c>
      <c r="G32" s="187">
        <f t="shared" si="103"/>
        <v>0</v>
      </c>
      <c r="H32" s="188">
        <f t="shared" si="104"/>
        <v>0</v>
      </c>
      <c r="I32" s="187">
        <f t="shared" si="105"/>
        <v>0</v>
      </c>
      <c r="J32" s="187">
        <f t="shared" si="106"/>
        <v>0</v>
      </c>
      <c r="K32" s="188">
        <f t="shared" si="107"/>
        <v>0</v>
      </c>
      <c r="L32" s="187">
        <f t="shared" si="108"/>
        <v>0</v>
      </c>
      <c r="M32" s="187">
        <f t="shared" si="109"/>
        <v>0</v>
      </c>
      <c r="N32" s="188">
        <f t="shared" si="110"/>
        <v>0</v>
      </c>
      <c r="O32" s="187">
        <f t="shared" si="111"/>
        <v>0</v>
      </c>
      <c r="P32" s="187">
        <f t="shared" si="112"/>
        <v>0</v>
      </c>
      <c r="Q32" s="188">
        <f t="shared" si="113"/>
        <v>0</v>
      </c>
      <c r="R32" s="187">
        <f t="shared" si="114"/>
        <v>11.925106856514303</v>
      </c>
      <c r="S32" s="187">
        <f t="shared" si="115"/>
        <v>0.37485868658973165</v>
      </c>
      <c r="T32" s="188">
        <f t="shared" si="116"/>
        <v>12.299965543104035</v>
      </c>
      <c r="U32" s="187">
        <f t="shared" si="117"/>
        <v>0</v>
      </c>
      <c r="V32" s="187">
        <f t="shared" si="118"/>
        <v>0</v>
      </c>
      <c r="W32" s="188">
        <f t="shared" si="119"/>
        <v>0</v>
      </c>
      <c r="X32" s="187">
        <f t="shared" si="120"/>
        <v>36.899896629312103</v>
      </c>
    </row>
    <row r="33" spans="1:48">
      <c r="A33" s="169">
        <f>VLOOKUP(B33,Misc_inputs!$A$3:$B$33,2,0)</f>
        <v>1.8594732384912049</v>
      </c>
      <c r="B33" s="168">
        <v>2024</v>
      </c>
      <c r="C33" s="187">
        <f t="shared" si="99"/>
        <v>24.59993108620807</v>
      </c>
      <c r="D33" s="187">
        <f t="shared" si="100"/>
        <v>0.45742913523531781</v>
      </c>
      <c r="E33" s="188">
        <f t="shared" si="101"/>
        <v>25.057360221443389</v>
      </c>
      <c r="F33" s="187">
        <f t="shared" si="102"/>
        <v>0</v>
      </c>
      <c r="G33" s="187">
        <f t="shared" si="103"/>
        <v>0</v>
      </c>
      <c r="H33" s="188">
        <f t="shared" si="104"/>
        <v>0</v>
      </c>
      <c r="I33" s="187">
        <f t="shared" si="105"/>
        <v>0</v>
      </c>
      <c r="J33" s="187">
        <f t="shared" si="106"/>
        <v>0</v>
      </c>
      <c r="K33" s="188">
        <f t="shared" si="107"/>
        <v>0</v>
      </c>
      <c r="L33" s="187">
        <f t="shared" si="108"/>
        <v>0</v>
      </c>
      <c r="M33" s="187">
        <f t="shared" si="109"/>
        <v>0</v>
      </c>
      <c r="N33" s="188">
        <f t="shared" si="110"/>
        <v>0</v>
      </c>
      <c r="O33" s="187">
        <f t="shared" si="111"/>
        <v>0</v>
      </c>
      <c r="P33" s="187">
        <f t="shared" si="112"/>
        <v>0</v>
      </c>
      <c r="Q33" s="188">
        <f t="shared" si="113"/>
        <v>0</v>
      </c>
      <c r="R33" s="187">
        <f t="shared" si="114"/>
        <v>12.299965543104035</v>
      </c>
      <c r="S33" s="187">
        <f t="shared" si="115"/>
        <v>0.2287145676176589</v>
      </c>
      <c r="T33" s="188">
        <f t="shared" si="116"/>
        <v>12.528680110721695</v>
      </c>
      <c r="U33" s="187">
        <f t="shared" si="117"/>
        <v>0</v>
      </c>
      <c r="V33" s="187">
        <f t="shared" si="118"/>
        <v>0</v>
      </c>
      <c r="W33" s="188">
        <f t="shared" si="119"/>
        <v>0</v>
      </c>
      <c r="X33" s="187">
        <f t="shared" si="120"/>
        <v>37.586040332165084</v>
      </c>
    </row>
    <row r="34" spans="1:48">
      <c r="A34" s="169">
        <f>VLOOKUP(B34,Misc_inputs!$A$3:$B$33,2,0)</f>
        <v>1.892198034308179</v>
      </c>
      <c r="B34" s="168">
        <v>2025</v>
      </c>
      <c r="C34" s="187">
        <f t="shared" si="99"/>
        <v>25.057360221443389</v>
      </c>
      <c r="D34" s="187">
        <f t="shared" si="100"/>
        <v>0.47413487755967137</v>
      </c>
      <c r="E34" s="188">
        <f t="shared" si="101"/>
        <v>25.53149509900306</v>
      </c>
      <c r="F34" s="187">
        <f t="shared" si="102"/>
        <v>0</v>
      </c>
      <c r="G34" s="187">
        <f t="shared" si="103"/>
        <v>0</v>
      </c>
      <c r="H34" s="188">
        <f t="shared" si="104"/>
        <v>0</v>
      </c>
      <c r="I34" s="187">
        <f t="shared" si="105"/>
        <v>0</v>
      </c>
      <c r="J34" s="187">
        <f t="shared" si="106"/>
        <v>0</v>
      </c>
      <c r="K34" s="188">
        <f t="shared" si="107"/>
        <v>0</v>
      </c>
      <c r="L34" s="187">
        <f t="shared" si="108"/>
        <v>0</v>
      </c>
      <c r="M34" s="187">
        <f t="shared" si="109"/>
        <v>0</v>
      </c>
      <c r="N34" s="188">
        <f t="shared" si="110"/>
        <v>0</v>
      </c>
      <c r="O34" s="187">
        <f t="shared" si="111"/>
        <v>0</v>
      </c>
      <c r="P34" s="187">
        <f t="shared" si="112"/>
        <v>0</v>
      </c>
      <c r="Q34" s="188">
        <f t="shared" si="113"/>
        <v>0</v>
      </c>
      <c r="R34" s="187">
        <f t="shared" si="114"/>
        <v>12.528680110721695</v>
      </c>
      <c r="S34" s="187">
        <f t="shared" si="115"/>
        <v>0.23706743877983569</v>
      </c>
      <c r="T34" s="188">
        <f t="shared" si="116"/>
        <v>12.76574754950153</v>
      </c>
      <c r="U34" s="187">
        <f t="shared" si="117"/>
        <v>0</v>
      </c>
      <c r="V34" s="187">
        <f t="shared" si="118"/>
        <v>0</v>
      </c>
      <c r="W34" s="188">
        <f t="shared" si="119"/>
        <v>0</v>
      </c>
      <c r="X34" s="187">
        <f t="shared" si="120"/>
        <v>38.297242648504593</v>
      </c>
    </row>
    <row r="35" spans="1:48">
      <c r="A35" s="169">
        <f>VLOOKUP(B35,Misc_inputs!$A$3:$B$33,2,0)</f>
        <v>2.0003592159356653</v>
      </c>
      <c r="B35" s="168">
        <v>2026</v>
      </c>
      <c r="C35" s="187">
        <f t="shared" si="99"/>
        <v>25.53149509900306</v>
      </c>
      <c r="D35" s="187">
        <f t="shared" si="100"/>
        <v>0.51072161517907044</v>
      </c>
      <c r="E35" s="188">
        <f t="shared" si="101"/>
        <v>26.042216714182128</v>
      </c>
      <c r="F35" s="187">
        <f t="shared" si="102"/>
        <v>0</v>
      </c>
      <c r="G35" s="187">
        <f t="shared" si="103"/>
        <v>0</v>
      </c>
      <c r="H35" s="188">
        <f t="shared" si="104"/>
        <v>0</v>
      </c>
      <c r="I35" s="187">
        <f t="shared" si="105"/>
        <v>0</v>
      </c>
      <c r="J35" s="187">
        <f t="shared" si="106"/>
        <v>0</v>
      </c>
      <c r="K35" s="188">
        <f t="shared" si="107"/>
        <v>0</v>
      </c>
      <c r="L35" s="187">
        <f t="shared" si="108"/>
        <v>0</v>
      </c>
      <c r="M35" s="187">
        <f t="shared" si="109"/>
        <v>0</v>
      </c>
      <c r="N35" s="188">
        <f t="shared" si="110"/>
        <v>0</v>
      </c>
      <c r="O35" s="187">
        <f t="shared" si="111"/>
        <v>0</v>
      </c>
      <c r="P35" s="187">
        <f t="shared" si="112"/>
        <v>0</v>
      </c>
      <c r="Q35" s="188">
        <f t="shared" si="113"/>
        <v>0</v>
      </c>
      <c r="R35" s="187">
        <f t="shared" si="114"/>
        <v>12.76574754950153</v>
      </c>
      <c r="S35" s="187">
        <f t="shared" si="115"/>
        <v>0.25536080758953522</v>
      </c>
      <c r="T35" s="188">
        <f t="shared" si="116"/>
        <v>13.021108357091064</v>
      </c>
      <c r="U35" s="187">
        <f t="shared" si="117"/>
        <v>0</v>
      </c>
      <c r="V35" s="187">
        <f t="shared" si="118"/>
        <v>0</v>
      </c>
      <c r="W35" s="188">
        <f t="shared" si="119"/>
        <v>0</v>
      </c>
      <c r="X35" s="187">
        <f t="shared" si="120"/>
        <v>39.063325071273191</v>
      </c>
    </row>
    <row r="36" spans="1:48">
      <c r="A36" s="169">
        <f>VLOOKUP(B36,Misc_inputs!$A$3:$B$33,2,0)</f>
        <v>0</v>
      </c>
      <c r="B36" s="168">
        <v>2027</v>
      </c>
      <c r="C36" s="187">
        <f t="shared" si="99"/>
        <v>26.042216714182128</v>
      </c>
      <c r="D36" s="187">
        <f t="shared" si="100"/>
        <v>0</v>
      </c>
      <c r="E36" s="188">
        <f t="shared" si="101"/>
        <v>26.042216714182128</v>
      </c>
      <c r="F36" s="187">
        <f t="shared" si="102"/>
        <v>0</v>
      </c>
      <c r="G36" s="187">
        <f t="shared" si="103"/>
        <v>0</v>
      </c>
      <c r="H36" s="188">
        <f t="shared" si="104"/>
        <v>0</v>
      </c>
      <c r="I36" s="187">
        <f t="shared" si="105"/>
        <v>0</v>
      </c>
      <c r="J36" s="187">
        <f t="shared" si="106"/>
        <v>0</v>
      </c>
      <c r="K36" s="188">
        <f t="shared" si="107"/>
        <v>0</v>
      </c>
      <c r="L36" s="187">
        <f t="shared" si="108"/>
        <v>0</v>
      </c>
      <c r="M36" s="187">
        <f t="shared" si="109"/>
        <v>0</v>
      </c>
      <c r="N36" s="188">
        <f t="shared" si="110"/>
        <v>0</v>
      </c>
      <c r="O36" s="187">
        <f t="shared" si="111"/>
        <v>0</v>
      </c>
      <c r="P36" s="187">
        <f t="shared" si="112"/>
        <v>0</v>
      </c>
      <c r="Q36" s="188">
        <f t="shared" si="113"/>
        <v>0</v>
      </c>
      <c r="R36" s="187">
        <f t="shared" si="114"/>
        <v>13.021108357091064</v>
      </c>
      <c r="S36" s="187">
        <f t="shared" si="115"/>
        <v>0</v>
      </c>
      <c r="T36" s="188">
        <f t="shared" si="116"/>
        <v>13.021108357091064</v>
      </c>
      <c r="U36" s="187">
        <f t="shared" si="117"/>
        <v>0</v>
      </c>
      <c r="V36" s="187">
        <f t="shared" si="118"/>
        <v>0</v>
      </c>
      <c r="W36" s="188">
        <f t="shared" si="119"/>
        <v>0</v>
      </c>
      <c r="X36" s="187">
        <f t="shared" si="120"/>
        <v>39.063325071273191</v>
      </c>
    </row>
    <row r="37" spans="1:48">
      <c r="A37" s="169">
        <f>VLOOKUP(B37,Misc_inputs!$A$3:$B$33,2,0)</f>
        <v>0</v>
      </c>
      <c r="B37" s="168">
        <v>2028</v>
      </c>
      <c r="C37" s="187">
        <f t="shared" si="99"/>
        <v>26.042216714182128</v>
      </c>
      <c r="D37" s="187">
        <f t="shared" si="100"/>
        <v>0</v>
      </c>
      <c r="E37" s="188">
        <f t="shared" si="101"/>
        <v>26.042216714182128</v>
      </c>
      <c r="F37" s="187">
        <f t="shared" si="102"/>
        <v>0</v>
      </c>
      <c r="G37" s="187">
        <f t="shared" si="103"/>
        <v>0</v>
      </c>
      <c r="H37" s="188">
        <f t="shared" si="104"/>
        <v>0</v>
      </c>
      <c r="I37" s="187">
        <f t="shared" si="105"/>
        <v>0</v>
      </c>
      <c r="J37" s="187">
        <f t="shared" si="106"/>
        <v>0</v>
      </c>
      <c r="K37" s="188">
        <f t="shared" si="107"/>
        <v>0</v>
      </c>
      <c r="L37" s="187">
        <f t="shared" si="108"/>
        <v>0</v>
      </c>
      <c r="M37" s="187">
        <f t="shared" si="109"/>
        <v>0</v>
      </c>
      <c r="N37" s="188">
        <f t="shared" si="110"/>
        <v>0</v>
      </c>
      <c r="O37" s="187">
        <f t="shared" si="111"/>
        <v>0</v>
      </c>
      <c r="P37" s="187">
        <f t="shared" si="112"/>
        <v>0</v>
      </c>
      <c r="Q37" s="188">
        <f t="shared" si="113"/>
        <v>0</v>
      </c>
      <c r="R37" s="187">
        <f t="shared" si="114"/>
        <v>13.021108357091064</v>
      </c>
      <c r="S37" s="187">
        <f t="shared" si="115"/>
        <v>0</v>
      </c>
      <c r="T37" s="188">
        <f t="shared" si="116"/>
        <v>13.021108357091064</v>
      </c>
      <c r="U37" s="187">
        <f t="shared" si="117"/>
        <v>0</v>
      </c>
      <c r="V37" s="187">
        <f t="shared" si="118"/>
        <v>0</v>
      </c>
      <c r="W37" s="188">
        <f t="shared" si="119"/>
        <v>0</v>
      </c>
      <c r="X37" s="187">
        <f t="shared" si="120"/>
        <v>39.063325071273191</v>
      </c>
    </row>
    <row r="38" spans="1:48">
      <c r="A38" s="169">
        <f>VLOOKUP(B38,Misc_inputs!$A$3:$B$33,2,0)</f>
        <v>0</v>
      </c>
      <c r="B38" s="168">
        <v>2029</v>
      </c>
      <c r="C38" s="187">
        <f t="shared" si="99"/>
        <v>26.042216714182128</v>
      </c>
      <c r="D38" s="187">
        <f t="shared" si="100"/>
        <v>0</v>
      </c>
      <c r="E38" s="188">
        <f t="shared" si="101"/>
        <v>26.042216714182128</v>
      </c>
      <c r="F38" s="187">
        <f t="shared" si="102"/>
        <v>0</v>
      </c>
      <c r="G38" s="187">
        <f t="shared" si="103"/>
        <v>0</v>
      </c>
      <c r="H38" s="188">
        <f t="shared" si="104"/>
        <v>0</v>
      </c>
      <c r="I38" s="187">
        <f t="shared" si="105"/>
        <v>0</v>
      </c>
      <c r="J38" s="187">
        <f t="shared" si="106"/>
        <v>0</v>
      </c>
      <c r="K38" s="188">
        <f t="shared" si="107"/>
        <v>0</v>
      </c>
      <c r="L38" s="187">
        <f t="shared" si="108"/>
        <v>0</v>
      </c>
      <c r="M38" s="187">
        <f t="shared" si="109"/>
        <v>0</v>
      </c>
      <c r="N38" s="188">
        <f t="shared" si="110"/>
        <v>0</v>
      </c>
      <c r="O38" s="187">
        <f t="shared" si="111"/>
        <v>0</v>
      </c>
      <c r="P38" s="187">
        <f t="shared" si="112"/>
        <v>0</v>
      </c>
      <c r="Q38" s="188">
        <f t="shared" si="113"/>
        <v>0</v>
      </c>
      <c r="R38" s="187">
        <f t="shared" si="114"/>
        <v>13.021108357091064</v>
      </c>
      <c r="S38" s="187">
        <f t="shared" si="115"/>
        <v>0</v>
      </c>
      <c r="T38" s="188">
        <f t="shared" si="116"/>
        <v>13.021108357091064</v>
      </c>
      <c r="U38" s="187">
        <f t="shared" si="117"/>
        <v>0</v>
      </c>
      <c r="V38" s="187">
        <f t="shared" si="118"/>
        <v>0</v>
      </c>
      <c r="W38" s="188">
        <f t="shared" si="119"/>
        <v>0</v>
      </c>
      <c r="X38" s="187">
        <f t="shared" si="120"/>
        <v>39.063325071273191</v>
      </c>
    </row>
    <row r="39" spans="1:48">
      <c r="A39" s="169">
        <f>VLOOKUP(B39,Misc_inputs!$A$3:$B$33,2,0)</f>
        <v>0</v>
      </c>
      <c r="B39" s="168">
        <v>2030</v>
      </c>
      <c r="C39" s="187">
        <f t="shared" si="99"/>
        <v>26.042216714182128</v>
      </c>
      <c r="D39" s="187">
        <f t="shared" si="100"/>
        <v>0</v>
      </c>
      <c r="E39" s="188">
        <f t="shared" si="101"/>
        <v>26.042216714182128</v>
      </c>
      <c r="F39" s="187">
        <f t="shared" si="102"/>
        <v>0</v>
      </c>
      <c r="G39" s="187">
        <f t="shared" si="103"/>
        <v>0</v>
      </c>
      <c r="H39" s="188">
        <f t="shared" si="104"/>
        <v>0</v>
      </c>
      <c r="I39" s="187">
        <f t="shared" si="105"/>
        <v>0</v>
      </c>
      <c r="J39" s="187">
        <f t="shared" si="106"/>
        <v>0</v>
      </c>
      <c r="K39" s="188">
        <f t="shared" si="107"/>
        <v>0</v>
      </c>
      <c r="L39" s="187">
        <f t="shared" si="108"/>
        <v>0</v>
      </c>
      <c r="M39" s="187">
        <f t="shared" si="109"/>
        <v>0</v>
      </c>
      <c r="N39" s="188">
        <f t="shared" si="110"/>
        <v>0</v>
      </c>
      <c r="O39" s="187">
        <f t="shared" si="111"/>
        <v>0</v>
      </c>
      <c r="P39" s="187">
        <f t="shared" si="112"/>
        <v>0</v>
      </c>
      <c r="Q39" s="188">
        <f t="shared" si="113"/>
        <v>0</v>
      </c>
      <c r="R39" s="187">
        <f t="shared" si="114"/>
        <v>13.021108357091064</v>
      </c>
      <c r="S39" s="187">
        <f t="shared" si="115"/>
        <v>0</v>
      </c>
      <c r="T39" s="188">
        <f t="shared" si="116"/>
        <v>13.021108357091064</v>
      </c>
      <c r="U39" s="187">
        <f t="shared" si="117"/>
        <v>0</v>
      </c>
      <c r="V39" s="187">
        <f t="shared" si="118"/>
        <v>0</v>
      </c>
      <c r="W39" s="188">
        <f t="shared" si="119"/>
        <v>0</v>
      </c>
      <c r="X39" s="187">
        <f t="shared" si="120"/>
        <v>39.063325071273191</v>
      </c>
    </row>
    <row r="41" spans="1:48" s="190" customFormat="1" ht="23">
      <c r="A41" s="183" t="s">
        <v>419</v>
      </c>
      <c r="B41" s="189"/>
      <c r="C41" s="189"/>
      <c r="D41" s="189"/>
      <c r="E41" s="189"/>
      <c r="F41" s="189"/>
      <c r="G41" s="189"/>
      <c r="H41" s="189"/>
      <c r="I41" s="189"/>
      <c r="J41" s="189"/>
      <c r="K41" s="189"/>
      <c r="L41" s="189"/>
      <c r="M41" s="189"/>
      <c r="N41" s="189"/>
      <c r="O41" s="189"/>
      <c r="P41" s="189"/>
      <c r="Q41" s="189"/>
      <c r="R41" s="189"/>
      <c r="S41" s="189"/>
      <c r="T41" s="189"/>
      <c r="U41" s="189"/>
      <c r="V41" s="189"/>
      <c r="W41" s="189"/>
      <c r="X41" s="189"/>
      <c r="Y41" s="189"/>
      <c r="Z41" s="189"/>
      <c r="AA41" s="189"/>
      <c r="AB41" s="189"/>
      <c r="AC41" s="189"/>
      <c r="AD41" s="189"/>
      <c r="AE41" s="189"/>
      <c r="AF41" s="189"/>
      <c r="AG41" s="189"/>
      <c r="AH41" s="189"/>
      <c r="AI41" s="189"/>
      <c r="AJ41" s="189"/>
      <c r="AK41" s="189"/>
      <c r="AL41" s="189"/>
      <c r="AM41" s="189"/>
      <c r="AN41" s="189"/>
      <c r="AO41" s="189"/>
      <c r="AP41" s="189"/>
      <c r="AQ41" s="189"/>
      <c r="AR41" s="189"/>
      <c r="AS41" s="189"/>
      <c r="AT41" s="189"/>
      <c r="AU41" s="189"/>
      <c r="AV41" s="189"/>
    </row>
    <row r="42" spans="1:48" ht="93">
      <c r="A42" s="173" t="s">
        <v>539</v>
      </c>
      <c r="B42" s="172" t="s">
        <v>342</v>
      </c>
      <c r="C42" s="172" t="str">
        <f>Cost_of_crime_Raw_data!A68</f>
        <v>Drug offences (e.g. driving under the influence of drugs)</v>
      </c>
      <c r="D42" s="184" t="s">
        <v>540</v>
      </c>
      <c r="E42" s="185" t="s">
        <v>541</v>
      </c>
      <c r="F42" s="172" t="str">
        <f>Cost_of_crime_Raw_data!A69</f>
        <v>Alcohol offences (e.g. driving under the influence of alcohol)</v>
      </c>
      <c r="G42" s="184" t="s">
        <v>540</v>
      </c>
      <c r="H42" s="185" t="s">
        <v>541</v>
      </c>
      <c r="I42" s="172" t="str">
        <f>Cost_of_crime_Raw_data!A70</f>
        <v>Other indictable non- motoring offences</v>
      </c>
      <c r="J42" s="184" t="s">
        <v>540</v>
      </c>
      <c r="K42" s="185" t="s">
        <v>541</v>
      </c>
      <c r="L42" s="172" t="str">
        <f>Cost_of_crime_Raw_data!A71</f>
        <v>Indictable motoring offences</v>
      </c>
      <c r="M42" s="184" t="s">
        <v>540</v>
      </c>
      <c r="N42" s="185" t="s">
        <v>541</v>
      </c>
      <c r="O42" s="172" t="str">
        <f>Cost_of_crime_Raw_data!A72</f>
        <v>Summary non-motoring offences</v>
      </c>
      <c r="P42" s="184" t="s">
        <v>540</v>
      </c>
      <c r="Q42" s="185" t="s">
        <v>541</v>
      </c>
      <c r="R42" s="172" t="str">
        <f>Cost_of_crime_Raw_data!A73</f>
        <v>Summary motoring offences</v>
      </c>
      <c r="S42" s="184" t="s">
        <v>540</v>
      </c>
      <c r="T42" s="185" t="s">
        <v>541</v>
      </c>
      <c r="U42" s="172" t="str">
        <f>Cost_of_crime_Raw_data!A74</f>
        <v>TOTAL TRAFFIC/ MOTORING/ OTHER</v>
      </c>
    </row>
    <row r="43" spans="1:48">
      <c r="B43" s="168">
        <v>2000</v>
      </c>
      <c r="C43" s="169" t="s">
        <v>429</v>
      </c>
      <c r="D43" s="187" t="e">
        <f>C43*$A43/100</f>
        <v>#VALUE!</v>
      </c>
      <c r="E43" s="188" t="e">
        <f>C43+D43</f>
        <v>#VALUE!</v>
      </c>
      <c r="F43" s="169" t="s">
        <v>429</v>
      </c>
      <c r="G43" s="187" t="e">
        <f>F43*$A43/100</f>
        <v>#VALUE!</v>
      </c>
      <c r="H43" s="188" t="e">
        <f>F43+G43</f>
        <v>#VALUE!</v>
      </c>
      <c r="I43" s="169" t="s">
        <v>429</v>
      </c>
      <c r="J43" s="187" t="e">
        <f>I43*$A43/100</f>
        <v>#VALUE!</v>
      </c>
      <c r="K43" s="188" t="e">
        <f>I43+J43</f>
        <v>#VALUE!</v>
      </c>
      <c r="L43" s="169" t="s">
        <v>429</v>
      </c>
      <c r="M43" s="187" t="e">
        <f>L43*$A43/100</f>
        <v>#VALUE!</v>
      </c>
      <c r="N43" s="188" t="e">
        <f>L43+M43</f>
        <v>#VALUE!</v>
      </c>
      <c r="O43" s="169" t="s">
        <v>429</v>
      </c>
      <c r="P43" s="187" t="e">
        <f>O43*$A43/100</f>
        <v>#VALUE!</v>
      </c>
      <c r="Q43" s="188" t="e">
        <f>O43+P43</f>
        <v>#VALUE!</v>
      </c>
      <c r="R43" s="169" t="s">
        <v>429</v>
      </c>
      <c r="S43" s="187" t="e">
        <f>R43*$A43/100</f>
        <v>#VALUE!</v>
      </c>
      <c r="T43" s="188" t="e">
        <f>R43+S43</f>
        <v>#VALUE!</v>
      </c>
      <c r="U43" s="187" t="e">
        <f>SUM(T43,Q43,N43,K43,H43,E43)</f>
        <v>#VALUE!</v>
      </c>
    </row>
    <row r="44" spans="1:48">
      <c r="A44" s="169">
        <f>VLOOKUP(B44,Misc_inputs!$A$3:$B$33,2,0)</f>
        <v>1.8509525763893939</v>
      </c>
      <c r="B44" s="168">
        <v>2001</v>
      </c>
      <c r="C44" s="169" t="s">
        <v>429</v>
      </c>
      <c r="D44" s="187" t="e">
        <f>C44*$A44/100</f>
        <v>#VALUE!</v>
      </c>
      <c r="E44" s="188" t="e">
        <f>C44+D44</f>
        <v>#VALUE!</v>
      </c>
      <c r="F44" s="169" t="s">
        <v>429</v>
      </c>
      <c r="G44" s="187" t="e">
        <f>F44*$A44/100</f>
        <v>#VALUE!</v>
      </c>
      <c r="H44" s="188" t="e">
        <f>F44+G44</f>
        <v>#VALUE!</v>
      </c>
      <c r="I44" s="169" t="s">
        <v>429</v>
      </c>
      <c r="J44" s="187" t="e">
        <f>I44*$A44/100</f>
        <v>#VALUE!</v>
      </c>
      <c r="K44" s="188" t="e">
        <f>I44+J44</f>
        <v>#VALUE!</v>
      </c>
      <c r="L44" s="169" t="s">
        <v>429</v>
      </c>
      <c r="M44" s="187" t="e">
        <f>L44*$A44/100</f>
        <v>#VALUE!</v>
      </c>
      <c r="N44" s="188" t="e">
        <f>L44+M44</f>
        <v>#VALUE!</v>
      </c>
      <c r="O44" s="169" t="s">
        <v>429</v>
      </c>
      <c r="P44" s="187" t="e">
        <f>O44*$A44/100</f>
        <v>#VALUE!</v>
      </c>
      <c r="Q44" s="188" t="e">
        <f>O44+P44</f>
        <v>#VALUE!</v>
      </c>
      <c r="R44" s="169" t="s">
        <v>429</v>
      </c>
      <c r="S44" s="187" t="e">
        <f>R44*$A44/100</f>
        <v>#VALUE!</v>
      </c>
      <c r="T44" s="188" t="e">
        <f>R44+S44</f>
        <v>#VALUE!</v>
      </c>
      <c r="U44" s="187" t="e">
        <f t="shared" ref="U44:U73" si="121">SUM(T44,Q44,N44,K44,H44,E44)</f>
        <v>#VALUE!</v>
      </c>
    </row>
    <row r="45" spans="1:48">
      <c r="A45" s="169">
        <f>VLOOKUP(B45,Misc_inputs!$A$3:$B$33,2,0)</f>
        <v>2.0601670280994799</v>
      </c>
      <c r="B45" s="168">
        <v>2002</v>
      </c>
      <c r="C45" s="169" t="s">
        <v>429</v>
      </c>
      <c r="D45" s="187" t="e">
        <f t="shared" ref="D45:D56" si="122">C45*$A45/100</f>
        <v>#VALUE!</v>
      </c>
      <c r="E45" s="188" t="e">
        <f t="shared" ref="E45:E73" si="123">C45+D45</f>
        <v>#VALUE!</v>
      </c>
      <c r="F45" s="169" t="s">
        <v>429</v>
      </c>
      <c r="G45" s="187" t="e">
        <f t="shared" ref="G45:G56" si="124">F45*$A45/100</f>
        <v>#VALUE!</v>
      </c>
      <c r="H45" s="188" t="e">
        <f t="shared" ref="H45:H73" si="125">F45+G45</f>
        <v>#VALUE!</v>
      </c>
      <c r="I45" s="169" t="s">
        <v>429</v>
      </c>
      <c r="J45" s="187" t="e">
        <f t="shared" ref="J45:J56" si="126">I45*$A45/100</f>
        <v>#VALUE!</v>
      </c>
      <c r="K45" s="188" t="e">
        <f t="shared" ref="K45:K73" si="127">I45+J45</f>
        <v>#VALUE!</v>
      </c>
      <c r="L45" s="169" t="s">
        <v>429</v>
      </c>
      <c r="M45" s="187" t="e">
        <f t="shared" ref="M45:M56" si="128">L45*$A45/100</f>
        <v>#VALUE!</v>
      </c>
      <c r="N45" s="188" t="e">
        <f t="shared" ref="N45:N73" si="129">L45+M45</f>
        <v>#VALUE!</v>
      </c>
      <c r="O45" s="169" t="s">
        <v>429</v>
      </c>
      <c r="P45" s="187" t="e">
        <f t="shared" ref="P45:P56" si="130">O45*$A45/100</f>
        <v>#VALUE!</v>
      </c>
      <c r="Q45" s="188" t="e">
        <f t="shared" ref="Q45:Q73" si="131">O45+P45</f>
        <v>#VALUE!</v>
      </c>
      <c r="R45" s="169" t="s">
        <v>429</v>
      </c>
      <c r="S45" s="187" t="e">
        <f t="shared" ref="S45:S56" si="132">R45*$A45/100</f>
        <v>#VALUE!</v>
      </c>
      <c r="T45" s="188" t="e">
        <f t="shared" ref="T45:T73" si="133">R45+S45</f>
        <v>#VALUE!</v>
      </c>
      <c r="U45" s="187" t="e">
        <f t="shared" si="121"/>
        <v>#VALUE!</v>
      </c>
    </row>
    <row r="46" spans="1:48">
      <c r="A46" s="169">
        <f>VLOOKUP(B46,Misc_inputs!$A$3:$B$33,2,0)</f>
        <v>2.7352938960343987</v>
      </c>
      <c r="B46" s="168">
        <v>2003</v>
      </c>
      <c r="C46" s="169" t="s">
        <v>429</v>
      </c>
      <c r="D46" s="187" t="e">
        <f t="shared" si="122"/>
        <v>#VALUE!</v>
      </c>
      <c r="E46" s="188" t="e">
        <f t="shared" si="123"/>
        <v>#VALUE!</v>
      </c>
      <c r="F46" s="169" t="s">
        <v>429</v>
      </c>
      <c r="G46" s="187" t="e">
        <f t="shared" si="124"/>
        <v>#VALUE!</v>
      </c>
      <c r="H46" s="188" t="e">
        <f t="shared" si="125"/>
        <v>#VALUE!</v>
      </c>
      <c r="I46" s="169" t="s">
        <v>429</v>
      </c>
      <c r="J46" s="187" t="e">
        <f t="shared" si="126"/>
        <v>#VALUE!</v>
      </c>
      <c r="K46" s="188" t="e">
        <f t="shared" si="127"/>
        <v>#VALUE!</v>
      </c>
      <c r="L46" s="169" t="s">
        <v>429</v>
      </c>
      <c r="M46" s="187" t="e">
        <f t="shared" si="128"/>
        <v>#VALUE!</v>
      </c>
      <c r="N46" s="188" t="e">
        <f t="shared" si="129"/>
        <v>#VALUE!</v>
      </c>
      <c r="O46" s="169" t="s">
        <v>429</v>
      </c>
      <c r="P46" s="187" t="e">
        <f t="shared" si="130"/>
        <v>#VALUE!</v>
      </c>
      <c r="Q46" s="188" t="e">
        <f t="shared" si="131"/>
        <v>#VALUE!</v>
      </c>
      <c r="R46" s="169" t="s">
        <v>429</v>
      </c>
      <c r="S46" s="187" t="e">
        <f t="shared" si="132"/>
        <v>#VALUE!</v>
      </c>
      <c r="T46" s="188" t="e">
        <f t="shared" si="133"/>
        <v>#VALUE!</v>
      </c>
      <c r="U46" s="187" t="e">
        <f t="shared" si="121"/>
        <v>#VALUE!</v>
      </c>
    </row>
    <row r="47" spans="1:48">
      <c r="A47" s="169">
        <f>VLOOKUP(B47,Misc_inputs!$A$3:$B$33,2,0)</f>
        <v>2.5734301841181981</v>
      </c>
      <c r="B47" s="168">
        <v>2004</v>
      </c>
      <c r="C47" s="169" t="s">
        <v>429</v>
      </c>
      <c r="D47" s="187" t="e">
        <f t="shared" si="122"/>
        <v>#VALUE!</v>
      </c>
      <c r="E47" s="188" t="e">
        <f t="shared" si="123"/>
        <v>#VALUE!</v>
      </c>
      <c r="F47" s="169" t="s">
        <v>429</v>
      </c>
      <c r="G47" s="187" t="e">
        <f t="shared" si="124"/>
        <v>#VALUE!</v>
      </c>
      <c r="H47" s="188" t="e">
        <f t="shared" si="125"/>
        <v>#VALUE!</v>
      </c>
      <c r="I47" s="169" t="s">
        <v>429</v>
      </c>
      <c r="J47" s="187" t="e">
        <f t="shared" si="126"/>
        <v>#VALUE!</v>
      </c>
      <c r="K47" s="188" t="e">
        <f t="shared" si="127"/>
        <v>#VALUE!</v>
      </c>
      <c r="L47" s="169" t="s">
        <v>429</v>
      </c>
      <c r="M47" s="187" t="e">
        <f t="shared" si="128"/>
        <v>#VALUE!</v>
      </c>
      <c r="N47" s="188" t="e">
        <f t="shared" si="129"/>
        <v>#VALUE!</v>
      </c>
      <c r="O47" s="169" t="s">
        <v>429</v>
      </c>
      <c r="P47" s="187" t="e">
        <f t="shared" si="130"/>
        <v>#VALUE!</v>
      </c>
      <c r="Q47" s="188" t="e">
        <f t="shared" si="131"/>
        <v>#VALUE!</v>
      </c>
      <c r="R47" s="169" t="s">
        <v>429</v>
      </c>
      <c r="S47" s="187" t="e">
        <f t="shared" si="132"/>
        <v>#VALUE!</v>
      </c>
      <c r="T47" s="188" t="e">
        <f t="shared" si="133"/>
        <v>#VALUE!</v>
      </c>
      <c r="U47" s="187" t="e">
        <f t="shared" si="121"/>
        <v>#VALUE!</v>
      </c>
    </row>
    <row r="48" spans="1:48">
      <c r="A48" s="169">
        <f>VLOOKUP(B48,Misc_inputs!$A$3:$B$33,2,0)</f>
        <v>3.1315066925981085</v>
      </c>
      <c r="B48" s="168">
        <v>2005</v>
      </c>
      <c r="C48" s="169" t="s">
        <v>429</v>
      </c>
      <c r="D48" s="187" t="e">
        <f t="shared" si="122"/>
        <v>#VALUE!</v>
      </c>
      <c r="E48" s="188" t="e">
        <f t="shared" si="123"/>
        <v>#VALUE!</v>
      </c>
      <c r="F48" s="169" t="s">
        <v>429</v>
      </c>
      <c r="G48" s="187" t="e">
        <f t="shared" si="124"/>
        <v>#VALUE!</v>
      </c>
      <c r="H48" s="188" t="e">
        <f t="shared" si="125"/>
        <v>#VALUE!</v>
      </c>
      <c r="I48" s="169" t="s">
        <v>429</v>
      </c>
      <c r="J48" s="187" t="e">
        <f t="shared" si="126"/>
        <v>#VALUE!</v>
      </c>
      <c r="K48" s="188" t="e">
        <f t="shared" si="127"/>
        <v>#VALUE!</v>
      </c>
      <c r="L48" s="169" t="s">
        <v>429</v>
      </c>
      <c r="M48" s="187" t="e">
        <f t="shared" si="128"/>
        <v>#VALUE!</v>
      </c>
      <c r="N48" s="188" t="e">
        <f t="shared" si="129"/>
        <v>#VALUE!</v>
      </c>
      <c r="O48" s="169" t="s">
        <v>429</v>
      </c>
      <c r="P48" s="187" t="e">
        <f t="shared" si="130"/>
        <v>#VALUE!</v>
      </c>
      <c r="Q48" s="188" t="e">
        <f t="shared" si="131"/>
        <v>#VALUE!</v>
      </c>
      <c r="R48" s="169" t="s">
        <v>429</v>
      </c>
      <c r="S48" s="187" t="e">
        <f t="shared" si="132"/>
        <v>#VALUE!</v>
      </c>
      <c r="T48" s="188" t="e">
        <f t="shared" si="133"/>
        <v>#VALUE!</v>
      </c>
      <c r="U48" s="187" t="e">
        <f t="shared" si="121"/>
        <v>#VALUE!</v>
      </c>
    </row>
    <row r="49" spans="1:21">
      <c r="A49" s="169">
        <f>VLOOKUP(B49,Misc_inputs!$A$3:$B$33,2,0)</f>
        <v>2.853248435199073</v>
      </c>
      <c r="B49" s="168">
        <v>2006</v>
      </c>
      <c r="C49" s="169" t="s">
        <v>429</v>
      </c>
      <c r="D49" s="187" t="e">
        <f t="shared" si="122"/>
        <v>#VALUE!</v>
      </c>
      <c r="E49" s="188" t="e">
        <f t="shared" si="123"/>
        <v>#VALUE!</v>
      </c>
      <c r="F49" s="169" t="s">
        <v>429</v>
      </c>
      <c r="G49" s="187" t="e">
        <f t="shared" si="124"/>
        <v>#VALUE!</v>
      </c>
      <c r="H49" s="188" t="e">
        <f t="shared" si="125"/>
        <v>#VALUE!</v>
      </c>
      <c r="I49" s="169" t="s">
        <v>429</v>
      </c>
      <c r="J49" s="187" t="e">
        <f t="shared" si="126"/>
        <v>#VALUE!</v>
      </c>
      <c r="K49" s="188" t="e">
        <f t="shared" si="127"/>
        <v>#VALUE!</v>
      </c>
      <c r="L49" s="169" t="s">
        <v>429</v>
      </c>
      <c r="M49" s="187" t="e">
        <f t="shared" si="128"/>
        <v>#VALUE!</v>
      </c>
      <c r="N49" s="188" t="e">
        <f t="shared" si="129"/>
        <v>#VALUE!</v>
      </c>
      <c r="O49" s="169" t="s">
        <v>429</v>
      </c>
      <c r="P49" s="187" t="e">
        <f t="shared" si="130"/>
        <v>#VALUE!</v>
      </c>
      <c r="Q49" s="188" t="e">
        <f t="shared" si="131"/>
        <v>#VALUE!</v>
      </c>
      <c r="R49" s="169" t="s">
        <v>429</v>
      </c>
      <c r="S49" s="187" t="e">
        <f t="shared" si="132"/>
        <v>#VALUE!</v>
      </c>
      <c r="T49" s="188" t="e">
        <f t="shared" si="133"/>
        <v>#VALUE!</v>
      </c>
      <c r="U49" s="187" t="e">
        <f t="shared" si="121"/>
        <v>#VALUE!</v>
      </c>
    </row>
    <row r="50" spans="1:21">
      <c r="A50" s="169">
        <f>VLOOKUP(B50,Misc_inputs!$A$3:$B$33,2,0)</f>
        <v>2.7960714791272023</v>
      </c>
      <c r="B50" s="168">
        <v>2007</v>
      </c>
      <c r="C50" s="169" t="s">
        <v>429</v>
      </c>
      <c r="D50" s="187" t="e">
        <f t="shared" si="122"/>
        <v>#VALUE!</v>
      </c>
      <c r="E50" s="188" t="e">
        <f t="shared" si="123"/>
        <v>#VALUE!</v>
      </c>
      <c r="F50" s="169" t="s">
        <v>429</v>
      </c>
      <c r="G50" s="187" t="e">
        <f t="shared" si="124"/>
        <v>#VALUE!</v>
      </c>
      <c r="H50" s="188" t="e">
        <f t="shared" si="125"/>
        <v>#VALUE!</v>
      </c>
      <c r="I50" s="169" t="s">
        <v>429</v>
      </c>
      <c r="J50" s="187" t="e">
        <f t="shared" si="126"/>
        <v>#VALUE!</v>
      </c>
      <c r="K50" s="188" t="e">
        <f t="shared" si="127"/>
        <v>#VALUE!</v>
      </c>
      <c r="L50" s="169" t="s">
        <v>429</v>
      </c>
      <c r="M50" s="187" t="e">
        <f t="shared" si="128"/>
        <v>#VALUE!</v>
      </c>
      <c r="N50" s="188" t="e">
        <f t="shared" si="129"/>
        <v>#VALUE!</v>
      </c>
      <c r="O50" s="169" t="s">
        <v>429</v>
      </c>
      <c r="P50" s="187" t="e">
        <f t="shared" si="130"/>
        <v>#VALUE!</v>
      </c>
      <c r="Q50" s="188" t="e">
        <f t="shared" si="131"/>
        <v>#VALUE!</v>
      </c>
      <c r="R50" s="169" t="s">
        <v>429</v>
      </c>
      <c r="S50" s="187" t="e">
        <f t="shared" si="132"/>
        <v>#VALUE!</v>
      </c>
      <c r="T50" s="188" t="e">
        <f t="shared" si="133"/>
        <v>#VALUE!</v>
      </c>
      <c r="U50" s="187" t="e">
        <f t="shared" si="121"/>
        <v>#VALUE!</v>
      </c>
    </row>
    <row r="51" spans="1:21">
      <c r="A51" s="169">
        <f>VLOOKUP(B51,Misc_inputs!$A$3:$B$33,2,0)</f>
        <v>3.2489393373071294</v>
      </c>
      <c r="B51" s="168">
        <v>2008</v>
      </c>
      <c r="C51" s="169" t="s">
        <v>429</v>
      </c>
      <c r="D51" s="187" t="e">
        <f t="shared" si="122"/>
        <v>#VALUE!</v>
      </c>
      <c r="E51" s="188" t="e">
        <f t="shared" si="123"/>
        <v>#VALUE!</v>
      </c>
      <c r="F51" s="169" t="s">
        <v>429</v>
      </c>
      <c r="G51" s="187" t="e">
        <f t="shared" si="124"/>
        <v>#VALUE!</v>
      </c>
      <c r="H51" s="188" t="e">
        <f t="shared" si="125"/>
        <v>#VALUE!</v>
      </c>
      <c r="I51" s="169" t="s">
        <v>429</v>
      </c>
      <c r="J51" s="187" t="e">
        <f t="shared" si="126"/>
        <v>#VALUE!</v>
      </c>
      <c r="K51" s="188" t="e">
        <f t="shared" si="127"/>
        <v>#VALUE!</v>
      </c>
      <c r="L51" s="169" t="s">
        <v>429</v>
      </c>
      <c r="M51" s="187" t="e">
        <f t="shared" si="128"/>
        <v>#VALUE!</v>
      </c>
      <c r="N51" s="188" t="e">
        <f t="shared" si="129"/>
        <v>#VALUE!</v>
      </c>
      <c r="O51" s="169" t="s">
        <v>429</v>
      </c>
      <c r="P51" s="187" t="e">
        <f t="shared" si="130"/>
        <v>#VALUE!</v>
      </c>
      <c r="Q51" s="188" t="e">
        <f t="shared" si="131"/>
        <v>#VALUE!</v>
      </c>
      <c r="R51" s="169" t="s">
        <v>429</v>
      </c>
      <c r="S51" s="187" t="e">
        <f t="shared" si="132"/>
        <v>#VALUE!</v>
      </c>
      <c r="T51" s="188" t="e">
        <f t="shared" si="133"/>
        <v>#VALUE!</v>
      </c>
      <c r="U51" s="187" t="e">
        <f t="shared" si="121"/>
        <v>#VALUE!</v>
      </c>
    </row>
    <row r="52" spans="1:21">
      <c r="A52" s="169">
        <f>VLOOKUP(B52,Misc_inputs!$A$3:$B$33,2,0)</f>
        <v>1.7010725699507729</v>
      </c>
      <c r="B52" s="168">
        <v>2009</v>
      </c>
      <c r="C52" s="169" t="s">
        <v>429</v>
      </c>
      <c r="D52" s="187" t="e">
        <f t="shared" si="122"/>
        <v>#VALUE!</v>
      </c>
      <c r="E52" s="188" t="e">
        <f t="shared" si="123"/>
        <v>#VALUE!</v>
      </c>
      <c r="F52" s="169" t="s">
        <v>429</v>
      </c>
      <c r="G52" s="187" t="e">
        <f t="shared" si="124"/>
        <v>#VALUE!</v>
      </c>
      <c r="H52" s="188" t="e">
        <f t="shared" si="125"/>
        <v>#VALUE!</v>
      </c>
      <c r="I52" s="169" t="s">
        <v>429</v>
      </c>
      <c r="J52" s="187" t="e">
        <f t="shared" si="126"/>
        <v>#VALUE!</v>
      </c>
      <c r="K52" s="188" t="e">
        <f t="shared" si="127"/>
        <v>#VALUE!</v>
      </c>
      <c r="L52" s="169" t="s">
        <v>429</v>
      </c>
      <c r="M52" s="187" t="e">
        <f t="shared" si="128"/>
        <v>#VALUE!</v>
      </c>
      <c r="N52" s="188" t="e">
        <f t="shared" si="129"/>
        <v>#VALUE!</v>
      </c>
      <c r="O52" s="169" t="s">
        <v>429</v>
      </c>
      <c r="P52" s="187" t="e">
        <f t="shared" si="130"/>
        <v>#VALUE!</v>
      </c>
      <c r="Q52" s="188" t="e">
        <f t="shared" si="131"/>
        <v>#VALUE!</v>
      </c>
      <c r="R52" s="169" t="s">
        <v>429</v>
      </c>
      <c r="S52" s="187" t="e">
        <f t="shared" si="132"/>
        <v>#VALUE!</v>
      </c>
      <c r="T52" s="188" t="e">
        <f t="shared" si="133"/>
        <v>#VALUE!</v>
      </c>
      <c r="U52" s="187" t="e">
        <f t="shared" si="121"/>
        <v>#VALUE!</v>
      </c>
    </row>
    <row r="53" spans="1:21">
      <c r="A53" s="169">
        <f>VLOOKUP(B53,Misc_inputs!$A$3:$B$33,2,0)</f>
        <v>1.3734918692079017</v>
      </c>
      <c r="B53" s="168">
        <v>2010</v>
      </c>
      <c r="C53" s="169" t="s">
        <v>429</v>
      </c>
      <c r="D53" s="187" t="e">
        <f t="shared" si="122"/>
        <v>#VALUE!</v>
      </c>
      <c r="E53" s="188" t="e">
        <f t="shared" si="123"/>
        <v>#VALUE!</v>
      </c>
      <c r="F53" s="169" t="s">
        <v>429</v>
      </c>
      <c r="G53" s="187" t="e">
        <f t="shared" si="124"/>
        <v>#VALUE!</v>
      </c>
      <c r="H53" s="188" t="e">
        <f t="shared" si="125"/>
        <v>#VALUE!</v>
      </c>
      <c r="I53" s="169" t="s">
        <v>429</v>
      </c>
      <c r="J53" s="187" t="e">
        <f t="shared" si="126"/>
        <v>#VALUE!</v>
      </c>
      <c r="K53" s="188" t="e">
        <f t="shared" si="127"/>
        <v>#VALUE!</v>
      </c>
      <c r="L53" s="169" t="s">
        <v>429</v>
      </c>
      <c r="M53" s="187" t="e">
        <f t="shared" si="128"/>
        <v>#VALUE!</v>
      </c>
      <c r="N53" s="188" t="e">
        <f t="shared" si="129"/>
        <v>#VALUE!</v>
      </c>
      <c r="O53" s="169" t="s">
        <v>429</v>
      </c>
      <c r="P53" s="187" t="e">
        <f t="shared" si="130"/>
        <v>#VALUE!</v>
      </c>
      <c r="Q53" s="188" t="e">
        <f t="shared" si="131"/>
        <v>#VALUE!</v>
      </c>
      <c r="R53" s="169" t="s">
        <v>429</v>
      </c>
      <c r="S53" s="187" t="e">
        <f t="shared" si="132"/>
        <v>#VALUE!</v>
      </c>
      <c r="T53" s="188" t="e">
        <f t="shared" si="133"/>
        <v>#VALUE!</v>
      </c>
      <c r="U53" s="187" t="e">
        <f t="shared" si="121"/>
        <v>#VALUE!</v>
      </c>
    </row>
    <row r="54" spans="1:21">
      <c r="A54" s="169">
        <f>VLOOKUP(B54,Misc_inputs!$A$3:$B$33,2,0)</f>
        <v>2.0688542081199257</v>
      </c>
      <c r="B54" s="168">
        <v>2011</v>
      </c>
      <c r="C54" s="169" t="s">
        <v>429</v>
      </c>
      <c r="D54" s="187" t="e">
        <f t="shared" si="122"/>
        <v>#VALUE!</v>
      </c>
      <c r="E54" s="188" t="e">
        <f t="shared" si="123"/>
        <v>#VALUE!</v>
      </c>
      <c r="F54" s="169" t="s">
        <v>429</v>
      </c>
      <c r="G54" s="187" t="e">
        <f t="shared" si="124"/>
        <v>#VALUE!</v>
      </c>
      <c r="H54" s="188" t="e">
        <f t="shared" si="125"/>
        <v>#VALUE!</v>
      </c>
      <c r="I54" s="169" t="s">
        <v>429</v>
      </c>
      <c r="J54" s="187" t="e">
        <f t="shared" si="126"/>
        <v>#VALUE!</v>
      </c>
      <c r="K54" s="188" t="e">
        <f t="shared" si="127"/>
        <v>#VALUE!</v>
      </c>
      <c r="L54" s="169" t="s">
        <v>429</v>
      </c>
      <c r="M54" s="187" t="e">
        <f t="shared" si="128"/>
        <v>#VALUE!</v>
      </c>
      <c r="N54" s="188" t="e">
        <f t="shared" si="129"/>
        <v>#VALUE!</v>
      </c>
      <c r="O54" s="169" t="s">
        <v>429</v>
      </c>
      <c r="P54" s="187" t="e">
        <f t="shared" si="130"/>
        <v>#VALUE!</v>
      </c>
      <c r="Q54" s="188" t="e">
        <f t="shared" si="131"/>
        <v>#VALUE!</v>
      </c>
      <c r="R54" s="169" t="s">
        <v>429</v>
      </c>
      <c r="S54" s="187" t="e">
        <f t="shared" si="132"/>
        <v>#VALUE!</v>
      </c>
      <c r="T54" s="188" t="e">
        <f t="shared" si="133"/>
        <v>#VALUE!</v>
      </c>
      <c r="U54" s="187" t="e">
        <f t="shared" si="121"/>
        <v>#VALUE!</v>
      </c>
    </row>
    <row r="55" spans="1:21">
      <c r="A55" s="169">
        <f>VLOOKUP(B55,Misc_inputs!$A$3:$B$33,2,0)</f>
        <v>1.6091515591183065</v>
      </c>
      <c r="B55" s="168">
        <v>2012</v>
      </c>
      <c r="C55" s="169" t="s">
        <v>429</v>
      </c>
      <c r="D55" s="187" t="e">
        <f t="shared" si="122"/>
        <v>#VALUE!</v>
      </c>
      <c r="E55" s="188" t="e">
        <f t="shared" si="123"/>
        <v>#VALUE!</v>
      </c>
      <c r="F55" s="169" t="s">
        <v>429</v>
      </c>
      <c r="G55" s="187" t="e">
        <f t="shared" si="124"/>
        <v>#VALUE!</v>
      </c>
      <c r="H55" s="188" t="e">
        <f t="shared" si="125"/>
        <v>#VALUE!</v>
      </c>
      <c r="I55" s="169" t="s">
        <v>429</v>
      </c>
      <c r="J55" s="187" t="e">
        <f t="shared" si="126"/>
        <v>#VALUE!</v>
      </c>
      <c r="K55" s="188" t="e">
        <f t="shared" si="127"/>
        <v>#VALUE!</v>
      </c>
      <c r="L55" s="169" t="s">
        <v>429</v>
      </c>
      <c r="M55" s="187" t="e">
        <f t="shared" si="128"/>
        <v>#VALUE!</v>
      </c>
      <c r="N55" s="188" t="e">
        <f t="shared" si="129"/>
        <v>#VALUE!</v>
      </c>
      <c r="O55" s="169" t="s">
        <v>429</v>
      </c>
      <c r="P55" s="187" t="e">
        <f t="shared" si="130"/>
        <v>#VALUE!</v>
      </c>
      <c r="Q55" s="188" t="e">
        <f t="shared" si="131"/>
        <v>#VALUE!</v>
      </c>
      <c r="R55" s="169" t="s">
        <v>429</v>
      </c>
      <c r="S55" s="187" t="e">
        <f t="shared" si="132"/>
        <v>#VALUE!</v>
      </c>
      <c r="T55" s="188" t="e">
        <f t="shared" si="133"/>
        <v>#VALUE!</v>
      </c>
      <c r="U55" s="187" t="e">
        <f t="shared" si="121"/>
        <v>#VALUE!</v>
      </c>
    </row>
    <row r="56" spans="1:21">
      <c r="A56" s="169">
        <f>VLOOKUP(B56,Misc_inputs!$A$3:$B$33,2,0)</f>
        <v>2.2357385540164949</v>
      </c>
      <c r="B56" s="168">
        <v>2013</v>
      </c>
      <c r="C56" s="169" t="s">
        <v>429</v>
      </c>
      <c r="D56" s="187" t="e">
        <f t="shared" si="122"/>
        <v>#VALUE!</v>
      </c>
      <c r="E56" s="188" t="e">
        <f t="shared" si="123"/>
        <v>#VALUE!</v>
      </c>
      <c r="F56" s="169" t="s">
        <v>429</v>
      </c>
      <c r="G56" s="187" t="e">
        <f t="shared" si="124"/>
        <v>#VALUE!</v>
      </c>
      <c r="H56" s="188" t="e">
        <f t="shared" si="125"/>
        <v>#VALUE!</v>
      </c>
      <c r="I56" s="169" t="s">
        <v>429</v>
      </c>
      <c r="J56" s="187" t="e">
        <f t="shared" si="126"/>
        <v>#VALUE!</v>
      </c>
      <c r="K56" s="188" t="e">
        <f t="shared" si="127"/>
        <v>#VALUE!</v>
      </c>
      <c r="L56" s="169" t="s">
        <v>429</v>
      </c>
      <c r="M56" s="187" t="e">
        <f t="shared" si="128"/>
        <v>#VALUE!</v>
      </c>
      <c r="N56" s="188" t="e">
        <f t="shared" si="129"/>
        <v>#VALUE!</v>
      </c>
      <c r="O56" s="169" t="s">
        <v>429</v>
      </c>
      <c r="P56" s="187" t="e">
        <f t="shared" si="130"/>
        <v>#VALUE!</v>
      </c>
      <c r="Q56" s="188" t="e">
        <f t="shared" si="131"/>
        <v>#VALUE!</v>
      </c>
      <c r="R56" s="169" t="s">
        <v>429</v>
      </c>
      <c r="S56" s="187" t="e">
        <f t="shared" si="132"/>
        <v>#VALUE!</v>
      </c>
      <c r="T56" s="188" t="e">
        <f t="shared" si="133"/>
        <v>#VALUE!</v>
      </c>
      <c r="U56" s="187" t="e">
        <f t="shared" si="121"/>
        <v>#VALUE!</v>
      </c>
    </row>
    <row r="57" spans="1:21">
      <c r="A57" s="169">
        <f>VLOOKUP(B57,Misc_inputs!$A$3:$B$33,2,0)</f>
        <v>1.5952823611433897</v>
      </c>
      <c r="B57" s="168">
        <v>2014</v>
      </c>
      <c r="C57" s="169" t="s">
        <v>429</v>
      </c>
      <c r="D57" s="187" t="e">
        <f>C57*$A57/100</f>
        <v>#VALUE!</v>
      </c>
      <c r="E57" s="188" t="e">
        <f t="shared" si="123"/>
        <v>#VALUE!</v>
      </c>
      <c r="F57" s="169" t="s">
        <v>429</v>
      </c>
      <c r="G57" s="187" t="e">
        <f>F57*$A57/100</f>
        <v>#VALUE!</v>
      </c>
      <c r="H57" s="188" t="e">
        <f t="shared" si="125"/>
        <v>#VALUE!</v>
      </c>
      <c r="I57" s="169" t="s">
        <v>429</v>
      </c>
      <c r="J57" s="187" t="e">
        <f>I57*$A57/100</f>
        <v>#VALUE!</v>
      </c>
      <c r="K57" s="188" t="e">
        <f t="shared" si="127"/>
        <v>#VALUE!</v>
      </c>
      <c r="L57" s="169" t="s">
        <v>429</v>
      </c>
      <c r="M57" s="187" t="e">
        <f>L57*$A57/100</f>
        <v>#VALUE!</v>
      </c>
      <c r="N57" s="188" t="e">
        <f t="shared" si="129"/>
        <v>#VALUE!</v>
      </c>
      <c r="O57" s="169" t="s">
        <v>429</v>
      </c>
      <c r="P57" s="187" t="e">
        <f>O57*$A57/100</f>
        <v>#VALUE!</v>
      </c>
      <c r="Q57" s="188" t="e">
        <f t="shared" si="131"/>
        <v>#VALUE!</v>
      </c>
      <c r="R57" s="169" t="s">
        <v>429</v>
      </c>
      <c r="S57" s="187" t="e">
        <f>R57*$A57/100</f>
        <v>#VALUE!</v>
      </c>
      <c r="T57" s="188" t="e">
        <f t="shared" si="133"/>
        <v>#VALUE!</v>
      </c>
      <c r="U57" s="187" t="e">
        <f t="shared" si="121"/>
        <v>#VALUE!</v>
      </c>
    </row>
    <row r="58" spans="1:21">
      <c r="A58" s="169">
        <f>VLOOKUP(B58,Misc_inputs!$A$3:$B$33,2,0)</f>
        <v>0.51307917271416026</v>
      </c>
      <c r="B58" s="168">
        <v>2015</v>
      </c>
      <c r="C58" s="169" t="s">
        <v>429</v>
      </c>
      <c r="D58" s="187" t="e">
        <f t="shared" ref="D58:D73" si="134">C58*$A58/100</f>
        <v>#VALUE!</v>
      </c>
      <c r="E58" s="188" t="e">
        <f t="shared" si="123"/>
        <v>#VALUE!</v>
      </c>
      <c r="F58" s="169" t="s">
        <v>429</v>
      </c>
      <c r="G58" s="187" t="e">
        <f t="shared" ref="G58:G73" si="135">F58*$A58/100</f>
        <v>#VALUE!</v>
      </c>
      <c r="H58" s="188" t="e">
        <f t="shared" si="125"/>
        <v>#VALUE!</v>
      </c>
      <c r="I58" s="169" t="s">
        <v>429</v>
      </c>
      <c r="J58" s="187" t="e">
        <f t="shared" ref="J58:J73" si="136">I58*$A58/100</f>
        <v>#VALUE!</v>
      </c>
      <c r="K58" s="188" t="e">
        <f t="shared" si="127"/>
        <v>#VALUE!</v>
      </c>
      <c r="L58" s="169" t="s">
        <v>429</v>
      </c>
      <c r="M58" s="187" t="e">
        <f t="shared" ref="M58:M73" si="137">L58*$A58/100</f>
        <v>#VALUE!</v>
      </c>
      <c r="N58" s="188" t="e">
        <f t="shared" si="129"/>
        <v>#VALUE!</v>
      </c>
      <c r="O58" s="169" t="s">
        <v>429</v>
      </c>
      <c r="P58" s="187" t="e">
        <f t="shared" ref="P58:P73" si="138">O58*$A58/100</f>
        <v>#VALUE!</v>
      </c>
      <c r="Q58" s="188" t="e">
        <f t="shared" si="131"/>
        <v>#VALUE!</v>
      </c>
      <c r="R58" s="169" t="s">
        <v>429</v>
      </c>
      <c r="S58" s="187" t="e">
        <f t="shared" ref="S58:S73" si="139">R58*$A58/100</f>
        <v>#VALUE!</v>
      </c>
      <c r="T58" s="188" t="e">
        <f t="shared" si="133"/>
        <v>#VALUE!</v>
      </c>
      <c r="U58" s="187" t="e">
        <f t="shared" si="121"/>
        <v>#VALUE!</v>
      </c>
    </row>
    <row r="59" spans="1:21">
      <c r="A59" s="169">
        <f>VLOOKUP(B59,Misc_inputs!$A$3:$B$33,2,0)</f>
        <v>1.8963035451147277</v>
      </c>
      <c r="B59" s="168">
        <v>2016</v>
      </c>
      <c r="C59" s="169" t="s">
        <v>429</v>
      </c>
      <c r="D59" s="187" t="e">
        <f t="shared" si="134"/>
        <v>#VALUE!</v>
      </c>
      <c r="E59" s="188" t="e">
        <f t="shared" si="123"/>
        <v>#VALUE!</v>
      </c>
      <c r="F59" s="169" t="s">
        <v>429</v>
      </c>
      <c r="G59" s="187" t="e">
        <f t="shared" si="135"/>
        <v>#VALUE!</v>
      </c>
      <c r="H59" s="188" t="e">
        <f t="shared" si="125"/>
        <v>#VALUE!</v>
      </c>
      <c r="I59" s="169" t="s">
        <v>429</v>
      </c>
      <c r="J59" s="187" t="e">
        <f t="shared" si="136"/>
        <v>#VALUE!</v>
      </c>
      <c r="K59" s="188" t="e">
        <f t="shared" si="127"/>
        <v>#VALUE!</v>
      </c>
      <c r="L59" s="169" t="s">
        <v>429</v>
      </c>
      <c r="M59" s="187" t="e">
        <f t="shared" si="137"/>
        <v>#VALUE!</v>
      </c>
      <c r="N59" s="188" t="e">
        <f t="shared" si="129"/>
        <v>#VALUE!</v>
      </c>
      <c r="O59" s="169" t="s">
        <v>429</v>
      </c>
      <c r="P59" s="187" t="e">
        <f t="shared" si="138"/>
        <v>#VALUE!</v>
      </c>
      <c r="Q59" s="188" t="e">
        <f t="shared" si="131"/>
        <v>#VALUE!</v>
      </c>
      <c r="R59" s="169" t="s">
        <v>429</v>
      </c>
      <c r="S59" s="187" t="e">
        <f t="shared" si="139"/>
        <v>#VALUE!</v>
      </c>
      <c r="T59" s="188" t="e">
        <f t="shared" si="133"/>
        <v>#VALUE!</v>
      </c>
      <c r="U59" s="187" t="e">
        <f t="shared" si="121"/>
        <v>#VALUE!</v>
      </c>
    </row>
    <row r="60" spans="1:21">
      <c r="A60" s="169">
        <f>VLOOKUP(B60,Misc_inputs!$A$3:$B$33,2,0)</f>
        <v>1.8209228570152332</v>
      </c>
      <c r="B60" s="168">
        <v>2017</v>
      </c>
      <c r="C60" s="169" t="s">
        <v>429</v>
      </c>
      <c r="D60" s="187" t="e">
        <f t="shared" si="134"/>
        <v>#VALUE!</v>
      </c>
      <c r="E60" s="188" t="e">
        <f t="shared" si="123"/>
        <v>#VALUE!</v>
      </c>
      <c r="F60" s="169" t="s">
        <v>429</v>
      </c>
      <c r="G60" s="187" t="e">
        <f t="shared" si="135"/>
        <v>#VALUE!</v>
      </c>
      <c r="H60" s="188" t="e">
        <f t="shared" si="125"/>
        <v>#VALUE!</v>
      </c>
      <c r="I60" s="169" t="s">
        <v>429</v>
      </c>
      <c r="J60" s="187" t="e">
        <f t="shared" si="136"/>
        <v>#VALUE!</v>
      </c>
      <c r="K60" s="188" t="e">
        <f t="shared" si="127"/>
        <v>#VALUE!</v>
      </c>
      <c r="L60" s="169" t="s">
        <v>429</v>
      </c>
      <c r="M60" s="187" t="e">
        <f t="shared" si="137"/>
        <v>#VALUE!</v>
      </c>
      <c r="N60" s="188" t="e">
        <f t="shared" si="129"/>
        <v>#VALUE!</v>
      </c>
      <c r="O60" s="169" t="s">
        <v>429</v>
      </c>
      <c r="P60" s="187" t="e">
        <f t="shared" si="138"/>
        <v>#VALUE!</v>
      </c>
      <c r="Q60" s="188" t="e">
        <f t="shared" si="131"/>
        <v>#VALUE!</v>
      </c>
      <c r="R60" s="169" t="s">
        <v>429</v>
      </c>
      <c r="S60" s="187" t="e">
        <f t="shared" si="139"/>
        <v>#VALUE!</v>
      </c>
      <c r="T60" s="188" t="e">
        <f t="shared" si="133"/>
        <v>#VALUE!</v>
      </c>
      <c r="U60" s="187" t="e">
        <f t="shared" si="121"/>
        <v>#VALUE!</v>
      </c>
    </row>
    <row r="61" spans="1:21">
      <c r="A61" s="169">
        <f>VLOOKUP(B61,Misc_inputs!$A$3:$B$33,2,0)</f>
        <v>1.9988242855231282</v>
      </c>
      <c r="B61" s="168">
        <v>2018</v>
      </c>
      <c r="C61" s="169" t="s">
        <v>429</v>
      </c>
      <c r="D61" s="187" t="e">
        <f t="shared" si="134"/>
        <v>#VALUE!</v>
      </c>
      <c r="E61" s="188" t="e">
        <f t="shared" si="123"/>
        <v>#VALUE!</v>
      </c>
      <c r="F61" s="169" t="s">
        <v>429</v>
      </c>
      <c r="G61" s="187" t="e">
        <f t="shared" si="135"/>
        <v>#VALUE!</v>
      </c>
      <c r="H61" s="188" t="e">
        <f t="shared" si="125"/>
        <v>#VALUE!</v>
      </c>
      <c r="I61" s="169" t="s">
        <v>429</v>
      </c>
      <c r="J61" s="187" t="e">
        <f t="shared" si="136"/>
        <v>#VALUE!</v>
      </c>
      <c r="K61" s="188" t="e">
        <f t="shared" si="127"/>
        <v>#VALUE!</v>
      </c>
      <c r="L61" s="169" t="s">
        <v>429</v>
      </c>
      <c r="M61" s="187" t="e">
        <f t="shared" si="137"/>
        <v>#VALUE!</v>
      </c>
      <c r="N61" s="188" t="e">
        <f t="shared" si="129"/>
        <v>#VALUE!</v>
      </c>
      <c r="O61" s="169" t="s">
        <v>429</v>
      </c>
      <c r="P61" s="187" t="e">
        <f t="shared" si="138"/>
        <v>#VALUE!</v>
      </c>
      <c r="Q61" s="188" t="e">
        <f t="shared" si="131"/>
        <v>#VALUE!</v>
      </c>
      <c r="R61" s="169" t="s">
        <v>429</v>
      </c>
      <c r="S61" s="187" t="e">
        <f t="shared" si="139"/>
        <v>#VALUE!</v>
      </c>
      <c r="T61" s="188" t="e">
        <f t="shared" si="133"/>
        <v>#VALUE!</v>
      </c>
      <c r="U61" s="187" t="e">
        <f t="shared" si="121"/>
        <v>#VALUE!</v>
      </c>
    </row>
    <row r="62" spans="1:21">
      <c r="A62" s="169">
        <f>VLOOKUP(B62,Misc_inputs!$A$3:$B$33,2,0)</f>
        <v>2.0163202370724722</v>
      </c>
      <c r="B62" s="168">
        <v>2019</v>
      </c>
      <c r="C62" s="169" t="s">
        <v>429</v>
      </c>
      <c r="D62" s="187" t="e">
        <f t="shared" si="134"/>
        <v>#VALUE!</v>
      </c>
      <c r="E62" s="188" t="e">
        <f t="shared" si="123"/>
        <v>#VALUE!</v>
      </c>
      <c r="F62" s="169" t="s">
        <v>429</v>
      </c>
      <c r="G62" s="187" t="e">
        <f t="shared" si="135"/>
        <v>#VALUE!</v>
      </c>
      <c r="H62" s="188" t="e">
        <f t="shared" si="125"/>
        <v>#VALUE!</v>
      </c>
      <c r="I62" s="169" t="s">
        <v>429</v>
      </c>
      <c r="J62" s="187" t="e">
        <f t="shared" si="136"/>
        <v>#VALUE!</v>
      </c>
      <c r="K62" s="188" t="e">
        <f t="shared" si="127"/>
        <v>#VALUE!</v>
      </c>
      <c r="L62" s="169" t="s">
        <v>429</v>
      </c>
      <c r="M62" s="187" t="e">
        <f t="shared" si="137"/>
        <v>#VALUE!</v>
      </c>
      <c r="N62" s="188" t="e">
        <f t="shared" si="129"/>
        <v>#VALUE!</v>
      </c>
      <c r="O62" s="169" t="s">
        <v>429</v>
      </c>
      <c r="P62" s="187" t="e">
        <f t="shared" si="138"/>
        <v>#VALUE!</v>
      </c>
      <c r="Q62" s="188" t="e">
        <f t="shared" si="131"/>
        <v>#VALUE!</v>
      </c>
      <c r="R62" s="169" t="s">
        <v>429</v>
      </c>
      <c r="S62" s="187" t="e">
        <f t="shared" si="139"/>
        <v>#VALUE!</v>
      </c>
      <c r="T62" s="188" t="e">
        <f t="shared" si="133"/>
        <v>#VALUE!</v>
      </c>
      <c r="U62" s="187" t="e">
        <f t="shared" si="121"/>
        <v>#VALUE!</v>
      </c>
    </row>
    <row r="63" spans="1:21">
      <c r="A63" s="169">
        <f>VLOOKUP(B63,Misc_inputs!$A$3:$B$33,2,0)</f>
        <v>5.3200852056836103</v>
      </c>
      <c r="B63" s="168">
        <v>2020</v>
      </c>
      <c r="C63" s="169" t="s">
        <v>429</v>
      </c>
      <c r="D63" s="187" t="e">
        <f t="shared" si="134"/>
        <v>#VALUE!</v>
      </c>
      <c r="E63" s="188" t="e">
        <f t="shared" si="123"/>
        <v>#VALUE!</v>
      </c>
      <c r="F63" s="169" t="s">
        <v>429</v>
      </c>
      <c r="G63" s="187" t="e">
        <f t="shared" si="135"/>
        <v>#VALUE!</v>
      </c>
      <c r="H63" s="188" t="e">
        <f t="shared" si="125"/>
        <v>#VALUE!</v>
      </c>
      <c r="I63" s="169" t="s">
        <v>429</v>
      </c>
      <c r="J63" s="187" t="e">
        <f t="shared" si="136"/>
        <v>#VALUE!</v>
      </c>
      <c r="K63" s="188" t="e">
        <f t="shared" si="127"/>
        <v>#VALUE!</v>
      </c>
      <c r="L63" s="169" t="s">
        <v>429</v>
      </c>
      <c r="M63" s="187" t="e">
        <f t="shared" si="137"/>
        <v>#VALUE!</v>
      </c>
      <c r="N63" s="188" t="e">
        <f t="shared" si="129"/>
        <v>#VALUE!</v>
      </c>
      <c r="O63" s="169" t="s">
        <v>429</v>
      </c>
      <c r="P63" s="187" t="e">
        <f t="shared" si="138"/>
        <v>#VALUE!</v>
      </c>
      <c r="Q63" s="188" t="e">
        <f t="shared" si="131"/>
        <v>#VALUE!</v>
      </c>
      <c r="R63" s="169" t="s">
        <v>429</v>
      </c>
      <c r="S63" s="187" t="e">
        <f t="shared" si="139"/>
        <v>#VALUE!</v>
      </c>
      <c r="T63" s="188" t="e">
        <f t="shared" si="133"/>
        <v>#VALUE!</v>
      </c>
      <c r="U63" s="187" t="e">
        <f t="shared" si="121"/>
        <v>#VALUE!</v>
      </c>
    </row>
    <row r="64" spans="1:21">
      <c r="A64" s="169">
        <f>VLOOKUP(B64,Misc_inputs!$A$3:$B$33,2,0)</f>
        <v>7.6258108678813302E-2</v>
      </c>
      <c r="B64" s="168">
        <v>2021</v>
      </c>
      <c r="C64" s="169" t="s">
        <v>429</v>
      </c>
      <c r="D64" s="187" t="e">
        <f t="shared" si="134"/>
        <v>#VALUE!</v>
      </c>
      <c r="E64" s="188" t="e">
        <f t="shared" si="123"/>
        <v>#VALUE!</v>
      </c>
      <c r="F64" s="169" t="s">
        <v>429</v>
      </c>
      <c r="G64" s="187" t="e">
        <f t="shared" si="135"/>
        <v>#VALUE!</v>
      </c>
      <c r="H64" s="188" t="e">
        <f t="shared" si="125"/>
        <v>#VALUE!</v>
      </c>
      <c r="I64" s="169" t="s">
        <v>429</v>
      </c>
      <c r="J64" s="187" t="e">
        <f t="shared" si="136"/>
        <v>#VALUE!</v>
      </c>
      <c r="K64" s="188" t="e">
        <f t="shared" si="127"/>
        <v>#VALUE!</v>
      </c>
      <c r="L64" s="169" t="s">
        <v>429</v>
      </c>
      <c r="M64" s="187" t="e">
        <f t="shared" si="137"/>
        <v>#VALUE!</v>
      </c>
      <c r="N64" s="188" t="e">
        <f t="shared" si="129"/>
        <v>#VALUE!</v>
      </c>
      <c r="O64" s="169" t="s">
        <v>429</v>
      </c>
      <c r="P64" s="187" t="e">
        <f t="shared" si="138"/>
        <v>#VALUE!</v>
      </c>
      <c r="Q64" s="188" t="e">
        <f t="shared" si="131"/>
        <v>#VALUE!</v>
      </c>
      <c r="R64" s="169" t="s">
        <v>429</v>
      </c>
      <c r="S64" s="187" t="e">
        <f t="shared" si="139"/>
        <v>#VALUE!</v>
      </c>
      <c r="T64" s="188" t="e">
        <f t="shared" si="133"/>
        <v>#VALUE!</v>
      </c>
      <c r="U64" s="187" t="e">
        <f t="shared" si="121"/>
        <v>#VALUE!</v>
      </c>
    </row>
    <row r="65" spans="1:21">
      <c r="A65" s="169">
        <f>VLOOKUP(B65,Misc_inputs!$A$3:$B$33,2,0)</f>
        <v>2.8492930312000952</v>
      </c>
      <c r="B65" s="168">
        <v>2022</v>
      </c>
      <c r="C65" s="169" t="s">
        <v>429</v>
      </c>
      <c r="D65" s="187" t="e">
        <f t="shared" si="134"/>
        <v>#VALUE!</v>
      </c>
      <c r="E65" s="188" t="e">
        <f t="shared" si="123"/>
        <v>#VALUE!</v>
      </c>
      <c r="F65" s="169" t="s">
        <v>429</v>
      </c>
      <c r="G65" s="187" t="e">
        <f t="shared" si="135"/>
        <v>#VALUE!</v>
      </c>
      <c r="H65" s="188" t="e">
        <f t="shared" si="125"/>
        <v>#VALUE!</v>
      </c>
      <c r="I65" s="169" t="s">
        <v>429</v>
      </c>
      <c r="J65" s="187" t="e">
        <f t="shared" si="136"/>
        <v>#VALUE!</v>
      </c>
      <c r="K65" s="188" t="e">
        <f t="shared" si="127"/>
        <v>#VALUE!</v>
      </c>
      <c r="L65" s="169" t="s">
        <v>429</v>
      </c>
      <c r="M65" s="187" t="e">
        <f t="shared" si="137"/>
        <v>#VALUE!</v>
      </c>
      <c r="N65" s="188" t="e">
        <f t="shared" si="129"/>
        <v>#VALUE!</v>
      </c>
      <c r="O65" s="169" t="s">
        <v>429</v>
      </c>
      <c r="P65" s="187" t="e">
        <f t="shared" si="138"/>
        <v>#VALUE!</v>
      </c>
      <c r="Q65" s="188" t="e">
        <f t="shared" si="131"/>
        <v>#VALUE!</v>
      </c>
      <c r="R65" s="169" t="s">
        <v>429</v>
      </c>
      <c r="S65" s="187" t="e">
        <f t="shared" si="139"/>
        <v>#VALUE!</v>
      </c>
      <c r="T65" s="188" t="e">
        <f t="shared" si="133"/>
        <v>#VALUE!</v>
      </c>
      <c r="U65" s="187" t="e">
        <f t="shared" si="121"/>
        <v>#VALUE!</v>
      </c>
    </row>
    <row r="66" spans="1:21">
      <c r="A66" s="169">
        <f>VLOOKUP(B66,Misc_inputs!$A$3:$B$33,2,0)</f>
        <v>3.143440902459993</v>
      </c>
      <c r="B66" s="168">
        <v>2023</v>
      </c>
      <c r="C66" s="169" t="s">
        <v>429</v>
      </c>
      <c r="D66" s="187" t="e">
        <f t="shared" si="134"/>
        <v>#VALUE!</v>
      </c>
      <c r="E66" s="188" t="e">
        <f t="shared" si="123"/>
        <v>#VALUE!</v>
      </c>
      <c r="F66" s="169" t="s">
        <v>429</v>
      </c>
      <c r="G66" s="187" t="e">
        <f t="shared" si="135"/>
        <v>#VALUE!</v>
      </c>
      <c r="H66" s="188" t="e">
        <f t="shared" si="125"/>
        <v>#VALUE!</v>
      </c>
      <c r="I66" s="169" t="s">
        <v>429</v>
      </c>
      <c r="J66" s="187" t="e">
        <f t="shared" si="136"/>
        <v>#VALUE!</v>
      </c>
      <c r="K66" s="188" t="e">
        <f t="shared" si="127"/>
        <v>#VALUE!</v>
      </c>
      <c r="L66" s="169" t="s">
        <v>429</v>
      </c>
      <c r="M66" s="187" t="e">
        <f t="shared" si="137"/>
        <v>#VALUE!</v>
      </c>
      <c r="N66" s="188" t="e">
        <f t="shared" si="129"/>
        <v>#VALUE!</v>
      </c>
      <c r="O66" s="169" t="s">
        <v>429</v>
      </c>
      <c r="P66" s="187" t="e">
        <f t="shared" si="138"/>
        <v>#VALUE!</v>
      </c>
      <c r="Q66" s="188" t="e">
        <f t="shared" si="131"/>
        <v>#VALUE!</v>
      </c>
      <c r="R66" s="169" t="s">
        <v>429</v>
      </c>
      <c r="S66" s="187" t="e">
        <f t="shared" si="139"/>
        <v>#VALUE!</v>
      </c>
      <c r="T66" s="188" t="e">
        <f t="shared" si="133"/>
        <v>#VALUE!</v>
      </c>
      <c r="U66" s="187" t="e">
        <f t="shared" si="121"/>
        <v>#VALUE!</v>
      </c>
    </row>
    <row r="67" spans="1:21">
      <c r="A67" s="169">
        <f>VLOOKUP(B67,Misc_inputs!$A$3:$B$33,2,0)</f>
        <v>1.8594732384912049</v>
      </c>
      <c r="B67" s="168">
        <v>2024</v>
      </c>
      <c r="C67" s="169" t="s">
        <v>429</v>
      </c>
      <c r="D67" s="187" t="e">
        <f t="shared" si="134"/>
        <v>#VALUE!</v>
      </c>
      <c r="E67" s="188" t="e">
        <f t="shared" si="123"/>
        <v>#VALUE!</v>
      </c>
      <c r="F67" s="169" t="s">
        <v>429</v>
      </c>
      <c r="G67" s="187" t="e">
        <f t="shared" si="135"/>
        <v>#VALUE!</v>
      </c>
      <c r="H67" s="188" t="e">
        <f t="shared" si="125"/>
        <v>#VALUE!</v>
      </c>
      <c r="I67" s="169" t="s">
        <v>429</v>
      </c>
      <c r="J67" s="187" t="e">
        <f t="shared" si="136"/>
        <v>#VALUE!</v>
      </c>
      <c r="K67" s="188" t="e">
        <f t="shared" si="127"/>
        <v>#VALUE!</v>
      </c>
      <c r="L67" s="169" t="s">
        <v>429</v>
      </c>
      <c r="M67" s="187" t="e">
        <f t="shared" si="137"/>
        <v>#VALUE!</v>
      </c>
      <c r="N67" s="188" t="e">
        <f t="shared" si="129"/>
        <v>#VALUE!</v>
      </c>
      <c r="O67" s="169" t="s">
        <v>429</v>
      </c>
      <c r="P67" s="187" t="e">
        <f t="shared" si="138"/>
        <v>#VALUE!</v>
      </c>
      <c r="Q67" s="188" t="e">
        <f t="shared" si="131"/>
        <v>#VALUE!</v>
      </c>
      <c r="R67" s="169" t="s">
        <v>429</v>
      </c>
      <c r="S67" s="187" t="e">
        <f t="shared" si="139"/>
        <v>#VALUE!</v>
      </c>
      <c r="T67" s="188" t="e">
        <f t="shared" si="133"/>
        <v>#VALUE!</v>
      </c>
      <c r="U67" s="187" t="e">
        <f t="shared" si="121"/>
        <v>#VALUE!</v>
      </c>
    </row>
    <row r="68" spans="1:21">
      <c r="A68" s="169">
        <f>VLOOKUP(B68,Misc_inputs!$A$3:$B$33,2,0)</f>
        <v>1.892198034308179</v>
      </c>
      <c r="B68" s="168">
        <v>2025</v>
      </c>
      <c r="C68" s="169" t="s">
        <v>429</v>
      </c>
      <c r="D68" s="187" t="e">
        <f t="shared" si="134"/>
        <v>#VALUE!</v>
      </c>
      <c r="E68" s="188" t="e">
        <f t="shared" si="123"/>
        <v>#VALUE!</v>
      </c>
      <c r="F68" s="169" t="s">
        <v>429</v>
      </c>
      <c r="G68" s="187" t="e">
        <f t="shared" si="135"/>
        <v>#VALUE!</v>
      </c>
      <c r="H68" s="188" t="e">
        <f t="shared" si="125"/>
        <v>#VALUE!</v>
      </c>
      <c r="I68" s="169" t="s">
        <v>429</v>
      </c>
      <c r="J68" s="187" t="e">
        <f t="shared" si="136"/>
        <v>#VALUE!</v>
      </c>
      <c r="K68" s="188" t="e">
        <f t="shared" si="127"/>
        <v>#VALUE!</v>
      </c>
      <c r="L68" s="169" t="s">
        <v>429</v>
      </c>
      <c r="M68" s="187" t="e">
        <f t="shared" si="137"/>
        <v>#VALUE!</v>
      </c>
      <c r="N68" s="188" t="e">
        <f t="shared" si="129"/>
        <v>#VALUE!</v>
      </c>
      <c r="O68" s="169" t="s">
        <v>429</v>
      </c>
      <c r="P68" s="187" t="e">
        <f t="shared" si="138"/>
        <v>#VALUE!</v>
      </c>
      <c r="Q68" s="188" t="e">
        <f t="shared" si="131"/>
        <v>#VALUE!</v>
      </c>
      <c r="R68" s="169" t="s">
        <v>429</v>
      </c>
      <c r="S68" s="187" t="e">
        <f t="shared" si="139"/>
        <v>#VALUE!</v>
      </c>
      <c r="T68" s="188" t="e">
        <f t="shared" si="133"/>
        <v>#VALUE!</v>
      </c>
      <c r="U68" s="187" t="e">
        <f t="shared" si="121"/>
        <v>#VALUE!</v>
      </c>
    </row>
    <row r="69" spans="1:21">
      <c r="A69" s="169">
        <f>VLOOKUP(B69,Misc_inputs!$A$3:$B$33,2,0)</f>
        <v>2.0003592159356653</v>
      </c>
      <c r="B69" s="168">
        <v>2026</v>
      </c>
      <c r="C69" s="169" t="s">
        <v>429</v>
      </c>
      <c r="D69" s="187" t="e">
        <f t="shared" si="134"/>
        <v>#VALUE!</v>
      </c>
      <c r="E69" s="188" t="e">
        <f t="shared" si="123"/>
        <v>#VALUE!</v>
      </c>
      <c r="F69" s="169" t="s">
        <v>429</v>
      </c>
      <c r="G69" s="187" t="e">
        <f t="shared" si="135"/>
        <v>#VALUE!</v>
      </c>
      <c r="H69" s="188" t="e">
        <f t="shared" si="125"/>
        <v>#VALUE!</v>
      </c>
      <c r="I69" s="169" t="s">
        <v>429</v>
      </c>
      <c r="J69" s="187" t="e">
        <f t="shared" si="136"/>
        <v>#VALUE!</v>
      </c>
      <c r="K69" s="188" t="e">
        <f t="shared" si="127"/>
        <v>#VALUE!</v>
      </c>
      <c r="L69" s="169" t="s">
        <v>429</v>
      </c>
      <c r="M69" s="187" t="e">
        <f t="shared" si="137"/>
        <v>#VALUE!</v>
      </c>
      <c r="N69" s="188" t="e">
        <f t="shared" si="129"/>
        <v>#VALUE!</v>
      </c>
      <c r="O69" s="169" t="s">
        <v>429</v>
      </c>
      <c r="P69" s="187" t="e">
        <f t="shared" si="138"/>
        <v>#VALUE!</v>
      </c>
      <c r="Q69" s="188" t="e">
        <f t="shared" si="131"/>
        <v>#VALUE!</v>
      </c>
      <c r="R69" s="169" t="s">
        <v>429</v>
      </c>
      <c r="S69" s="187" t="e">
        <f t="shared" si="139"/>
        <v>#VALUE!</v>
      </c>
      <c r="T69" s="188" t="e">
        <f t="shared" si="133"/>
        <v>#VALUE!</v>
      </c>
      <c r="U69" s="187" t="e">
        <f t="shared" si="121"/>
        <v>#VALUE!</v>
      </c>
    </row>
    <row r="70" spans="1:21">
      <c r="A70" s="169">
        <f>VLOOKUP(B70,Misc_inputs!$A$3:$B$33,2,0)</f>
        <v>0</v>
      </c>
      <c r="B70" s="168">
        <v>2027</v>
      </c>
      <c r="C70" s="169" t="s">
        <v>429</v>
      </c>
      <c r="D70" s="187" t="e">
        <f t="shared" si="134"/>
        <v>#VALUE!</v>
      </c>
      <c r="E70" s="188" t="e">
        <f t="shared" si="123"/>
        <v>#VALUE!</v>
      </c>
      <c r="F70" s="169" t="s">
        <v>429</v>
      </c>
      <c r="G70" s="187" t="e">
        <f t="shared" si="135"/>
        <v>#VALUE!</v>
      </c>
      <c r="H70" s="188" t="e">
        <f t="shared" si="125"/>
        <v>#VALUE!</v>
      </c>
      <c r="I70" s="169" t="s">
        <v>429</v>
      </c>
      <c r="J70" s="187" t="e">
        <f t="shared" si="136"/>
        <v>#VALUE!</v>
      </c>
      <c r="K70" s="188" t="e">
        <f t="shared" si="127"/>
        <v>#VALUE!</v>
      </c>
      <c r="L70" s="169" t="s">
        <v>429</v>
      </c>
      <c r="M70" s="187" t="e">
        <f t="shared" si="137"/>
        <v>#VALUE!</v>
      </c>
      <c r="N70" s="188" t="e">
        <f t="shared" si="129"/>
        <v>#VALUE!</v>
      </c>
      <c r="O70" s="169" t="s">
        <v>429</v>
      </c>
      <c r="P70" s="187" t="e">
        <f t="shared" si="138"/>
        <v>#VALUE!</v>
      </c>
      <c r="Q70" s="188" t="e">
        <f t="shared" si="131"/>
        <v>#VALUE!</v>
      </c>
      <c r="R70" s="169" t="s">
        <v>429</v>
      </c>
      <c r="S70" s="187" t="e">
        <f t="shared" si="139"/>
        <v>#VALUE!</v>
      </c>
      <c r="T70" s="188" t="e">
        <f t="shared" si="133"/>
        <v>#VALUE!</v>
      </c>
      <c r="U70" s="187" t="e">
        <f t="shared" si="121"/>
        <v>#VALUE!</v>
      </c>
    </row>
    <row r="71" spans="1:21">
      <c r="A71" s="169">
        <f>VLOOKUP(B71,Misc_inputs!$A$3:$B$33,2,0)</f>
        <v>0</v>
      </c>
      <c r="B71" s="168">
        <v>2028</v>
      </c>
      <c r="C71" s="169" t="s">
        <v>429</v>
      </c>
      <c r="D71" s="187" t="e">
        <f t="shared" si="134"/>
        <v>#VALUE!</v>
      </c>
      <c r="E71" s="188" t="e">
        <f t="shared" si="123"/>
        <v>#VALUE!</v>
      </c>
      <c r="F71" s="169" t="s">
        <v>429</v>
      </c>
      <c r="G71" s="187" t="e">
        <f t="shared" si="135"/>
        <v>#VALUE!</v>
      </c>
      <c r="H71" s="188" t="e">
        <f t="shared" si="125"/>
        <v>#VALUE!</v>
      </c>
      <c r="I71" s="169" t="s">
        <v>429</v>
      </c>
      <c r="J71" s="187" t="e">
        <f t="shared" si="136"/>
        <v>#VALUE!</v>
      </c>
      <c r="K71" s="188" t="e">
        <f t="shared" si="127"/>
        <v>#VALUE!</v>
      </c>
      <c r="L71" s="169" t="s">
        <v>429</v>
      </c>
      <c r="M71" s="187" t="e">
        <f t="shared" si="137"/>
        <v>#VALUE!</v>
      </c>
      <c r="N71" s="188" t="e">
        <f t="shared" si="129"/>
        <v>#VALUE!</v>
      </c>
      <c r="O71" s="169" t="s">
        <v>429</v>
      </c>
      <c r="P71" s="187" t="e">
        <f t="shared" si="138"/>
        <v>#VALUE!</v>
      </c>
      <c r="Q71" s="188" t="e">
        <f t="shared" si="131"/>
        <v>#VALUE!</v>
      </c>
      <c r="R71" s="169" t="s">
        <v>429</v>
      </c>
      <c r="S71" s="187" t="e">
        <f t="shared" si="139"/>
        <v>#VALUE!</v>
      </c>
      <c r="T71" s="188" t="e">
        <f t="shared" si="133"/>
        <v>#VALUE!</v>
      </c>
      <c r="U71" s="187" t="e">
        <f t="shared" si="121"/>
        <v>#VALUE!</v>
      </c>
    </row>
    <row r="72" spans="1:21">
      <c r="A72" s="169">
        <f>VLOOKUP(B72,Misc_inputs!$A$3:$B$33,2,0)</f>
        <v>0</v>
      </c>
      <c r="B72" s="168">
        <v>2029</v>
      </c>
      <c r="C72" s="169" t="s">
        <v>429</v>
      </c>
      <c r="D72" s="187" t="e">
        <f t="shared" si="134"/>
        <v>#VALUE!</v>
      </c>
      <c r="E72" s="188" t="e">
        <f t="shared" si="123"/>
        <v>#VALUE!</v>
      </c>
      <c r="F72" s="169" t="s">
        <v>429</v>
      </c>
      <c r="G72" s="187" t="e">
        <f t="shared" si="135"/>
        <v>#VALUE!</v>
      </c>
      <c r="H72" s="188" t="e">
        <f t="shared" si="125"/>
        <v>#VALUE!</v>
      </c>
      <c r="I72" s="169" t="s">
        <v>429</v>
      </c>
      <c r="J72" s="187" t="e">
        <f t="shared" si="136"/>
        <v>#VALUE!</v>
      </c>
      <c r="K72" s="188" t="e">
        <f t="shared" si="127"/>
        <v>#VALUE!</v>
      </c>
      <c r="L72" s="169" t="s">
        <v>429</v>
      </c>
      <c r="M72" s="187" t="e">
        <f t="shared" si="137"/>
        <v>#VALUE!</v>
      </c>
      <c r="N72" s="188" t="e">
        <f t="shared" si="129"/>
        <v>#VALUE!</v>
      </c>
      <c r="O72" s="169" t="s">
        <v>429</v>
      </c>
      <c r="P72" s="187" t="e">
        <f t="shared" si="138"/>
        <v>#VALUE!</v>
      </c>
      <c r="Q72" s="188" t="e">
        <f t="shared" si="131"/>
        <v>#VALUE!</v>
      </c>
      <c r="R72" s="169" t="s">
        <v>429</v>
      </c>
      <c r="S72" s="187" t="e">
        <f t="shared" si="139"/>
        <v>#VALUE!</v>
      </c>
      <c r="T72" s="188" t="e">
        <f t="shared" si="133"/>
        <v>#VALUE!</v>
      </c>
      <c r="U72" s="187" t="e">
        <f t="shared" si="121"/>
        <v>#VALUE!</v>
      </c>
    </row>
    <row r="73" spans="1:21">
      <c r="A73" s="169">
        <f>VLOOKUP(B73,Misc_inputs!$A$3:$B$33,2,0)</f>
        <v>0</v>
      </c>
      <c r="B73" s="168">
        <v>2030</v>
      </c>
      <c r="C73" s="169" t="s">
        <v>429</v>
      </c>
      <c r="D73" s="187" t="e">
        <f t="shared" si="134"/>
        <v>#VALUE!</v>
      </c>
      <c r="E73" s="188" t="e">
        <f t="shared" si="123"/>
        <v>#VALUE!</v>
      </c>
      <c r="F73" s="169" t="s">
        <v>429</v>
      </c>
      <c r="G73" s="187" t="e">
        <f t="shared" si="135"/>
        <v>#VALUE!</v>
      </c>
      <c r="H73" s="188" t="e">
        <f t="shared" si="125"/>
        <v>#VALUE!</v>
      </c>
      <c r="I73" s="169" t="s">
        <v>429</v>
      </c>
      <c r="J73" s="187" t="e">
        <f t="shared" si="136"/>
        <v>#VALUE!</v>
      </c>
      <c r="K73" s="188" t="e">
        <f t="shared" si="127"/>
        <v>#VALUE!</v>
      </c>
      <c r="L73" s="169" t="s">
        <v>429</v>
      </c>
      <c r="M73" s="187" t="e">
        <f t="shared" si="137"/>
        <v>#VALUE!</v>
      </c>
      <c r="N73" s="188" t="e">
        <f t="shared" si="129"/>
        <v>#VALUE!</v>
      </c>
      <c r="O73" s="169" t="s">
        <v>429</v>
      </c>
      <c r="P73" s="187" t="e">
        <f t="shared" si="138"/>
        <v>#VALUE!</v>
      </c>
      <c r="Q73" s="188" t="e">
        <f t="shared" si="131"/>
        <v>#VALUE!</v>
      </c>
      <c r="R73" s="169" t="s">
        <v>429</v>
      </c>
      <c r="S73" s="187" t="e">
        <f t="shared" si="139"/>
        <v>#VALUE!</v>
      </c>
      <c r="T73" s="188" t="e">
        <f t="shared" si="133"/>
        <v>#VALUE!</v>
      </c>
      <c r="U73" s="187" t="e">
        <f t="shared" si="121"/>
        <v>#VALUE!</v>
      </c>
    </row>
    <row r="77" spans="1:21" s="222" customFormat="1">
      <c r="A77" s="222" t="s">
        <v>697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tabColor rgb="FF0070C0"/>
  </sheetPr>
  <dimension ref="A1:AW76"/>
  <sheetViews>
    <sheetView workbookViewId="0"/>
  </sheetViews>
  <sheetFormatPr defaultColWidth="10.921875" defaultRowHeight="15.5"/>
  <cols>
    <col min="1" max="1" width="10.921875" style="169"/>
    <col min="2" max="2" width="10.921875" style="168"/>
    <col min="3" max="3" width="13.15234375" style="168" customWidth="1"/>
    <col min="4" max="4" width="10.921875" style="168"/>
    <col min="5" max="5" width="13.15234375" style="193" customWidth="1"/>
    <col min="6" max="6" width="12.921875" style="168" customWidth="1"/>
    <col min="7" max="7" width="11.4609375" style="168" customWidth="1"/>
    <col min="8" max="8" width="14.23046875" style="193" customWidth="1"/>
    <col min="9" max="10" width="10.921875" style="168"/>
    <col min="11" max="11" width="10.921875" style="193"/>
    <col min="12" max="13" width="10.921875" style="168"/>
    <col min="14" max="14" width="10.921875" style="193"/>
    <col min="15" max="16" width="10.921875" style="168"/>
    <col min="17" max="17" width="10.921875" style="193"/>
    <col min="18" max="18" width="13.69140625" style="168" customWidth="1"/>
    <col min="19" max="19" width="10.921875" style="168"/>
    <col min="20" max="20" width="11.4609375" style="193" customWidth="1"/>
    <col min="21" max="22" width="10.921875" style="168"/>
    <col min="23" max="23" width="10.921875" style="193"/>
    <col min="24" max="24" width="14.4609375" style="168" customWidth="1"/>
    <col min="25" max="25" width="10.921875" style="168"/>
    <col min="26" max="26" width="10.921875" style="193"/>
    <col min="27" max="28" width="10.921875" style="168"/>
    <col min="29" max="29" width="10.921875" style="193"/>
    <col min="30" max="31" width="10.921875" style="168"/>
    <col min="32" max="32" width="10.921875" style="193"/>
    <col min="33" max="34" width="10.921875" style="168"/>
    <col min="35" max="35" width="10.921875" style="193"/>
    <col min="36" max="37" width="10.921875" style="168"/>
    <col min="38" max="38" width="10.921875" style="193"/>
    <col min="39" max="40" width="10.921875" style="168"/>
    <col min="41" max="41" width="10.921875" style="193"/>
    <col min="42" max="43" width="10.921875" style="168"/>
    <col min="44" max="44" width="10.921875" style="193"/>
    <col min="45" max="45" width="15.4609375" style="168" customWidth="1"/>
    <col min="46" max="46" width="10.921875" style="168"/>
    <col min="47" max="47" width="10.921875" style="193"/>
    <col min="48" max="48" width="15.4609375" style="168" customWidth="1"/>
    <col min="49" max="16384" width="10.921875" style="169"/>
  </cols>
  <sheetData>
    <row r="1" spans="1:48" s="182" customFormat="1" ht="37.5" customHeight="1">
      <c r="A1" s="179" t="str">
        <f>Cost_of_crime_Raw_data!B79</f>
        <v>Police costs (PC)</v>
      </c>
      <c r="B1" s="180"/>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row>
    <row r="2" spans="1:48" s="182" customFormat="1" ht="37.5" customHeight="1">
      <c r="A2" s="183" t="s">
        <v>574</v>
      </c>
      <c r="B2" s="180"/>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row>
    <row r="3" spans="1:48" s="173" customFormat="1" ht="46.5">
      <c r="A3" s="173" t="s">
        <v>539</v>
      </c>
      <c r="B3" s="172" t="s">
        <v>342</v>
      </c>
      <c r="C3" s="184" t="s">
        <v>290</v>
      </c>
      <c r="D3" s="184" t="s">
        <v>540</v>
      </c>
      <c r="E3" s="185" t="s">
        <v>541</v>
      </c>
      <c r="F3" s="184" t="s">
        <v>542</v>
      </c>
      <c r="G3" s="184" t="s">
        <v>540</v>
      </c>
      <c r="H3" s="185" t="s">
        <v>541</v>
      </c>
      <c r="I3" s="184" t="s">
        <v>543</v>
      </c>
      <c r="J3" s="184" t="s">
        <v>540</v>
      </c>
      <c r="K3" s="185" t="s">
        <v>541</v>
      </c>
      <c r="L3" s="184" t="s">
        <v>544</v>
      </c>
      <c r="M3" s="184" t="s">
        <v>540</v>
      </c>
      <c r="N3" s="185" t="s">
        <v>541</v>
      </c>
      <c r="O3" s="184" t="s">
        <v>545</v>
      </c>
      <c r="P3" s="184" t="s">
        <v>540</v>
      </c>
      <c r="Q3" s="185" t="s">
        <v>541</v>
      </c>
      <c r="R3" s="184" t="s">
        <v>292</v>
      </c>
      <c r="S3" s="184" t="s">
        <v>540</v>
      </c>
      <c r="T3" s="185" t="s">
        <v>541</v>
      </c>
      <c r="U3" s="184" t="s">
        <v>546</v>
      </c>
      <c r="V3" s="184" t="s">
        <v>540</v>
      </c>
      <c r="W3" s="185" t="s">
        <v>541</v>
      </c>
      <c r="X3" s="184" t="s">
        <v>547</v>
      </c>
      <c r="Y3" s="184" t="s">
        <v>540</v>
      </c>
      <c r="Z3" s="185" t="s">
        <v>541</v>
      </c>
      <c r="AA3" s="184" t="s">
        <v>548</v>
      </c>
      <c r="AB3" s="184" t="s">
        <v>540</v>
      </c>
      <c r="AC3" s="185" t="s">
        <v>541</v>
      </c>
      <c r="AD3" s="184" t="s">
        <v>549</v>
      </c>
      <c r="AE3" s="184" t="s">
        <v>540</v>
      </c>
      <c r="AF3" s="185" t="s">
        <v>541</v>
      </c>
      <c r="AG3" s="184" t="s">
        <v>550</v>
      </c>
      <c r="AH3" s="184" t="s">
        <v>540</v>
      </c>
      <c r="AI3" s="185" t="s">
        <v>541</v>
      </c>
      <c r="AJ3" s="184" t="s">
        <v>551</v>
      </c>
      <c r="AK3" s="184" t="s">
        <v>540</v>
      </c>
      <c r="AL3" s="185" t="s">
        <v>541</v>
      </c>
      <c r="AM3" s="184" t="s">
        <v>424</v>
      </c>
      <c r="AN3" s="184" t="s">
        <v>540</v>
      </c>
      <c r="AO3" s="185" t="s">
        <v>541</v>
      </c>
      <c r="AP3" s="184" t="s">
        <v>552</v>
      </c>
      <c r="AQ3" s="184" t="s">
        <v>540</v>
      </c>
      <c r="AR3" s="185" t="s">
        <v>541</v>
      </c>
      <c r="AS3" s="184" t="s">
        <v>425</v>
      </c>
    </row>
    <row r="4" spans="1:48">
      <c r="B4" s="168">
        <v>2015</v>
      </c>
      <c r="C4" s="186">
        <f>IF(Cost_of_crime_Raw_data!B82="not estimated","0",IF(Cost_of_crime_Raw_data!B82="N/A","0",Cost_of_crime_Raw_data!B82))</f>
        <v>11960</v>
      </c>
      <c r="D4" s="187">
        <f>C4*$A4/100</f>
        <v>0</v>
      </c>
      <c r="E4" s="188">
        <f>C4+D4</f>
        <v>11960</v>
      </c>
      <c r="F4" s="186">
        <f>IF(Cost_of_crime_Raw_data!B83="not estimated","0",IF(Cost_of_crime_Raw_data!B83="N/A","0",Cost_of_crime_Raw_data!B83))</f>
        <v>1130</v>
      </c>
      <c r="G4" s="187">
        <f>F4*$A4/100</f>
        <v>0</v>
      </c>
      <c r="H4" s="188">
        <f>F4+G4</f>
        <v>1130</v>
      </c>
      <c r="I4" s="186">
        <f>IF(Cost_of_crime_Raw_data!B84="not estimated","0",IF(Cost_of_crime_Raw_data!B84="N/A","0",Cost_of_crime_Raw_data!B84))</f>
        <v>810</v>
      </c>
      <c r="J4" s="187">
        <f>I4*$A4/100</f>
        <v>0</v>
      </c>
      <c r="K4" s="188">
        <f>I4+J4</f>
        <v>810</v>
      </c>
      <c r="L4" s="186">
        <f>IF(Cost_of_crime_Raw_data!B85="not estimated","0",IF(Cost_of_crime_Raw_data!B85="N/A","0",Cost_of_crime_Raw_data!B85))</f>
        <v>6360</v>
      </c>
      <c r="M4" s="187">
        <f>L4*$A4/100</f>
        <v>0</v>
      </c>
      <c r="N4" s="188">
        <f>L4+M4</f>
        <v>6360</v>
      </c>
      <c r="O4" s="186">
        <f>IF(Cost_of_crime_Raw_data!B86="not estimated","0",IF(Cost_of_crime_Raw_data!B86="N/A","0",Cost_of_crime_Raw_data!B86))</f>
        <v>570</v>
      </c>
      <c r="P4" s="187">
        <f>O4*$A4/100</f>
        <v>0</v>
      </c>
      <c r="Q4" s="188">
        <f>O4+P4</f>
        <v>570</v>
      </c>
      <c r="R4" s="186">
        <f>IF(Cost_of_crime_Raw_data!B87="not estimated","0",IF(Cost_of_crime_Raw_data!B87="N/A","0",Cost_of_crime_Raw_data!B87))</f>
        <v>1010</v>
      </c>
      <c r="S4" s="187">
        <f>R4*$A4/100</f>
        <v>0</v>
      </c>
      <c r="T4" s="188">
        <f>R4+S4</f>
        <v>1010</v>
      </c>
      <c r="U4" s="186">
        <f>IF(Cost_of_crime_Raw_data!B88="not estimated","0",IF(Cost_of_crime_Raw_data!B88="N/A","0",Cost_of_crime_Raw_data!B88))</f>
        <v>530</v>
      </c>
      <c r="V4" s="187">
        <f>U4*$A4/100</f>
        <v>0</v>
      </c>
      <c r="W4" s="188">
        <f>U4+V4</f>
        <v>530</v>
      </c>
      <c r="X4" s="186">
        <f>IF(Cost_of_crime_Raw_data!B89="not estimated","0",IF(Cost_of_crime_Raw_data!B89="N/A","0",Cost_of_crime_Raw_data!B89))</f>
        <v>2030</v>
      </c>
      <c r="Y4" s="187">
        <f>X4*$A4/100</f>
        <v>0</v>
      </c>
      <c r="Z4" s="188">
        <f>X4+Y4</f>
        <v>2030</v>
      </c>
      <c r="AA4" s="186">
        <f>IF(Cost_of_crime_Raw_data!B90="not estimated","0",IF(Cost_of_crime_Raw_data!B90="N/A","0",Cost_of_crime_Raw_data!B90))</f>
        <v>80</v>
      </c>
      <c r="AB4" s="187">
        <f>AA4*$A4/100</f>
        <v>0</v>
      </c>
      <c r="AC4" s="188">
        <f>AA4+AB4</f>
        <v>80</v>
      </c>
      <c r="AD4" s="186">
        <f>IF(Cost_of_crime_Raw_data!B91="not estimated","0",IF(Cost_of_crime_Raw_data!B91="N/A","0",Cost_of_crime_Raw_data!B91))</f>
        <v>40</v>
      </c>
      <c r="AE4" s="187">
        <f>AD4*$A4/100</f>
        <v>0</v>
      </c>
      <c r="AF4" s="188">
        <f>AD4+AE4</f>
        <v>40</v>
      </c>
      <c r="AG4" s="186">
        <f>IF(Cost_of_crime_Raw_data!B92="not estimated","0",IF(Cost_of_crime_Raw_data!B92="N/A","0",Cost_of_crime_Raw_data!B92))</f>
        <v>1080</v>
      </c>
      <c r="AH4" s="187">
        <f>AG4*$A4/100</f>
        <v>0</v>
      </c>
      <c r="AI4" s="188">
        <f>AG4+AH4</f>
        <v>1080</v>
      </c>
      <c r="AJ4" s="186">
        <f>IF(Cost_of_crime_Raw_data!B93="not estimated","0",IF(Cost_of_crime_Raw_data!B93="N/A","0",Cost_of_crime_Raw_data!B93))</f>
        <v>150</v>
      </c>
      <c r="AK4" s="187">
        <f>AJ4*$A4/100</f>
        <v>0</v>
      </c>
      <c r="AL4" s="188">
        <f>AJ4+AK4</f>
        <v>150</v>
      </c>
      <c r="AM4" s="186">
        <f>IF(Cost_of_crime_Raw_data!B94="not estimated","0",IF(Cost_of_crime_Raw_data!B94="N/A","0",Cost_of_crime_Raw_data!B94))</f>
        <v>60</v>
      </c>
      <c r="AN4" s="187">
        <f>AM4*$A4/100</f>
        <v>0</v>
      </c>
      <c r="AO4" s="188">
        <f>AM4+AN4</f>
        <v>60</v>
      </c>
      <c r="AP4" s="186" t="str">
        <f>IF(Cost_of_crime_Raw_data!B95="not estimated","0",IF(Cost_of_crime_Raw_data!B95="N/A","0",Cost_of_crime_Raw_data!B95))</f>
        <v>0</v>
      </c>
      <c r="AQ4" s="187">
        <f>AP4*$A4/100</f>
        <v>0</v>
      </c>
      <c r="AR4" s="188">
        <f>AP4+AQ4</f>
        <v>0</v>
      </c>
      <c r="AS4" s="186">
        <f>SUM(C4,I4,L4,O4,R4,U4,X4,AD4,AG4,AJ4,AM4,AP4)</f>
        <v>24600</v>
      </c>
      <c r="AT4" s="169"/>
      <c r="AU4" s="169"/>
      <c r="AV4" s="169"/>
    </row>
    <row r="5" spans="1:48">
      <c r="A5" s="169">
        <f>VLOOKUP(B5,Misc_inputs!$A$3:$B$33,2,0)</f>
        <v>1.8963035451147277</v>
      </c>
      <c r="B5" s="168">
        <v>2016</v>
      </c>
      <c r="C5" s="187">
        <f>E4</f>
        <v>11960</v>
      </c>
      <c r="D5" s="187">
        <f t="shared" ref="D5" si="0">C5*$A5/100</f>
        <v>226.79790399572141</v>
      </c>
      <c r="E5" s="188">
        <f t="shared" ref="E5" si="1">C5+D5</f>
        <v>12186.797903995721</v>
      </c>
      <c r="F5" s="187">
        <f>H4</f>
        <v>1130</v>
      </c>
      <c r="G5" s="187">
        <f t="shared" ref="G5" si="2">F5*$A5/100</f>
        <v>21.428230059796423</v>
      </c>
      <c r="H5" s="188">
        <f t="shared" ref="H5" si="3">F5+G5</f>
        <v>1151.4282300597965</v>
      </c>
      <c r="I5" s="187">
        <f>K4</f>
        <v>810</v>
      </c>
      <c r="J5" s="187">
        <f t="shared" ref="J5" si="4">I5*$A5/100</f>
        <v>15.360058715429293</v>
      </c>
      <c r="K5" s="188">
        <f t="shared" ref="K5" si="5">I5+J5</f>
        <v>825.36005871542932</v>
      </c>
      <c r="L5" s="187">
        <f>N4</f>
        <v>6360</v>
      </c>
      <c r="M5" s="187">
        <f t="shared" ref="M5" si="6">L5*$A5/100</f>
        <v>120.60490546929668</v>
      </c>
      <c r="N5" s="188">
        <f t="shared" ref="N5" si="7">L5+M5</f>
        <v>6480.6049054692967</v>
      </c>
      <c r="O5" s="187">
        <f>Q4</f>
        <v>570</v>
      </c>
      <c r="P5" s="187">
        <f t="shared" ref="P5" si="8">O5*$A5/100</f>
        <v>10.808930207153949</v>
      </c>
      <c r="Q5" s="188">
        <f t="shared" ref="Q5" si="9">O5+P5</f>
        <v>580.80893020715394</v>
      </c>
      <c r="R5" s="187">
        <f>T4</f>
        <v>1010</v>
      </c>
      <c r="S5" s="187">
        <f t="shared" ref="S5" si="10">R5*$A5/100</f>
        <v>19.152665805658749</v>
      </c>
      <c r="T5" s="188">
        <f t="shared" ref="T5" si="11">R5+S5</f>
        <v>1029.1526658056587</v>
      </c>
      <c r="U5" s="187">
        <f>W4</f>
        <v>530</v>
      </c>
      <c r="V5" s="187">
        <f t="shared" ref="V5" si="12">U5*$A5/100</f>
        <v>10.050408789108056</v>
      </c>
      <c r="W5" s="188">
        <f t="shared" ref="W5" si="13">U5+V5</f>
        <v>540.05040878910802</v>
      </c>
      <c r="X5" s="187">
        <f>Z4</f>
        <v>2030</v>
      </c>
      <c r="Y5" s="187">
        <f t="shared" ref="Y5" si="14">X5*$A5/100</f>
        <v>38.494961965828971</v>
      </c>
      <c r="Z5" s="188">
        <f t="shared" ref="Z5" si="15">X5+Y5</f>
        <v>2068.4949619658291</v>
      </c>
      <c r="AA5" s="187">
        <f>AC4</f>
        <v>80</v>
      </c>
      <c r="AB5" s="187">
        <f t="shared" ref="AB5" si="16">AA5*$A5/100</f>
        <v>1.5170428360917823</v>
      </c>
      <c r="AC5" s="188">
        <f t="shared" ref="AC5" si="17">AA5+AB5</f>
        <v>81.517042836091775</v>
      </c>
      <c r="AD5" s="187">
        <f>AF4</f>
        <v>40</v>
      </c>
      <c r="AE5" s="187">
        <f t="shared" ref="AE5" si="18">AD5*$A5/100</f>
        <v>0.75852141804589113</v>
      </c>
      <c r="AF5" s="188">
        <f t="shared" ref="AF5" si="19">AD5+AE5</f>
        <v>40.758521418045888</v>
      </c>
      <c r="AG5" s="187">
        <f>AI4</f>
        <v>1080</v>
      </c>
      <c r="AH5" s="187">
        <f t="shared" ref="AH5" si="20">AG5*$A5/100</f>
        <v>20.480078287239056</v>
      </c>
      <c r="AI5" s="188">
        <f t="shared" ref="AI5" si="21">AG5+AH5</f>
        <v>1100.4800782872392</v>
      </c>
      <c r="AJ5" s="187">
        <f>AL4</f>
        <v>150</v>
      </c>
      <c r="AK5" s="187">
        <f t="shared" ref="AK5" si="22">AJ5*$A5/100</f>
        <v>2.8444553176720917</v>
      </c>
      <c r="AL5" s="188">
        <f t="shared" ref="AL5" si="23">AJ5+AK5</f>
        <v>152.8444553176721</v>
      </c>
      <c r="AM5" s="187">
        <f>AO4</f>
        <v>60</v>
      </c>
      <c r="AN5" s="187">
        <f t="shared" ref="AN5" si="24">AM5*$A5/100</f>
        <v>1.1377821270688366</v>
      </c>
      <c r="AO5" s="188">
        <f t="shared" ref="AO5" si="25">AM5+AN5</f>
        <v>61.137782127068839</v>
      </c>
      <c r="AP5" s="187">
        <f>AR4</f>
        <v>0</v>
      </c>
      <c r="AQ5" s="187">
        <f t="shared" ref="AQ5" si="26">AP5*$A5/100</f>
        <v>0</v>
      </c>
      <c r="AR5" s="188">
        <f t="shared" ref="AR5" si="27">AP5+AQ5</f>
        <v>0</v>
      </c>
      <c r="AS5" s="186">
        <f t="shared" ref="AS5" si="28">SUM(C5,I5,L5,O5,R5,U5,X5,AD5,AG5,AJ5,AM5,AP5)</f>
        <v>24600</v>
      </c>
      <c r="AT5" s="187"/>
      <c r="AU5" s="169"/>
      <c r="AV5" s="169"/>
    </row>
    <row r="6" spans="1:48">
      <c r="A6" s="169">
        <f>VLOOKUP(B6,Misc_inputs!$A$3:$B$33,2,0)</f>
        <v>1.8209228570152332</v>
      </c>
      <c r="B6" s="168">
        <v>2017</v>
      </c>
      <c r="C6" s="187">
        <f t="shared" ref="C6:C19" si="29">E5</f>
        <v>12186.797903995721</v>
      </c>
      <c r="D6" s="187">
        <f t="shared" ref="D6:D19" si="30">C6*$A6/100</f>
        <v>221.91218857211143</v>
      </c>
      <c r="E6" s="188">
        <f t="shared" ref="E6:E19" si="31">C6+D6</f>
        <v>12408.710092567831</v>
      </c>
      <c r="F6" s="187">
        <f t="shared" ref="F6:F19" si="32">H5</f>
        <v>1151.4282300597965</v>
      </c>
      <c r="G6" s="187">
        <f t="shared" ref="G6:G7" si="33">F6*$A6/100</f>
        <v>20.966619823284777</v>
      </c>
      <c r="H6" s="188">
        <f t="shared" ref="H6:H19" si="34">F6+G6</f>
        <v>1172.3948498830814</v>
      </c>
      <c r="I6" s="187">
        <f t="shared" ref="I6:I19" si="35">K5</f>
        <v>825.36005871542932</v>
      </c>
      <c r="J6" s="187">
        <f t="shared" ref="J6:J7" si="36">I6*$A6/100</f>
        <v>15.029169961823602</v>
      </c>
      <c r="K6" s="188">
        <f t="shared" ref="K6:K19" si="37">I6+J6</f>
        <v>840.38922867725296</v>
      </c>
      <c r="L6" s="187">
        <f t="shared" ref="L6:L19" si="38">N5</f>
        <v>6480.6049054692967</v>
      </c>
      <c r="M6" s="187">
        <f t="shared" ref="M6:M7" si="39">L6*$A6/100</f>
        <v>118.00681599654087</v>
      </c>
      <c r="N6" s="188">
        <f t="shared" ref="N6:N19" si="40">L6+M6</f>
        <v>6598.6117214658379</v>
      </c>
      <c r="O6" s="187">
        <f t="shared" ref="O6:O19" si="41">Q5</f>
        <v>580.80893020715394</v>
      </c>
      <c r="P6" s="187">
        <f t="shared" ref="P6:P7" si="42">O6*$A6/100</f>
        <v>10.57608256572772</v>
      </c>
      <c r="Q6" s="188">
        <f t="shared" ref="Q6:Q19" si="43">O6+P6</f>
        <v>591.38501277288162</v>
      </c>
      <c r="R6" s="187">
        <f t="shared" ref="R6:R19" si="44">T5</f>
        <v>1029.1526658056587</v>
      </c>
      <c r="S6" s="187">
        <f t="shared" ref="S6:S7" si="45">R6*$A6/100</f>
        <v>18.740076125236836</v>
      </c>
      <c r="T6" s="188">
        <f t="shared" ref="T6:T19" si="46">R6+S6</f>
        <v>1047.8927419308955</v>
      </c>
      <c r="U6" s="187">
        <f t="shared" ref="U6:U19" si="47">W5</f>
        <v>540.05040878910802</v>
      </c>
      <c r="V6" s="187">
        <f t="shared" ref="V6:V7" si="48">U6*$A6/100</f>
        <v>9.8339013330450715</v>
      </c>
      <c r="W6" s="188">
        <f t="shared" ref="W6:W19" si="49">U6+V6</f>
        <v>549.88431012215312</v>
      </c>
      <c r="X6" s="187">
        <f t="shared" ref="X6:X19" si="50">Z5</f>
        <v>2068.4949619658291</v>
      </c>
      <c r="Y6" s="187">
        <f t="shared" ref="Y6:Y7" si="51">X6*$A6/100</f>
        <v>37.665697558644339</v>
      </c>
      <c r="Z6" s="188">
        <f t="shared" ref="Z6:Z19" si="52">X6+Y6</f>
        <v>2106.1606595244734</v>
      </c>
      <c r="AA6" s="187">
        <f t="shared" ref="AA6:AA19" si="53">AC5</f>
        <v>81.517042836091775</v>
      </c>
      <c r="AB6" s="187">
        <f t="shared" ref="AB6:AB7" si="54">AA6*$A6/100</f>
        <v>1.4843624653652938</v>
      </c>
      <c r="AC6" s="188">
        <f t="shared" ref="AC6:AC19" si="55">AA6+AB6</f>
        <v>83.001405301457069</v>
      </c>
      <c r="AD6" s="187">
        <f t="shared" ref="AD6:AD19" si="56">AF5</f>
        <v>40.758521418045888</v>
      </c>
      <c r="AE6" s="187">
        <f t="shared" ref="AE6:AE7" si="57">AD6*$A6/100</f>
        <v>0.74218123268264691</v>
      </c>
      <c r="AF6" s="188">
        <f t="shared" ref="AF6:AF19" si="58">AD6+AE6</f>
        <v>41.500702650728535</v>
      </c>
      <c r="AG6" s="187">
        <f t="shared" ref="AG6:AG19" si="59">AI5</f>
        <v>1100.4800782872392</v>
      </c>
      <c r="AH6" s="187">
        <f t="shared" ref="AH6:AH7" si="60">AG6*$A6/100</f>
        <v>20.03889328243147</v>
      </c>
      <c r="AI6" s="188">
        <f t="shared" ref="AI6:AI19" si="61">AG6+AH6</f>
        <v>1120.5189715696706</v>
      </c>
      <c r="AJ6" s="187">
        <f t="shared" ref="AJ6:AJ19" si="62">AL5</f>
        <v>152.8444553176721</v>
      </c>
      <c r="AK6" s="187">
        <f t="shared" ref="AK6:AK7" si="63">AJ6*$A6/100</f>
        <v>2.7831796225599263</v>
      </c>
      <c r="AL6" s="188">
        <f t="shared" ref="AL6:AL19" si="64">AJ6+AK6</f>
        <v>155.62763494023201</v>
      </c>
      <c r="AM6" s="187">
        <f t="shared" ref="AM6:AM19" si="65">AO5</f>
        <v>61.137782127068839</v>
      </c>
      <c r="AN6" s="187">
        <f t="shared" ref="AN6:AN7" si="66">AM6*$A6/100</f>
        <v>1.1132718490239706</v>
      </c>
      <c r="AO6" s="188">
        <f t="shared" ref="AO6:AO19" si="67">AM6+AN6</f>
        <v>62.251053976092813</v>
      </c>
      <c r="AP6" s="187">
        <f t="shared" ref="AP6:AP19" si="68">AR5</f>
        <v>0</v>
      </c>
      <c r="AQ6" s="187">
        <f t="shared" ref="AQ6:AQ7" si="69">AP6*$A6/100</f>
        <v>0</v>
      </c>
      <c r="AR6" s="188">
        <f t="shared" ref="AR6:AR19" si="70">AP6+AQ6</f>
        <v>0</v>
      </c>
      <c r="AS6" s="186">
        <f t="shared" ref="AS6:AS19" si="71">SUM(C6,I6,L6,O6,R6,U6,X6,AD6,AG6,AJ6,AM6,AP6)</f>
        <v>25066.490672098222</v>
      </c>
      <c r="AT6" s="187"/>
      <c r="AU6" s="169"/>
      <c r="AV6" s="169"/>
    </row>
    <row r="7" spans="1:48">
      <c r="A7" s="169">
        <f>VLOOKUP(B7,Misc_inputs!$A$3:$B$33,2,0)</f>
        <v>1.9988242855231282</v>
      </c>
      <c r="B7" s="168">
        <v>2018</v>
      </c>
      <c r="C7" s="187">
        <f t="shared" si="29"/>
        <v>12408.710092567831</v>
      </c>
      <c r="D7" s="187">
        <f t="shared" si="30"/>
        <v>248.02831085040526</v>
      </c>
      <c r="E7" s="188">
        <f t="shared" si="31"/>
        <v>12656.738403418236</v>
      </c>
      <c r="F7" s="187">
        <f t="shared" si="32"/>
        <v>1172.3948498830814</v>
      </c>
      <c r="G7" s="187">
        <f t="shared" si="33"/>
        <v>23.434112981685452</v>
      </c>
      <c r="H7" s="188">
        <f t="shared" si="34"/>
        <v>1195.8289628647669</v>
      </c>
      <c r="I7" s="187">
        <f t="shared" si="35"/>
        <v>840.38922867725296</v>
      </c>
      <c r="J7" s="187">
        <f t="shared" si="36"/>
        <v>16.797903995721427</v>
      </c>
      <c r="K7" s="188">
        <f t="shared" si="37"/>
        <v>857.18713267297437</v>
      </c>
      <c r="L7" s="187">
        <f t="shared" si="38"/>
        <v>6598.6117214658379</v>
      </c>
      <c r="M7" s="187">
        <f t="shared" si="39"/>
        <v>131.89465359603494</v>
      </c>
      <c r="N7" s="188">
        <f t="shared" si="40"/>
        <v>6730.5063750618729</v>
      </c>
      <c r="O7" s="187">
        <f t="shared" si="41"/>
        <v>591.38501277288162</v>
      </c>
      <c r="P7" s="187">
        <f t="shared" si="42"/>
        <v>11.820747256248412</v>
      </c>
      <c r="Q7" s="188">
        <f t="shared" si="43"/>
        <v>603.20576002913003</v>
      </c>
      <c r="R7" s="187">
        <f t="shared" si="44"/>
        <v>1047.8927419308955</v>
      </c>
      <c r="S7" s="187">
        <f t="shared" si="45"/>
        <v>20.945534611948936</v>
      </c>
      <c r="T7" s="188">
        <f t="shared" si="46"/>
        <v>1068.8382765428444</v>
      </c>
      <c r="U7" s="187">
        <f t="shared" si="47"/>
        <v>549.88431012215312</v>
      </c>
      <c r="V7" s="187">
        <f t="shared" si="48"/>
        <v>10.991221133002909</v>
      </c>
      <c r="W7" s="188">
        <f t="shared" si="49"/>
        <v>560.87553125515603</v>
      </c>
      <c r="X7" s="187">
        <f t="shared" si="50"/>
        <v>2106.1606595244734</v>
      </c>
      <c r="Y7" s="187">
        <f t="shared" si="51"/>
        <v>42.098450754709255</v>
      </c>
      <c r="Z7" s="188">
        <f t="shared" si="52"/>
        <v>2148.2591102791826</v>
      </c>
      <c r="AA7" s="187">
        <f t="shared" si="53"/>
        <v>83.001405301457069</v>
      </c>
      <c r="AB7" s="187">
        <f t="shared" si="54"/>
        <v>1.6590522464910051</v>
      </c>
      <c r="AC7" s="188">
        <f t="shared" si="55"/>
        <v>84.66045754794807</v>
      </c>
      <c r="AD7" s="187">
        <f t="shared" si="56"/>
        <v>41.500702650728535</v>
      </c>
      <c r="AE7" s="187">
        <f t="shared" si="57"/>
        <v>0.82952612324550257</v>
      </c>
      <c r="AF7" s="188">
        <f t="shared" si="58"/>
        <v>42.330228773974035</v>
      </c>
      <c r="AG7" s="187">
        <f t="shared" si="59"/>
        <v>1120.5189715696706</v>
      </c>
      <c r="AH7" s="187">
        <f t="shared" si="60"/>
        <v>22.397205327628573</v>
      </c>
      <c r="AI7" s="188">
        <f t="shared" si="61"/>
        <v>1142.9161768972992</v>
      </c>
      <c r="AJ7" s="187">
        <f t="shared" si="62"/>
        <v>155.62763494023201</v>
      </c>
      <c r="AK7" s="187">
        <f t="shared" si="63"/>
        <v>3.1107229621706347</v>
      </c>
      <c r="AL7" s="188">
        <f t="shared" si="64"/>
        <v>158.73835790240264</v>
      </c>
      <c r="AM7" s="187">
        <f t="shared" si="65"/>
        <v>62.251053976092813</v>
      </c>
      <c r="AN7" s="187">
        <f t="shared" si="66"/>
        <v>1.244289184868254</v>
      </c>
      <c r="AO7" s="188">
        <f t="shared" si="67"/>
        <v>63.495343160961063</v>
      </c>
      <c r="AP7" s="187">
        <f t="shared" si="68"/>
        <v>0</v>
      </c>
      <c r="AQ7" s="187">
        <f t="shared" si="69"/>
        <v>0</v>
      </c>
      <c r="AR7" s="188">
        <f t="shared" si="70"/>
        <v>0</v>
      </c>
      <c r="AS7" s="186">
        <f t="shared" si="71"/>
        <v>25522.932130198053</v>
      </c>
      <c r="AT7" s="187"/>
      <c r="AU7" s="169"/>
      <c r="AV7" s="169"/>
    </row>
    <row r="8" spans="1:48">
      <c r="A8" s="169">
        <f>VLOOKUP(B8,Misc_inputs!$A$3:$B$33,2,0)</f>
        <v>2.0163202370724722</v>
      </c>
      <c r="B8" s="168">
        <v>2019</v>
      </c>
      <c r="C8" s="187">
        <f t="shared" si="29"/>
        <v>12656.738403418236</v>
      </c>
      <c r="D8" s="187">
        <f>C8*$A8/100</f>
        <v>255.20037778144521</v>
      </c>
      <c r="E8" s="188">
        <f t="shared" si="31"/>
        <v>12911.93878119968</v>
      </c>
      <c r="F8" s="187">
        <f t="shared" si="32"/>
        <v>1195.8289628647669</v>
      </c>
      <c r="G8" s="187">
        <f>F8*$A8/100</f>
        <v>24.111741379016152</v>
      </c>
      <c r="H8" s="188">
        <f t="shared" si="34"/>
        <v>1219.9407042437831</v>
      </c>
      <c r="I8" s="187">
        <f t="shared" si="35"/>
        <v>857.18713267297437</v>
      </c>
      <c r="J8" s="187">
        <f>I8*$A8/100</f>
        <v>17.283637625666444</v>
      </c>
      <c r="K8" s="188">
        <f t="shared" si="37"/>
        <v>874.47077029864079</v>
      </c>
      <c r="L8" s="187">
        <f t="shared" si="38"/>
        <v>6730.5063750618729</v>
      </c>
      <c r="M8" s="187">
        <f>L8*$A8/100</f>
        <v>135.70856209782542</v>
      </c>
      <c r="N8" s="188">
        <f t="shared" si="40"/>
        <v>6866.2149371596979</v>
      </c>
      <c r="O8" s="187">
        <f t="shared" si="41"/>
        <v>603.20576002913003</v>
      </c>
      <c r="P8" s="187">
        <f>O8*$A8/100</f>
        <v>12.162559810654164</v>
      </c>
      <c r="Q8" s="188">
        <f t="shared" si="43"/>
        <v>615.36831983978425</v>
      </c>
      <c r="R8" s="187">
        <f t="shared" si="44"/>
        <v>1068.8382765428444</v>
      </c>
      <c r="S8" s="187">
        <f>R8*$A8/100</f>
        <v>21.551202471510006</v>
      </c>
      <c r="T8" s="188">
        <f t="shared" si="46"/>
        <v>1090.3894790143543</v>
      </c>
      <c r="U8" s="187">
        <f t="shared" si="47"/>
        <v>560.87553125515603</v>
      </c>
      <c r="V8" s="187">
        <f>U8*$A8/100</f>
        <v>11.309046841485449</v>
      </c>
      <c r="W8" s="188">
        <f t="shared" si="49"/>
        <v>572.18457809664153</v>
      </c>
      <c r="X8" s="187">
        <f t="shared" si="50"/>
        <v>2148.2591102791826</v>
      </c>
      <c r="Y8" s="187">
        <f>X8*$A8/100</f>
        <v>43.315783185312192</v>
      </c>
      <c r="Z8" s="188">
        <f t="shared" si="52"/>
        <v>2191.5748934644948</v>
      </c>
      <c r="AA8" s="187">
        <f t="shared" si="53"/>
        <v>84.66045754794807</v>
      </c>
      <c r="AB8" s="187">
        <f>AA8*$A8/100</f>
        <v>1.7070259383374262</v>
      </c>
      <c r="AC8" s="188">
        <f t="shared" si="55"/>
        <v>86.367483486285494</v>
      </c>
      <c r="AD8" s="187">
        <f t="shared" si="56"/>
        <v>42.330228773974035</v>
      </c>
      <c r="AE8" s="187">
        <f>AD8*$A8/100</f>
        <v>0.85351296916871311</v>
      </c>
      <c r="AF8" s="188">
        <f t="shared" si="58"/>
        <v>43.183741743142747</v>
      </c>
      <c r="AG8" s="187">
        <f t="shared" si="59"/>
        <v>1142.9161768972992</v>
      </c>
      <c r="AH8" s="187">
        <f>AG8*$A8/100</f>
        <v>23.044850167555261</v>
      </c>
      <c r="AI8" s="188">
        <f t="shared" si="61"/>
        <v>1165.9610270648545</v>
      </c>
      <c r="AJ8" s="187">
        <f t="shared" si="62"/>
        <v>158.73835790240264</v>
      </c>
      <c r="AK8" s="187">
        <f>AJ8*$A8/100</f>
        <v>3.200673634382674</v>
      </c>
      <c r="AL8" s="188">
        <f t="shared" si="64"/>
        <v>161.93903153678531</v>
      </c>
      <c r="AM8" s="187">
        <f t="shared" si="65"/>
        <v>63.495343160961063</v>
      </c>
      <c r="AN8" s="187">
        <f>AM8*$A8/100</f>
        <v>1.2802694537530699</v>
      </c>
      <c r="AO8" s="188">
        <f t="shared" si="67"/>
        <v>64.775612614714134</v>
      </c>
      <c r="AP8" s="187">
        <f t="shared" si="68"/>
        <v>0</v>
      </c>
      <c r="AQ8" s="187">
        <f>AP8*$A8/100</f>
        <v>0</v>
      </c>
      <c r="AR8" s="188">
        <f t="shared" si="70"/>
        <v>0</v>
      </c>
      <c r="AS8" s="186">
        <f t="shared" si="71"/>
        <v>26033.090695994029</v>
      </c>
      <c r="AT8" s="187"/>
      <c r="AU8" s="169"/>
      <c r="AV8" s="169"/>
    </row>
    <row r="9" spans="1:48">
      <c r="A9" s="169">
        <f>VLOOKUP(B9,Misc_inputs!$A$3:$B$33,2,0)</f>
        <v>5.3200852056836103</v>
      </c>
      <c r="B9" s="168">
        <v>2020</v>
      </c>
      <c r="C9" s="187">
        <f t="shared" si="29"/>
        <v>12911.93878119968</v>
      </c>
      <c r="D9" s="187">
        <f t="shared" si="30"/>
        <v>686.92614486552895</v>
      </c>
      <c r="E9" s="188">
        <f t="shared" si="31"/>
        <v>13598.864926065209</v>
      </c>
      <c r="F9" s="187">
        <f t="shared" si="32"/>
        <v>1219.9407042437831</v>
      </c>
      <c r="G9" s="187">
        <f t="shared" ref="G9:G19" si="72">F9*$A9/100</f>
        <v>64.901884924585957</v>
      </c>
      <c r="H9" s="188">
        <f t="shared" si="34"/>
        <v>1284.8425891683692</v>
      </c>
      <c r="I9" s="187">
        <f t="shared" si="35"/>
        <v>874.47077029864079</v>
      </c>
      <c r="J9" s="187">
        <f t="shared" ref="J9:J19" si="73">I9*$A9/100</f>
        <v>46.522590078685496</v>
      </c>
      <c r="K9" s="188">
        <f t="shared" si="37"/>
        <v>920.99336037732633</v>
      </c>
      <c r="L9" s="187">
        <f t="shared" si="38"/>
        <v>6866.2149371596979</v>
      </c>
      <c r="M9" s="187">
        <f t="shared" ref="M9:M19" si="74">L9*$A9/100</f>
        <v>365.28848506227126</v>
      </c>
      <c r="N9" s="188">
        <f t="shared" si="40"/>
        <v>7231.5034222219692</v>
      </c>
      <c r="O9" s="187">
        <f t="shared" si="41"/>
        <v>615.36831983978425</v>
      </c>
      <c r="P9" s="187">
        <f t="shared" ref="P9:P19" si="75">O9*$A9/100</f>
        <v>32.738118944260165</v>
      </c>
      <c r="Q9" s="188">
        <f t="shared" si="43"/>
        <v>648.10643878404437</v>
      </c>
      <c r="R9" s="187">
        <f t="shared" si="44"/>
        <v>1090.3894790143543</v>
      </c>
      <c r="S9" s="187">
        <f t="shared" ref="S9:S19" si="76">R9*$A9/100</f>
        <v>58.009649357373256</v>
      </c>
      <c r="T9" s="188">
        <f t="shared" si="46"/>
        <v>1148.3991283717276</v>
      </c>
      <c r="U9" s="187">
        <f t="shared" si="47"/>
        <v>572.18457809664153</v>
      </c>
      <c r="V9" s="187">
        <f t="shared" ref="V9:V19" si="77">U9*$A9/100</f>
        <v>30.440707088522608</v>
      </c>
      <c r="W9" s="188">
        <f t="shared" si="49"/>
        <v>602.6252851851641</v>
      </c>
      <c r="X9" s="187">
        <f t="shared" si="50"/>
        <v>2191.5748934644948</v>
      </c>
      <c r="Y9" s="187">
        <f t="shared" ref="Y9:Y19" si="78">X9*$A9/100</f>
        <v>116.59365167868093</v>
      </c>
      <c r="Z9" s="188">
        <f t="shared" si="52"/>
        <v>2308.1685451431758</v>
      </c>
      <c r="AA9" s="187">
        <f t="shared" si="53"/>
        <v>86.367483486285494</v>
      </c>
      <c r="AB9" s="187">
        <f t="shared" ref="AB9:AB19" si="79">AA9*$A9/100</f>
        <v>4.5948237114751098</v>
      </c>
      <c r="AC9" s="188">
        <f t="shared" si="55"/>
        <v>90.962307197760609</v>
      </c>
      <c r="AD9" s="187">
        <f t="shared" si="56"/>
        <v>43.183741743142747</v>
      </c>
      <c r="AE9" s="187">
        <f t="shared" ref="AE9:AE19" si="80">AD9*$A9/100</f>
        <v>2.2974118557375549</v>
      </c>
      <c r="AF9" s="188">
        <f t="shared" si="58"/>
        <v>45.481153598880304</v>
      </c>
      <c r="AG9" s="187">
        <f t="shared" si="59"/>
        <v>1165.9610270648545</v>
      </c>
      <c r="AH9" s="187">
        <f t="shared" ref="AH9:AH19" si="81">AG9*$A9/100</f>
        <v>62.030120104914005</v>
      </c>
      <c r="AI9" s="188">
        <f t="shared" si="61"/>
        <v>1227.9911471697685</v>
      </c>
      <c r="AJ9" s="187">
        <f t="shared" si="62"/>
        <v>161.93903153678531</v>
      </c>
      <c r="AK9" s="187">
        <f t="shared" ref="AK9:AK19" si="82">AJ9*$A9/100</f>
        <v>8.615294459015832</v>
      </c>
      <c r="AL9" s="188">
        <f t="shared" si="64"/>
        <v>170.55432599580115</v>
      </c>
      <c r="AM9" s="187">
        <f t="shared" si="65"/>
        <v>64.775612614714134</v>
      </c>
      <c r="AN9" s="187">
        <f t="shared" ref="AN9:AN19" si="83">AM9*$A9/100</f>
        <v>3.4461177836063333</v>
      </c>
      <c r="AO9" s="188">
        <f t="shared" si="67"/>
        <v>68.221730398320474</v>
      </c>
      <c r="AP9" s="187">
        <f t="shared" si="68"/>
        <v>0</v>
      </c>
      <c r="AQ9" s="187">
        <f t="shared" ref="AQ9:AQ19" si="84">AP9*$A9/100</f>
        <v>0</v>
      </c>
      <c r="AR9" s="188">
        <f t="shared" si="70"/>
        <v>0</v>
      </c>
      <c r="AS9" s="186">
        <f t="shared" si="71"/>
        <v>26558.001172032793</v>
      </c>
      <c r="AT9" s="187"/>
      <c r="AU9" s="169"/>
      <c r="AV9" s="169"/>
    </row>
    <row r="10" spans="1:48">
      <c r="A10" s="169">
        <f>VLOOKUP(B10,Misc_inputs!$A$3:$B$33,2,0)</f>
        <v>7.6258108678813302E-2</v>
      </c>
      <c r="B10" s="168">
        <v>2021</v>
      </c>
      <c r="C10" s="187">
        <f t="shared" si="29"/>
        <v>13598.864926065209</v>
      </c>
      <c r="D10" s="187">
        <f t="shared" si="30"/>
        <v>10.370237194403831</v>
      </c>
      <c r="E10" s="188">
        <f t="shared" si="31"/>
        <v>13609.235163259613</v>
      </c>
      <c r="F10" s="187">
        <f t="shared" si="32"/>
        <v>1284.8425891683692</v>
      </c>
      <c r="G10" s="187">
        <f t="shared" si="72"/>
        <v>0.97979665799969373</v>
      </c>
      <c r="H10" s="188">
        <f t="shared" si="34"/>
        <v>1285.8223858263689</v>
      </c>
      <c r="I10" s="187">
        <f t="shared" si="35"/>
        <v>920.99336037732633</v>
      </c>
      <c r="J10" s="187">
        <f t="shared" si="73"/>
        <v>0.70233211768119619</v>
      </c>
      <c r="K10" s="188">
        <f t="shared" si="37"/>
        <v>921.69569249500751</v>
      </c>
      <c r="L10" s="187">
        <f t="shared" si="38"/>
        <v>7231.5034222219692</v>
      </c>
      <c r="M10" s="187">
        <f t="shared" si="74"/>
        <v>5.5146077388301329</v>
      </c>
      <c r="N10" s="188">
        <f t="shared" si="40"/>
        <v>7237.0180299607991</v>
      </c>
      <c r="O10" s="187">
        <f t="shared" si="41"/>
        <v>648.10643878404437</v>
      </c>
      <c r="P10" s="187">
        <f t="shared" si="75"/>
        <v>0.49423371244232311</v>
      </c>
      <c r="Q10" s="188">
        <f t="shared" si="43"/>
        <v>648.60067249648671</v>
      </c>
      <c r="R10" s="187">
        <f t="shared" si="44"/>
        <v>1148.3991283717276</v>
      </c>
      <c r="S10" s="187">
        <f t="shared" si="76"/>
        <v>0.87574745538025667</v>
      </c>
      <c r="T10" s="188">
        <f t="shared" si="46"/>
        <v>1149.2748758271077</v>
      </c>
      <c r="U10" s="187">
        <f t="shared" si="47"/>
        <v>602.6252851851641</v>
      </c>
      <c r="V10" s="187">
        <f t="shared" si="77"/>
        <v>0.45955064490251102</v>
      </c>
      <c r="W10" s="188">
        <f t="shared" si="49"/>
        <v>603.0848358300666</v>
      </c>
      <c r="X10" s="187">
        <f t="shared" si="50"/>
        <v>2308.1685451431758</v>
      </c>
      <c r="Y10" s="187">
        <f t="shared" si="78"/>
        <v>1.7601656776454668</v>
      </c>
      <c r="Z10" s="188">
        <f t="shared" si="52"/>
        <v>2309.9287108208214</v>
      </c>
      <c r="AA10" s="187">
        <f t="shared" si="53"/>
        <v>90.962307197760609</v>
      </c>
      <c r="AB10" s="187">
        <f t="shared" si="79"/>
        <v>6.9366135079624303E-2</v>
      </c>
      <c r="AC10" s="188">
        <f t="shared" si="55"/>
        <v>91.031673332840228</v>
      </c>
      <c r="AD10" s="187">
        <f t="shared" si="56"/>
        <v>45.481153598880304</v>
      </c>
      <c r="AE10" s="187">
        <f t="shared" si="80"/>
        <v>3.4683067539812151E-2</v>
      </c>
      <c r="AF10" s="188">
        <f t="shared" si="58"/>
        <v>45.515836666420114</v>
      </c>
      <c r="AG10" s="187">
        <f t="shared" si="59"/>
        <v>1227.9911471697685</v>
      </c>
      <c r="AH10" s="187">
        <f t="shared" si="81"/>
        <v>0.93644282357492825</v>
      </c>
      <c r="AI10" s="188">
        <f t="shared" si="61"/>
        <v>1228.9275899933434</v>
      </c>
      <c r="AJ10" s="187">
        <f t="shared" si="62"/>
        <v>170.55432599580115</v>
      </c>
      <c r="AK10" s="187">
        <f t="shared" si="82"/>
        <v>0.13006150327429558</v>
      </c>
      <c r="AL10" s="188">
        <f t="shared" si="64"/>
        <v>170.68438749907546</v>
      </c>
      <c r="AM10" s="187">
        <f t="shared" si="65"/>
        <v>68.221730398320474</v>
      </c>
      <c r="AN10" s="187">
        <f t="shared" si="83"/>
        <v>5.2024601309718241E-2</v>
      </c>
      <c r="AO10" s="188">
        <f t="shared" si="67"/>
        <v>68.273754999630199</v>
      </c>
      <c r="AP10" s="187">
        <f t="shared" si="68"/>
        <v>0</v>
      </c>
      <c r="AQ10" s="187">
        <f t="shared" si="84"/>
        <v>0</v>
      </c>
      <c r="AR10" s="188">
        <f t="shared" si="70"/>
        <v>0</v>
      </c>
      <c r="AS10" s="186">
        <f t="shared" si="71"/>
        <v>27970.909463311382</v>
      </c>
      <c r="AT10" s="169"/>
      <c r="AU10" s="169"/>
      <c r="AV10" s="169"/>
    </row>
    <row r="11" spans="1:48">
      <c r="A11" s="169">
        <f>VLOOKUP(B11,Misc_inputs!$A$3:$B$33,2,0)</f>
        <v>2.8492930312000952</v>
      </c>
      <c r="B11" s="168">
        <v>2022</v>
      </c>
      <c r="C11" s="187">
        <f t="shared" si="29"/>
        <v>13609.235163259613</v>
      </c>
      <c r="D11" s="187">
        <f t="shared" si="30"/>
        <v>387.76698910638908</v>
      </c>
      <c r="E11" s="188">
        <f t="shared" si="31"/>
        <v>13997.002152366002</v>
      </c>
      <c r="F11" s="187">
        <f t="shared" si="32"/>
        <v>1285.8223858263689</v>
      </c>
      <c r="G11" s="187">
        <f t="shared" si="72"/>
        <v>36.636847632961533</v>
      </c>
      <c r="H11" s="188">
        <f t="shared" si="34"/>
        <v>1322.4592334593303</v>
      </c>
      <c r="I11" s="187">
        <f t="shared" si="35"/>
        <v>921.69569249500751</v>
      </c>
      <c r="J11" s="187">
        <f t="shared" si="73"/>
        <v>26.261811135131708</v>
      </c>
      <c r="K11" s="188">
        <f t="shared" si="37"/>
        <v>947.95750363013917</v>
      </c>
      <c r="L11" s="187">
        <f t="shared" si="38"/>
        <v>7237.0180299607991</v>
      </c>
      <c r="M11" s="187">
        <f t="shared" si="74"/>
        <v>206.20385039436746</v>
      </c>
      <c r="N11" s="188">
        <f t="shared" si="40"/>
        <v>7443.2218803551668</v>
      </c>
      <c r="O11" s="187">
        <f t="shared" si="41"/>
        <v>648.60067249648671</v>
      </c>
      <c r="P11" s="187">
        <f t="shared" si="75"/>
        <v>18.480533761759347</v>
      </c>
      <c r="Q11" s="188">
        <f t="shared" si="43"/>
        <v>667.08120625824608</v>
      </c>
      <c r="R11" s="187">
        <f t="shared" si="44"/>
        <v>1149.2748758271077</v>
      </c>
      <c r="S11" s="187">
        <f t="shared" si="76"/>
        <v>32.746208946275331</v>
      </c>
      <c r="T11" s="188">
        <f t="shared" si="46"/>
        <v>1182.0210847733831</v>
      </c>
      <c r="U11" s="187">
        <f t="shared" si="47"/>
        <v>603.0848358300666</v>
      </c>
      <c r="V11" s="187">
        <f t="shared" si="77"/>
        <v>17.183654199530622</v>
      </c>
      <c r="W11" s="188">
        <f t="shared" si="49"/>
        <v>620.26849002959716</v>
      </c>
      <c r="X11" s="187">
        <f t="shared" si="50"/>
        <v>2309.9287108208214</v>
      </c>
      <c r="Y11" s="187">
        <f t="shared" si="78"/>
        <v>65.816637783107865</v>
      </c>
      <c r="Z11" s="188">
        <f t="shared" si="52"/>
        <v>2375.7453486039294</v>
      </c>
      <c r="AA11" s="187">
        <f t="shared" si="53"/>
        <v>91.031673332840228</v>
      </c>
      <c r="AB11" s="187">
        <f t="shared" si="79"/>
        <v>2.5937591244574518</v>
      </c>
      <c r="AC11" s="188">
        <f t="shared" si="55"/>
        <v>93.625432457297677</v>
      </c>
      <c r="AD11" s="187">
        <f t="shared" si="56"/>
        <v>45.515836666420114</v>
      </c>
      <c r="AE11" s="187">
        <f t="shared" si="80"/>
        <v>1.2968795622287259</v>
      </c>
      <c r="AF11" s="188">
        <f t="shared" si="58"/>
        <v>46.812716228648839</v>
      </c>
      <c r="AG11" s="187">
        <f t="shared" si="59"/>
        <v>1228.9275899933434</v>
      </c>
      <c r="AH11" s="187">
        <f t="shared" si="81"/>
        <v>35.015748180175613</v>
      </c>
      <c r="AI11" s="188">
        <f t="shared" si="61"/>
        <v>1263.9433381735191</v>
      </c>
      <c r="AJ11" s="187">
        <f t="shared" si="62"/>
        <v>170.68438749907546</v>
      </c>
      <c r="AK11" s="187">
        <f t="shared" si="82"/>
        <v>4.8632983583577234</v>
      </c>
      <c r="AL11" s="188">
        <f t="shared" si="64"/>
        <v>175.54768585743318</v>
      </c>
      <c r="AM11" s="187">
        <f t="shared" si="65"/>
        <v>68.273754999630199</v>
      </c>
      <c r="AN11" s="187">
        <f t="shared" si="83"/>
        <v>1.94531934334309</v>
      </c>
      <c r="AO11" s="188">
        <f t="shared" si="67"/>
        <v>70.219074342973286</v>
      </c>
      <c r="AP11" s="187">
        <f t="shared" si="68"/>
        <v>0</v>
      </c>
      <c r="AQ11" s="187">
        <f t="shared" si="84"/>
        <v>0</v>
      </c>
      <c r="AR11" s="188">
        <f t="shared" si="70"/>
        <v>0</v>
      </c>
      <c r="AS11" s="186">
        <f t="shared" si="71"/>
        <v>27992.239549848375</v>
      </c>
      <c r="AT11" s="169"/>
      <c r="AU11" s="169"/>
      <c r="AV11" s="169"/>
    </row>
    <row r="12" spans="1:48">
      <c r="A12" s="169">
        <f>VLOOKUP(B12,Misc_inputs!$A$3:$B$33,2,0)</f>
        <v>3.143440902459993</v>
      </c>
      <c r="B12" s="168">
        <v>2023</v>
      </c>
      <c r="C12" s="187">
        <f t="shared" si="29"/>
        <v>13997.002152366002</v>
      </c>
      <c r="D12" s="187">
        <f t="shared" si="30"/>
        <v>439.98749077567845</v>
      </c>
      <c r="E12" s="188">
        <f t="shared" si="31"/>
        <v>14436.98964314168</v>
      </c>
      <c r="F12" s="187">
        <f t="shared" si="32"/>
        <v>1322.4592334593303</v>
      </c>
      <c r="G12" s="187">
        <f t="shared" si="72"/>
        <v>41.570724462919479</v>
      </c>
      <c r="H12" s="188">
        <f t="shared" si="34"/>
        <v>1364.0299579222499</v>
      </c>
      <c r="I12" s="187">
        <f t="shared" si="35"/>
        <v>947.95750363013917</v>
      </c>
      <c r="J12" s="187">
        <f t="shared" si="73"/>
        <v>29.798483907048468</v>
      </c>
      <c r="K12" s="188">
        <f t="shared" si="37"/>
        <v>977.75598753718759</v>
      </c>
      <c r="L12" s="187">
        <f t="shared" si="38"/>
        <v>7443.2218803551668</v>
      </c>
      <c r="M12" s="187">
        <f t="shared" si="74"/>
        <v>233.9732810479361</v>
      </c>
      <c r="N12" s="188">
        <f t="shared" si="40"/>
        <v>7677.1951614031032</v>
      </c>
      <c r="O12" s="187">
        <f t="shared" si="41"/>
        <v>667.08120625824608</v>
      </c>
      <c r="P12" s="187">
        <f t="shared" si="75"/>
        <v>20.969303490145215</v>
      </c>
      <c r="Q12" s="188">
        <f t="shared" si="43"/>
        <v>688.05050974839128</v>
      </c>
      <c r="R12" s="187">
        <f t="shared" si="44"/>
        <v>1182.0210847733831</v>
      </c>
      <c r="S12" s="187">
        <f t="shared" si="76"/>
        <v>37.156134254467837</v>
      </c>
      <c r="T12" s="188">
        <f t="shared" si="46"/>
        <v>1219.1772190278509</v>
      </c>
      <c r="U12" s="187">
        <f t="shared" si="47"/>
        <v>620.26849002959716</v>
      </c>
      <c r="V12" s="187">
        <f t="shared" si="77"/>
        <v>19.497773420661339</v>
      </c>
      <c r="W12" s="188">
        <f t="shared" si="49"/>
        <v>639.76626345025852</v>
      </c>
      <c r="X12" s="187">
        <f t="shared" si="50"/>
        <v>2375.7453486039294</v>
      </c>
      <c r="Y12" s="187">
        <f t="shared" si="78"/>
        <v>74.68015102630666</v>
      </c>
      <c r="Z12" s="188">
        <f t="shared" si="52"/>
        <v>2450.4254996302361</v>
      </c>
      <c r="AA12" s="187">
        <f t="shared" si="53"/>
        <v>93.625432457297677</v>
      </c>
      <c r="AB12" s="187">
        <f t="shared" si="79"/>
        <v>2.9430601389677493</v>
      </c>
      <c r="AC12" s="188">
        <f t="shared" si="55"/>
        <v>96.568492596265429</v>
      </c>
      <c r="AD12" s="187">
        <f t="shared" si="56"/>
        <v>46.812716228648839</v>
      </c>
      <c r="AE12" s="187">
        <f t="shared" si="80"/>
        <v>1.4715300694838747</v>
      </c>
      <c r="AF12" s="188">
        <f t="shared" si="58"/>
        <v>48.284246298132715</v>
      </c>
      <c r="AG12" s="187">
        <f t="shared" si="59"/>
        <v>1263.9433381735191</v>
      </c>
      <c r="AH12" s="187">
        <f t="shared" si="81"/>
        <v>39.73131187606463</v>
      </c>
      <c r="AI12" s="188">
        <f t="shared" si="61"/>
        <v>1303.6746500495838</v>
      </c>
      <c r="AJ12" s="187">
        <f t="shared" si="62"/>
        <v>175.54768585743318</v>
      </c>
      <c r="AK12" s="187">
        <f t="shared" si="82"/>
        <v>5.5182377605645305</v>
      </c>
      <c r="AL12" s="188">
        <f t="shared" si="64"/>
        <v>181.0659236179977</v>
      </c>
      <c r="AM12" s="187">
        <f t="shared" si="65"/>
        <v>70.219074342973286</v>
      </c>
      <c r="AN12" s="187">
        <f t="shared" si="83"/>
        <v>2.2072951042258127</v>
      </c>
      <c r="AO12" s="188">
        <f t="shared" si="67"/>
        <v>72.426369447199093</v>
      </c>
      <c r="AP12" s="187">
        <f t="shared" si="68"/>
        <v>0</v>
      </c>
      <c r="AQ12" s="187">
        <f t="shared" si="84"/>
        <v>0</v>
      </c>
      <c r="AR12" s="188">
        <f t="shared" si="70"/>
        <v>0</v>
      </c>
      <c r="AS12" s="186">
        <f t="shared" si="71"/>
        <v>28789.820480619037</v>
      </c>
      <c r="AT12" s="169"/>
      <c r="AU12" s="169"/>
      <c r="AV12" s="169"/>
    </row>
    <row r="13" spans="1:48">
      <c r="A13" s="169">
        <f>VLOOKUP(B13,Misc_inputs!$A$3:$B$33,2,0)</f>
        <v>1.8594732384912049</v>
      </c>
      <c r="B13" s="168">
        <v>2024</v>
      </c>
      <c r="C13" s="187">
        <f t="shared" si="29"/>
        <v>14436.98964314168</v>
      </c>
      <c r="D13" s="187">
        <f t="shared" si="30"/>
        <v>268.45195885796647</v>
      </c>
      <c r="E13" s="188">
        <f t="shared" si="31"/>
        <v>14705.441601999646</v>
      </c>
      <c r="F13" s="187">
        <f t="shared" si="32"/>
        <v>1364.0299579222499</v>
      </c>
      <c r="G13" s="187">
        <f t="shared" si="72"/>
        <v>25.363772032567081</v>
      </c>
      <c r="H13" s="188">
        <f t="shared" si="34"/>
        <v>1389.393729954817</v>
      </c>
      <c r="I13" s="187">
        <f t="shared" si="35"/>
        <v>977.75598753718759</v>
      </c>
      <c r="J13" s="187">
        <f t="shared" si="73"/>
        <v>18.181110925999402</v>
      </c>
      <c r="K13" s="188">
        <f t="shared" si="37"/>
        <v>995.937098463187</v>
      </c>
      <c r="L13" s="187">
        <f t="shared" si="38"/>
        <v>7677.1951614031032</v>
      </c>
      <c r="M13" s="187">
        <f t="shared" si="74"/>
        <v>142.75538949303237</v>
      </c>
      <c r="N13" s="188">
        <f t="shared" si="40"/>
        <v>7819.9505508961356</v>
      </c>
      <c r="O13" s="187">
        <f t="shared" si="41"/>
        <v>688.05050974839128</v>
      </c>
      <c r="P13" s="187">
        <f t="shared" si="75"/>
        <v>12.794115096073655</v>
      </c>
      <c r="Q13" s="188">
        <f t="shared" si="43"/>
        <v>700.84462484446499</v>
      </c>
      <c r="R13" s="187">
        <f t="shared" si="44"/>
        <v>1219.1772190278509</v>
      </c>
      <c r="S13" s="187">
        <f t="shared" si="76"/>
        <v>22.67027411760419</v>
      </c>
      <c r="T13" s="188">
        <f t="shared" si="46"/>
        <v>1241.847493145455</v>
      </c>
      <c r="U13" s="187">
        <f t="shared" si="47"/>
        <v>639.76626345025852</v>
      </c>
      <c r="V13" s="187">
        <f t="shared" si="77"/>
        <v>11.896282457752696</v>
      </c>
      <c r="W13" s="188">
        <f t="shared" si="49"/>
        <v>651.66254590801123</v>
      </c>
      <c r="X13" s="187">
        <f t="shared" si="50"/>
        <v>2450.4254996302361</v>
      </c>
      <c r="Y13" s="187">
        <f t="shared" si="78"/>
        <v>45.565006394788639</v>
      </c>
      <c r="Z13" s="188">
        <f t="shared" si="52"/>
        <v>2495.9905060250248</v>
      </c>
      <c r="AA13" s="187">
        <f t="shared" si="53"/>
        <v>96.568492596265429</v>
      </c>
      <c r="AB13" s="187">
        <f t="shared" si="79"/>
        <v>1.7956652766419163</v>
      </c>
      <c r="AC13" s="188">
        <f t="shared" si="55"/>
        <v>98.364157872907342</v>
      </c>
      <c r="AD13" s="187">
        <f t="shared" si="56"/>
        <v>48.284246298132715</v>
      </c>
      <c r="AE13" s="187">
        <f t="shared" si="80"/>
        <v>0.89783263832095817</v>
      </c>
      <c r="AF13" s="188">
        <f t="shared" si="58"/>
        <v>49.182078936453671</v>
      </c>
      <c r="AG13" s="187">
        <f t="shared" si="59"/>
        <v>1303.6746500495838</v>
      </c>
      <c r="AH13" s="187">
        <f t="shared" si="81"/>
        <v>24.24148123466588</v>
      </c>
      <c r="AI13" s="188">
        <f t="shared" si="61"/>
        <v>1327.9161312842496</v>
      </c>
      <c r="AJ13" s="187">
        <f t="shared" si="62"/>
        <v>181.0659236179977</v>
      </c>
      <c r="AK13" s="187">
        <f t="shared" si="82"/>
        <v>3.3668723937035936</v>
      </c>
      <c r="AL13" s="188">
        <f t="shared" si="64"/>
        <v>184.4327960117013</v>
      </c>
      <c r="AM13" s="187">
        <f t="shared" si="65"/>
        <v>72.426369447199093</v>
      </c>
      <c r="AN13" s="187">
        <f t="shared" si="83"/>
        <v>1.3467489574814377</v>
      </c>
      <c r="AO13" s="188">
        <f t="shared" si="67"/>
        <v>73.773118404680531</v>
      </c>
      <c r="AP13" s="187">
        <f t="shared" si="68"/>
        <v>0</v>
      </c>
      <c r="AQ13" s="187">
        <f t="shared" si="84"/>
        <v>0</v>
      </c>
      <c r="AR13" s="188">
        <f t="shared" si="70"/>
        <v>0</v>
      </c>
      <c r="AS13" s="186">
        <f t="shared" si="71"/>
        <v>29694.811473351619</v>
      </c>
      <c r="AT13" s="169"/>
      <c r="AU13" s="169"/>
      <c r="AV13" s="169"/>
    </row>
    <row r="14" spans="1:48">
      <c r="A14" s="169">
        <f>VLOOKUP(B14,Misc_inputs!$A$3:$B$33,2,0)</f>
        <v>1.892198034308179</v>
      </c>
      <c r="B14" s="168">
        <v>2025</v>
      </c>
      <c r="C14" s="187">
        <f t="shared" si="29"/>
        <v>14705.441601999646</v>
      </c>
      <c r="D14" s="187">
        <f t="shared" si="30"/>
        <v>278.2560769293745</v>
      </c>
      <c r="E14" s="188">
        <f t="shared" si="31"/>
        <v>14983.69767892902</v>
      </c>
      <c r="F14" s="187">
        <f t="shared" si="32"/>
        <v>1389.393729954817</v>
      </c>
      <c r="G14" s="187">
        <f t="shared" si="72"/>
        <v>26.290080847006134</v>
      </c>
      <c r="H14" s="188">
        <f t="shared" si="34"/>
        <v>1415.683810801823</v>
      </c>
      <c r="I14" s="187">
        <f t="shared" si="35"/>
        <v>995.937098463187</v>
      </c>
      <c r="J14" s="187">
        <f t="shared" si="73"/>
        <v>18.845102200066336</v>
      </c>
      <c r="K14" s="188">
        <f t="shared" si="37"/>
        <v>1014.7822006632533</v>
      </c>
      <c r="L14" s="187">
        <f t="shared" si="38"/>
        <v>7819.9505508961356</v>
      </c>
      <c r="M14" s="187">
        <f t="shared" si="74"/>
        <v>147.96895060792829</v>
      </c>
      <c r="N14" s="188">
        <f t="shared" si="40"/>
        <v>7967.9195015040641</v>
      </c>
      <c r="O14" s="187">
        <f t="shared" si="41"/>
        <v>700.84462484446499</v>
      </c>
      <c r="P14" s="187">
        <f t="shared" si="75"/>
        <v>13.261368214861498</v>
      </c>
      <c r="Q14" s="188">
        <f t="shared" si="43"/>
        <v>714.10599305932647</v>
      </c>
      <c r="R14" s="187">
        <f t="shared" si="44"/>
        <v>1241.847493145455</v>
      </c>
      <c r="S14" s="187">
        <f t="shared" si="76"/>
        <v>23.498213854403698</v>
      </c>
      <c r="T14" s="188">
        <f t="shared" si="46"/>
        <v>1265.3457069998587</v>
      </c>
      <c r="U14" s="187">
        <f t="shared" si="47"/>
        <v>651.66254590801123</v>
      </c>
      <c r="V14" s="187">
        <f t="shared" si="77"/>
        <v>12.330745883994023</v>
      </c>
      <c r="W14" s="188">
        <f t="shared" si="49"/>
        <v>663.99329179200527</v>
      </c>
      <c r="X14" s="187">
        <f t="shared" si="50"/>
        <v>2495.9905060250248</v>
      </c>
      <c r="Y14" s="187">
        <f t="shared" si="78"/>
        <v>47.22908329152429</v>
      </c>
      <c r="Z14" s="188">
        <f t="shared" si="52"/>
        <v>2543.219589316549</v>
      </c>
      <c r="AA14" s="187">
        <f t="shared" si="53"/>
        <v>98.364157872907342</v>
      </c>
      <c r="AB14" s="187">
        <f t="shared" si="79"/>
        <v>1.8612446617349465</v>
      </c>
      <c r="AC14" s="188">
        <f t="shared" si="55"/>
        <v>100.22540253464228</v>
      </c>
      <c r="AD14" s="187">
        <f t="shared" si="56"/>
        <v>49.182078936453671</v>
      </c>
      <c r="AE14" s="187">
        <f t="shared" si="80"/>
        <v>0.93062233086747326</v>
      </c>
      <c r="AF14" s="188">
        <f t="shared" si="58"/>
        <v>50.112701267321142</v>
      </c>
      <c r="AG14" s="187">
        <f t="shared" si="59"/>
        <v>1327.9161312842496</v>
      </c>
      <c r="AH14" s="187">
        <f t="shared" si="81"/>
        <v>25.126802933421786</v>
      </c>
      <c r="AI14" s="188">
        <f t="shared" si="61"/>
        <v>1353.0429342176712</v>
      </c>
      <c r="AJ14" s="187">
        <f t="shared" si="62"/>
        <v>184.4327960117013</v>
      </c>
      <c r="AK14" s="187">
        <f t="shared" si="82"/>
        <v>3.4898337407530255</v>
      </c>
      <c r="AL14" s="188">
        <f t="shared" si="64"/>
        <v>187.92262975245433</v>
      </c>
      <c r="AM14" s="187">
        <f t="shared" si="65"/>
        <v>73.773118404680531</v>
      </c>
      <c r="AN14" s="187">
        <f t="shared" si="83"/>
        <v>1.3959334963012104</v>
      </c>
      <c r="AO14" s="188">
        <f t="shared" si="67"/>
        <v>75.169051900981742</v>
      </c>
      <c r="AP14" s="187">
        <f t="shared" si="68"/>
        <v>0</v>
      </c>
      <c r="AQ14" s="187">
        <f t="shared" si="84"/>
        <v>0</v>
      </c>
      <c r="AR14" s="188">
        <f t="shared" si="70"/>
        <v>0</v>
      </c>
      <c r="AS14" s="186">
        <f t="shared" si="71"/>
        <v>30246.978545919002</v>
      </c>
      <c r="AT14" s="169"/>
      <c r="AU14" s="169"/>
      <c r="AV14" s="169"/>
    </row>
    <row r="15" spans="1:48">
      <c r="A15" s="169">
        <f>VLOOKUP(B15,Misc_inputs!$A$3:$B$33,2,0)</f>
        <v>2.0003592159356653</v>
      </c>
      <c r="B15" s="168">
        <v>2026</v>
      </c>
      <c r="C15" s="187">
        <f t="shared" si="29"/>
        <v>14983.69767892902</v>
      </c>
      <c r="D15" s="187">
        <f t="shared" si="30"/>
        <v>299.72777740839507</v>
      </c>
      <c r="E15" s="188">
        <f t="shared" si="31"/>
        <v>15283.425456337416</v>
      </c>
      <c r="F15" s="187">
        <f t="shared" si="32"/>
        <v>1415.683810801823</v>
      </c>
      <c r="G15" s="187">
        <f t="shared" si="72"/>
        <v>28.318761577883496</v>
      </c>
      <c r="H15" s="188">
        <f t="shared" si="34"/>
        <v>1444.0025723797066</v>
      </c>
      <c r="I15" s="187">
        <f t="shared" si="35"/>
        <v>1014.7822006632533</v>
      </c>
      <c r="J15" s="187">
        <f t="shared" si="73"/>
        <v>20.299289272642145</v>
      </c>
      <c r="K15" s="188">
        <f t="shared" si="37"/>
        <v>1035.0814899358954</v>
      </c>
      <c r="L15" s="187">
        <f t="shared" si="38"/>
        <v>7967.9195015040641</v>
      </c>
      <c r="M15" s="187">
        <f t="shared" si="74"/>
        <v>159.38701206667167</v>
      </c>
      <c r="N15" s="188">
        <f t="shared" si="40"/>
        <v>8127.3065135707357</v>
      </c>
      <c r="O15" s="187">
        <f t="shared" si="41"/>
        <v>714.10599305932647</v>
      </c>
      <c r="P15" s="187">
        <f t="shared" si="75"/>
        <v>14.284685043711141</v>
      </c>
      <c r="Q15" s="188">
        <f t="shared" si="43"/>
        <v>728.39067810303766</v>
      </c>
      <c r="R15" s="187">
        <f t="shared" si="44"/>
        <v>1265.3457069998587</v>
      </c>
      <c r="S15" s="187">
        <f t="shared" si="76"/>
        <v>25.311459463417979</v>
      </c>
      <c r="T15" s="188">
        <f t="shared" si="46"/>
        <v>1290.6571664632768</v>
      </c>
      <c r="U15" s="187">
        <f t="shared" si="47"/>
        <v>663.99329179200527</v>
      </c>
      <c r="V15" s="187">
        <f t="shared" si="77"/>
        <v>13.28225100555597</v>
      </c>
      <c r="W15" s="188">
        <f t="shared" si="49"/>
        <v>677.27554279756123</v>
      </c>
      <c r="X15" s="187">
        <f t="shared" si="50"/>
        <v>2543.219589316549</v>
      </c>
      <c r="Y15" s="187">
        <f t="shared" si="78"/>
        <v>50.873527436374772</v>
      </c>
      <c r="Z15" s="188">
        <f t="shared" si="52"/>
        <v>2594.0931167529238</v>
      </c>
      <c r="AA15" s="187">
        <f t="shared" si="53"/>
        <v>100.22540253464228</v>
      </c>
      <c r="AB15" s="187">
        <f t="shared" si="79"/>
        <v>2.004868076310335</v>
      </c>
      <c r="AC15" s="188">
        <f t="shared" si="55"/>
        <v>102.23027061095262</v>
      </c>
      <c r="AD15" s="187">
        <f t="shared" si="56"/>
        <v>50.112701267321142</v>
      </c>
      <c r="AE15" s="187">
        <f t="shared" si="80"/>
        <v>1.0024340381551675</v>
      </c>
      <c r="AF15" s="188">
        <f t="shared" si="58"/>
        <v>51.115135305476308</v>
      </c>
      <c r="AG15" s="187">
        <f t="shared" si="59"/>
        <v>1353.0429342176712</v>
      </c>
      <c r="AH15" s="187">
        <f t="shared" si="81"/>
        <v>27.065719030189531</v>
      </c>
      <c r="AI15" s="188">
        <f t="shared" si="61"/>
        <v>1380.1086532478607</v>
      </c>
      <c r="AJ15" s="187">
        <f t="shared" si="62"/>
        <v>187.92262975245433</v>
      </c>
      <c r="AK15" s="187">
        <f t="shared" si="82"/>
        <v>3.7591276430818787</v>
      </c>
      <c r="AL15" s="188">
        <f t="shared" si="64"/>
        <v>191.68175739553621</v>
      </c>
      <c r="AM15" s="187">
        <f t="shared" si="65"/>
        <v>75.169051900981742</v>
      </c>
      <c r="AN15" s="187">
        <f t="shared" si="83"/>
        <v>1.5036510572327517</v>
      </c>
      <c r="AO15" s="188">
        <f t="shared" si="67"/>
        <v>76.672702958214501</v>
      </c>
      <c r="AP15" s="187">
        <f t="shared" si="68"/>
        <v>0</v>
      </c>
      <c r="AQ15" s="187">
        <f t="shared" si="84"/>
        <v>0</v>
      </c>
      <c r="AR15" s="188">
        <f t="shared" si="70"/>
        <v>0</v>
      </c>
      <c r="AS15" s="186">
        <f t="shared" si="71"/>
        <v>30819.311279402504</v>
      </c>
      <c r="AT15" s="169"/>
      <c r="AU15" s="169"/>
      <c r="AV15" s="169"/>
    </row>
    <row r="16" spans="1:48">
      <c r="A16" s="169">
        <f>VLOOKUP(B16,Misc_inputs!$A$3:$B$33,2,0)</f>
        <v>0</v>
      </c>
      <c r="B16" s="168">
        <v>2027</v>
      </c>
      <c r="C16" s="187">
        <f t="shared" si="29"/>
        <v>15283.425456337416</v>
      </c>
      <c r="D16" s="187">
        <f t="shared" si="30"/>
        <v>0</v>
      </c>
      <c r="E16" s="188">
        <f t="shared" si="31"/>
        <v>15283.425456337416</v>
      </c>
      <c r="F16" s="187">
        <f t="shared" si="32"/>
        <v>1444.0025723797066</v>
      </c>
      <c r="G16" s="187">
        <f t="shared" si="72"/>
        <v>0</v>
      </c>
      <c r="H16" s="188">
        <f t="shared" si="34"/>
        <v>1444.0025723797066</v>
      </c>
      <c r="I16" s="187">
        <f t="shared" si="35"/>
        <v>1035.0814899358954</v>
      </c>
      <c r="J16" s="187">
        <f t="shared" si="73"/>
        <v>0</v>
      </c>
      <c r="K16" s="188">
        <f t="shared" si="37"/>
        <v>1035.0814899358954</v>
      </c>
      <c r="L16" s="187">
        <f t="shared" si="38"/>
        <v>8127.3065135707357</v>
      </c>
      <c r="M16" s="187">
        <f t="shared" si="74"/>
        <v>0</v>
      </c>
      <c r="N16" s="188">
        <f t="shared" si="40"/>
        <v>8127.3065135707357</v>
      </c>
      <c r="O16" s="187">
        <f t="shared" si="41"/>
        <v>728.39067810303766</v>
      </c>
      <c r="P16" s="187">
        <f t="shared" si="75"/>
        <v>0</v>
      </c>
      <c r="Q16" s="188">
        <f t="shared" si="43"/>
        <v>728.39067810303766</v>
      </c>
      <c r="R16" s="187">
        <f t="shared" si="44"/>
        <v>1290.6571664632768</v>
      </c>
      <c r="S16" s="187">
        <f t="shared" si="76"/>
        <v>0</v>
      </c>
      <c r="T16" s="188">
        <f t="shared" si="46"/>
        <v>1290.6571664632768</v>
      </c>
      <c r="U16" s="187">
        <f t="shared" si="47"/>
        <v>677.27554279756123</v>
      </c>
      <c r="V16" s="187">
        <f t="shared" si="77"/>
        <v>0</v>
      </c>
      <c r="W16" s="188">
        <f t="shared" si="49"/>
        <v>677.27554279756123</v>
      </c>
      <c r="X16" s="187">
        <f t="shared" si="50"/>
        <v>2594.0931167529238</v>
      </c>
      <c r="Y16" s="187">
        <f t="shared" si="78"/>
        <v>0</v>
      </c>
      <c r="Z16" s="188">
        <f t="shared" si="52"/>
        <v>2594.0931167529238</v>
      </c>
      <c r="AA16" s="187">
        <f t="shared" si="53"/>
        <v>102.23027061095262</v>
      </c>
      <c r="AB16" s="187">
        <f t="shared" si="79"/>
        <v>0</v>
      </c>
      <c r="AC16" s="188">
        <f t="shared" si="55"/>
        <v>102.23027061095262</v>
      </c>
      <c r="AD16" s="187">
        <f t="shared" si="56"/>
        <v>51.115135305476308</v>
      </c>
      <c r="AE16" s="187">
        <f t="shared" si="80"/>
        <v>0</v>
      </c>
      <c r="AF16" s="188">
        <f t="shared" si="58"/>
        <v>51.115135305476308</v>
      </c>
      <c r="AG16" s="187">
        <f t="shared" si="59"/>
        <v>1380.1086532478607</v>
      </c>
      <c r="AH16" s="187">
        <f t="shared" si="81"/>
        <v>0</v>
      </c>
      <c r="AI16" s="188">
        <f t="shared" si="61"/>
        <v>1380.1086532478607</v>
      </c>
      <c r="AJ16" s="187">
        <f t="shared" si="62"/>
        <v>191.68175739553621</v>
      </c>
      <c r="AK16" s="187">
        <f t="shared" si="82"/>
        <v>0</v>
      </c>
      <c r="AL16" s="188">
        <f t="shared" si="64"/>
        <v>191.68175739553621</v>
      </c>
      <c r="AM16" s="187">
        <f t="shared" si="65"/>
        <v>76.672702958214501</v>
      </c>
      <c r="AN16" s="187">
        <f t="shared" si="83"/>
        <v>0</v>
      </c>
      <c r="AO16" s="188">
        <f t="shared" si="67"/>
        <v>76.672702958214501</v>
      </c>
      <c r="AP16" s="187">
        <f t="shared" si="68"/>
        <v>0</v>
      </c>
      <c r="AQ16" s="187">
        <f t="shared" si="84"/>
        <v>0</v>
      </c>
      <c r="AR16" s="188">
        <f t="shared" si="70"/>
        <v>0</v>
      </c>
      <c r="AS16" s="186">
        <f t="shared" si="71"/>
        <v>31435.808212867938</v>
      </c>
      <c r="AT16" s="169"/>
      <c r="AU16" s="169"/>
      <c r="AV16" s="169"/>
    </row>
    <row r="17" spans="1:49">
      <c r="A17" s="169">
        <f>VLOOKUP(B17,Misc_inputs!$A$3:$B$33,2,0)</f>
        <v>0</v>
      </c>
      <c r="B17" s="168">
        <v>2028</v>
      </c>
      <c r="C17" s="187">
        <f t="shared" si="29"/>
        <v>15283.425456337416</v>
      </c>
      <c r="D17" s="187">
        <f t="shared" si="30"/>
        <v>0</v>
      </c>
      <c r="E17" s="188">
        <f t="shared" si="31"/>
        <v>15283.425456337416</v>
      </c>
      <c r="F17" s="187">
        <f t="shared" si="32"/>
        <v>1444.0025723797066</v>
      </c>
      <c r="G17" s="187">
        <f t="shared" si="72"/>
        <v>0</v>
      </c>
      <c r="H17" s="188">
        <f t="shared" si="34"/>
        <v>1444.0025723797066</v>
      </c>
      <c r="I17" s="187">
        <f t="shared" si="35"/>
        <v>1035.0814899358954</v>
      </c>
      <c r="J17" s="187">
        <f t="shared" si="73"/>
        <v>0</v>
      </c>
      <c r="K17" s="188">
        <f t="shared" si="37"/>
        <v>1035.0814899358954</v>
      </c>
      <c r="L17" s="187">
        <f t="shared" si="38"/>
        <v>8127.3065135707357</v>
      </c>
      <c r="M17" s="187">
        <f t="shared" si="74"/>
        <v>0</v>
      </c>
      <c r="N17" s="188">
        <f t="shared" si="40"/>
        <v>8127.3065135707357</v>
      </c>
      <c r="O17" s="187">
        <f t="shared" si="41"/>
        <v>728.39067810303766</v>
      </c>
      <c r="P17" s="187">
        <f t="shared" si="75"/>
        <v>0</v>
      </c>
      <c r="Q17" s="188">
        <f t="shared" si="43"/>
        <v>728.39067810303766</v>
      </c>
      <c r="R17" s="187">
        <f t="shared" si="44"/>
        <v>1290.6571664632768</v>
      </c>
      <c r="S17" s="187">
        <f t="shared" si="76"/>
        <v>0</v>
      </c>
      <c r="T17" s="188">
        <f t="shared" si="46"/>
        <v>1290.6571664632768</v>
      </c>
      <c r="U17" s="187">
        <f t="shared" si="47"/>
        <v>677.27554279756123</v>
      </c>
      <c r="V17" s="187">
        <f t="shared" si="77"/>
        <v>0</v>
      </c>
      <c r="W17" s="188">
        <f t="shared" si="49"/>
        <v>677.27554279756123</v>
      </c>
      <c r="X17" s="187">
        <f t="shared" si="50"/>
        <v>2594.0931167529238</v>
      </c>
      <c r="Y17" s="187">
        <f t="shared" si="78"/>
        <v>0</v>
      </c>
      <c r="Z17" s="188">
        <f t="shared" si="52"/>
        <v>2594.0931167529238</v>
      </c>
      <c r="AA17" s="187">
        <f t="shared" si="53"/>
        <v>102.23027061095262</v>
      </c>
      <c r="AB17" s="187">
        <f t="shared" si="79"/>
        <v>0</v>
      </c>
      <c r="AC17" s="188">
        <f t="shared" si="55"/>
        <v>102.23027061095262</v>
      </c>
      <c r="AD17" s="187">
        <f t="shared" si="56"/>
        <v>51.115135305476308</v>
      </c>
      <c r="AE17" s="187">
        <f t="shared" si="80"/>
        <v>0</v>
      </c>
      <c r="AF17" s="188">
        <f t="shared" si="58"/>
        <v>51.115135305476308</v>
      </c>
      <c r="AG17" s="187">
        <f t="shared" si="59"/>
        <v>1380.1086532478607</v>
      </c>
      <c r="AH17" s="187">
        <f t="shared" si="81"/>
        <v>0</v>
      </c>
      <c r="AI17" s="188">
        <f t="shared" si="61"/>
        <v>1380.1086532478607</v>
      </c>
      <c r="AJ17" s="187">
        <f t="shared" si="62"/>
        <v>191.68175739553621</v>
      </c>
      <c r="AK17" s="187">
        <f t="shared" si="82"/>
        <v>0</v>
      </c>
      <c r="AL17" s="188">
        <f t="shared" si="64"/>
        <v>191.68175739553621</v>
      </c>
      <c r="AM17" s="187">
        <f t="shared" si="65"/>
        <v>76.672702958214501</v>
      </c>
      <c r="AN17" s="187">
        <f t="shared" si="83"/>
        <v>0</v>
      </c>
      <c r="AO17" s="188">
        <f t="shared" si="67"/>
        <v>76.672702958214501</v>
      </c>
      <c r="AP17" s="187">
        <f t="shared" si="68"/>
        <v>0</v>
      </c>
      <c r="AQ17" s="187">
        <f t="shared" si="84"/>
        <v>0</v>
      </c>
      <c r="AR17" s="188">
        <f t="shared" si="70"/>
        <v>0</v>
      </c>
      <c r="AS17" s="186">
        <f t="shared" si="71"/>
        <v>31435.808212867938</v>
      </c>
      <c r="AT17" s="169"/>
      <c r="AU17" s="169"/>
      <c r="AV17" s="169"/>
    </row>
    <row r="18" spans="1:49">
      <c r="A18" s="169">
        <f>VLOOKUP(B18,Misc_inputs!$A$3:$B$33,2,0)</f>
        <v>0</v>
      </c>
      <c r="B18" s="168">
        <v>2029</v>
      </c>
      <c r="C18" s="187">
        <f t="shared" si="29"/>
        <v>15283.425456337416</v>
      </c>
      <c r="D18" s="187">
        <f t="shared" si="30"/>
        <v>0</v>
      </c>
      <c r="E18" s="188">
        <f t="shared" si="31"/>
        <v>15283.425456337416</v>
      </c>
      <c r="F18" s="187">
        <f t="shared" si="32"/>
        <v>1444.0025723797066</v>
      </c>
      <c r="G18" s="187">
        <f t="shared" si="72"/>
        <v>0</v>
      </c>
      <c r="H18" s="188">
        <f t="shared" si="34"/>
        <v>1444.0025723797066</v>
      </c>
      <c r="I18" s="187">
        <f t="shared" si="35"/>
        <v>1035.0814899358954</v>
      </c>
      <c r="J18" s="187">
        <f t="shared" si="73"/>
        <v>0</v>
      </c>
      <c r="K18" s="188">
        <f t="shared" si="37"/>
        <v>1035.0814899358954</v>
      </c>
      <c r="L18" s="187">
        <f t="shared" si="38"/>
        <v>8127.3065135707357</v>
      </c>
      <c r="M18" s="187">
        <f t="shared" si="74"/>
        <v>0</v>
      </c>
      <c r="N18" s="188">
        <f t="shared" si="40"/>
        <v>8127.3065135707357</v>
      </c>
      <c r="O18" s="187">
        <f t="shared" si="41"/>
        <v>728.39067810303766</v>
      </c>
      <c r="P18" s="187">
        <f t="shared" si="75"/>
        <v>0</v>
      </c>
      <c r="Q18" s="188">
        <f t="shared" si="43"/>
        <v>728.39067810303766</v>
      </c>
      <c r="R18" s="187">
        <f t="shared" si="44"/>
        <v>1290.6571664632768</v>
      </c>
      <c r="S18" s="187">
        <f t="shared" si="76"/>
        <v>0</v>
      </c>
      <c r="T18" s="188">
        <f t="shared" si="46"/>
        <v>1290.6571664632768</v>
      </c>
      <c r="U18" s="187">
        <f t="shared" si="47"/>
        <v>677.27554279756123</v>
      </c>
      <c r="V18" s="187">
        <f t="shared" si="77"/>
        <v>0</v>
      </c>
      <c r="W18" s="188">
        <f t="shared" si="49"/>
        <v>677.27554279756123</v>
      </c>
      <c r="X18" s="187">
        <f t="shared" si="50"/>
        <v>2594.0931167529238</v>
      </c>
      <c r="Y18" s="187">
        <f t="shared" si="78"/>
        <v>0</v>
      </c>
      <c r="Z18" s="188">
        <f t="shared" si="52"/>
        <v>2594.0931167529238</v>
      </c>
      <c r="AA18" s="187">
        <f t="shared" si="53"/>
        <v>102.23027061095262</v>
      </c>
      <c r="AB18" s="187">
        <f t="shared" si="79"/>
        <v>0</v>
      </c>
      <c r="AC18" s="188">
        <f t="shared" si="55"/>
        <v>102.23027061095262</v>
      </c>
      <c r="AD18" s="187">
        <f t="shared" si="56"/>
        <v>51.115135305476308</v>
      </c>
      <c r="AE18" s="187">
        <f t="shared" si="80"/>
        <v>0</v>
      </c>
      <c r="AF18" s="188">
        <f t="shared" si="58"/>
        <v>51.115135305476308</v>
      </c>
      <c r="AG18" s="187">
        <f t="shared" si="59"/>
        <v>1380.1086532478607</v>
      </c>
      <c r="AH18" s="187">
        <f t="shared" si="81"/>
        <v>0</v>
      </c>
      <c r="AI18" s="188">
        <f t="shared" si="61"/>
        <v>1380.1086532478607</v>
      </c>
      <c r="AJ18" s="187">
        <f t="shared" si="62"/>
        <v>191.68175739553621</v>
      </c>
      <c r="AK18" s="187">
        <f t="shared" si="82"/>
        <v>0</v>
      </c>
      <c r="AL18" s="188">
        <f t="shared" si="64"/>
        <v>191.68175739553621</v>
      </c>
      <c r="AM18" s="187">
        <f t="shared" si="65"/>
        <v>76.672702958214501</v>
      </c>
      <c r="AN18" s="187">
        <f t="shared" si="83"/>
        <v>0</v>
      </c>
      <c r="AO18" s="188">
        <f t="shared" si="67"/>
        <v>76.672702958214501</v>
      </c>
      <c r="AP18" s="187">
        <f t="shared" si="68"/>
        <v>0</v>
      </c>
      <c r="AQ18" s="187">
        <f t="shared" si="84"/>
        <v>0</v>
      </c>
      <c r="AR18" s="188">
        <f t="shared" si="70"/>
        <v>0</v>
      </c>
      <c r="AS18" s="186">
        <f t="shared" si="71"/>
        <v>31435.808212867938</v>
      </c>
      <c r="AT18" s="169"/>
      <c r="AU18" s="169"/>
      <c r="AV18" s="169"/>
    </row>
    <row r="19" spans="1:49">
      <c r="A19" s="169">
        <f>VLOOKUP(B19,Misc_inputs!$A$3:$B$33,2,0)</f>
        <v>0</v>
      </c>
      <c r="B19" s="168">
        <v>2030</v>
      </c>
      <c r="C19" s="187">
        <f t="shared" si="29"/>
        <v>15283.425456337416</v>
      </c>
      <c r="D19" s="187">
        <f t="shared" si="30"/>
        <v>0</v>
      </c>
      <c r="E19" s="188">
        <f t="shared" si="31"/>
        <v>15283.425456337416</v>
      </c>
      <c r="F19" s="187">
        <f t="shared" si="32"/>
        <v>1444.0025723797066</v>
      </c>
      <c r="G19" s="187">
        <f t="shared" si="72"/>
        <v>0</v>
      </c>
      <c r="H19" s="188">
        <f t="shared" si="34"/>
        <v>1444.0025723797066</v>
      </c>
      <c r="I19" s="187">
        <f t="shared" si="35"/>
        <v>1035.0814899358954</v>
      </c>
      <c r="J19" s="187">
        <f t="shared" si="73"/>
        <v>0</v>
      </c>
      <c r="K19" s="188">
        <f t="shared" si="37"/>
        <v>1035.0814899358954</v>
      </c>
      <c r="L19" s="187">
        <f t="shared" si="38"/>
        <v>8127.3065135707357</v>
      </c>
      <c r="M19" s="187">
        <f t="shared" si="74"/>
        <v>0</v>
      </c>
      <c r="N19" s="188">
        <f t="shared" si="40"/>
        <v>8127.3065135707357</v>
      </c>
      <c r="O19" s="187">
        <f t="shared" si="41"/>
        <v>728.39067810303766</v>
      </c>
      <c r="P19" s="187">
        <f t="shared" si="75"/>
        <v>0</v>
      </c>
      <c r="Q19" s="188">
        <f t="shared" si="43"/>
        <v>728.39067810303766</v>
      </c>
      <c r="R19" s="187">
        <f t="shared" si="44"/>
        <v>1290.6571664632768</v>
      </c>
      <c r="S19" s="187">
        <f t="shared" si="76"/>
        <v>0</v>
      </c>
      <c r="T19" s="188">
        <f t="shared" si="46"/>
        <v>1290.6571664632768</v>
      </c>
      <c r="U19" s="187">
        <f t="shared" si="47"/>
        <v>677.27554279756123</v>
      </c>
      <c r="V19" s="187">
        <f t="shared" si="77"/>
        <v>0</v>
      </c>
      <c r="W19" s="188">
        <f t="shared" si="49"/>
        <v>677.27554279756123</v>
      </c>
      <c r="X19" s="187">
        <f t="shared" si="50"/>
        <v>2594.0931167529238</v>
      </c>
      <c r="Y19" s="187">
        <f t="shared" si="78"/>
        <v>0</v>
      </c>
      <c r="Z19" s="188">
        <f t="shared" si="52"/>
        <v>2594.0931167529238</v>
      </c>
      <c r="AA19" s="187">
        <f t="shared" si="53"/>
        <v>102.23027061095262</v>
      </c>
      <c r="AB19" s="187">
        <f t="shared" si="79"/>
        <v>0</v>
      </c>
      <c r="AC19" s="188">
        <f t="shared" si="55"/>
        <v>102.23027061095262</v>
      </c>
      <c r="AD19" s="187">
        <f t="shared" si="56"/>
        <v>51.115135305476308</v>
      </c>
      <c r="AE19" s="187">
        <f t="shared" si="80"/>
        <v>0</v>
      </c>
      <c r="AF19" s="188">
        <f t="shared" si="58"/>
        <v>51.115135305476308</v>
      </c>
      <c r="AG19" s="187">
        <f t="shared" si="59"/>
        <v>1380.1086532478607</v>
      </c>
      <c r="AH19" s="187">
        <f t="shared" si="81"/>
        <v>0</v>
      </c>
      <c r="AI19" s="188">
        <f t="shared" si="61"/>
        <v>1380.1086532478607</v>
      </c>
      <c r="AJ19" s="187">
        <f t="shared" si="62"/>
        <v>191.68175739553621</v>
      </c>
      <c r="AK19" s="187">
        <f t="shared" si="82"/>
        <v>0</v>
      </c>
      <c r="AL19" s="188">
        <f t="shared" si="64"/>
        <v>191.68175739553621</v>
      </c>
      <c r="AM19" s="187">
        <f t="shared" si="65"/>
        <v>76.672702958214501</v>
      </c>
      <c r="AN19" s="187">
        <f t="shared" si="83"/>
        <v>0</v>
      </c>
      <c r="AO19" s="188">
        <f t="shared" si="67"/>
        <v>76.672702958214501</v>
      </c>
      <c r="AP19" s="187">
        <f t="shared" si="68"/>
        <v>0</v>
      </c>
      <c r="AQ19" s="187">
        <f t="shared" si="84"/>
        <v>0</v>
      </c>
      <c r="AR19" s="188">
        <f t="shared" si="70"/>
        <v>0</v>
      </c>
      <c r="AS19" s="186">
        <f t="shared" si="71"/>
        <v>31435.808212867938</v>
      </c>
      <c r="AT19" s="169"/>
      <c r="AU19" s="169"/>
      <c r="AV19" s="169"/>
    </row>
    <row r="21" spans="1:49" s="190" customFormat="1" ht="23">
      <c r="A21" s="183" t="s">
        <v>575</v>
      </c>
      <c r="B21" s="189"/>
      <c r="C21" s="189"/>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row>
    <row r="22" spans="1:49" ht="62">
      <c r="A22" s="173" t="s">
        <v>539</v>
      </c>
      <c r="B22" s="172" t="s">
        <v>342</v>
      </c>
      <c r="C22" s="172" t="s">
        <v>406</v>
      </c>
      <c r="D22" s="184" t="s">
        <v>540</v>
      </c>
      <c r="E22" s="185" t="s">
        <v>541</v>
      </c>
      <c r="F22" s="172" t="s">
        <v>407</v>
      </c>
      <c r="G22" s="184" t="s">
        <v>540</v>
      </c>
      <c r="H22" s="185" t="s">
        <v>541</v>
      </c>
      <c r="I22" s="172" t="s">
        <v>408</v>
      </c>
      <c r="J22" s="184" t="s">
        <v>540</v>
      </c>
      <c r="K22" s="185" t="s">
        <v>541</v>
      </c>
      <c r="L22" s="172" t="s">
        <v>409</v>
      </c>
      <c r="M22" s="184" t="s">
        <v>540</v>
      </c>
      <c r="N22" s="185" t="s">
        <v>541</v>
      </c>
      <c r="O22" s="172" t="s">
        <v>410</v>
      </c>
      <c r="P22" s="184" t="s">
        <v>540</v>
      </c>
      <c r="Q22" s="185" t="s">
        <v>541</v>
      </c>
      <c r="R22" s="172" t="s">
        <v>424</v>
      </c>
      <c r="S22" s="184" t="s">
        <v>540</v>
      </c>
      <c r="T22" s="185" t="s">
        <v>541</v>
      </c>
      <c r="U22" s="172" t="s">
        <v>411</v>
      </c>
      <c r="V22" s="184" t="s">
        <v>540</v>
      </c>
      <c r="W22" s="185" t="s">
        <v>541</v>
      </c>
      <c r="X22" s="191" t="s">
        <v>412</v>
      </c>
    </row>
    <row r="23" spans="1:49">
      <c r="B23" s="168">
        <v>2015</v>
      </c>
      <c r="C23" s="186">
        <f>IF(Cost_of_crime_Raw_data!B98="not estimated","0",Cost_of_crime_Raw_data!B98)</f>
        <v>1010</v>
      </c>
      <c r="D23" s="187">
        <f>C23*$A23/100</f>
        <v>0</v>
      </c>
      <c r="E23" s="188">
        <f>C23+D23</f>
        <v>1010</v>
      </c>
      <c r="F23" s="186">
        <f>IF(Cost_of_crime_Raw_data!B99="not estimated","0",Cost_of_crime_Raw_data!B99)</f>
        <v>530</v>
      </c>
      <c r="G23" s="187">
        <f>F23*$A23/100</f>
        <v>0</v>
      </c>
      <c r="H23" s="188">
        <f>F23+G23</f>
        <v>530</v>
      </c>
      <c r="I23" s="186">
        <f>IF(Cost_of_crime_Raw_data!B100="not estimated","0",Cost_of_crime_Raw_data!B100)</f>
        <v>40</v>
      </c>
      <c r="J23" s="187">
        <f>I23*$A23/100</f>
        <v>0</v>
      </c>
      <c r="K23" s="188">
        <f>I23+J23</f>
        <v>40</v>
      </c>
      <c r="L23" s="186">
        <f>IF(Cost_of_crime_Raw_data!B101="not estimated","0",Cost_of_crime_Raw_data!B101)</f>
        <v>2030</v>
      </c>
      <c r="M23" s="187">
        <f>L23*$A23/100</f>
        <v>0</v>
      </c>
      <c r="N23" s="188">
        <f>L23+M23</f>
        <v>2030</v>
      </c>
      <c r="O23" s="186">
        <f>IF(Cost_of_crime_Raw_data!B102="not estimated","0",Cost_of_crime_Raw_data!B102)</f>
        <v>80</v>
      </c>
      <c r="P23" s="187">
        <f>O23*$A23/100</f>
        <v>0</v>
      </c>
      <c r="Q23" s="188">
        <f>O23+P23</f>
        <v>80</v>
      </c>
      <c r="R23" s="186">
        <f>IF(Cost_of_crime_Raw_data!B103="not estimated","0",Cost_of_crime_Raw_data!B103)</f>
        <v>1080</v>
      </c>
      <c r="S23" s="187">
        <f>R23*$A23/100</f>
        <v>0</v>
      </c>
      <c r="T23" s="188">
        <f>R23+S23</f>
        <v>1080</v>
      </c>
      <c r="U23" s="186">
        <f>IF(Cost_of_crime_Raw_data!B104="not estimated","0",Cost_of_crime_Raw_data!B104)</f>
        <v>150</v>
      </c>
      <c r="V23" s="187">
        <f>U23*$A23/100</f>
        <v>0</v>
      </c>
      <c r="W23" s="188">
        <f>U23+V23</f>
        <v>150</v>
      </c>
      <c r="X23" s="187">
        <f>SUM(W23,T23,Q23,N23,K23,H23,E23)</f>
        <v>4920</v>
      </c>
    </row>
    <row r="24" spans="1:49">
      <c r="A24" s="169">
        <f>VLOOKUP(B24,Misc_inputs!$A$3:$B$33,2,0)</f>
        <v>1.8963035451147277</v>
      </c>
      <c r="B24" s="168">
        <v>2016</v>
      </c>
      <c r="C24" s="187">
        <f>E23</f>
        <v>1010</v>
      </c>
      <c r="D24" s="187">
        <f t="shared" ref="D24" si="85">C24*$A24/100</f>
        <v>19.152665805658749</v>
      </c>
      <c r="E24" s="188">
        <f t="shared" ref="E24" si="86">C24+D24</f>
        <v>1029.1526658056587</v>
      </c>
      <c r="F24" s="187">
        <f>H23</f>
        <v>530</v>
      </c>
      <c r="G24" s="187">
        <f t="shared" ref="G24" si="87">F24*$A24/100</f>
        <v>10.050408789108056</v>
      </c>
      <c r="H24" s="188">
        <f t="shared" ref="H24" si="88">F24+G24</f>
        <v>540.05040878910802</v>
      </c>
      <c r="I24" s="187">
        <f>K23</f>
        <v>40</v>
      </c>
      <c r="J24" s="187">
        <f t="shared" ref="J24" si="89">I24*$A24/100</f>
        <v>0.75852141804589113</v>
      </c>
      <c r="K24" s="188">
        <f t="shared" ref="K24" si="90">I24+J24</f>
        <v>40.758521418045888</v>
      </c>
      <c r="L24" s="187">
        <f>N23</f>
        <v>2030</v>
      </c>
      <c r="M24" s="187">
        <f t="shared" ref="M24" si="91">L24*$A24/100</f>
        <v>38.494961965828971</v>
      </c>
      <c r="N24" s="188">
        <f t="shared" ref="N24" si="92">L24+M24</f>
        <v>2068.4949619658291</v>
      </c>
      <c r="O24" s="187">
        <f>Q23</f>
        <v>80</v>
      </c>
      <c r="P24" s="187">
        <f t="shared" ref="P24" si="93">O24*$A24/100</f>
        <v>1.5170428360917823</v>
      </c>
      <c r="Q24" s="188">
        <f t="shared" ref="Q24" si="94">O24+P24</f>
        <v>81.517042836091775</v>
      </c>
      <c r="R24" s="187">
        <f>T23</f>
        <v>1080</v>
      </c>
      <c r="S24" s="187">
        <f t="shared" ref="S24" si="95">R24*$A24/100</f>
        <v>20.480078287239056</v>
      </c>
      <c r="T24" s="188">
        <f t="shared" ref="T24" si="96">R24+S24</f>
        <v>1100.4800782872392</v>
      </c>
      <c r="U24" s="187">
        <f>W23</f>
        <v>150</v>
      </c>
      <c r="V24" s="187">
        <f t="shared" ref="V24" si="97">U24*$A24/100</f>
        <v>2.8444553176720917</v>
      </c>
      <c r="W24" s="188">
        <f t="shared" ref="W24" si="98">U24+V24</f>
        <v>152.8444553176721</v>
      </c>
      <c r="X24" s="187">
        <f t="shared" ref="X24" si="99">SUM(W24,T24,Q24,N24,K24,H24,E24)</f>
        <v>5013.2981344196451</v>
      </c>
    </row>
    <row r="25" spans="1:49" s="168" customFormat="1">
      <c r="A25" s="169">
        <f>VLOOKUP(B25,Misc_inputs!$A$3:$B$33,2,0)</f>
        <v>1.8209228570152332</v>
      </c>
      <c r="B25" s="168">
        <v>2017</v>
      </c>
      <c r="C25" s="187">
        <f t="shared" ref="C25:C38" si="100">E24</f>
        <v>1029.1526658056587</v>
      </c>
      <c r="D25" s="187">
        <f t="shared" ref="D25:D38" si="101">C25*$A25/100</f>
        <v>18.740076125236836</v>
      </c>
      <c r="E25" s="188">
        <f t="shared" ref="E25:E38" si="102">C25+D25</f>
        <v>1047.8927419308955</v>
      </c>
      <c r="F25" s="187">
        <f t="shared" ref="F25:F38" si="103">H24</f>
        <v>540.05040878910802</v>
      </c>
      <c r="G25" s="187">
        <f t="shared" ref="G25:G38" si="104">F25*$A25/100</f>
        <v>9.8339013330450715</v>
      </c>
      <c r="H25" s="188">
        <f t="shared" ref="H25:H38" si="105">F25+G25</f>
        <v>549.88431012215312</v>
      </c>
      <c r="I25" s="187">
        <f t="shared" ref="I25:I38" si="106">K24</f>
        <v>40.758521418045888</v>
      </c>
      <c r="J25" s="187">
        <f t="shared" ref="J25:J38" si="107">I25*$A25/100</f>
        <v>0.74218123268264691</v>
      </c>
      <c r="K25" s="188">
        <f t="shared" ref="K25:K38" si="108">I25+J25</f>
        <v>41.500702650728535</v>
      </c>
      <c r="L25" s="187">
        <f t="shared" ref="L25:L38" si="109">N24</f>
        <v>2068.4949619658291</v>
      </c>
      <c r="M25" s="187">
        <f t="shared" ref="M25:M38" si="110">L25*$A25/100</f>
        <v>37.665697558644339</v>
      </c>
      <c r="N25" s="188">
        <f t="shared" ref="N25:N38" si="111">L25+M25</f>
        <v>2106.1606595244734</v>
      </c>
      <c r="O25" s="187">
        <f t="shared" ref="O25:O38" si="112">Q24</f>
        <v>81.517042836091775</v>
      </c>
      <c r="P25" s="187">
        <f t="shared" ref="P25:P38" si="113">O25*$A25/100</f>
        <v>1.4843624653652938</v>
      </c>
      <c r="Q25" s="188">
        <f t="shared" ref="Q25:Q38" si="114">O25+P25</f>
        <v>83.001405301457069</v>
      </c>
      <c r="R25" s="187">
        <f t="shared" ref="R25:R38" si="115">T24</f>
        <v>1100.4800782872392</v>
      </c>
      <c r="S25" s="187">
        <f t="shared" ref="S25:S38" si="116">R25*$A25/100</f>
        <v>20.03889328243147</v>
      </c>
      <c r="T25" s="188">
        <f t="shared" ref="T25:T38" si="117">R25+S25</f>
        <v>1120.5189715696706</v>
      </c>
      <c r="U25" s="187">
        <f t="shared" ref="U25:U38" si="118">W24</f>
        <v>152.8444553176721</v>
      </c>
      <c r="V25" s="187">
        <f t="shared" ref="V25:V38" si="119">U25*$A25/100</f>
        <v>2.7831796225599263</v>
      </c>
      <c r="W25" s="188">
        <f t="shared" ref="W25:W38" si="120">U25+V25</f>
        <v>155.62763494023201</v>
      </c>
      <c r="X25" s="187">
        <f t="shared" ref="X25:X38" si="121">SUM(W25,T25,Q25,N25,K25,H25,E25)</f>
        <v>5104.5864260396102</v>
      </c>
      <c r="Z25" s="193"/>
      <c r="AC25" s="193"/>
      <c r="AF25" s="193"/>
      <c r="AI25" s="193"/>
      <c r="AL25" s="193"/>
      <c r="AO25" s="193"/>
      <c r="AR25" s="193"/>
      <c r="AU25" s="193"/>
      <c r="AW25" s="169"/>
    </row>
    <row r="26" spans="1:49" s="168" customFormat="1">
      <c r="A26" s="169">
        <f>VLOOKUP(B26,Misc_inputs!$A$3:$B$33,2,0)</f>
        <v>1.9988242855231282</v>
      </c>
      <c r="B26" s="168">
        <v>2018</v>
      </c>
      <c r="C26" s="187">
        <f t="shared" si="100"/>
        <v>1047.8927419308955</v>
      </c>
      <c r="D26" s="187">
        <f t="shared" si="101"/>
        <v>20.945534611948936</v>
      </c>
      <c r="E26" s="188">
        <f t="shared" si="102"/>
        <v>1068.8382765428444</v>
      </c>
      <c r="F26" s="187">
        <f t="shared" si="103"/>
        <v>549.88431012215312</v>
      </c>
      <c r="G26" s="187">
        <f t="shared" si="104"/>
        <v>10.991221133002909</v>
      </c>
      <c r="H26" s="188">
        <f t="shared" si="105"/>
        <v>560.87553125515603</v>
      </c>
      <c r="I26" s="187">
        <f t="shared" si="106"/>
        <v>41.500702650728535</v>
      </c>
      <c r="J26" s="187">
        <f t="shared" si="107"/>
        <v>0.82952612324550257</v>
      </c>
      <c r="K26" s="188">
        <f t="shared" si="108"/>
        <v>42.330228773974035</v>
      </c>
      <c r="L26" s="187">
        <f t="shared" si="109"/>
        <v>2106.1606595244734</v>
      </c>
      <c r="M26" s="187">
        <f t="shared" si="110"/>
        <v>42.098450754709255</v>
      </c>
      <c r="N26" s="188">
        <f t="shared" si="111"/>
        <v>2148.2591102791826</v>
      </c>
      <c r="O26" s="187">
        <f t="shared" si="112"/>
        <v>83.001405301457069</v>
      </c>
      <c r="P26" s="187">
        <f t="shared" si="113"/>
        <v>1.6590522464910051</v>
      </c>
      <c r="Q26" s="188">
        <f t="shared" si="114"/>
        <v>84.66045754794807</v>
      </c>
      <c r="R26" s="187">
        <f t="shared" si="115"/>
        <v>1120.5189715696706</v>
      </c>
      <c r="S26" s="187">
        <f t="shared" si="116"/>
        <v>22.397205327628573</v>
      </c>
      <c r="T26" s="188">
        <f t="shared" si="117"/>
        <v>1142.9161768972992</v>
      </c>
      <c r="U26" s="187">
        <f t="shared" si="118"/>
        <v>155.62763494023201</v>
      </c>
      <c r="V26" s="187">
        <f t="shared" si="119"/>
        <v>3.1107229621706347</v>
      </c>
      <c r="W26" s="188">
        <f t="shared" si="120"/>
        <v>158.73835790240264</v>
      </c>
      <c r="X26" s="187">
        <f t="shared" si="121"/>
        <v>5206.6181391988066</v>
      </c>
      <c r="Z26" s="193"/>
      <c r="AC26" s="193"/>
      <c r="AF26" s="193"/>
      <c r="AI26" s="193"/>
      <c r="AL26" s="193"/>
      <c r="AO26" s="193"/>
      <c r="AR26" s="193"/>
      <c r="AU26" s="193"/>
      <c r="AW26" s="169"/>
    </row>
    <row r="27" spans="1:49" s="168" customFormat="1">
      <c r="A27" s="169">
        <f>VLOOKUP(B27,Misc_inputs!$A$3:$B$33,2,0)</f>
        <v>2.0163202370724722</v>
      </c>
      <c r="B27" s="168">
        <v>2019</v>
      </c>
      <c r="C27" s="187">
        <f t="shared" si="100"/>
        <v>1068.8382765428444</v>
      </c>
      <c r="D27" s="187">
        <f t="shared" si="101"/>
        <v>21.551202471510006</v>
      </c>
      <c r="E27" s="188">
        <f t="shared" si="102"/>
        <v>1090.3894790143543</v>
      </c>
      <c r="F27" s="187">
        <f t="shared" si="103"/>
        <v>560.87553125515603</v>
      </c>
      <c r="G27" s="187">
        <f t="shared" si="104"/>
        <v>11.309046841485449</v>
      </c>
      <c r="H27" s="188">
        <f t="shared" si="105"/>
        <v>572.18457809664153</v>
      </c>
      <c r="I27" s="187">
        <f t="shared" si="106"/>
        <v>42.330228773974035</v>
      </c>
      <c r="J27" s="187">
        <f t="shared" si="107"/>
        <v>0.85351296916871311</v>
      </c>
      <c r="K27" s="188">
        <f t="shared" si="108"/>
        <v>43.183741743142747</v>
      </c>
      <c r="L27" s="187">
        <f t="shared" si="109"/>
        <v>2148.2591102791826</v>
      </c>
      <c r="M27" s="187">
        <f t="shared" si="110"/>
        <v>43.315783185312192</v>
      </c>
      <c r="N27" s="188">
        <f t="shared" si="111"/>
        <v>2191.5748934644948</v>
      </c>
      <c r="O27" s="187">
        <f t="shared" si="112"/>
        <v>84.66045754794807</v>
      </c>
      <c r="P27" s="187">
        <f t="shared" si="113"/>
        <v>1.7070259383374262</v>
      </c>
      <c r="Q27" s="188">
        <f t="shared" si="114"/>
        <v>86.367483486285494</v>
      </c>
      <c r="R27" s="187">
        <f t="shared" si="115"/>
        <v>1142.9161768972992</v>
      </c>
      <c r="S27" s="187">
        <f t="shared" si="116"/>
        <v>23.044850167555261</v>
      </c>
      <c r="T27" s="188">
        <f t="shared" si="117"/>
        <v>1165.9610270648545</v>
      </c>
      <c r="U27" s="187">
        <f t="shared" si="118"/>
        <v>158.73835790240264</v>
      </c>
      <c r="V27" s="187">
        <f t="shared" si="119"/>
        <v>3.200673634382674</v>
      </c>
      <c r="W27" s="188">
        <f t="shared" si="120"/>
        <v>161.93903153678531</v>
      </c>
      <c r="X27" s="187">
        <f t="shared" si="121"/>
        <v>5311.6002344065591</v>
      </c>
      <c r="Z27" s="193"/>
      <c r="AC27" s="193"/>
      <c r="AF27" s="193"/>
      <c r="AI27" s="193"/>
      <c r="AL27" s="193"/>
      <c r="AO27" s="193"/>
      <c r="AR27" s="193"/>
      <c r="AU27" s="193"/>
      <c r="AW27" s="169"/>
    </row>
    <row r="28" spans="1:49" s="168" customFormat="1">
      <c r="A28" s="169">
        <f>VLOOKUP(B28,Misc_inputs!$A$3:$B$33,2,0)</f>
        <v>5.3200852056836103</v>
      </c>
      <c r="B28" s="168">
        <v>2020</v>
      </c>
      <c r="C28" s="187">
        <f t="shared" si="100"/>
        <v>1090.3894790143543</v>
      </c>
      <c r="D28" s="187">
        <f t="shared" si="101"/>
        <v>58.009649357373256</v>
      </c>
      <c r="E28" s="188">
        <f t="shared" si="102"/>
        <v>1148.3991283717276</v>
      </c>
      <c r="F28" s="187">
        <f t="shared" si="103"/>
        <v>572.18457809664153</v>
      </c>
      <c r="G28" s="187">
        <f t="shared" si="104"/>
        <v>30.440707088522608</v>
      </c>
      <c r="H28" s="188">
        <f t="shared" si="105"/>
        <v>602.6252851851641</v>
      </c>
      <c r="I28" s="187">
        <f t="shared" si="106"/>
        <v>43.183741743142747</v>
      </c>
      <c r="J28" s="187">
        <f t="shared" si="107"/>
        <v>2.2974118557375549</v>
      </c>
      <c r="K28" s="188">
        <f t="shared" si="108"/>
        <v>45.481153598880304</v>
      </c>
      <c r="L28" s="187">
        <f t="shared" si="109"/>
        <v>2191.5748934644948</v>
      </c>
      <c r="M28" s="187">
        <f t="shared" si="110"/>
        <v>116.59365167868093</v>
      </c>
      <c r="N28" s="188">
        <f t="shared" si="111"/>
        <v>2308.1685451431758</v>
      </c>
      <c r="O28" s="187">
        <f t="shared" si="112"/>
        <v>86.367483486285494</v>
      </c>
      <c r="P28" s="187">
        <f t="shared" si="113"/>
        <v>4.5948237114751098</v>
      </c>
      <c r="Q28" s="188">
        <f t="shared" si="114"/>
        <v>90.962307197760609</v>
      </c>
      <c r="R28" s="187">
        <f t="shared" si="115"/>
        <v>1165.9610270648545</v>
      </c>
      <c r="S28" s="187">
        <f t="shared" si="116"/>
        <v>62.030120104914005</v>
      </c>
      <c r="T28" s="188">
        <f t="shared" si="117"/>
        <v>1227.9911471697685</v>
      </c>
      <c r="U28" s="187">
        <f t="shared" si="118"/>
        <v>161.93903153678531</v>
      </c>
      <c r="V28" s="187">
        <f t="shared" si="119"/>
        <v>8.615294459015832</v>
      </c>
      <c r="W28" s="188">
        <f t="shared" si="120"/>
        <v>170.55432599580115</v>
      </c>
      <c r="X28" s="187">
        <f t="shared" si="121"/>
        <v>5594.1818926622782</v>
      </c>
      <c r="Z28" s="193"/>
      <c r="AC28" s="193"/>
      <c r="AF28" s="193"/>
      <c r="AI28" s="193"/>
      <c r="AL28" s="193"/>
      <c r="AO28" s="193"/>
      <c r="AR28" s="193"/>
      <c r="AU28" s="193"/>
      <c r="AW28" s="169"/>
    </row>
    <row r="29" spans="1:49" s="168" customFormat="1">
      <c r="A29" s="169">
        <f>VLOOKUP(B29,Misc_inputs!$A$3:$B$33,2,0)</f>
        <v>7.6258108678813302E-2</v>
      </c>
      <c r="B29" s="168">
        <v>2021</v>
      </c>
      <c r="C29" s="187">
        <f t="shared" si="100"/>
        <v>1148.3991283717276</v>
      </c>
      <c r="D29" s="187">
        <f t="shared" si="101"/>
        <v>0.87574745538025667</v>
      </c>
      <c r="E29" s="188">
        <f t="shared" si="102"/>
        <v>1149.2748758271077</v>
      </c>
      <c r="F29" s="187">
        <f t="shared" si="103"/>
        <v>602.6252851851641</v>
      </c>
      <c r="G29" s="187">
        <f t="shared" si="104"/>
        <v>0.45955064490251102</v>
      </c>
      <c r="H29" s="188">
        <f t="shared" si="105"/>
        <v>603.0848358300666</v>
      </c>
      <c r="I29" s="187">
        <f t="shared" si="106"/>
        <v>45.481153598880304</v>
      </c>
      <c r="J29" s="187">
        <f t="shared" si="107"/>
        <v>3.4683067539812151E-2</v>
      </c>
      <c r="K29" s="188">
        <f t="shared" si="108"/>
        <v>45.515836666420114</v>
      </c>
      <c r="L29" s="187">
        <f t="shared" si="109"/>
        <v>2308.1685451431758</v>
      </c>
      <c r="M29" s="187">
        <f t="shared" si="110"/>
        <v>1.7601656776454668</v>
      </c>
      <c r="N29" s="188">
        <f t="shared" si="111"/>
        <v>2309.9287108208214</v>
      </c>
      <c r="O29" s="187">
        <f t="shared" si="112"/>
        <v>90.962307197760609</v>
      </c>
      <c r="P29" s="187">
        <f t="shared" si="113"/>
        <v>6.9366135079624303E-2</v>
      </c>
      <c r="Q29" s="188">
        <f t="shared" si="114"/>
        <v>91.031673332840228</v>
      </c>
      <c r="R29" s="187">
        <f t="shared" si="115"/>
        <v>1227.9911471697685</v>
      </c>
      <c r="S29" s="187">
        <f t="shared" si="116"/>
        <v>0.93644282357492825</v>
      </c>
      <c r="T29" s="188">
        <f t="shared" si="117"/>
        <v>1228.9275899933434</v>
      </c>
      <c r="U29" s="187">
        <f t="shared" si="118"/>
        <v>170.55432599580115</v>
      </c>
      <c r="V29" s="187">
        <f t="shared" si="119"/>
        <v>0.13006150327429558</v>
      </c>
      <c r="W29" s="188">
        <f t="shared" si="120"/>
        <v>170.68438749907546</v>
      </c>
      <c r="X29" s="187">
        <f t="shared" si="121"/>
        <v>5598.4479099696746</v>
      </c>
      <c r="Z29" s="193"/>
      <c r="AC29" s="193"/>
      <c r="AF29" s="193"/>
      <c r="AI29" s="193"/>
      <c r="AL29" s="193"/>
      <c r="AO29" s="193"/>
      <c r="AR29" s="193"/>
      <c r="AU29" s="193"/>
      <c r="AW29" s="169"/>
    </row>
    <row r="30" spans="1:49" s="168" customFormat="1">
      <c r="A30" s="169">
        <f>VLOOKUP(B30,Misc_inputs!$A$3:$B$33,2,0)</f>
        <v>2.8492930312000952</v>
      </c>
      <c r="B30" s="168">
        <v>2022</v>
      </c>
      <c r="C30" s="187">
        <f t="shared" si="100"/>
        <v>1149.2748758271077</v>
      </c>
      <c r="D30" s="187">
        <f t="shared" si="101"/>
        <v>32.746208946275331</v>
      </c>
      <c r="E30" s="188">
        <f t="shared" si="102"/>
        <v>1182.0210847733831</v>
      </c>
      <c r="F30" s="187">
        <f t="shared" si="103"/>
        <v>603.0848358300666</v>
      </c>
      <c r="G30" s="187">
        <f t="shared" si="104"/>
        <v>17.183654199530622</v>
      </c>
      <c r="H30" s="188">
        <f t="shared" si="105"/>
        <v>620.26849002959716</v>
      </c>
      <c r="I30" s="187">
        <f t="shared" si="106"/>
        <v>45.515836666420114</v>
      </c>
      <c r="J30" s="187">
        <f t="shared" si="107"/>
        <v>1.2968795622287259</v>
      </c>
      <c r="K30" s="188">
        <f t="shared" si="108"/>
        <v>46.812716228648839</v>
      </c>
      <c r="L30" s="187">
        <f t="shared" si="109"/>
        <v>2309.9287108208214</v>
      </c>
      <c r="M30" s="187">
        <f t="shared" si="110"/>
        <v>65.816637783107865</v>
      </c>
      <c r="N30" s="188">
        <f t="shared" si="111"/>
        <v>2375.7453486039294</v>
      </c>
      <c r="O30" s="187">
        <f t="shared" si="112"/>
        <v>91.031673332840228</v>
      </c>
      <c r="P30" s="187">
        <f t="shared" si="113"/>
        <v>2.5937591244574518</v>
      </c>
      <c r="Q30" s="188">
        <f t="shared" si="114"/>
        <v>93.625432457297677</v>
      </c>
      <c r="R30" s="187">
        <f t="shared" si="115"/>
        <v>1228.9275899933434</v>
      </c>
      <c r="S30" s="187">
        <f t="shared" si="116"/>
        <v>35.015748180175613</v>
      </c>
      <c r="T30" s="188">
        <f t="shared" si="117"/>
        <v>1263.9433381735191</v>
      </c>
      <c r="U30" s="187">
        <f t="shared" si="118"/>
        <v>170.68438749907546</v>
      </c>
      <c r="V30" s="187">
        <f t="shared" si="119"/>
        <v>4.8632983583577234</v>
      </c>
      <c r="W30" s="188">
        <f t="shared" si="120"/>
        <v>175.54768585743318</v>
      </c>
      <c r="X30" s="187">
        <f t="shared" si="121"/>
        <v>5757.9640961238092</v>
      </c>
      <c r="Z30" s="193"/>
      <c r="AC30" s="193"/>
      <c r="AF30" s="193"/>
      <c r="AI30" s="193"/>
      <c r="AL30" s="193"/>
      <c r="AO30" s="193"/>
      <c r="AR30" s="193"/>
      <c r="AU30" s="193"/>
      <c r="AW30" s="169"/>
    </row>
    <row r="31" spans="1:49" s="168" customFormat="1">
      <c r="A31" s="169">
        <f>VLOOKUP(B31,Misc_inputs!$A$3:$B$33,2,0)</f>
        <v>3.143440902459993</v>
      </c>
      <c r="B31" s="168">
        <v>2023</v>
      </c>
      <c r="C31" s="187">
        <f t="shared" si="100"/>
        <v>1182.0210847733831</v>
      </c>
      <c r="D31" s="187">
        <f t="shared" si="101"/>
        <v>37.156134254467837</v>
      </c>
      <c r="E31" s="188">
        <f t="shared" si="102"/>
        <v>1219.1772190278509</v>
      </c>
      <c r="F31" s="187">
        <f t="shared" si="103"/>
        <v>620.26849002959716</v>
      </c>
      <c r="G31" s="187">
        <f t="shared" si="104"/>
        <v>19.497773420661339</v>
      </c>
      <c r="H31" s="188">
        <f t="shared" si="105"/>
        <v>639.76626345025852</v>
      </c>
      <c r="I31" s="187">
        <f t="shared" si="106"/>
        <v>46.812716228648839</v>
      </c>
      <c r="J31" s="187">
        <f t="shared" si="107"/>
        <v>1.4715300694838747</v>
      </c>
      <c r="K31" s="188">
        <f t="shared" si="108"/>
        <v>48.284246298132715</v>
      </c>
      <c r="L31" s="187">
        <f t="shared" si="109"/>
        <v>2375.7453486039294</v>
      </c>
      <c r="M31" s="187">
        <f t="shared" si="110"/>
        <v>74.68015102630666</v>
      </c>
      <c r="N31" s="188">
        <f t="shared" si="111"/>
        <v>2450.4254996302361</v>
      </c>
      <c r="O31" s="187">
        <f t="shared" si="112"/>
        <v>93.625432457297677</v>
      </c>
      <c r="P31" s="187">
        <f t="shared" si="113"/>
        <v>2.9430601389677493</v>
      </c>
      <c r="Q31" s="188">
        <f t="shared" si="114"/>
        <v>96.568492596265429</v>
      </c>
      <c r="R31" s="187">
        <f t="shared" si="115"/>
        <v>1263.9433381735191</v>
      </c>
      <c r="S31" s="187">
        <f t="shared" si="116"/>
        <v>39.73131187606463</v>
      </c>
      <c r="T31" s="188">
        <f t="shared" si="117"/>
        <v>1303.6746500495838</v>
      </c>
      <c r="U31" s="187">
        <f t="shared" si="118"/>
        <v>175.54768585743318</v>
      </c>
      <c r="V31" s="187">
        <f t="shared" si="119"/>
        <v>5.5182377605645305</v>
      </c>
      <c r="W31" s="188">
        <f t="shared" si="120"/>
        <v>181.0659236179977</v>
      </c>
      <c r="X31" s="187">
        <f t="shared" si="121"/>
        <v>5938.9622946703248</v>
      </c>
      <c r="Z31" s="193"/>
      <c r="AC31" s="193"/>
      <c r="AF31" s="193"/>
      <c r="AI31" s="193"/>
      <c r="AL31" s="193"/>
      <c r="AO31" s="193"/>
      <c r="AR31" s="193"/>
      <c r="AU31" s="193"/>
      <c r="AW31" s="169"/>
    </row>
    <row r="32" spans="1:49" s="168" customFormat="1">
      <c r="A32" s="169">
        <f>VLOOKUP(B32,Misc_inputs!$A$3:$B$33,2,0)</f>
        <v>1.8594732384912049</v>
      </c>
      <c r="B32" s="168">
        <v>2024</v>
      </c>
      <c r="C32" s="187">
        <f t="shared" si="100"/>
        <v>1219.1772190278509</v>
      </c>
      <c r="D32" s="187">
        <f t="shared" si="101"/>
        <v>22.67027411760419</v>
      </c>
      <c r="E32" s="188">
        <f t="shared" si="102"/>
        <v>1241.847493145455</v>
      </c>
      <c r="F32" s="187">
        <f t="shared" si="103"/>
        <v>639.76626345025852</v>
      </c>
      <c r="G32" s="187">
        <f t="shared" si="104"/>
        <v>11.896282457752696</v>
      </c>
      <c r="H32" s="188">
        <f t="shared" si="105"/>
        <v>651.66254590801123</v>
      </c>
      <c r="I32" s="187">
        <f t="shared" si="106"/>
        <v>48.284246298132715</v>
      </c>
      <c r="J32" s="187">
        <f t="shared" si="107"/>
        <v>0.89783263832095817</v>
      </c>
      <c r="K32" s="188">
        <f t="shared" si="108"/>
        <v>49.182078936453671</v>
      </c>
      <c r="L32" s="187">
        <f t="shared" si="109"/>
        <v>2450.4254996302361</v>
      </c>
      <c r="M32" s="187">
        <f t="shared" si="110"/>
        <v>45.565006394788639</v>
      </c>
      <c r="N32" s="188">
        <f t="shared" si="111"/>
        <v>2495.9905060250248</v>
      </c>
      <c r="O32" s="187">
        <f t="shared" si="112"/>
        <v>96.568492596265429</v>
      </c>
      <c r="P32" s="187">
        <f t="shared" si="113"/>
        <v>1.7956652766419163</v>
      </c>
      <c r="Q32" s="188">
        <f t="shared" si="114"/>
        <v>98.364157872907342</v>
      </c>
      <c r="R32" s="187">
        <f t="shared" si="115"/>
        <v>1303.6746500495838</v>
      </c>
      <c r="S32" s="187">
        <f t="shared" si="116"/>
        <v>24.24148123466588</v>
      </c>
      <c r="T32" s="188">
        <f t="shared" si="117"/>
        <v>1327.9161312842496</v>
      </c>
      <c r="U32" s="187">
        <f t="shared" si="118"/>
        <v>181.0659236179977</v>
      </c>
      <c r="V32" s="187">
        <f t="shared" si="119"/>
        <v>3.3668723937035936</v>
      </c>
      <c r="W32" s="188">
        <f t="shared" si="120"/>
        <v>184.4327960117013</v>
      </c>
      <c r="X32" s="187">
        <f t="shared" si="121"/>
        <v>6049.3957091838029</v>
      </c>
      <c r="Z32" s="193"/>
      <c r="AC32" s="193"/>
      <c r="AF32" s="193"/>
      <c r="AI32" s="193"/>
      <c r="AL32" s="193"/>
      <c r="AO32" s="193"/>
      <c r="AR32" s="193"/>
      <c r="AU32" s="193"/>
      <c r="AW32" s="169"/>
    </row>
    <row r="33" spans="1:49" s="168" customFormat="1">
      <c r="A33" s="169">
        <f>VLOOKUP(B33,Misc_inputs!$A$3:$B$33,2,0)</f>
        <v>1.892198034308179</v>
      </c>
      <c r="B33" s="168">
        <v>2025</v>
      </c>
      <c r="C33" s="187">
        <f t="shared" si="100"/>
        <v>1241.847493145455</v>
      </c>
      <c r="D33" s="187">
        <f t="shared" si="101"/>
        <v>23.498213854403698</v>
      </c>
      <c r="E33" s="188">
        <f t="shared" si="102"/>
        <v>1265.3457069998587</v>
      </c>
      <c r="F33" s="187">
        <f t="shared" si="103"/>
        <v>651.66254590801123</v>
      </c>
      <c r="G33" s="187">
        <f t="shared" si="104"/>
        <v>12.330745883994023</v>
      </c>
      <c r="H33" s="188">
        <f t="shared" si="105"/>
        <v>663.99329179200527</v>
      </c>
      <c r="I33" s="187">
        <f t="shared" si="106"/>
        <v>49.182078936453671</v>
      </c>
      <c r="J33" s="187">
        <f t="shared" si="107"/>
        <v>0.93062233086747326</v>
      </c>
      <c r="K33" s="188">
        <f t="shared" si="108"/>
        <v>50.112701267321142</v>
      </c>
      <c r="L33" s="187">
        <f t="shared" si="109"/>
        <v>2495.9905060250248</v>
      </c>
      <c r="M33" s="187">
        <f t="shared" si="110"/>
        <v>47.22908329152429</v>
      </c>
      <c r="N33" s="188">
        <f t="shared" si="111"/>
        <v>2543.219589316549</v>
      </c>
      <c r="O33" s="187">
        <f t="shared" si="112"/>
        <v>98.364157872907342</v>
      </c>
      <c r="P33" s="187">
        <f t="shared" si="113"/>
        <v>1.8612446617349465</v>
      </c>
      <c r="Q33" s="188">
        <f t="shared" si="114"/>
        <v>100.22540253464228</v>
      </c>
      <c r="R33" s="187">
        <f t="shared" si="115"/>
        <v>1327.9161312842496</v>
      </c>
      <c r="S33" s="187">
        <f t="shared" si="116"/>
        <v>25.126802933421786</v>
      </c>
      <c r="T33" s="188">
        <f t="shared" si="117"/>
        <v>1353.0429342176712</v>
      </c>
      <c r="U33" s="187">
        <f t="shared" si="118"/>
        <v>184.4327960117013</v>
      </c>
      <c r="V33" s="187">
        <f t="shared" si="119"/>
        <v>3.4898337407530255</v>
      </c>
      <c r="W33" s="188">
        <f t="shared" si="120"/>
        <v>187.92262975245433</v>
      </c>
      <c r="X33" s="187">
        <f t="shared" si="121"/>
        <v>6163.8622558805018</v>
      </c>
      <c r="Z33" s="193"/>
      <c r="AC33" s="193"/>
      <c r="AF33" s="193"/>
      <c r="AI33" s="193"/>
      <c r="AL33" s="193"/>
      <c r="AO33" s="193"/>
      <c r="AR33" s="193"/>
      <c r="AU33" s="193"/>
      <c r="AW33" s="169"/>
    </row>
    <row r="34" spans="1:49">
      <c r="A34" s="169">
        <f>VLOOKUP(B34,Misc_inputs!$A$3:$B$33,2,0)</f>
        <v>2.0003592159356653</v>
      </c>
      <c r="B34" s="168">
        <v>2026</v>
      </c>
      <c r="C34" s="187">
        <f t="shared" si="100"/>
        <v>1265.3457069998587</v>
      </c>
      <c r="D34" s="187">
        <f t="shared" si="101"/>
        <v>25.311459463417979</v>
      </c>
      <c r="E34" s="188">
        <f t="shared" si="102"/>
        <v>1290.6571664632768</v>
      </c>
      <c r="F34" s="187">
        <f t="shared" si="103"/>
        <v>663.99329179200527</v>
      </c>
      <c r="G34" s="187">
        <f t="shared" si="104"/>
        <v>13.28225100555597</v>
      </c>
      <c r="H34" s="188">
        <f t="shared" si="105"/>
        <v>677.27554279756123</v>
      </c>
      <c r="I34" s="187">
        <f t="shared" si="106"/>
        <v>50.112701267321142</v>
      </c>
      <c r="J34" s="187">
        <f t="shared" si="107"/>
        <v>1.0024340381551675</v>
      </c>
      <c r="K34" s="188">
        <f t="shared" si="108"/>
        <v>51.115135305476308</v>
      </c>
      <c r="L34" s="187">
        <f t="shared" si="109"/>
        <v>2543.219589316549</v>
      </c>
      <c r="M34" s="187">
        <f t="shared" si="110"/>
        <v>50.873527436374772</v>
      </c>
      <c r="N34" s="188">
        <f t="shared" si="111"/>
        <v>2594.0931167529238</v>
      </c>
      <c r="O34" s="187">
        <f t="shared" si="112"/>
        <v>100.22540253464228</v>
      </c>
      <c r="P34" s="187">
        <f t="shared" si="113"/>
        <v>2.004868076310335</v>
      </c>
      <c r="Q34" s="188">
        <f t="shared" si="114"/>
        <v>102.23027061095262</v>
      </c>
      <c r="R34" s="187">
        <f t="shared" si="115"/>
        <v>1353.0429342176712</v>
      </c>
      <c r="S34" s="187">
        <f t="shared" si="116"/>
        <v>27.065719030189531</v>
      </c>
      <c r="T34" s="188">
        <f t="shared" si="117"/>
        <v>1380.1086532478607</v>
      </c>
      <c r="U34" s="187">
        <f t="shared" si="118"/>
        <v>187.92262975245433</v>
      </c>
      <c r="V34" s="187">
        <f t="shared" si="119"/>
        <v>3.7591276430818787</v>
      </c>
      <c r="W34" s="188">
        <f t="shared" si="120"/>
        <v>191.68175739553621</v>
      </c>
      <c r="X34" s="187">
        <f t="shared" si="121"/>
        <v>6287.1616425735874</v>
      </c>
    </row>
    <row r="35" spans="1:49">
      <c r="A35" s="169">
        <f>VLOOKUP(B35,Misc_inputs!$A$3:$B$33,2,0)</f>
        <v>0</v>
      </c>
      <c r="B35" s="168">
        <v>2027</v>
      </c>
      <c r="C35" s="187">
        <f t="shared" si="100"/>
        <v>1290.6571664632768</v>
      </c>
      <c r="D35" s="187">
        <f t="shared" si="101"/>
        <v>0</v>
      </c>
      <c r="E35" s="188">
        <f t="shared" si="102"/>
        <v>1290.6571664632768</v>
      </c>
      <c r="F35" s="187">
        <f t="shared" si="103"/>
        <v>677.27554279756123</v>
      </c>
      <c r="G35" s="187">
        <f t="shared" si="104"/>
        <v>0</v>
      </c>
      <c r="H35" s="188">
        <f t="shared" si="105"/>
        <v>677.27554279756123</v>
      </c>
      <c r="I35" s="187">
        <f t="shared" si="106"/>
        <v>51.115135305476308</v>
      </c>
      <c r="J35" s="187">
        <f t="shared" si="107"/>
        <v>0</v>
      </c>
      <c r="K35" s="188">
        <f t="shared" si="108"/>
        <v>51.115135305476308</v>
      </c>
      <c r="L35" s="187">
        <f t="shared" si="109"/>
        <v>2594.0931167529238</v>
      </c>
      <c r="M35" s="187">
        <f t="shared" si="110"/>
        <v>0</v>
      </c>
      <c r="N35" s="188">
        <f t="shared" si="111"/>
        <v>2594.0931167529238</v>
      </c>
      <c r="O35" s="187">
        <f t="shared" si="112"/>
        <v>102.23027061095262</v>
      </c>
      <c r="P35" s="187">
        <f t="shared" si="113"/>
        <v>0</v>
      </c>
      <c r="Q35" s="188">
        <f t="shared" si="114"/>
        <v>102.23027061095262</v>
      </c>
      <c r="R35" s="187">
        <f t="shared" si="115"/>
        <v>1380.1086532478607</v>
      </c>
      <c r="S35" s="187">
        <f t="shared" si="116"/>
        <v>0</v>
      </c>
      <c r="T35" s="188">
        <f t="shared" si="117"/>
        <v>1380.1086532478607</v>
      </c>
      <c r="U35" s="187">
        <f t="shared" si="118"/>
        <v>191.68175739553621</v>
      </c>
      <c r="V35" s="187">
        <f t="shared" si="119"/>
        <v>0</v>
      </c>
      <c r="W35" s="188">
        <f t="shared" si="120"/>
        <v>191.68175739553621</v>
      </c>
      <c r="X35" s="187">
        <f t="shared" si="121"/>
        <v>6287.1616425735874</v>
      </c>
    </row>
    <row r="36" spans="1:49">
      <c r="A36" s="169">
        <f>VLOOKUP(B36,Misc_inputs!$A$3:$B$33,2,0)</f>
        <v>0</v>
      </c>
      <c r="B36" s="168">
        <v>2028</v>
      </c>
      <c r="C36" s="187">
        <f t="shared" si="100"/>
        <v>1290.6571664632768</v>
      </c>
      <c r="D36" s="187">
        <f t="shared" si="101"/>
        <v>0</v>
      </c>
      <c r="E36" s="188">
        <f t="shared" si="102"/>
        <v>1290.6571664632768</v>
      </c>
      <c r="F36" s="187">
        <f t="shared" si="103"/>
        <v>677.27554279756123</v>
      </c>
      <c r="G36" s="187">
        <f t="shared" si="104"/>
        <v>0</v>
      </c>
      <c r="H36" s="188">
        <f t="shared" si="105"/>
        <v>677.27554279756123</v>
      </c>
      <c r="I36" s="187">
        <f t="shared" si="106"/>
        <v>51.115135305476308</v>
      </c>
      <c r="J36" s="187">
        <f t="shared" si="107"/>
        <v>0</v>
      </c>
      <c r="K36" s="188">
        <f t="shared" si="108"/>
        <v>51.115135305476308</v>
      </c>
      <c r="L36" s="187">
        <f t="shared" si="109"/>
        <v>2594.0931167529238</v>
      </c>
      <c r="M36" s="187">
        <f t="shared" si="110"/>
        <v>0</v>
      </c>
      <c r="N36" s="188">
        <f t="shared" si="111"/>
        <v>2594.0931167529238</v>
      </c>
      <c r="O36" s="187">
        <f t="shared" si="112"/>
        <v>102.23027061095262</v>
      </c>
      <c r="P36" s="187">
        <f t="shared" si="113"/>
        <v>0</v>
      </c>
      <c r="Q36" s="188">
        <f t="shared" si="114"/>
        <v>102.23027061095262</v>
      </c>
      <c r="R36" s="187">
        <f t="shared" si="115"/>
        <v>1380.1086532478607</v>
      </c>
      <c r="S36" s="187">
        <f t="shared" si="116"/>
        <v>0</v>
      </c>
      <c r="T36" s="188">
        <f t="shared" si="117"/>
        <v>1380.1086532478607</v>
      </c>
      <c r="U36" s="187">
        <f t="shared" si="118"/>
        <v>191.68175739553621</v>
      </c>
      <c r="V36" s="187">
        <f t="shared" si="119"/>
        <v>0</v>
      </c>
      <c r="W36" s="188">
        <f t="shared" si="120"/>
        <v>191.68175739553621</v>
      </c>
      <c r="X36" s="187">
        <f t="shared" si="121"/>
        <v>6287.1616425735874</v>
      </c>
    </row>
    <row r="37" spans="1:49">
      <c r="A37" s="169">
        <f>VLOOKUP(B37,Misc_inputs!$A$3:$B$33,2,0)</f>
        <v>0</v>
      </c>
      <c r="B37" s="168">
        <v>2029</v>
      </c>
      <c r="C37" s="187">
        <f t="shared" si="100"/>
        <v>1290.6571664632768</v>
      </c>
      <c r="D37" s="187">
        <f t="shared" si="101"/>
        <v>0</v>
      </c>
      <c r="E37" s="188">
        <f t="shared" si="102"/>
        <v>1290.6571664632768</v>
      </c>
      <c r="F37" s="187">
        <f t="shared" si="103"/>
        <v>677.27554279756123</v>
      </c>
      <c r="G37" s="187">
        <f t="shared" si="104"/>
        <v>0</v>
      </c>
      <c r="H37" s="188">
        <f t="shared" si="105"/>
        <v>677.27554279756123</v>
      </c>
      <c r="I37" s="187">
        <f t="shared" si="106"/>
        <v>51.115135305476308</v>
      </c>
      <c r="J37" s="187">
        <f t="shared" si="107"/>
        <v>0</v>
      </c>
      <c r="K37" s="188">
        <f t="shared" si="108"/>
        <v>51.115135305476308</v>
      </c>
      <c r="L37" s="187">
        <f t="shared" si="109"/>
        <v>2594.0931167529238</v>
      </c>
      <c r="M37" s="187">
        <f t="shared" si="110"/>
        <v>0</v>
      </c>
      <c r="N37" s="188">
        <f t="shared" si="111"/>
        <v>2594.0931167529238</v>
      </c>
      <c r="O37" s="187">
        <f t="shared" si="112"/>
        <v>102.23027061095262</v>
      </c>
      <c r="P37" s="187">
        <f t="shared" si="113"/>
        <v>0</v>
      </c>
      <c r="Q37" s="188">
        <f t="shared" si="114"/>
        <v>102.23027061095262</v>
      </c>
      <c r="R37" s="187">
        <f t="shared" si="115"/>
        <v>1380.1086532478607</v>
      </c>
      <c r="S37" s="187">
        <f t="shared" si="116"/>
        <v>0</v>
      </c>
      <c r="T37" s="188">
        <f t="shared" si="117"/>
        <v>1380.1086532478607</v>
      </c>
      <c r="U37" s="187">
        <f t="shared" si="118"/>
        <v>191.68175739553621</v>
      </c>
      <c r="V37" s="187">
        <f t="shared" si="119"/>
        <v>0</v>
      </c>
      <c r="W37" s="188">
        <f t="shared" si="120"/>
        <v>191.68175739553621</v>
      </c>
      <c r="X37" s="187">
        <f t="shared" si="121"/>
        <v>6287.1616425735874</v>
      </c>
    </row>
    <row r="38" spans="1:49">
      <c r="A38" s="169">
        <f>VLOOKUP(B38,Misc_inputs!$A$3:$B$33,2,0)</f>
        <v>0</v>
      </c>
      <c r="B38" s="168">
        <v>2030</v>
      </c>
      <c r="C38" s="187">
        <f t="shared" si="100"/>
        <v>1290.6571664632768</v>
      </c>
      <c r="D38" s="187">
        <f t="shared" si="101"/>
        <v>0</v>
      </c>
      <c r="E38" s="188">
        <f t="shared" si="102"/>
        <v>1290.6571664632768</v>
      </c>
      <c r="F38" s="187">
        <f t="shared" si="103"/>
        <v>677.27554279756123</v>
      </c>
      <c r="G38" s="187">
        <f t="shared" si="104"/>
        <v>0</v>
      </c>
      <c r="H38" s="188">
        <f t="shared" si="105"/>
        <v>677.27554279756123</v>
      </c>
      <c r="I38" s="187">
        <f t="shared" si="106"/>
        <v>51.115135305476308</v>
      </c>
      <c r="J38" s="187">
        <f t="shared" si="107"/>
        <v>0</v>
      </c>
      <c r="K38" s="188">
        <f t="shared" si="108"/>
        <v>51.115135305476308</v>
      </c>
      <c r="L38" s="187">
        <f t="shared" si="109"/>
        <v>2594.0931167529238</v>
      </c>
      <c r="M38" s="187">
        <f t="shared" si="110"/>
        <v>0</v>
      </c>
      <c r="N38" s="188">
        <f t="shared" si="111"/>
        <v>2594.0931167529238</v>
      </c>
      <c r="O38" s="187">
        <f t="shared" si="112"/>
        <v>102.23027061095262</v>
      </c>
      <c r="P38" s="187">
        <f t="shared" si="113"/>
        <v>0</v>
      </c>
      <c r="Q38" s="188">
        <f t="shared" si="114"/>
        <v>102.23027061095262</v>
      </c>
      <c r="R38" s="187">
        <f t="shared" si="115"/>
        <v>1380.1086532478607</v>
      </c>
      <c r="S38" s="187">
        <f t="shared" si="116"/>
        <v>0</v>
      </c>
      <c r="T38" s="188">
        <f t="shared" si="117"/>
        <v>1380.1086532478607</v>
      </c>
      <c r="U38" s="187">
        <f t="shared" si="118"/>
        <v>191.68175739553621</v>
      </c>
      <c r="V38" s="187">
        <f t="shared" si="119"/>
        <v>0</v>
      </c>
      <c r="W38" s="188">
        <f t="shared" si="120"/>
        <v>191.68175739553621</v>
      </c>
      <c r="X38" s="187">
        <f t="shared" si="121"/>
        <v>6287.1616425735874</v>
      </c>
    </row>
    <row r="40" spans="1:49" ht="23">
      <c r="A40" s="183" t="s">
        <v>419</v>
      </c>
      <c r="B40" s="189"/>
      <c r="C40" s="189"/>
      <c r="D40" s="189"/>
      <c r="E40" s="189"/>
      <c r="F40" s="189"/>
      <c r="G40" s="189"/>
      <c r="H40" s="189"/>
      <c r="I40" s="189"/>
      <c r="J40" s="189"/>
      <c r="K40" s="189"/>
      <c r="L40" s="189"/>
      <c r="M40" s="189"/>
      <c r="N40" s="189"/>
      <c r="O40" s="189"/>
      <c r="P40" s="189"/>
      <c r="Q40" s="189"/>
      <c r="R40" s="189"/>
      <c r="S40" s="189"/>
      <c r="T40" s="189"/>
      <c r="U40" s="189"/>
      <c r="V40" s="189"/>
      <c r="W40" s="189"/>
      <c r="X40" s="189"/>
    </row>
    <row r="41" spans="1:49" ht="77.5">
      <c r="A41" s="173" t="s">
        <v>539</v>
      </c>
      <c r="B41" s="172" t="s">
        <v>342</v>
      </c>
      <c r="C41" s="172" t="str">
        <f>Cost_of_crime_Raw_data!A107</f>
        <v>Drug offences (e.g. driving under the influence of drugs)</v>
      </c>
      <c r="D41" s="184" t="s">
        <v>540</v>
      </c>
      <c r="E41" s="185" t="s">
        <v>541</v>
      </c>
      <c r="F41" s="172" t="str">
        <f>Cost_of_crime_Raw_data!A108</f>
        <v>Alcohol offences (e.g. driving under the influence of alcohol)</v>
      </c>
      <c r="G41" s="184" t="s">
        <v>540</v>
      </c>
      <c r="H41" s="185" t="s">
        <v>541</v>
      </c>
      <c r="I41" s="172" t="str">
        <f>Cost_of_crime_Raw_data!A109</f>
        <v>Other indictable non- motoring offences</v>
      </c>
      <c r="J41" s="184" t="s">
        <v>540</v>
      </c>
      <c r="K41" s="185" t="s">
        <v>541</v>
      </c>
      <c r="L41" s="172" t="str">
        <f>Cost_of_crime_Raw_data!A110</f>
        <v>Indictable motoring offences</v>
      </c>
      <c r="M41" s="184" t="s">
        <v>540</v>
      </c>
      <c r="N41" s="185" t="s">
        <v>541</v>
      </c>
      <c r="O41" s="172" t="str">
        <f>Cost_of_crime_Raw_data!A111</f>
        <v>Summary non-motoring offences</v>
      </c>
      <c r="P41" s="184" t="s">
        <v>540</v>
      </c>
      <c r="Q41" s="185" t="s">
        <v>541</v>
      </c>
      <c r="R41" s="172" t="str">
        <f>Cost_of_crime_Raw_data!A112</f>
        <v>Summary motoring offences</v>
      </c>
      <c r="S41" s="184" t="s">
        <v>540</v>
      </c>
      <c r="T41" s="185" t="s">
        <v>541</v>
      </c>
      <c r="U41" s="172" t="str">
        <f>Cost_of_crime_Raw_data!A113</f>
        <v>TOTAL TRAFFIC/ MOTORING/ OTHER</v>
      </c>
    </row>
    <row r="42" spans="1:49">
      <c r="B42" s="168">
        <v>2000</v>
      </c>
      <c r="C42" s="169" t="s">
        <v>429</v>
      </c>
      <c r="D42" s="187" t="e">
        <f>C42*$A42/100</f>
        <v>#VALUE!</v>
      </c>
      <c r="E42" s="188" t="e">
        <f>C42+D42</f>
        <v>#VALUE!</v>
      </c>
      <c r="F42" s="169" t="s">
        <v>429</v>
      </c>
      <c r="G42" s="187" t="e">
        <f>F42*$A42/100</f>
        <v>#VALUE!</v>
      </c>
      <c r="H42" s="188" t="e">
        <f>F42+G42</f>
        <v>#VALUE!</v>
      </c>
      <c r="I42" s="169" t="s">
        <v>429</v>
      </c>
      <c r="J42" s="187" t="e">
        <f>I42*$A42/100</f>
        <v>#VALUE!</v>
      </c>
      <c r="K42" s="188" t="e">
        <f>I42+J42</f>
        <v>#VALUE!</v>
      </c>
      <c r="L42" s="169" t="s">
        <v>429</v>
      </c>
      <c r="M42" s="187" t="e">
        <f>L42*$A42/100</f>
        <v>#VALUE!</v>
      </c>
      <c r="N42" s="188" t="e">
        <f>L42+M42</f>
        <v>#VALUE!</v>
      </c>
      <c r="O42" s="169" t="s">
        <v>429</v>
      </c>
      <c r="P42" s="187" t="e">
        <f>O42*$A42/100</f>
        <v>#VALUE!</v>
      </c>
      <c r="Q42" s="188" t="e">
        <f>O42+P42</f>
        <v>#VALUE!</v>
      </c>
      <c r="R42" s="169" t="s">
        <v>429</v>
      </c>
      <c r="S42" s="187" t="e">
        <f>R42*$A42/100</f>
        <v>#VALUE!</v>
      </c>
      <c r="T42" s="188" t="e">
        <f>R42+S42</f>
        <v>#VALUE!</v>
      </c>
      <c r="U42" s="187" t="e">
        <f>SUM(T42,Q42,N42,K42,H42,E42)</f>
        <v>#VALUE!</v>
      </c>
    </row>
    <row r="43" spans="1:49">
      <c r="A43" s="169">
        <f>VLOOKUP(B43,Misc_inputs!$A$3:$B$33,2,0)</f>
        <v>1.8509525763893939</v>
      </c>
      <c r="B43" s="168">
        <v>2001</v>
      </c>
      <c r="C43" s="169" t="s">
        <v>429</v>
      </c>
      <c r="D43" s="187" t="e">
        <f>C43*$A43/100</f>
        <v>#VALUE!</v>
      </c>
      <c r="E43" s="188" t="e">
        <f>C43+D43</f>
        <v>#VALUE!</v>
      </c>
      <c r="F43" s="169" t="s">
        <v>429</v>
      </c>
      <c r="G43" s="187" t="e">
        <f>F43*$A43/100</f>
        <v>#VALUE!</v>
      </c>
      <c r="H43" s="188" t="e">
        <f>F43+G43</f>
        <v>#VALUE!</v>
      </c>
      <c r="I43" s="169" t="s">
        <v>429</v>
      </c>
      <c r="J43" s="187" t="e">
        <f>I43*$A43/100</f>
        <v>#VALUE!</v>
      </c>
      <c r="K43" s="188" t="e">
        <f>I43+J43</f>
        <v>#VALUE!</v>
      </c>
      <c r="L43" s="169" t="s">
        <v>429</v>
      </c>
      <c r="M43" s="187" t="e">
        <f>L43*$A43/100</f>
        <v>#VALUE!</v>
      </c>
      <c r="N43" s="188" t="e">
        <f>L43+M43</f>
        <v>#VALUE!</v>
      </c>
      <c r="O43" s="169" t="s">
        <v>429</v>
      </c>
      <c r="P43" s="187" t="e">
        <f>O43*$A43/100</f>
        <v>#VALUE!</v>
      </c>
      <c r="Q43" s="188" t="e">
        <f>O43+P43</f>
        <v>#VALUE!</v>
      </c>
      <c r="R43" s="169" t="s">
        <v>429</v>
      </c>
      <c r="S43" s="187" t="e">
        <f>R43*$A43/100</f>
        <v>#VALUE!</v>
      </c>
      <c r="T43" s="188" t="e">
        <f>R43+S43</f>
        <v>#VALUE!</v>
      </c>
      <c r="U43" s="187" t="e">
        <f t="shared" ref="U43:U72" si="122">SUM(T43,Q43,N43,K43,H43,E43)</f>
        <v>#VALUE!</v>
      </c>
    </row>
    <row r="44" spans="1:49">
      <c r="A44" s="169">
        <f>VLOOKUP(B44,Misc_inputs!$A$3:$B$33,2,0)</f>
        <v>2.0601670280994799</v>
      </c>
      <c r="B44" s="168">
        <v>2002</v>
      </c>
      <c r="C44" s="169" t="s">
        <v>429</v>
      </c>
      <c r="D44" s="187" t="e">
        <f t="shared" ref="D44:D55" si="123">C44*$A44/100</f>
        <v>#VALUE!</v>
      </c>
      <c r="E44" s="188" t="e">
        <f t="shared" ref="E44:E72" si="124">C44+D44</f>
        <v>#VALUE!</v>
      </c>
      <c r="F44" s="169" t="s">
        <v>429</v>
      </c>
      <c r="G44" s="187" t="e">
        <f t="shared" ref="G44:G55" si="125">F44*$A44/100</f>
        <v>#VALUE!</v>
      </c>
      <c r="H44" s="188" t="e">
        <f t="shared" ref="H44:H72" si="126">F44+G44</f>
        <v>#VALUE!</v>
      </c>
      <c r="I44" s="169" t="s">
        <v>429</v>
      </c>
      <c r="J44" s="187" t="e">
        <f t="shared" ref="J44:J55" si="127">I44*$A44/100</f>
        <v>#VALUE!</v>
      </c>
      <c r="K44" s="188" t="e">
        <f t="shared" ref="K44:K72" si="128">I44+J44</f>
        <v>#VALUE!</v>
      </c>
      <c r="L44" s="169" t="s">
        <v>429</v>
      </c>
      <c r="M44" s="187" t="e">
        <f t="shared" ref="M44:M55" si="129">L44*$A44/100</f>
        <v>#VALUE!</v>
      </c>
      <c r="N44" s="188" t="e">
        <f t="shared" ref="N44:N72" si="130">L44+M44</f>
        <v>#VALUE!</v>
      </c>
      <c r="O44" s="169" t="s">
        <v>429</v>
      </c>
      <c r="P44" s="187" t="e">
        <f t="shared" ref="P44:P55" si="131">O44*$A44/100</f>
        <v>#VALUE!</v>
      </c>
      <c r="Q44" s="188" t="e">
        <f t="shared" ref="Q44:Q72" si="132">O44+P44</f>
        <v>#VALUE!</v>
      </c>
      <c r="R44" s="169" t="s">
        <v>429</v>
      </c>
      <c r="S44" s="187" t="e">
        <f t="shared" ref="S44:S55" si="133">R44*$A44/100</f>
        <v>#VALUE!</v>
      </c>
      <c r="T44" s="188" t="e">
        <f t="shared" ref="T44:T72" si="134">R44+S44</f>
        <v>#VALUE!</v>
      </c>
      <c r="U44" s="187" t="e">
        <f t="shared" si="122"/>
        <v>#VALUE!</v>
      </c>
    </row>
    <row r="45" spans="1:49">
      <c r="A45" s="169">
        <f>VLOOKUP(B45,Misc_inputs!$A$3:$B$33,2,0)</f>
        <v>2.7352938960343987</v>
      </c>
      <c r="B45" s="168">
        <v>2003</v>
      </c>
      <c r="C45" s="169" t="s">
        <v>429</v>
      </c>
      <c r="D45" s="187" t="e">
        <f t="shared" si="123"/>
        <v>#VALUE!</v>
      </c>
      <c r="E45" s="188" t="e">
        <f t="shared" si="124"/>
        <v>#VALUE!</v>
      </c>
      <c r="F45" s="169" t="s">
        <v>429</v>
      </c>
      <c r="G45" s="187" t="e">
        <f t="shared" si="125"/>
        <v>#VALUE!</v>
      </c>
      <c r="H45" s="188" t="e">
        <f t="shared" si="126"/>
        <v>#VALUE!</v>
      </c>
      <c r="I45" s="169" t="s">
        <v>429</v>
      </c>
      <c r="J45" s="187" t="e">
        <f t="shared" si="127"/>
        <v>#VALUE!</v>
      </c>
      <c r="K45" s="188" t="e">
        <f t="shared" si="128"/>
        <v>#VALUE!</v>
      </c>
      <c r="L45" s="169" t="s">
        <v>429</v>
      </c>
      <c r="M45" s="187" t="e">
        <f t="shared" si="129"/>
        <v>#VALUE!</v>
      </c>
      <c r="N45" s="188" t="e">
        <f t="shared" si="130"/>
        <v>#VALUE!</v>
      </c>
      <c r="O45" s="169" t="s">
        <v>429</v>
      </c>
      <c r="P45" s="187" t="e">
        <f t="shared" si="131"/>
        <v>#VALUE!</v>
      </c>
      <c r="Q45" s="188" t="e">
        <f t="shared" si="132"/>
        <v>#VALUE!</v>
      </c>
      <c r="R45" s="169" t="s">
        <v>429</v>
      </c>
      <c r="S45" s="187" t="e">
        <f t="shared" si="133"/>
        <v>#VALUE!</v>
      </c>
      <c r="T45" s="188" t="e">
        <f t="shared" si="134"/>
        <v>#VALUE!</v>
      </c>
      <c r="U45" s="187" t="e">
        <f t="shared" si="122"/>
        <v>#VALUE!</v>
      </c>
    </row>
    <row r="46" spans="1:49">
      <c r="A46" s="169">
        <f>VLOOKUP(B46,Misc_inputs!$A$3:$B$33,2,0)</f>
        <v>2.5734301841181981</v>
      </c>
      <c r="B46" s="168">
        <v>2004</v>
      </c>
      <c r="C46" s="169" t="s">
        <v>429</v>
      </c>
      <c r="D46" s="187" t="e">
        <f t="shared" si="123"/>
        <v>#VALUE!</v>
      </c>
      <c r="E46" s="188" t="e">
        <f t="shared" si="124"/>
        <v>#VALUE!</v>
      </c>
      <c r="F46" s="169" t="s">
        <v>429</v>
      </c>
      <c r="G46" s="187" t="e">
        <f t="shared" si="125"/>
        <v>#VALUE!</v>
      </c>
      <c r="H46" s="188" t="e">
        <f t="shared" si="126"/>
        <v>#VALUE!</v>
      </c>
      <c r="I46" s="169" t="s">
        <v>429</v>
      </c>
      <c r="J46" s="187" t="e">
        <f t="shared" si="127"/>
        <v>#VALUE!</v>
      </c>
      <c r="K46" s="188" t="e">
        <f t="shared" si="128"/>
        <v>#VALUE!</v>
      </c>
      <c r="L46" s="169" t="s">
        <v>429</v>
      </c>
      <c r="M46" s="187" t="e">
        <f t="shared" si="129"/>
        <v>#VALUE!</v>
      </c>
      <c r="N46" s="188" t="e">
        <f t="shared" si="130"/>
        <v>#VALUE!</v>
      </c>
      <c r="O46" s="169" t="s">
        <v>429</v>
      </c>
      <c r="P46" s="187" t="e">
        <f t="shared" si="131"/>
        <v>#VALUE!</v>
      </c>
      <c r="Q46" s="188" t="e">
        <f t="shared" si="132"/>
        <v>#VALUE!</v>
      </c>
      <c r="R46" s="169" t="s">
        <v>429</v>
      </c>
      <c r="S46" s="187" t="e">
        <f t="shared" si="133"/>
        <v>#VALUE!</v>
      </c>
      <c r="T46" s="188" t="e">
        <f t="shared" si="134"/>
        <v>#VALUE!</v>
      </c>
      <c r="U46" s="187" t="e">
        <f t="shared" si="122"/>
        <v>#VALUE!</v>
      </c>
    </row>
    <row r="47" spans="1:49">
      <c r="A47" s="169">
        <f>VLOOKUP(B47,Misc_inputs!$A$3:$B$33,2,0)</f>
        <v>3.1315066925981085</v>
      </c>
      <c r="B47" s="168">
        <v>2005</v>
      </c>
      <c r="C47" s="169" t="s">
        <v>429</v>
      </c>
      <c r="D47" s="187" t="e">
        <f t="shared" si="123"/>
        <v>#VALUE!</v>
      </c>
      <c r="E47" s="188" t="e">
        <f t="shared" si="124"/>
        <v>#VALUE!</v>
      </c>
      <c r="F47" s="169" t="s">
        <v>429</v>
      </c>
      <c r="G47" s="187" t="e">
        <f t="shared" si="125"/>
        <v>#VALUE!</v>
      </c>
      <c r="H47" s="188" t="e">
        <f t="shared" si="126"/>
        <v>#VALUE!</v>
      </c>
      <c r="I47" s="169" t="s">
        <v>429</v>
      </c>
      <c r="J47" s="187" t="e">
        <f t="shared" si="127"/>
        <v>#VALUE!</v>
      </c>
      <c r="K47" s="188" t="e">
        <f t="shared" si="128"/>
        <v>#VALUE!</v>
      </c>
      <c r="L47" s="169" t="s">
        <v>429</v>
      </c>
      <c r="M47" s="187" t="e">
        <f t="shared" si="129"/>
        <v>#VALUE!</v>
      </c>
      <c r="N47" s="188" t="e">
        <f t="shared" si="130"/>
        <v>#VALUE!</v>
      </c>
      <c r="O47" s="169" t="s">
        <v>429</v>
      </c>
      <c r="P47" s="187" t="e">
        <f t="shared" si="131"/>
        <v>#VALUE!</v>
      </c>
      <c r="Q47" s="188" t="e">
        <f t="shared" si="132"/>
        <v>#VALUE!</v>
      </c>
      <c r="R47" s="169" t="s">
        <v>429</v>
      </c>
      <c r="S47" s="187" t="e">
        <f t="shared" si="133"/>
        <v>#VALUE!</v>
      </c>
      <c r="T47" s="188" t="e">
        <f t="shared" si="134"/>
        <v>#VALUE!</v>
      </c>
      <c r="U47" s="187" t="e">
        <f t="shared" si="122"/>
        <v>#VALUE!</v>
      </c>
    </row>
    <row r="48" spans="1:49">
      <c r="A48" s="169">
        <f>VLOOKUP(B48,Misc_inputs!$A$3:$B$33,2,0)</f>
        <v>2.853248435199073</v>
      </c>
      <c r="B48" s="168">
        <v>2006</v>
      </c>
      <c r="C48" s="169" t="s">
        <v>429</v>
      </c>
      <c r="D48" s="187" t="e">
        <f t="shared" si="123"/>
        <v>#VALUE!</v>
      </c>
      <c r="E48" s="188" t="e">
        <f t="shared" si="124"/>
        <v>#VALUE!</v>
      </c>
      <c r="F48" s="169" t="s">
        <v>429</v>
      </c>
      <c r="G48" s="187" t="e">
        <f t="shared" si="125"/>
        <v>#VALUE!</v>
      </c>
      <c r="H48" s="188" t="e">
        <f t="shared" si="126"/>
        <v>#VALUE!</v>
      </c>
      <c r="I48" s="169" t="s">
        <v>429</v>
      </c>
      <c r="J48" s="187" t="e">
        <f t="shared" si="127"/>
        <v>#VALUE!</v>
      </c>
      <c r="K48" s="188" t="e">
        <f t="shared" si="128"/>
        <v>#VALUE!</v>
      </c>
      <c r="L48" s="169" t="s">
        <v>429</v>
      </c>
      <c r="M48" s="187" t="e">
        <f t="shared" si="129"/>
        <v>#VALUE!</v>
      </c>
      <c r="N48" s="188" t="e">
        <f t="shared" si="130"/>
        <v>#VALUE!</v>
      </c>
      <c r="O48" s="169" t="s">
        <v>429</v>
      </c>
      <c r="P48" s="187" t="e">
        <f t="shared" si="131"/>
        <v>#VALUE!</v>
      </c>
      <c r="Q48" s="188" t="e">
        <f t="shared" si="132"/>
        <v>#VALUE!</v>
      </c>
      <c r="R48" s="169" t="s">
        <v>429</v>
      </c>
      <c r="S48" s="187" t="e">
        <f t="shared" si="133"/>
        <v>#VALUE!</v>
      </c>
      <c r="T48" s="188" t="e">
        <f t="shared" si="134"/>
        <v>#VALUE!</v>
      </c>
      <c r="U48" s="187" t="e">
        <f t="shared" si="122"/>
        <v>#VALUE!</v>
      </c>
    </row>
    <row r="49" spans="1:21">
      <c r="A49" s="169">
        <f>VLOOKUP(B49,Misc_inputs!$A$3:$B$33,2,0)</f>
        <v>2.7960714791272023</v>
      </c>
      <c r="B49" s="168">
        <v>2007</v>
      </c>
      <c r="C49" s="169" t="s">
        <v>429</v>
      </c>
      <c r="D49" s="187" t="e">
        <f t="shared" si="123"/>
        <v>#VALUE!</v>
      </c>
      <c r="E49" s="188" t="e">
        <f t="shared" si="124"/>
        <v>#VALUE!</v>
      </c>
      <c r="F49" s="169" t="s">
        <v>429</v>
      </c>
      <c r="G49" s="187" t="e">
        <f t="shared" si="125"/>
        <v>#VALUE!</v>
      </c>
      <c r="H49" s="188" t="e">
        <f t="shared" si="126"/>
        <v>#VALUE!</v>
      </c>
      <c r="I49" s="169" t="s">
        <v>429</v>
      </c>
      <c r="J49" s="187" t="e">
        <f t="shared" si="127"/>
        <v>#VALUE!</v>
      </c>
      <c r="K49" s="188" t="e">
        <f t="shared" si="128"/>
        <v>#VALUE!</v>
      </c>
      <c r="L49" s="169" t="s">
        <v>429</v>
      </c>
      <c r="M49" s="187" t="e">
        <f t="shared" si="129"/>
        <v>#VALUE!</v>
      </c>
      <c r="N49" s="188" t="e">
        <f t="shared" si="130"/>
        <v>#VALUE!</v>
      </c>
      <c r="O49" s="169" t="s">
        <v>429</v>
      </c>
      <c r="P49" s="187" t="e">
        <f t="shared" si="131"/>
        <v>#VALUE!</v>
      </c>
      <c r="Q49" s="188" t="e">
        <f t="shared" si="132"/>
        <v>#VALUE!</v>
      </c>
      <c r="R49" s="169" t="s">
        <v>429</v>
      </c>
      <c r="S49" s="187" t="e">
        <f t="shared" si="133"/>
        <v>#VALUE!</v>
      </c>
      <c r="T49" s="188" t="e">
        <f t="shared" si="134"/>
        <v>#VALUE!</v>
      </c>
      <c r="U49" s="187" t="e">
        <f t="shared" si="122"/>
        <v>#VALUE!</v>
      </c>
    </row>
    <row r="50" spans="1:21">
      <c r="A50" s="169">
        <f>VLOOKUP(B50,Misc_inputs!$A$3:$B$33,2,0)</f>
        <v>3.2489393373071294</v>
      </c>
      <c r="B50" s="168">
        <v>2008</v>
      </c>
      <c r="C50" s="169" t="s">
        <v>429</v>
      </c>
      <c r="D50" s="187" t="e">
        <f t="shared" si="123"/>
        <v>#VALUE!</v>
      </c>
      <c r="E50" s="188" t="e">
        <f t="shared" si="124"/>
        <v>#VALUE!</v>
      </c>
      <c r="F50" s="169" t="s">
        <v>429</v>
      </c>
      <c r="G50" s="187" t="e">
        <f t="shared" si="125"/>
        <v>#VALUE!</v>
      </c>
      <c r="H50" s="188" t="e">
        <f t="shared" si="126"/>
        <v>#VALUE!</v>
      </c>
      <c r="I50" s="169" t="s">
        <v>429</v>
      </c>
      <c r="J50" s="187" t="e">
        <f t="shared" si="127"/>
        <v>#VALUE!</v>
      </c>
      <c r="K50" s="188" t="e">
        <f t="shared" si="128"/>
        <v>#VALUE!</v>
      </c>
      <c r="L50" s="169" t="s">
        <v>429</v>
      </c>
      <c r="M50" s="187" t="e">
        <f t="shared" si="129"/>
        <v>#VALUE!</v>
      </c>
      <c r="N50" s="188" t="e">
        <f t="shared" si="130"/>
        <v>#VALUE!</v>
      </c>
      <c r="O50" s="169" t="s">
        <v>429</v>
      </c>
      <c r="P50" s="187" t="e">
        <f t="shared" si="131"/>
        <v>#VALUE!</v>
      </c>
      <c r="Q50" s="188" t="e">
        <f t="shared" si="132"/>
        <v>#VALUE!</v>
      </c>
      <c r="R50" s="169" t="s">
        <v>429</v>
      </c>
      <c r="S50" s="187" t="e">
        <f t="shared" si="133"/>
        <v>#VALUE!</v>
      </c>
      <c r="T50" s="188" t="e">
        <f t="shared" si="134"/>
        <v>#VALUE!</v>
      </c>
      <c r="U50" s="187" t="e">
        <f t="shared" si="122"/>
        <v>#VALUE!</v>
      </c>
    </row>
    <row r="51" spans="1:21">
      <c r="A51" s="169">
        <f>VLOOKUP(B51,Misc_inputs!$A$3:$B$33,2,0)</f>
        <v>1.7010725699507729</v>
      </c>
      <c r="B51" s="168">
        <v>2009</v>
      </c>
      <c r="C51" s="169" t="s">
        <v>429</v>
      </c>
      <c r="D51" s="187" t="e">
        <f t="shared" si="123"/>
        <v>#VALUE!</v>
      </c>
      <c r="E51" s="188" t="e">
        <f t="shared" si="124"/>
        <v>#VALUE!</v>
      </c>
      <c r="F51" s="169" t="s">
        <v>429</v>
      </c>
      <c r="G51" s="187" t="e">
        <f t="shared" si="125"/>
        <v>#VALUE!</v>
      </c>
      <c r="H51" s="188" t="e">
        <f t="shared" si="126"/>
        <v>#VALUE!</v>
      </c>
      <c r="I51" s="169" t="s">
        <v>429</v>
      </c>
      <c r="J51" s="187" t="e">
        <f t="shared" si="127"/>
        <v>#VALUE!</v>
      </c>
      <c r="K51" s="188" t="e">
        <f t="shared" si="128"/>
        <v>#VALUE!</v>
      </c>
      <c r="L51" s="169" t="s">
        <v>429</v>
      </c>
      <c r="M51" s="187" t="e">
        <f t="shared" si="129"/>
        <v>#VALUE!</v>
      </c>
      <c r="N51" s="188" t="e">
        <f t="shared" si="130"/>
        <v>#VALUE!</v>
      </c>
      <c r="O51" s="169" t="s">
        <v>429</v>
      </c>
      <c r="P51" s="187" t="e">
        <f t="shared" si="131"/>
        <v>#VALUE!</v>
      </c>
      <c r="Q51" s="188" t="e">
        <f t="shared" si="132"/>
        <v>#VALUE!</v>
      </c>
      <c r="R51" s="169" t="s">
        <v>429</v>
      </c>
      <c r="S51" s="187" t="e">
        <f t="shared" si="133"/>
        <v>#VALUE!</v>
      </c>
      <c r="T51" s="188" t="e">
        <f t="shared" si="134"/>
        <v>#VALUE!</v>
      </c>
      <c r="U51" s="187" t="e">
        <f t="shared" si="122"/>
        <v>#VALUE!</v>
      </c>
    </row>
    <row r="52" spans="1:21">
      <c r="A52" s="169">
        <f>VLOOKUP(B52,Misc_inputs!$A$3:$B$33,2,0)</f>
        <v>1.3734918692079017</v>
      </c>
      <c r="B52" s="168">
        <v>2010</v>
      </c>
      <c r="C52" s="169" t="s">
        <v>429</v>
      </c>
      <c r="D52" s="187" t="e">
        <f t="shared" si="123"/>
        <v>#VALUE!</v>
      </c>
      <c r="E52" s="188" t="e">
        <f t="shared" si="124"/>
        <v>#VALUE!</v>
      </c>
      <c r="F52" s="169" t="s">
        <v>429</v>
      </c>
      <c r="G52" s="187" t="e">
        <f t="shared" si="125"/>
        <v>#VALUE!</v>
      </c>
      <c r="H52" s="188" t="e">
        <f t="shared" si="126"/>
        <v>#VALUE!</v>
      </c>
      <c r="I52" s="169" t="s">
        <v>429</v>
      </c>
      <c r="J52" s="187" t="e">
        <f t="shared" si="127"/>
        <v>#VALUE!</v>
      </c>
      <c r="K52" s="188" t="e">
        <f t="shared" si="128"/>
        <v>#VALUE!</v>
      </c>
      <c r="L52" s="169" t="s">
        <v>429</v>
      </c>
      <c r="M52" s="187" t="e">
        <f t="shared" si="129"/>
        <v>#VALUE!</v>
      </c>
      <c r="N52" s="188" t="e">
        <f t="shared" si="130"/>
        <v>#VALUE!</v>
      </c>
      <c r="O52" s="169" t="s">
        <v>429</v>
      </c>
      <c r="P52" s="187" t="e">
        <f t="shared" si="131"/>
        <v>#VALUE!</v>
      </c>
      <c r="Q52" s="188" t="e">
        <f t="shared" si="132"/>
        <v>#VALUE!</v>
      </c>
      <c r="R52" s="169" t="s">
        <v>429</v>
      </c>
      <c r="S52" s="187" t="e">
        <f t="shared" si="133"/>
        <v>#VALUE!</v>
      </c>
      <c r="T52" s="188" t="e">
        <f t="shared" si="134"/>
        <v>#VALUE!</v>
      </c>
      <c r="U52" s="187" t="e">
        <f t="shared" si="122"/>
        <v>#VALUE!</v>
      </c>
    </row>
    <row r="53" spans="1:21">
      <c r="A53" s="169">
        <f>VLOOKUP(B53,Misc_inputs!$A$3:$B$33,2,0)</f>
        <v>2.0688542081199257</v>
      </c>
      <c r="B53" s="168">
        <v>2011</v>
      </c>
      <c r="C53" s="169" t="s">
        <v>429</v>
      </c>
      <c r="D53" s="187" t="e">
        <f t="shared" si="123"/>
        <v>#VALUE!</v>
      </c>
      <c r="E53" s="188" t="e">
        <f t="shared" si="124"/>
        <v>#VALUE!</v>
      </c>
      <c r="F53" s="169" t="s">
        <v>429</v>
      </c>
      <c r="G53" s="187" t="e">
        <f t="shared" si="125"/>
        <v>#VALUE!</v>
      </c>
      <c r="H53" s="188" t="e">
        <f t="shared" si="126"/>
        <v>#VALUE!</v>
      </c>
      <c r="I53" s="169" t="s">
        <v>429</v>
      </c>
      <c r="J53" s="187" t="e">
        <f t="shared" si="127"/>
        <v>#VALUE!</v>
      </c>
      <c r="K53" s="188" t="e">
        <f t="shared" si="128"/>
        <v>#VALUE!</v>
      </c>
      <c r="L53" s="169" t="s">
        <v>429</v>
      </c>
      <c r="M53" s="187" t="e">
        <f t="shared" si="129"/>
        <v>#VALUE!</v>
      </c>
      <c r="N53" s="188" t="e">
        <f t="shared" si="130"/>
        <v>#VALUE!</v>
      </c>
      <c r="O53" s="169" t="s">
        <v>429</v>
      </c>
      <c r="P53" s="187" t="e">
        <f t="shared" si="131"/>
        <v>#VALUE!</v>
      </c>
      <c r="Q53" s="188" t="e">
        <f t="shared" si="132"/>
        <v>#VALUE!</v>
      </c>
      <c r="R53" s="169" t="s">
        <v>429</v>
      </c>
      <c r="S53" s="187" t="e">
        <f t="shared" si="133"/>
        <v>#VALUE!</v>
      </c>
      <c r="T53" s="188" t="e">
        <f t="shared" si="134"/>
        <v>#VALUE!</v>
      </c>
      <c r="U53" s="187" t="e">
        <f t="shared" si="122"/>
        <v>#VALUE!</v>
      </c>
    </row>
    <row r="54" spans="1:21">
      <c r="A54" s="169">
        <f>VLOOKUP(B54,Misc_inputs!$A$3:$B$33,2,0)</f>
        <v>1.6091515591183065</v>
      </c>
      <c r="B54" s="168">
        <v>2012</v>
      </c>
      <c r="C54" s="169" t="s">
        <v>429</v>
      </c>
      <c r="D54" s="187" t="e">
        <f t="shared" si="123"/>
        <v>#VALUE!</v>
      </c>
      <c r="E54" s="188" t="e">
        <f t="shared" si="124"/>
        <v>#VALUE!</v>
      </c>
      <c r="F54" s="169" t="s">
        <v>429</v>
      </c>
      <c r="G54" s="187" t="e">
        <f t="shared" si="125"/>
        <v>#VALUE!</v>
      </c>
      <c r="H54" s="188" t="e">
        <f t="shared" si="126"/>
        <v>#VALUE!</v>
      </c>
      <c r="I54" s="169" t="s">
        <v>429</v>
      </c>
      <c r="J54" s="187" t="e">
        <f t="shared" si="127"/>
        <v>#VALUE!</v>
      </c>
      <c r="K54" s="188" t="e">
        <f t="shared" si="128"/>
        <v>#VALUE!</v>
      </c>
      <c r="L54" s="169" t="s">
        <v>429</v>
      </c>
      <c r="M54" s="187" t="e">
        <f t="shared" si="129"/>
        <v>#VALUE!</v>
      </c>
      <c r="N54" s="188" t="e">
        <f t="shared" si="130"/>
        <v>#VALUE!</v>
      </c>
      <c r="O54" s="169" t="s">
        <v>429</v>
      </c>
      <c r="P54" s="187" t="e">
        <f t="shared" si="131"/>
        <v>#VALUE!</v>
      </c>
      <c r="Q54" s="188" t="e">
        <f t="shared" si="132"/>
        <v>#VALUE!</v>
      </c>
      <c r="R54" s="169" t="s">
        <v>429</v>
      </c>
      <c r="S54" s="187" t="e">
        <f t="shared" si="133"/>
        <v>#VALUE!</v>
      </c>
      <c r="T54" s="188" t="e">
        <f t="shared" si="134"/>
        <v>#VALUE!</v>
      </c>
      <c r="U54" s="187" t="e">
        <f t="shared" si="122"/>
        <v>#VALUE!</v>
      </c>
    </row>
    <row r="55" spans="1:21">
      <c r="A55" s="169">
        <f>VLOOKUP(B55,Misc_inputs!$A$3:$B$33,2,0)</f>
        <v>2.2357385540164949</v>
      </c>
      <c r="B55" s="168">
        <v>2013</v>
      </c>
      <c r="C55" s="169" t="s">
        <v>429</v>
      </c>
      <c r="D55" s="187" t="e">
        <f t="shared" si="123"/>
        <v>#VALUE!</v>
      </c>
      <c r="E55" s="188" t="e">
        <f t="shared" si="124"/>
        <v>#VALUE!</v>
      </c>
      <c r="F55" s="169" t="s">
        <v>429</v>
      </c>
      <c r="G55" s="187" t="e">
        <f t="shared" si="125"/>
        <v>#VALUE!</v>
      </c>
      <c r="H55" s="188" t="e">
        <f t="shared" si="126"/>
        <v>#VALUE!</v>
      </c>
      <c r="I55" s="169" t="s">
        <v>429</v>
      </c>
      <c r="J55" s="187" t="e">
        <f t="shared" si="127"/>
        <v>#VALUE!</v>
      </c>
      <c r="K55" s="188" t="e">
        <f t="shared" si="128"/>
        <v>#VALUE!</v>
      </c>
      <c r="L55" s="169" t="s">
        <v>429</v>
      </c>
      <c r="M55" s="187" t="e">
        <f t="shared" si="129"/>
        <v>#VALUE!</v>
      </c>
      <c r="N55" s="188" t="e">
        <f t="shared" si="130"/>
        <v>#VALUE!</v>
      </c>
      <c r="O55" s="169" t="s">
        <v>429</v>
      </c>
      <c r="P55" s="187" t="e">
        <f t="shared" si="131"/>
        <v>#VALUE!</v>
      </c>
      <c r="Q55" s="188" t="e">
        <f t="shared" si="132"/>
        <v>#VALUE!</v>
      </c>
      <c r="R55" s="169" t="s">
        <v>429</v>
      </c>
      <c r="S55" s="187" t="e">
        <f t="shared" si="133"/>
        <v>#VALUE!</v>
      </c>
      <c r="T55" s="188" t="e">
        <f t="shared" si="134"/>
        <v>#VALUE!</v>
      </c>
      <c r="U55" s="187" t="e">
        <f t="shared" si="122"/>
        <v>#VALUE!</v>
      </c>
    </row>
    <row r="56" spans="1:21">
      <c r="A56" s="169">
        <f>VLOOKUP(B56,Misc_inputs!$A$3:$B$33,2,0)</f>
        <v>1.5952823611433897</v>
      </c>
      <c r="B56" s="168">
        <v>2014</v>
      </c>
      <c r="C56" s="169" t="s">
        <v>429</v>
      </c>
      <c r="D56" s="187" t="e">
        <f>C56*$A56/100</f>
        <v>#VALUE!</v>
      </c>
      <c r="E56" s="188" t="e">
        <f t="shared" si="124"/>
        <v>#VALUE!</v>
      </c>
      <c r="F56" s="169" t="s">
        <v>429</v>
      </c>
      <c r="G56" s="187" t="e">
        <f>F56*$A56/100</f>
        <v>#VALUE!</v>
      </c>
      <c r="H56" s="188" t="e">
        <f t="shared" si="126"/>
        <v>#VALUE!</v>
      </c>
      <c r="I56" s="169" t="s">
        <v>429</v>
      </c>
      <c r="J56" s="187" t="e">
        <f>I56*$A56/100</f>
        <v>#VALUE!</v>
      </c>
      <c r="K56" s="188" t="e">
        <f t="shared" si="128"/>
        <v>#VALUE!</v>
      </c>
      <c r="L56" s="169" t="s">
        <v>429</v>
      </c>
      <c r="M56" s="187" t="e">
        <f>L56*$A56/100</f>
        <v>#VALUE!</v>
      </c>
      <c r="N56" s="188" t="e">
        <f t="shared" si="130"/>
        <v>#VALUE!</v>
      </c>
      <c r="O56" s="169" t="s">
        <v>429</v>
      </c>
      <c r="P56" s="187" t="e">
        <f>O56*$A56/100</f>
        <v>#VALUE!</v>
      </c>
      <c r="Q56" s="188" t="e">
        <f t="shared" si="132"/>
        <v>#VALUE!</v>
      </c>
      <c r="R56" s="169" t="s">
        <v>429</v>
      </c>
      <c r="S56" s="187" t="e">
        <f>R56*$A56/100</f>
        <v>#VALUE!</v>
      </c>
      <c r="T56" s="188" t="e">
        <f t="shared" si="134"/>
        <v>#VALUE!</v>
      </c>
      <c r="U56" s="187" t="e">
        <f t="shared" si="122"/>
        <v>#VALUE!</v>
      </c>
    </row>
    <row r="57" spans="1:21">
      <c r="A57" s="169">
        <f>VLOOKUP(B57,Misc_inputs!$A$3:$B$33,2,0)</f>
        <v>0.51307917271416026</v>
      </c>
      <c r="B57" s="168">
        <v>2015</v>
      </c>
      <c r="C57" s="169" t="s">
        <v>429</v>
      </c>
      <c r="D57" s="187" t="e">
        <f t="shared" ref="D57:D72" si="135">C57*$A57/100</f>
        <v>#VALUE!</v>
      </c>
      <c r="E57" s="188" t="e">
        <f t="shared" si="124"/>
        <v>#VALUE!</v>
      </c>
      <c r="F57" s="169" t="s">
        <v>429</v>
      </c>
      <c r="G57" s="187" t="e">
        <f t="shared" ref="G57:G72" si="136">F57*$A57/100</f>
        <v>#VALUE!</v>
      </c>
      <c r="H57" s="188" t="e">
        <f t="shared" si="126"/>
        <v>#VALUE!</v>
      </c>
      <c r="I57" s="169" t="s">
        <v>429</v>
      </c>
      <c r="J57" s="187" t="e">
        <f t="shared" ref="J57:J72" si="137">I57*$A57/100</f>
        <v>#VALUE!</v>
      </c>
      <c r="K57" s="188" t="e">
        <f t="shared" si="128"/>
        <v>#VALUE!</v>
      </c>
      <c r="L57" s="169" t="s">
        <v>429</v>
      </c>
      <c r="M57" s="187" t="e">
        <f t="shared" ref="M57:M72" si="138">L57*$A57/100</f>
        <v>#VALUE!</v>
      </c>
      <c r="N57" s="188" t="e">
        <f t="shared" si="130"/>
        <v>#VALUE!</v>
      </c>
      <c r="O57" s="169" t="s">
        <v>429</v>
      </c>
      <c r="P57" s="187" t="e">
        <f t="shared" ref="P57:P72" si="139">O57*$A57/100</f>
        <v>#VALUE!</v>
      </c>
      <c r="Q57" s="188" t="e">
        <f t="shared" si="132"/>
        <v>#VALUE!</v>
      </c>
      <c r="R57" s="169" t="s">
        <v>429</v>
      </c>
      <c r="S57" s="187" t="e">
        <f t="shared" ref="S57:S72" si="140">R57*$A57/100</f>
        <v>#VALUE!</v>
      </c>
      <c r="T57" s="188" t="e">
        <f t="shared" si="134"/>
        <v>#VALUE!</v>
      </c>
      <c r="U57" s="187" t="e">
        <f t="shared" si="122"/>
        <v>#VALUE!</v>
      </c>
    </row>
    <row r="58" spans="1:21">
      <c r="A58" s="169">
        <f>VLOOKUP(B58,Misc_inputs!$A$3:$B$33,2,0)</f>
        <v>1.8963035451147277</v>
      </c>
      <c r="B58" s="168">
        <v>2016</v>
      </c>
      <c r="C58" s="169" t="s">
        <v>429</v>
      </c>
      <c r="D58" s="187" t="e">
        <f t="shared" si="135"/>
        <v>#VALUE!</v>
      </c>
      <c r="E58" s="188" t="e">
        <f t="shared" si="124"/>
        <v>#VALUE!</v>
      </c>
      <c r="F58" s="169" t="s">
        <v>429</v>
      </c>
      <c r="G58" s="187" t="e">
        <f t="shared" si="136"/>
        <v>#VALUE!</v>
      </c>
      <c r="H58" s="188" t="e">
        <f t="shared" si="126"/>
        <v>#VALUE!</v>
      </c>
      <c r="I58" s="169" t="s">
        <v>429</v>
      </c>
      <c r="J58" s="187" t="e">
        <f t="shared" si="137"/>
        <v>#VALUE!</v>
      </c>
      <c r="K58" s="188" t="e">
        <f t="shared" si="128"/>
        <v>#VALUE!</v>
      </c>
      <c r="L58" s="169" t="s">
        <v>429</v>
      </c>
      <c r="M58" s="187" t="e">
        <f t="shared" si="138"/>
        <v>#VALUE!</v>
      </c>
      <c r="N58" s="188" t="e">
        <f t="shared" si="130"/>
        <v>#VALUE!</v>
      </c>
      <c r="O58" s="169" t="s">
        <v>429</v>
      </c>
      <c r="P58" s="187" t="e">
        <f t="shared" si="139"/>
        <v>#VALUE!</v>
      </c>
      <c r="Q58" s="188" t="e">
        <f t="shared" si="132"/>
        <v>#VALUE!</v>
      </c>
      <c r="R58" s="169" t="s">
        <v>429</v>
      </c>
      <c r="S58" s="187" t="e">
        <f t="shared" si="140"/>
        <v>#VALUE!</v>
      </c>
      <c r="T58" s="188" t="e">
        <f t="shared" si="134"/>
        <v>#VALUE!</v>
      </c>
      <c r="U58" s="187" t="e">
        <f t="shared" si="122"/>
        <v>#VALUE!</v>
      </c>
    </row>
    <row r="59" spans="1:21">
      <c r="A59" s="169">
        <f>VLOOKUP(B59,Misc_inputs!$A$3:$B$33,2,0)</f>
        <v>1.8209228570152332</v>
      </c>
      <c r="B59" s="168">
        <v>2017</v>
      </c>
      <c r="C59" s="169" t="s">
        <v>429</v>
      </c>
      <c r="D59" s="187" t="e">
        <f t="shared" si="135"/>
        <v>#VALUE!</v>
      </c>
      <c r="E59" s="188" t="e">
        <f t="shared" si="124"/>
        <v>#VALUE!</v>
      </c>
      <c r="F59" s="169" t="s">
        <v>429</v>
      </c>
      <c r="G59" s="187" t="e">
        <f t="shared" si="136"/>
        <v>#VALUE!</v>
      </c>
      <c r="H59" s="188" t="e">
        <f t="shared" si="126"/>
        <v>#VALUE!</v>
      </c>
      <c r="I59" s="169" t="s">
        <v>429</v>
      </c>
      <c r="J59" s="187" t="e">
        <f t="shared" si="137"/>
        <v>#VALUE!</v>
      </c>
      <c r="K59" s="188" t="e">
        <f t="shared" si="128"/>
        <v>#VALUE!</v>
      </c>
      <c r="L59" s="169" t="s">
        <v>429</v>
      </c>
      <c r="M59" s="187" t="e">
        <f t="shared" si="138"/>
        <v>#VALUE!</v>
      </c>
      <c r="N59" s="188" t="e">
        <f t="shared" si="130"/>
        <v>#VALUE!</v>
      </c>
      <c r="O59" s="169" t="s">
        <v>429</v>
      </c>
      <c r="P59" s="187" t="e">
        <f t="shared" si="139"/>
        <v>#VALUE!</v>
      </c>
      <c r="Q59" s="188" t="e">
        <f t="shared" si="132"/>
        <v>#VALUE!</v>
      </c>
      <c r="R59" s="169" t="s">
        <v>429</v>
      </c>
      <c r="S59" s="187" t="e">
        <f t="shared" si="140"/>
        <v>#VALUE!</v>
      </c>
      <c r="T59" s="188" t="e">
        <f t="shared" si="134"/>
        <v>#VALUE!</v>
      </c>
      <c r="U59" s="187" t="e">
        <f t="shared" si="122"/>
        <v>#VALUE!</v>
      </c>
    </row>
    <row r="60" spans="1:21">
      <c r="A60" s="169">
        <f>VLOOKUP(B60,Misc_inputs!$A$3:$B$33,2,0)</f>
        <v>1.9988242855231282</v>
      </c>
      <c r="B60" s="168">
        <v>2018</v>
      </c>
      <c r="C60" s="169" t="s">
        <v>429</v>
      </c>
      <c r="D60" s="187" t="e">
        <f t="shared" si="135"/>
        <v>#VALUE!</v>
      </c>
      <c r="E60" s="188" t="e">
        <f t="shared" si="124"/>
        <v>#VALUE!</v>
      </c>
      <c r="F60" s="169" t="s">
        <v>429</v>
      </c>
      <c r="G60" s="187" t="e">
        <f t="shared" si="136"/>
        <v>#VALUE!</v>
      </c>
      <c r="H60" s="188" t="e">
        <f t="shared" si="126"/>
        <v>#VALUE!</v>
      </c>
      <c r="I60" s="169" t="s">
        <v>429</v>
      </c>
      <c r="J60" s="187" t="e">
        <f t="shared" si="137"/>
        <v>#VALUE!</v>
      </c>
      <c r="K60" s="188" t="e">
        <f t="shared" si="128"/>
        <v>#VALUE!</v>
      </c>
      <c r="L60" s="169" t="s">
        <v>429</v>
      </c>
      <c r="M60" s="187" t="e">
        <f t="shared" si="138"/>
        <v>#VALUE!</v>
      </c>
      <c r="N60" s="188" t="e">
        <f t="shared" si="130"/>
        <v>#VALUE!</v>
      </c>
      <c r="O60" s="169" t="s">
        <v>429</v>
      </c>
      <c r="P60" s="187" t="e">
        <f t="shared" si="139"/>
        <v>#VALUE!</v>
      </c>
      <c r="Q60" s="188" t="e">
        <f t="shared" si="132"/>
        <v>#VALUE!</v>
      </c>
      <c r="R60" s="169" t="s">
        <v>429</v>
      </c>
      <c r="S60" s="187" t="e">
        <f t="shared" si="140"/>
        <v>#VALUE!</v>
      </c>
      <c r="T60" s="188" t="e">
        <f t="shared" si="134"/>
        <v>#VALUE!</v>
      </c>
      <c r="U60" s="187" t="e">
        <f t="shared" si="122"/>
        <v>#VALUE!</v>
      </c>
    </row>
    <row r="61" spans="1:21">
      <c r="A61" s="169">
        <f>VLOOKUP(B61,Misc_inputs!$A$3:$B$33,2,0)</f>
        <v>2.0163202370724722</v>
      </c>
      <c r="B61" s="168">
        <v>2019</v>
      </c>
      <c r="C61" s="169" t="s">
        <v>429</v>
      </c>
      <c r="D61" s="187" t="e">
        <f t="shared" si="135"/>
        <v>#VALUE!</v>
      </c>
      <c r="E61" s="188" t="e">
        <f t="shared" si="124"/>
        <v>#VALUE!</v>
      </c>
      <c r="F61" s="169" t="s">
        <v>429</v>
      </c>
      <c r="G61" s="187" t="e">
        <f t="shared" si="136"/>
        <v>#VALUE!</v>
      </c>
      <c r="H61" s="188" t="e">
        <f t="shared" si="126"/>
        <v>#VALUE!</v>
      </c>
      <c r="I61" s="169" t="s">
        <v>429</v>
      </c>
      <c r="J61" s="187" t="e">
        <f t="shared" si="137"/>
        <v>#VALUE!</v>
      </c>
      <c r="K61" s="188" t="e">
        <f t="shared" si="128"/>
        <v>#VALUE!</v>
      </c>
      <c r="L61" s="169" t="s">
        <v>429</v>
      </c>
      <c r="M61" s="187" t="e">
        <f t="shared" si="138"/>
        <v>#VALUE!</v>
      </c>
      <c r="N61" s="188" t="e">
        <f t="shared" si="130"/>
        <v>#VALUE!</v>
      </c>
      <c r="O61" s="169" t="s">
        <v>429</v>
      </c>
      <c r="P61" s="187" t="e">
        <f t="shared" si="139"/>
        <v>#VALUE!</v>
      </c>
      <c r="Q61" s="188" t="e">
        <f t="shared" si="132"/>
        <v>#VALUE!</v>
      </c>
      <c r="R61" s="169" t="s">
        <v>429</v>
      </c>
      <c r="S61" s="187" t="e">
        <f t="shared" si="140"/>
        <v>#VALUE!</v>
      </c>
      <c r="T61" s="188" t="e">
        <f t="shared" si="134"/>
        <v>#VALUE!</v>
      </c>
      <c r="U61" s="187" t="e">
        <f t="shared" si="122"/>
        <v>#VALUE!</v>
      </c>
    </row>
    <row r="62" spans="1:21">
      <c r="A62" s="169">
        <f>VLOOKUP(B62,Misc_inputs!$A$3:$B$33,2,0)</f>
        <v>5.3200852056836103</v>
      </c>
      <c r="B62" s="168">
        <v>2020</v>
      </c>
      <c r="C62" s="169" t="s">
        <v>429</v>
      </c>
      <c r="D62" s="187" t="e">
        <f t="shared" si="135"/>
        <v>#VALUE!</v>
      </c>
      <c r="E62" s="188" t="e">
        <f t="shared" si="124"/>
        <v>#VALUE!</v>
      </c>
      <c r="F62" s="169" t="s">
        <v>429</v>
      </c>
      <c r="G62" s="187" t="e">
        <f t="shared" si="136"/>
        <v>#VALUE!</v>
      </c>
      <c r="H62" s="188" t="e">
        <f t="shared" si="126"/>
        <v>#VALUE!</v>
      </c>
      <c r="I62" s="169" t="s">
        <v>429</v>
      </c>
      <c r="J62" s="187" t="e">
        <f t="shared" si="137"/>
        <v>#VALUE!</v>
      </c>
      <c r="K62" s="188" t="e">
        <f t="shared" si="128"/>
        <v>#VALUE!</v>
      </c>
      <c r="L62" s="169" t="s">
        <v>429</v>
      </c>
      <c r="M62" s="187" t="e">
        <f t="shared" si="138"/>
        <v>#VALUE!</v>
      </c>
      <c r="N62" s="188" t="e">
        <f t="shared" si="130"/>
        <v>#VALUE!</v>
      </c>
      <c r="O62" s="169" t="s">
        <v>429</v>
      </c>
      <c r="P62" s="187" t="e">
        <f t="shared" si="139"/>
        <v>#VALUE!</v>
      </c>
      <c r="Q62" s="188" t="e">
        <f t="shared" si="132"/>
        <v>#VALUE!</v>
      </c>
      <c r="R62" s="169" t="s">
        <v>429</v>
      </c>
      <c r="S62" s="187" t="e">
        <f t="shared" si="140"/>
        <v>#VALUE!</v>
      </c>
      <c r="T62" s="188" t="e">
        <f t="shared" si="134"/>
        <v>#VALUE!</v>
      </c>
      <c r="U62" s="187" t="e">
        <f t="shared" si="122"/>
        <v>#VALUE!</v>
      </c>
    </row>
    <row r="63" spans="1:21">
      <c r="A63" s="169">
        <f>VLOOKUP(B63,Misc_inputs!$A$3:$B$33,2,0)</f>
        <v>7.6258108678813302E-2</v>
      </c>
      <c r="B63" s="168">
        <v>2021</v>
      </c>
      <c r="C63" s="169" t="s">
        <v>429</v>
      </c>
      <c r="D63" s="187" t="e">
        <f t="shared" si="135"/>
        <v>#VALUE!</v>
      </c>
      <c r="E63" s="188" t="e">
        <f t="shared" si="124"/>
        <v>#VALUE!</v>
      </c>
      <c r="F63" s="169" t="s">
        <v>429</v>
      </c>
      <c r="G63" s="187" t="e">
        <f t="shared" si="136"/>
        <v>#VALUE!</v>
      </c>
      <c r="H63" s="188" t="e">
        <f t="shared" si="126"/>
        <v>#VALUE!</v>
      </c>
      <c r="I63" s="169" t="s">
        <v>429</v>
      </c>
      <c r="J63" s="187" t="e">
        <f t="shared" si="137"/>
        <v>#VALUE!</v>
      </c>
      <c r="K63" s="188" t="e">
        <f t="shared" si="128"/>
        <v>#VALUE!</v>
      </c>
      <c r="L63" s="169" t="s">
        <v>429</v>
      </c>
      <c r="M63" s="187" t="e">
        <f t="shared" si="138"/>
        <v>#VALUE!</v>
      </c>
      <c r="N63" s="188" t="e">
        <f t="shared" si="130"/>
        <v>#VALUE!</v>
      </c>
      <c r="O63" s="169" t="s">
        <v>429</v>
      </c>
      <c r="P63" s="187" t="e">
        <f t="shared" si="139"/>
        <v>#VALUE!</v>
      </c>
      <c r="Q63" s="188" t="e">
        <f t="shared" si="132"/>
        <v>#VALUE!</v>
      </c>
      <c r="R63" s="169" t="s">
        <v>429</v>
      </c>
      <c r="S63" s="187" t="e">
        <f t="shared" si="140"/>
        <v>#VALUE!</v>
      </c>
      <c r="T63" s="188" t="e">
        <f t="shared" si="134"/>
        <v>#VALUE!</v>
      </c>
      <c r="U63" s="187" t="e">
        <f t="shared" si="122"/>
        <v>#VALUE!</v>
      </c>
    </row>
    <row r="64" spans="1:21">
      <c r="A64" s="169">
        <f>VLOOKUP(B64,Misc_inputs!$A$3:$B$33,2,0)</f>
        <v>2.8492930312000952</v>
      </c>
      <c r="B64" s="168">
        <v>2022</v>
      </c>
      <c r="C64" s="169" t="s">
        <v>429</v>
      </c>
      <c r="D64" s="187" t="e">
        <f t="shared" si="135"/>
        <v>#VALUE!</v>
      </c>
      <c r="E64" s="188" t="e">
        <f t="shared" si="124"/>
        <v>#VALUE!</v>
      </c>
      <c r="F64" s="169" t="s">
        <v>429</v>
      </c>
      <c r="G64" s="187" t="e">
        <f t="shared" si="136"/>
        <v>#VALUE!</v>
      </c>
      <c r="H64" s="188" t="e">
        <f t="shared" si="126"/>
        <v>#VALUE!</v>
      </c>
      <c r="I64" s="169" t="s">
        <v>429</v>
      </c>
      <c r="J64" s="187" t="e">
        <f t="shared" si="137"/>
        <v>#VALUE!</v>
      </c>
      <c r="K64" s="188" t="e">
        <f t="shared" si="128"/>
        <v>#VALUE!</v>
      </c>
      <c r="L64" s="169" t="s">
        <v>429</v>
      </c>
      <c r="M64" s="187" t="e">
        <f t="shared" si="138"/>
        <v>#VALUE!</v>
      </c>
      <c r="N64" s="188" t="e">
        <f t="shared" si="130"/>
        <v>#VALUE!</v>
      </c>
      <c r="O64" s="169" t="s">
        <v>429</v>
      </c>
      <c r="P64" s="187" t="e">
        <f t="shared" si="139"/>
        <v>#VALUE!</v>
      </c>
      <c r="Q64" s="188" t="e">
        <f t="shared" si="132"/>
        <v>#VALUE!</v>
      </c>
      <c r="R64" s="169" t="s">
        <v>429</v>
      </c>
      <c r="S64" s="187" t="e">
        <f t="shared" si="140"/>
        <v>#VALUE!</v>
      </c>
      <c r="T64" s="188" t="e">
        <f t="shared" si="134"/>
        <v>#VALUE!</v>
      </c>
      <c r="U64" s="187" t="e">
        <f t="shared" si="122"/>
        <v>#VALUE!</v>
      </c>
    </row>
    <row r="65" spans="1:21">
      <c r="A65" s="169">
        <f>VLOOKUP(B65,Misc_inputs!$A$3:$B$33,2,0)</f>
        <v>3.143440902459993</v>
      </c>
      <c r="B65" s="168">
        <v>2023</v>
      </c>
      <c r="C65" s="169" t="s">
        <v>429</v>
      </c>
      <c r="D65" s="187" t="e">
        <f t="shared" si="135"/>
        <v>#VALUE!</v>
      </c>
      <c r="E65" s="188" t="e">
        <f t="shared" si="124"/>
        <v>#VALUE!</v>
      </c>
      <c r="F65" s="169" t="s">
        <v>429</v>
      </c>
      <c r="G65" s="187" t="e">
        <f t="shared" si="136"/>
        <v>#VALUE!</v>
      </c>
      <c r="H65" s="188" t="e">
        <f t="shared" si="126"/>
        <v>#VALUE!</v>
      </c>
      <c r="I65" s="169" t="s">
        <v>429</v>
      </c>
      <c r="J65" s="187" t="e">
        <f t="shared" si="137"/>
        <v>#VALUE!</v>
      </c>
      <c r="K65" s="188" t="e">
        <f t="shared" si="128"/>
        <v>#VALUE!</v>
      </c>
      <c r="L65" s="169" t="s">
        <v>429</v>
      </c>
      <c r="M65" s="187" t="e">
        <f t="shared" si="138"/>
        <v>#VALUE!</v>
      </c>
      <c r="N65" s="188" t="e">
        <f t="shared" si="130"/>
        <v>#VALUE!</v>
      </c>
      <c r="O65" s="169" t="s">
        <v>429</v>
      </c>
      <c r="P65" s="187" t="e">
        <f t="shared" si="139"/>
        <v>#VALUE!</v>
      </c>
      <c r="Q65" s="188" t="e">
        <f t="shared" si="132"/>
        <v>#VALUE!</v>
      </c>
      <c r="R65" s="169" t="s">
        <v>429</v>
      </c>
      <c r="S65" s="187" t="e">
        <f t="shared" si="140"/>
        <v>#VALUE!</v>
      </c>
      <c r="T65" s="188" t="e">
        <f t="shared" si="134"/>
        <v>#VALUE!</v>
      </c>
      <c r="U65" s="187" t="e">
        <f t="shared" si="122"/>
        <v>#VALUE!</v>
      </c>
    </row>
    <row r="66" spans="1:21">
      <c r="A66" s="169">
        <f>VLOOKUP(B66,Misc_inputs!$A$3:$B$33,2,0)</f>
        <v>1.8594732384912049</v>
      </c>
      <c r="B66" s="168">
        <v>2024</v>
      </c>
      <c r="C66" s="169" t="s">
        <v>429</v>
      </c>
      <c r="D66" s="187" t="e">
        <f t="shared" si="135"/>
        <v>#VALUE!</v>
      </c>
      <c r="E66" s="188" t="e">
        <f t="shared" si="124"/>
        <v>#VALUE!</v>
      </c>
      <c r="F66" s="169" t="s">
        <v>429</v>
      </c>
      <c r="G66" s="187" t="e">
        <f t="shared" si="136"/>
        <v>#VALUE!</v>
      </c>
      <c r="H66" s="188" t="e">
        <f t="shared" si="126"/>
        <v>#VALUE!</v>
      </c>
      <c r="I66" s="169" t="s">
        <v>429</v>
      </c>
      <c r="J66" s="187" t="e">
        <f t="shared" si="137"/>
        <v>#VALUE!</v>
      </c>
      <c r="K66" s="188" t="e">
        <f t="shared" si="128"/>
        <v>#VALUE!</v>
      </c>
      <c r="L66" s="169" t="s">
        <v>429</v>
      </c>
      <c r="M66" s="187" t="e">
        <f t="shared" si="138"/>
        <v>#VALUE!</v>
      </c>
      <c r="N66" s="188" t="e">
        <f t="shared" si="130"/>
        <v>#VALUE!</v>
      </c>
      <c r="O66" s="169" t="s">
        <v>429</v>
      </c>
      <c r="P66" s="187" t="e">
        <f t="shared" si="139"/>
        <v>#VALUE!</v>
      </c>
      <c r="Q66" s="188" t="e">
        <f t="shared" si="132"/>
        <v>#VALUE!</v>
      </c>
      <c r="R66" s="169" t="s">
        <v>429</v>
      </c>
      <c r="S66" s="187" t="e">
        <f t="shared" si="140"/>
        <v>#VALUE!</v>
      </c>
      <c r="T66" s="188" t="e">
        <f t="shared" si="134"/>
        <v>#VALUE!</v>
      </c>
      <c r="U66" s="187" t="e">
        <f t="shared" si="122"/>
        <v>#VALUE!</v>
      </c>
    </row>
    <row r="67" spans="1:21">
      <c r="A67" s="169">
        <f>VLOOKUP(B67,Misc_inputs!$A$3:$B$33,2,0)</f>
        <v>1.892198034308179</v>
      </c>
      <c r="B67" s="168">
        <v>2025</v>
      </c>
      <c r="C67" s="169" t="s">
        <v>429</v>
      </c>
      <c r="D67" s="187" t="e">
        <f t="shared" si="135"/>
        <v>#VALUE!</v>
      </c>
      <c r="E67" s="188" t="e">
        <f t="shared" si="124"/>
        <v>#VALUE!</v>
      </c>
      <c r="F67" s="169" t="s">
        <v>429</v>
      </c>
      <c r="G67" s="187" t="e">
        <f t="shared" si="136"/>
        <v>#VALUE!</v>
      </c>
      <c r="H67" s="188" t="e">
        <f t="shared" si="126"/>
        <v>#VALUE!</v>
      </c>
      <c r="I67" s="169" t="s">
        <v>429</v>
      </c>
      <c r="J67" s="187" t="e">
        <f t="shared" si="137"/>
        <v>#VALUE!</v>
      </c>
      <c r="K67" s="188" t="e">
        <f t="shared" si="128"/>
        <v>#VALUE!</v>
      </c>
      <c r="L67" s="169" t="s">
        <v>429</v>
      </c>
      <c r="M67" s="187" t="e">
        <f t="shared" si="138"/>
        <v>#VALUE!</v>
      </c>
      <c r="N67" s="188" t="e">
        <f t="shared" si="130"/>
        <v>#VALUE!</v>
      </c>
      <c r="O67" s="169" t="s">
        <v>429</v>
      </c>
      <c r="P67" s="187" t="e">
        <f t="shared" si="139"/>
        <v>#VALUE!</v>
      </c>
      <c r="Q67" s="188" t="e">
        <f t="shared" si="132"/>
        <v>#VALUE!</v>
      </c>
      <c r="R67" s="169" t="s">
        <v>429</v>
      </c>
      <c r="S67" s="187" t="e">
        <f t="shared" si="140"/>
        <v>#VALUE!</v>
      </c>
      <c r="T67" s="188" t="e">
        <f t="shared" si="134"/>
        <v>#VALUE!</v>
      </c>
      <c r="U67" s="187" t="e">
        <f t="shared" si="122"/>
        <v>#VALUE!</v>
      </c>
    </row>
    <row r="68" spans="1:21">
      <c r="A68" s="169">
        <f>VLOOKUP(B68,Misc_inputs!$A$3:$B$33,2,0)</f>
        <v>2.0003592159356653</v>
      </c>
      <c r="B68" s="168">
        <v>2026</v>
      </c>
      <c r="C68" s="169" t="s">
        <v>429</v>
      </c>
      <c r="D68" s="187" t="e">
        <f t="shared" si="135"/>
        <v>#VALUE!</v>
      </c>
      <c r="E68" s="188" t="e">
        <f t="shared" si="124"/>
        <v>#VALUE!</v>
      </c>
      <c r="F68" s="169" t="s">
        <v>429</v>
      </c>
      <c r="G68" s="187" t="e">
        <f t="shared" si="136"/>
        <v>#VALUE!</v>
      </c>
      <c r="H68" s="188" t="e">
        <f t="shared" si="126"/>
        <v>#VALUE!</v>
      </c>
      <c r="I68" s="169" t="s">
        <v>429</v>
      </c>
      <c r="J68" s="187" t="e">
        <f t="shared" si="137"/>
        <v>#VALUE!</v>
      </c>
      <c r="K68" s="188" t="e">
        <f t="shared" si="128"/>
        <v>#VALUE!</v>
      </c>
      <c r="L68" s="169" t="s">
        <v>429</v>
      </c>
      <c r="M68" s="187" t="e">
        <f t="shared" si="138"/>
        <v>#VALUE!</v>
      </c>
      <c r="N68" s="188" t="e">
        <f t="shared" si="130"/>
        <v>#VALUE!</v>
      </c>
      <c r="O68" s="169" t="s">
        <v>429</v>
      </c>
      <c r="P68" s="187" t="e">
        <f t="shared" si="139"/>
        <v>#VALUE!</v>
      </c>
      <c r="Q68" s="188" t="e">
        <f t="shared" si="132"/>
        <v>#VALUE!</v>
      </c>
      <c r="R68" s="169" t="s">
        <v>429</v>
      </c>
      <c r="S68" s="187" t="e">
        <f t="shared" si="140"/>
        <v>#VALUE!</v>
      </c>
      <c r="T68" s="188" t="e">
        <f t="shared" si="134"/>
        <v>#VALUE!</v>
      </c>
      <c r="U68" s="187" t="e">
        <f t="shared" si="122"/>
        <v>#VALUE!</v>
      </c>
    </row>
    <row r="69" spans="1:21">
      <c r="A69" s="169">
        <f>VLOOKUP(B69,Misc_inputs!$A$3:$B$33,2,0)</f>
        <v>0</v>
      </c>
      <c r="B69" s="168">
        <v>2027</v>
      </c>
      <c r="C69" s="169" t="s">
        <v>429</v>
      </c>
      <c r="D69" s="187" t="e">
        <f t="shared" si="135"/>
        <v>#VALUE!</v>
      </c>
      <c r="E69" s="188" t="e">
        <f t="shared" si="124"/>
        <v>#VALUE!</v>
      </c>
      <c r="F69" s="169" t="s">
        <v>429</v>
      </c>
      <c r="G69" s="187" t="e">
        <f t="shared" si="136"/>
        <v>#VALUE!</v>
      </c>
      <c r="H69" s="188" t="e">
        <f t="shared" si="126"/>
        <v>#VALUE!</v>
      </c>
      <c r="I69" s="169" t="s">
        <v>429</v>
      </c>
      <c r="J69" s="187" t="e">
        <f t="shared" si="137"/>
        <v>#VALUE!</v>
      </c>
      <c r="K69" s="188" t="e">
        <f t="shared" si="128"/>
        <v>#VALUE!</v>
      </c>
      <c r="L69" s="169" t="s">
        <v>429</v>
      </c>
      <c r="M69" s="187" t="e">
        <f t="shared" si="138"/>
        <v>#VALUE!</v>
      </c>
      <c r="N69" s="188" t="e">
        <f t="shared" si="130"/>
        <v>#VALUE!</v>
      </c>
      <c r="O69" s="169" t="s">
        <v>429</v>
      </c>
      <c r="P69" s="187" t="e">
        <f t="shared" si="139"/>
        <v>#VALUE!</v>
      </c>
      <c r="Q69" s="188" t="e">
        <f t="shared" si="132"/>
        <v>#VALUE!</v>
      </c>
      <c r="R69" s="169" t="s">
        <v>429</v>
      </c>
      <c r="S69" s="187" t="e">
        <f t="shared" si="140"/>
        <v>#VALUE!</v>
      </c>
      <c r="T69" s="188" t="e">
        <f t="shared" si="134"/>
        <v>#VALUE!</v>
      </c>
      <c r="U69" s="187" t="e">
        <f t="shared" si="122"/>
        <v>#VALUE!</v>
      </c>
    </row>
    <row r="70" spans="1:21">
      <c r="A70" s="169">
        <f>VLOOKUP(B70,Misc_inputs!$A$3:$B$33,2,0)</f>
        <v>0</v>
      </c>
      <c r="B70" s="168">
        <v>2028</v>
      </c>
      <c r="C70" s="169" t="s">
        <v>429</v>
      </c>
      <c r="D70" s="187" t="e">
        <f t="shared" si="135"/>
        <v>#VALUE!</v>
      </c>
      <c r="E70" s="188" t="e">
        <f t="shared" si="124"/>
        <v>#VALUE!</v>
      </c>
      <c r="F70" s="169" t="s">
        <v>429</v>
      </c>
      <c r="G70" s="187" t="e">
        <f t="shared" si="136"/>
        <v>#VALUE!</v>
      </c>
      <c r="H70" s="188" t="e">
        <f t="shared" si="126"/>
        <v>#VALUE!</v>
      </c>
      <c r="I70" s="169" t="s">
        <v>429</v>
      </c>
      <c r="J70" s="187" t="e">
        <f t="shared" si="137"/>
        <v>#VALUE!</v>
      </c>
      <c r="K70" s="188" t="e">
        <f t="shared" si="128"/>
        <v>#VALUE!</v>
      </c>
      <c r="L70" s="169" t="s">
        <v>429</v>
      </c>
      <c r="M70" s="187" t="e">
        <f t="shared" si="138"/>
        <v>#VALUE!</v>
      </c>
      <c r="N70" s="188" t="e">
        <f t="shared" si="130"/>
        <v>#VALUE!</v>
      </c>
      <c r="O70" s="169" t="s">
        <v>429</v>
      </c>
      <c r="P70" s="187" t="e">
        <f t="shared" si="139"/>
        <v>#VALUE!</v>
      </c>
      <c r="Q70" s="188" t="e">
        <f t="shared" si="132"/>
        <v>#VALUE!</v>
      </c>
      <c r="R70" s="169" t="s">
        <v>429</v>
      </c>
      <c r="S70" s="187" t="e">
        <f t="shared" si="140"/>
        <v>#VALUE!</v>
      </c>
      <c r="T70" s="188" t="e">
        <f t="shared" si="134"/>
        <v>#VALUE!</v>
      </c>
      <c r="U70" s="187" t="e">
        <f t="shared" si="122"/>
        <v>#VALUE!</v>
      </c>
    </row>
    <row r="71" spans="1:21">
      <c r="A71" s="169">
        <f>VLOOKUP(B71,Misc_inputs!$A$3:$B$33,2,0)</f>
        <v>0</v>
      </c>
      <c r="B71" s="168">
        <v>2029</v>
      </c>
      <c r="C71" s="169" t="s">
        <v>429</v>
      </c>
      <c r="D71" s="187" t="e">
        <f t="shared" si="135"/>
        <v>#VALUE!</v>
      </c>
      <c r="E71" s="188" t="e">
        <f t="shared" si="124"/>
        <v>#VALUE!</v>
      </c>
      <c r="F71" s="169" t="s">
        <v>429</v>
      </c>
      <c r="G71" s="187" t="e">
        <f t="shared" si="136"/>
        <v>#VALUE!</v>
      </c>
      <c r="H71" s="188" t="e">
        <f t="shared" si="126"/>
        <v>#VALUE!</v>
      </c>
      <c r="I71" s="169" t="s">
        <v>429</v>
      </c>
      <c r="J71" s="187" t="e">
        <f t="shared" si="137"/>
        <v>#VALUE!</v>
      </c>
      <c r="K71" s="188" t="e">
        <f t="shared" si="128"/>
        <v>#VALUE!</v>
      </c>
      <c r="L71" s="169" t="s">
        <v>429</v>
      </c>
      <c r="M71" s="187" t="e">
        <f t="shared" si="138"/>
        <v>#VALUE!</v>
      </c>
      <c r="N71" s="188" t="e">
        <f t="shared" si="130"/>
        <v>#VALUE!</v>
      </c>
      <c r="O71" s="169" t="s">
        <v>429</v>
      </c>
      <c r="P71" s="187" t="e">
        <f t="shared" si="139"/>
        <v>#VALUE!</v>
      </c>
      <c r="Q71" s="188" t="e">
        <f t="shared" si="132"/>
        <v>#VALUE!</v>
      </c>
      <c r="R71" s="169" t="s">
        <v>429</v>
      </c>
      <c r="S71" s="187" t="e">
        <f t="shared" si="140"/>
        <v>#VALUE!</v>
      </c>
      <c r="T71" s="188" t="e">
        <f t="shared" si="134"/>
        <v>#VALUE!</v>
      </c>
      <c r="U71" s="187" t="e">
        <f t="shared" si="122"/>
        <v>#VALUE!</v>
      </c>
    </row>
    <row r="72" spans="1:21">
      <c r="A72" s="169">
        <f>VLOOKUP(B72,Misc_inputs!$A$3:$B$33,2,0)</f>
        <v>0</v>
      </c>
      <c r="B72" s="168">
        <v>2030</v>
      </c>
      <c r="C72" s="169" t="s">
        <v>429</v>
      </c>
      <c r="D72" s="187" t="e">
        <f t="shared" si="135"/>
        <v>#VALUE!</v>
      </c>
      <c r="E72" s="188" t="e">
        <f t="shared" si="124"/>
        <v>#VALUE!</v>
      </c>
      <c r="F72" s="169" t="s">
        <v>429</v>
      </c>
      <c r="G72" s="187" t="e">
        <f t="shared" si="136"/>
        <v>#VALUE!</v>
      </c>
      <c r="H72" s="188" t="e">
        <f t="shared" si="126"/>
        <v>#VALUE!</v>
      </c>
      <c r="I72" s="169" t="s">
        <v>429</v>
      </c>
      <c r="J72" s="187" t="e">
        <f t="shared" si="137"/>
        <v>#VALUE!</v>
      </c>
      <c r="K72" s="188" t="e">
        <f t="shared" si="128"/>
        <v>#VALUE!</v>
      </c>
      <c r="L72" s="169" t="s">
        <v>429</v>
      </c>
      <c r="M72" s="187" t="e">
        <f t="shared" si="138"/>
        <v>#VALUE!</v>
      </c>
      <c r="N72" s="188" t="e">
        <f t="shared" si="130"/>
        <v>#VALUE!</v>
      </c>
      <c r="O72" s="169" t="s">
        <v>429</v>
      </c>
      <c r="P72" s="187" t="e">
        <f t="shared" si="139"/>
        <v>#VALUE!</v>
      </c>
      <c r="Q72" s="188" t="e">
        <f t="shared" si="132"/>
        <v>#VALUE!</v>
      </c>
      <c r="R72" s="169" t="s">
        <v>429</v>
      </c>
      <c r="S72" s="187" t="e">
        <f t="shared" si="140"/>
        <v>#VALUE!</v>
      </c>
      <c r="T72" s="188" t="e">
        <f t="shared" si="134"/>
        <v>#VALUE!</v>
      </c>
      <c r="U72" s="187" t="e">
        <f t="shared" si="122"/>
        <v>#VALUE!</v>
      </c>
    </row>
    <row r="76" spans="1:21" s="222" customFormat="1">
      <c r="A76" s="222" t="s">
        <v>697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
    <tabColor rgb="FF0070C0"/>
  </sheetPr>
  <dimension ref="A1:AW77"/>
  <sheetViews>
    <sheetView workbookViewId="0"/>
  </sheetViews>
  <sheetFormatPr defaultColWidth="10.921875" defaultRowHeight="15.5"/>
  <cols>
    <col min="1" max="1" width="10.921875" style="169"/>
    <col min="2" max="2" width="10.921875" style="168"/>
    <col min="3" max="3" width="14.23046875" style="168" customWidth="1"/>
    <col min="4" max="4" width="11.4609375" style="168" customWidth="1"/>
    <col min="5" max="5" width="14.23046875" style="193" customWidth="1"/>
    <col min="6" max="6" width="12.921875" style="168" customWidth="1"/>
    <col min="7" max="7" width="11.4609375" style="168" customWidth="1"/>
    <col min="8" max="8" width="14.23046875" style="193" customWidth="1"/>
    <col min="9" max="10" width="10.921875" style="168"/>
    <col min="11" max="11" width="10.921875" style="193"/>
    <col min="12" max="13" width="10.921875" style="168"/>
    <col min="14" max="14" width="10.921875" style="193"/>
    <col min="15" max="16" width="10.921875" style="168"/>
    <col min="17" max="17" width="10.921875" style="193"/>
    <col min="18" max="18" width="13.69140625" style="168" customWidth="1"/>
    <col min="19" max="19" width="10.921875" style="168"/>
    <col min="20" max="20" width="11.4609375" style="193" customWidth="1"/>
    <col min="21" max="22" width="10.921875" style="168"/>
    <col min="23" max="23" width="10.921875" style="193"/>
    <col min="24" max="24" width="14.4609375" style="168" customWidth="1"/>
    <col min="25" max="25" width="10.921875" style="168"/>
    <col min="26" max="26" width="10.921875" style="193"/>
    <col min="27" max="28" width="10.921875" style="168"/>
    <col min="29" max="29" width="10.921875" style="193"/>
    <col min="30" max="31" width="10.921875" style="168"/>
    <col min="32" max="32" width="10.921875" style="193"/>
    <col min="33" max="34" width="10.921875" style="168"/>
    <col min="35" max="35" width="10.921875" style="193"/>
    <col min="36" max="37" width="10.921875" style="168"/>
    <col min="38" max="38" width="10.921875" style="193"/>
    <col min="39" max="40" width="10.921875" style="168"/>
    <col min="41" max="41" width="10.921875" style="193"/>
    <col min="42" max="43" width="10.921875" style="168"/>
    <col min="44" max="44" width="10.921875" style="193"/>
    <col min="45" max="45" width="15.4609375" style="168" customWidth="1"/>
    <col min="46" max="46" width="10.921875" style="168"/>
    <col min="47" max="47" width="10.921875" style="193"/>
    <col min="48" max="48" width="15.4609375" style="168" customWidth="1"/>
    <col min="49" max="16384" width="10.921875" style="169"/>
  </cols>
  <sheetData>
    <row r="1" spans="1:48" s="182" customFormat="1" ht="37.5" customHeight="1">
      <c r="A1" s="179" t="str">
        <f>Cost_of_crime_Raw_data!C79</f>
        <v>Other CJS costs (OCJ)</v>
      </c>
      <c r="B1" s="180"/>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row>
    <row r="2" spans="1:48" s="182" customFormat="1" ht="37.5" customHeight="1">
      <c r="A2" s="183" t="s">
        <v>574</v>
      </c>
      <c r="B2" s="180"/>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row>
    <row r="3" spans="1:48" s="173" customFormat="1" ht="46.5">
      <c r="A3" s="173" t="s">
        <v>539</v>
      </c>
      <c r="B3" s="172" t="s">
        <v>342</v>
      </c>
      <c r="C3" s="184" t="s">
        <v>290</v>
      </c>
      <c r="D3" s="184" t="s">
        <v>540</v>
      </c>
      <c r="E3" s="185" t="s">
        <v>541</v>
      </c>
      <c r="F3" s="184" t="s">
        <v>542</v>
      </c>
      <c r="G3" s="184" t="s">
        <v>540</v>
      </c>
      <c r="H3" s="185" t="s">
        <v>541</v>
      </c>
      <c r="I3" s="184" t="s">
        <v>543</v>
      </c>
      <c r="J3" s="184" t="s">
        <v>540</v>
      </c>
      <c r="K3" s="185" t="s">
        <v>541</v>
      </c>
      <c r="L3" s="184" t="s">
        <v>544</v>
      </c>
      <c r="M3" s="184" t="s">
        <v>540</v>
      </c>
      <c r="N3" s="185" t="s">
        <v>541</v>
      </c>
      <c r="O3" s="184" t="s">
        <v>545</v>
      </c>
      <c r="P3" s="184" t="s">
        <v>540</v>
      </c>
      <c r="Q3" s="185" t="s">
        <v>541</v>
      </c>
      <c r="R3" s="184" t="s">
        <v>292</v>
      </c>
      <c r="S3" s="184" t="s">
        <v>540</v>
      </c>
      <c r="T3" s="185" t="s">
        <v>541</v>
      </c>
      <c r="U3" s="184" t="s">
        <v>546</v>
      </c>
      <c r="V3" s="184" t="s">
        <v>540</v>
      </c>
      <c r="W3" s="185" t="s">
        <v>541</v>
      </c>
      <c r="X3" s="184" t="s">
        <v>547</v>
      </c>
      <c r="Y3" s="184" t="s">
        <v>540</v>
      </c>
      <c r="Z3" s="185" t="s">
        <v>541</v>
      </c>
      <c r="AA3" s="184" t="s">
        <v>548</v>
      </c>
      <c r="AB3" s="184" t="s">
        <v>540</v>
      </c>
      <c r="AC3" s="185" t="s">
        <v>541</v>
      </c>
      <c r="AD3" s="184" t="s">
        <v>549</v>
      </c>
      <c r="AE3" s="184" t="s">
        <v>540</v>
      </c>
      <c r="AF3" s="185" t="s">
        <v>541</v>
      </c>
      <c r="AG3" s="184" t="s">
        <v>550</v>
      </c>
      <c r="AH3" s="184" t="s">
        <v>540</v>
      </c>
      <c r="AI3" s="185" t="s">
        <v>541</v>
      </c>
      <c r="AJ3" s="184" t="s">
        <v>551</v>
      </c>
      <c r="AK3" s="184" t="s">
        <v>540</v>
      </c>
      <c r="AL3" s="185" t="s">
        <v>541</v>
      </c>
      <c r="AM3" s="184" t="s">
        <v>424</v>
      </c>
      <c r="AN3" s="184" t="s">
        <v>540</v>
      </c>
      <c r="AO3" s="185" t="s">
        <v>541</v>
      </c>
      <c r="AP3" s="184" t="s">
        <v>552</v>
      </c>
      <c r="AQ3" s="184" t="s">
        <v>540</v>
      </c>
      <c r="AR3" s="185" t="s">
        <v>541</v>
      </c>
      <c r="AS3" s="184" t="s">
        <v>425</v>
      </c>
    </row>
    <row r="4" spans="1:48">
      <c r="B4" s="168">
        <v>2015</v>
      </c>
      <c r="C4" s="186">
        <f>IF(Cost_of_crime_Raw_data!C82="not estimated","0",IF(Cost_of_crime_Raw_data!C82="N/A","0",Cost_of_crime_Raw_data!C82))</f>
        <v>800980</v>
      </c>
      <c r="D4" s="187">
        <f>C4*$A4/100</f>
        <v>0</v>
      </c>
      <c r="E4" s="188">
        <f>C4+D4</f>
        <v>800980</v>
      </c>
      <c r="F4" s="186">
        <f>IF(Cost_of_crime_Raw_data!C83="not estimated","0",IF(Cost_of_crime_Raw_data!C83="N/A","0",Cost_of_crime_Raw_data!C83))</f>
        <v>1370</v>
      </c>
      <c r="G4" s="187">
        <f>F4*$A4/100</f>
        <v>0</v>
      </c>
      <c r="H4" s="188">
        <f>F4+G4</f>
        <v>1370</v>
      </c>
      <c r="I4" s="186">
        <f>IF(Cost_of_crime_Raw_data!C84="not estimated","0",IF(Cost_of_crime_Raw_data!C84="N/A","0",Cost_of_crime_Raw_data!C84))</f>
        <v>1250</v>
      </c>
      <c r="J4" s="187">
        <f>I4*$A4/100</f>
        <v>0</v>
      </c>
      <c r="K4" s="188">
        <f>I4+J4</f>
        <v>1250</v>
      </c>
      <c r="L4" s="186">
        <f>IF(Cost_of_crime_Raw_data!C85="not estimated","0",IF(Cost_of_crime_Raw_data!C85="N/A","0",Cost_of_crime_Raw_data!C85))</f>
        <v>580</v>
      </c>
      <c r="M4" s="187">
        <f>L4*$A4/100</f>
        <v>0</v>
      </c>
      <c r="N4" s="188">
        <f>L4+M4</f>
        <v>580</v>
      </c>
      <c r="O4" s="186">
        <f>IF(Cost_of_crime_Raw_data!C86="not estimated","0",IF(Cost_of_crime_Raw_data!C86="N/A","0",Cost_of_crime_Raw_data!C86))</f>
        <v>580</v>
      </c>
      <c r="P4" s="187">
        <f>O4*$A4/100</f>
        <v>0</v>
      </c>
      <c r="Q4" s="188">
        <f>O4+P4</f>
        <v>580</v>
      </c>
      <c r="R4" s="186">
        <f>IF(Cost_of_crime_Raw_data!C87="not estimated","0",IF(Cost_of_crime_Raw_data!C87="N/A","0",Cost_of_crime_Raw_data!C87))</f>
        <v>3670</v>
      </c>
      <c r="S4" s="187">
        <f>R4*$A4/100</f>
        <v>0</v>
      </c>
      <c r="T4" s="188">
        <f>R4+S4</f>
        <v>3670</v>
      </c>
      <c r="U4" s="186">
        <f>IF(Cost_of_crime_Raw_data!C88="not estimated","0",IF(Cost_of_crime_Raw_data!C88="N/A","0",Cost_of_crime_Raw_data!C88))</f>
        <v>1270</v>
      </c>
      <c r="V4" s="187">
        <f>U4*$A4/100</f>
        <v>0</v>
      </c>
      <c r="W4" s="188">
        <f>U4+V4</f>
        <v>1270</v>
      </c>
      <c r="X4" s="186">
        <f>IF(Cost_of_crime_Raw_data!C89="not estimated","0",IF(Cost_of_crime_Raw_data!C89="N/A","0",Cost_of_crime_Raw_data!C89))</f>
        <v>1870</v>
      </c>
      <c r="Y4" s="187">
        <f>X4*$A4/100</f>
        <v>0</v>
      </c>
      <c r="Z4" s="188">
        <f>X4+Y4</f>
        <v>1870</v>
      </c>
      <c r="AA4" s="186">
        <f>IF(Cost_of_crime_Raw_data!C90="not estimated","0",IF(Cost_of_crime_Raw_data!C90="N/A","0",Cost_of_crime_Raw_data!C90))</f>
        <v>100</v>
      </c>
      <c r="AB4" s="187">
        <f>AA4*$A4/100</f>
        <v>0</v>
      </c>
      <c r="AC4" s="188">
        <f>AA4+AB4</f>
        <v>100</v>
      </c>
      <c r="AD4" s="186">
        <f>IF(Cost_of_crime_Raw_data!C91="not estimated","0",IF(Cost_of_crime_Raw_data!C91="N/A","0",Cost_of_crime_Raw_data!C91))</f>
        <v>390</v>
      </c>
      <c r="AE4" s="187">
        <f>AD4*$A4/100</f>
        <v>0</v>
      </c>
      <c r="AF4" s="188">
        <f>AD4+AE4</f>
        <v>390</v>
      </c>
      <c r="AG4" s="186">
        <f>IF(Cost_of_crime_Raw_data!C92="not estimated","0",IF(Cost_of_crime_Raw_data!C92="N/A","0",Cost_of_crime_Raw_data!C92))</f>
        <v>3900</v>
      </c>
      <c r="AH4" s="187">
        <f>AG4*$A4/100</f>
        <v>0</v>
      </c>
      <c r="AI4" s="188">
        <f>AG4+AH4</f>
        <v>3900</v>
      </c>
      <c r="AJ4" s="186">
        <f>IF(Cost_of_crime_Raw_data!C93="not estimated","0",IF(Cost_of_crime_Raw_data!C93="N/A","0",Cost_of_crime_Raw_data!C93))</f>
        <v>350</v>
      </c>
      <c r="AK4" s="187">
        <f>AJ4*$A4/100</f>
        <v>0</v>
      </c>
      <c r="AL4" s="188">
        <f>AJ4+AK4</f>
        <v>350</v>
      </c>
      <c r="AM4" s="186">
        <f>IF(Cost_of_crime_Raw_data!C94="not estimated","0",IF(Cost_of_crime_Raw_data!C94="N/A","0",Cost_of_crime_Raw_data!C94))</f>
        <v>170</v>
      </c>
      <c r="AN4" s="187">
        <f>AM4*$A4/100</f>
        <v>0</v>
      </c>
      <c r="AO4" s="188">
        <f>AM4+AN4</f>
        <v>170</v>
      </c>
      <c r="AP4" s="186">
        <f>IF(Cost_of_crime_Raw_data!C95="not estimated","0",IF(Cost_of_crime_Raw_data!C95="N/A","0",Cost_of_crime_Raw_data!C95))</f>
        <v>0</v>
      </c>
      <c r="AQ4" s="187">
        <f>AP4*$A4/100</f>
        <v>0</v>
      </c>
      <c r="AR4" s="188">
        <f>AP4+AQ4</f>
        <v>0</v>
      </c>
      <c r="AS4" s="186">
        <f>SUM(C4,I4,L4,O4,R4,U4,X4,AD4,AG4,AJ4,AM4,AP4)</f>
        <v>815010</v>
      </c>
      <c r="AT4" s="169"/>
      <c r="AU4" s="169"/>
      <c r="AV4" s="169"/>
    </row>
    <row r="5" spans="1:48">
      <c r="A5" s="169">
        <f>VLOOKUP(B5,Misc_inputs!$A$3:$B$33,2,0)</f>
        <v>1.8963035451147277</v>
      </c>
      <c r="B5" s="168">
        <v>2016</v>
      </c>
      <c r="C5" s="187">
        <f>E4</f>
        <v>800980</v>
      </c>
      <c r="D5" s="187">
        <f t="shared" ref="D5" si="0">C5*$A5/100</f>
        <v>15189.012135659945</v>
      </c>
      <c r="E5" s="188">
        <f t="shared" ref="E5" si="1">C5+D5</f>
        <v>816169.01213565993</v>
      </c>
      <c r="F5" s="187">
        <f>H4</f>
        <v>1370</v>
      </c>
      <c r="G5" s="187">
        <f t="shared" ref="G5" si="2">F5*$A5/100</f>
        <v>25.97935856807177</v>
      </c>
      <c r="H5" s="188">
        <f t="shared" ref="H5" si="3">F5+G5</f>
        <v>1395.9793585680718</v>
      </c>
      <c r="I5" s="187">
        <f>K4</f>
        <v>1250</v>
      </c>
      <c r="J5" s="187">
        <f t="shared" ref="J5" si="4">I5*$A5/100</f>
        <v>23.703794313934097</v>
      </c>
      <c r="K5" s="188">
        <f t="shared" ref="K5" si="5">I5+J5</f>
        <v>1273.7037943139342</v>
      </c>
      <c r="L5" s="187">
        <f>N4</f>
        <v>580</v>
      </c>
      <c r="M5" s="187">
        <f t="shared" ref="M5" si="6">L5*$A5/100</f>
        <v>10.998560561665419</v>
      </c>
      <c r="N5" s="188">
        <f t="shared" ref="N5" si="7">L5+M5</f>
        <v>590.99856056166539</v>
      </c>
      <c r="O5" s="187">
        <f>Q4</f>
        <v>580</v>
      </c>
      <c r="P5" s="187">
        <f t="shared" ref="P5" si="8">O5*$A5/100</f>
        <v>10.998560561665419</v>
      </c>
      <c r="Q5" s="188">
        <f t="shared" ref="Q5" si="9">O5+P5</f>
        <v>590.99856056166539</v>
      </c>
      <c r="R5" s="187">
        <f>T4</f>
        <v>3670</v>
      </c>
      <c r="S5" s="187">
        <f t="shared" ref="S5" si="10">R5*$A5/100</f>
        <v>69.594340105710501</v>
      </c>
      <c r="T5" s="188">
        <f t="shared" ref="T5" si="11">R5+S5</f>
        <v>3739.5943401057107</v>
      </c>
      <c r="U5" s="187">
        <f>W4</f>
        <v>1270</v>
      </c>
      <c r="V5" s="187">
        <f t="shared" ref="V5" si="12">U5*$A5/100</f>
        <v>24.083055022957041</v>
      </c>
      <c r="W5" s="188">
        <f t="shared" ref="W5" si="13">U5+V5</f>
        <v>1294.0830550229571</v>
      </c>
      <c r="X5" s="187">
        <f>Z4</f>
        <v>1870</v>
      </c>
      <c r="Y5" s="187">
        <f t="shared" ref="Y5" si="14">X5*$A5/100</f>
        <v>35.460876293645406</v>
      </c>
      <c r="Z5" s="188">
        <f t="shared" ref="Z5" si="15">X5+Y5</f>
        <v>1905.4608762936455</v>
      </c>
      <c r="AA5" s="187">
        <f>AC4</f>
        <v>100</v>
      </c>
      <c r="AB5" s="187">
        <f t="shared" ref="AB5" si="16">AA5*$A5/100</f>
        <v>1.8963035451147277</v>
      </c>
      <c r="AC5" s="188">
        <f t="shared" ref="AC5" si="17">AA5+AB5</f>
        <v>101.89630354511473</v>
      </c>
      <c r="AD5" s="187">
        <f>AF4</f>
        <v>390</v>
      </c>
      <c r="AE5" s="187">
        <f t="shared" ref="AE5" si="18">AD5*$A5/100</f>
        <v>7.3955838259474378</v>
      </c>
      <c r="AF5" s="188">
        <f t="shared" ref="AF5" si="19">AD5+AE5</f>
        <v>397.39558382594743</v>
      </c>
      <c r="AG5" s="187">
        <f>AI4</f>
        <v>3900</v>
      </c>
      <c r="AH5" s="187">
        <f t="shared" ref="AH5" si="20">AG5*$A5/100</f>
        <v>73.955838259474376</v>
      </c>
      <c r="AI5" s="188">
        <f t="shared" ref="AI5" si="21">AG5+AH5</f>
        <v>3973.9558382594741</v>
      </c>
      <c r="AJ5" s="187">
        <f>AL4</f>
        <v>350</v>
      </c>
      <c r="AK5" s="187">
        <f t="shared" ref="AK5" si="22">AJ5*$A5/100</f>
        <v>6.6370624079015466</v>
      </c>
      <c r="AL5" s="188">
        <f t="shared" ref="AL5" si="23">AJ5+AK5</f>
        <v>356.63706240790157</v>
      </c>
      <c r="AM5" s="187">
        <f>AO4</f>
        <v>170</v>
      </c>
      <c r="AN5" s="187">
        <f t="shared" ref="AN5" si="24">AM5*$A5/100</f>
        <v>3.2237160266950373</v>
      </c>
      <c r="AO5" s="188">
        <f t="shared" ref="AO5" si="25">AM5+AN5</f>
        <v>173.22371602669503</v>
      </c>
      <c r="AP5" s="187">
        <f>AR4</f>
        <v>0</v>
      </c>
      <c r="AQ5" s="187">
        <f t="shared" ref="AQ5" si="26">AP5*$A5/100</f>
        <v>0</v>
      </c>
      <c r="AR5" s="188">
        <f t="shared" ref="AR5" si="27">AP5+AQ5</f>
        <v>0</v>
      </c>
      <c r="AS5" s="186">
        <f t="shared" ref="AS5" si="28">SUM(C5,I5,L5,O5,R5,U5,X5,AD5,AG5,AJ5,AM5,AP5)</f>
        <v>815010</v>
      </c>
      <c r="AT5" s="187"/>
      <c r="AU5" s="169"/>
      <c r="AV5" s="169"/>
    </row>
    <row r="6" spans="1:48">
      <c r="A6" s="169">
        <f>VLOOKUP(B6,Misc_inputs!$A$3:$B$33,2,0)</f>
        <v>1.8209228570152332</v>
      </c>
      <c r="B6" s="168">
        <v>2017</v>
      </c>
      <c r="C6" s="187">
        <f t="shared" ref="C6:C19" si="29">E5</f>
        <v>816169.01213565993</v>
      </c>
      <c r="D6" s="187">
        <f t="shared" ref="D6:D19" si="30">C6*$A6/100</f>
        <v>14861.808093853662</v>
      </c>
      <c r="E6" s="188">
        <f t="shared" ref="E6:E19" si="31">C6+D6</f>
        <v>831030.82022951357</v>
      </c>
      <c r="F6" s="187">
        <f t="shared" ref="F6:F19" si="32">H5</f>
        <v>1395.9793585680718</v>
      </c>
      <c r="G6" s="187">
        <f t="shared" ref="G6:G7" si="33">F6*$A6/100</f>
        <v>25.419707219380658</v>
      </c>
      <c r="H6" s="188">
        <f t="shared" ref="H6:H19" si="34">F6+G6</f>
        <v>1421.3990657874524</v>
      </c>
      <c r="I6" s="187">
        <f t="shared" ref="I6:I19" si="35">K5</f>
        <v>1273.7037943139342</v>
      </c>
      <c r="J6" s="187">
        <f t="shared" ref="J6:J7" si="36">I6*$A6/100</f>
        <v>23.193163521332718</v>
      </c>
      <c r="K6" s="188">
        <f t="shared" ref="K6:K19" si="37">I6+J6</f>
        <v>1296.8969578352669</v>
      </c>
      <c r="L6" s="187">
        <f t="shared" ref="L6:L19" si="38">N5</f>
        <v>590.99856056166539</v>
      </c>
      <c r="M6" s="187">
        <f t="shared" ref="M6:M7" si="39">L6*$A6/100</f>
        <v>10.76162787389838</v>
      </c>
      <c r="N6" s="188">
        <f t="shared" ref="N6:N19" si="40">L6+M6</f>
        <v>601.7601884355638</v>
      </c>
      <c r="O6" s="187">
        <f t="shared" ref="O6:O19" si="41">Q5</f>
        <v>590.99856056166539</v>
      </c>
      <c r="P6" s="187">
        <f t="shared" ref="P6:P7" si="42">O6*$A6/100</f>
        <v>10.76162787389838</v>
      </c>
      <c r="Q6" s="188">
        <f t="shared" ref="Q6:Q19" si="43">O6+P6</f>
        <v>601.7601884355638</v>
      </c>
      <c r="R6" s="187">
        <f t="shared" ref="R6:R19" si="44">T5</f>
        <v>3739.5943401057107</v>
      </c>
      <c r="S6" s="187">
        <f t="shared" ref="S6:S7" si="45">R6*$A6/100</f>
        <v>68.095128098632856</v>
      </c>
      <c r="T6" s="188">
        <f t="shared" ref="T6:T19" si="46">R6+S6</f>
        <v>3807.6894682043435</v>
      </c>
      <c r="U6" s="187">
        <f t="shared" ref="U6:U19" si="47">W5</f>
        <v>1294.0830550229571</v>
      </c>
      <c r="V6" s="187">
        <f t="shared" ref="V6:V7" si="48">U6*$A6/100</f>
        <v>23.564254137674041</v>
      </c>
      <c r="W6" s="188">
        <f t="shared" ref="W6:W19" si="49">U6+V6</f>
        <v>1317.647309160631</v>
      </c>
      <c r="X6" s="187">
        <f t="shared" ref="X6:X19" si="50">Z5</f>
        <v>1905.4608762936455</v>
      </c>
      <c r="Y6" s="187">
        <f t="shared" ref="Y6:Y7" si="51">X6*$A6/100</f>
        <v>34.696972627913745</v>
      </c>
      <c r="Z6" s="188">
        <f t="shared" ref="Z6:Z19" si="52">X6+Y6</f>
        <v>1940.1578489215592</v>
      </c>
      <c r="AA6" s="187">
        <f t="shared" ref="AA6:AA19" si="53">AC5</f>
        <v>101.89630354511473</v>
      </c>
      <c r="AB6" s="187">
        <f t="shared" ref="AB6:AB7" si="54">AA6*$A6/100</f>
        <v>1.8554530817066175</v>
      </c>
      <c r="AC6" s="188">
        <f t="shared" ref="AC6:AC19" si="55">AA6+AB6</f>
        <v>103.75175662682135</v>
      </c>
      <c r="AD6" s="187">
        <f t="shared" ref="AD6:AD19" si="56">AF5</f>
        <v>397.39558382594743</v>
      </c>
      <c r="AE6" s="187">
        <f t="shared" ref="AE6:AE7" si="57">AD6*$A6/100</f>
        <v>7.2362670186558082</v>
      </c>
      <c r="AF6" s="188">
        <f t="shared" ref="AF6:AF19" si="58">AD6+AE6</f>
        <v>404.63185084460321</v>
      </c>
      <c r="AG6" s="187">
        <f t="shared" ref="AG6:AG19" si="59">AI5</f>
        <v>3973.9558382594741</v>
      </c>
      <c r="AH6" s="187">
        <f t="shared" ref="AH6:AH7" si="60">AG6*$A6/100</f>
        <v>72.362670186558077</v>
      </c>
      <c r="AI6" s="188">
        <f t="shared" ref="AI6:AI19" si="61">AG6+AH6</f>
        <v>4046.3185084460324</v>
      </c>
      <c r="AJ6" s="187">
        <f t="shared" ref="AJ6:AJ19" si="62">AL5</f>
        <v>356.63706240790157</v>
      </c>
      <c r="AK6" s="187">
        <f t="shared" ref="AK6:AK7" si="63">AJ6*$A6/100</f>
        <v>6.4940857859731613</v>
      </c>
      <c r="AL6" s="188">
        <f t="shared" ref="AL6:AL19" si="64">AJ6+AK6</f>
        <v>363.13114819387471</v>
      </c>
      <c r="AM6" s="187">
        <f t="shared" ref="AM6:AM19" si="65">AO5</f>
        <v>173.22371602669503</v>
      </c>
      <c r="AN6" s="187">
        <f t="shared" ref="AN6:AN7" si="66">AM6*$A6/100</f>
        <v>3.1542702389012494</v>
      </c>
      <c r="AO6" s="188">
        <f t="shared" ref="AO6:AO19" si="67">AM6+AN6</f>
        <v>176.37798626559629</v>
      </c>
      <c r="AP6" s="187">
        <f t="shared" ref="AP6:AP19" si="68">AR5</f>
        <v>0</v>
      </c>
      <c r="AQ6" s="187">
        <f t="shared" ref="AQ6:AQ7" si="69">AP6*$A6/100</f>
        <v>0</v>
      </c>
      <c r="AR6" s="188">
        <f t="shared" ref="AR6:AR19" si="70">AP6+AQ6</f>
        <v>0</v>
      </c>
      <c r="AS6" s="186">
        <f t="shared" ref="AS6:AS19" si="71">SUM(C6,I6,L6,O6,R6,U6,X6,AD6,AG6,AJ6,AM6,AP6)</f>
        <v>830465.06352303945</v>
      </c>
      <c r="AT6" s="187"/>
      <c r="AU6" s="169"/>
      <c r="AV6" s="169"/>
    </row>
    <row r="7" spans="1:48">
      <c r="A7" s="169">
        <f>VLOOKUP(B7,Misc_inputs!$A$3:$B$33,2,0)</f>
        <v>1.9988242855231282</v>
      </c>
      <c r="B7" s="168">
        <v>2018</v>
      </c>
      <c r="C7" s="187">
        <f t="shared" si="29"/>
        <v>831030.82022951357</v>
      </c>
      <c r="D7" s="187">
        <f t="shared" si="30"/>
        <v>16610.845854929568</v>
      </c>
      <c r="E7" s="188">
        <f t="shared" si="31"/>
        <v>847641.6660844431</v>
      </c>
      <c r="F7" s="187">
        <f t="shared" si="32"/>
        <v>1421.3990657874524</v>
      </c>
      <c r="G7" s="187">
        <f t="shared" si="33"/>
        <v>28.411269721158465</v>
      </c>
      <c r="H7" s="188">
        <f t="shared" si="34"/>
        <v>1449.8103355086109</v>
      </c>
      <c r="I7" s="187">
        <f t="shared" si="35"/>
        <v>1296.8969578352669</v>
      </c>
      <c r="J7" s="187">
        <f t="shared" si="36"/>
        <v>25.92269135142196</v>
      </c>
      <c r="K7" s="188">
        <f t="shared" si="37"/>
        <v>1322.8196491866888</v>
      </c>
      <c r="L7" s="187">
        <f t="shared" si="38"/>
        <v>601.7601884355638</v>
      </c>
      <c r="M7" s="187">
        <f t="shared" si="39"/>
        <v>12.028128787059789</v>
      </c>
      <c r="N7" s="188">
        <f t="shared" si="40"/>
        <v>613.78831722262362</v>
      </c>
      <c r="O7" s="187">
        <f t="shared" si="41"/>
        <v>601.7601884355638</v>
      </c>
      <c r="P7" s="187">
        <f t="shared" si="42"/>
        <v>12.028128787059789</v>
      </c>
      <c r="Q7" s="188">
        <f t="shared" si="43"/>
        <v>613.78831722262362</v>
      </c>
      <c r="R7" s="187">
        <f t="shared" si="44"/>
        <v>3807.6894682043435</v>
      </c>
      <c r="S7" s="187">
        <f t="shared" si="45"/>
        <v>76.109021807774866</v>
      </c>
      <c r="T7" s="188">
        <f t="shared" si="46"/>
        <v>3883.7984900121182</v>
      </c>
      <c r="U7" s="187">
        <f t="shared" si="47"/>
        <v>1317.647309160631</v>
      </c>
      <c r="V7" s="187">
        <f t="shared" si="48"/>
        <v>26.337454413044707</v>
      </c>
      <c r="W7" s="188">
        <f t="shared" si="49"/>
        <v>1343.9847635736758</v>
      </c>
      <c r="X7" s="187">
        <f t="shared" si="50"/>
        <v>1940.1578489215592</v>
      </c>
      <c r="Y7" s="187">
        <f t="shared" si="51"/>
        <v>38.780346261727253</v>
      </c>
      <c r="Z7" s="188">
        <f t="shared" si="52"/>
        <v>1978.9381951832866</v>
      </c>
      <c r="AA7" s="187">
        <f t="shared" si="53"/>
        <v>103.75175662682135</v>
      </c>
      <c r="AB7" s="187">
        <f t="shared" si="54"/>
        <v>2.0738153081137565</v>
      </c>
      <c r="AC7" s="188">
        <f t="shared" si="55"/>
        <v>105.8255719349351</v>
      </c>
      <c r="AD7" s="187">
        <f t="shared" si="56"/>
        <v>404.63185084460321</v>
      </c>
      <c r="AE7" s="187">
        <f t="shared" si="57"/>
        <v>8.0878797016436508</v>
      </c>
      <c r="AF7" s="188">
        <f t="shared" si="58"/>
        <v>412.71973054624686</v>
      </c>
      <c r="AG7" s="187">
        <f t="shared" si="59"/>
        <v>4046.3185084460324</v>
      </c>
      <c r="AH7" s="187">
        <f t="shared" si="60"/>
        <v>80.878797016436508</v>
      </c>
      <c r="AI7" s="188">
        <f t="shared" si="61"/>
        <v>4127.1973054624686</v>
      </c>
      <c r="AJ7" s="187">
        <f t="shared" si="62"/>
        <v>363.13114819387471</v>
      </c>
      <c r="AK7" s="187">
        <f t="shared" si="63"/>
        <v>7.2583535783981485</v>
      </c>
      <c r="AL7" s="188">
        <f t="shared" si="64"/>
        <v>370.38950177227287</v>
      </c>
      <c r="AM7" s="187">
        <f t="shared" si="65"/>
        <v>176.37798626559629</v>
      </c>
      <c r="AN7" s="187">
        <f t="shared" si="66"/>
        <v>3.5254860237933858</v>
      </c>
      <c r="AO7" s="188">
        <f t="shared" si="67"/>
        <v>179.90347228938967</v>
      </c>
      <c r="AP7" s="187">
        <f t="shared" si="68"/>
        <v>0</v>
      </c>
      <c r="AQ7" s="187">
        <f t="shared" si="69"/>
        <v>0</v>
      </c>
      <c r="AR7" s="188">
        <f t="shared" si="70"/>
        <v>0</v>
      </c>
      <c r="AS7" s="186">
        <f t="shared" si="71"/>
        <v>845587.19168425666</v>
      </c>
      <c r="AT7" s="187"/>
      <c r="AU7" s="169"/>
      <c r="AV7" s="169"/>
    </row>
    <row r="8" spans="1:48">
      <c r="A8" s="169">
        <f>VLOOKUP(B8,Misc_inputs!$A$3:$B$33,2,0)</f>
        <v>2.0163202370724722</v>
      </c>
      <c r="B8" s="168">
        <v>2019</v>
      </c>
      <c r="C8" s="187">
        <f t="shared" si="29"/>
        <v>847641.6660844431</v>
      </c>
      <c r="D8" s="187">
        <f>C8*$A8/100</f>
        <v>17091.170451118898</v>
      </c>
      <c r="E8" s="188">
        <f t="shared" si="31"/>
        <v>864732.83653556195</v>
      </c>
      <c r="F8" s="187">
        <f t="shared" si="32"/>
        <v>1449.8103355086109</v>
      </c>
      <c r="G8" s="187">
        <f>F8*$A8/100</f>
        <v>29.23281919402843</v>
      </c>
      <c r="H8" s="188">
        <f t="shared" si="34"/>
        <v>1479.0431547026394</v>
      </c>
      <c r="I8" s="187">
        <f t="shared" si="35"/>
        <v>1322.8196491866888</v>
      </c>
      <c r="J8" s="187">
        <f>I8*$A8/100</f>
        <v>26.672280286522291</v>
      </c>
      <c r="K8" s="188">
        <f t="shared" si="37"/>
        <v>1349.491929473211</v>
      </c>
      <c r="L8" s="187">
        <f t="shared" si="38"/>
        <v>613.78831722262362</v>
      </c>
      <c r="M8" s="187">
        <f>L8*$A8/100</f>
        <v>12.375938052946342</v>
      </c>
      <c r="N8" s="188">
        <f t="shared" si="40"/>
        <v>626.16425527556999</v>
      </c>
      <c r="O8" s="187">
        <f t="shared" si="41"/>
        <v>613.78831722262362</v>
      </c>
      <c r="P8" s="187">
        <f>O8*$A8/100</f>
        <v>12.375938052946342</v>
      </c>
      <c r="Q8" s="188">
        <f t="shared" si="43"/>
        <v>626.16425527556999</v>
      </c>
      <c r="R8" s="187">
        <f t="shared" si="44"/>
        <v>3883.7984900121182</v>
      </c>
      <c r="S8" s="187">
        <f>R8*$A8/100</f>
        <v>78.309814921229432</v>
      </c>
      <c r="T8" s="188">
        <f t="shared" si="46"/>
        <v>3962.1083049333479</v>
      </c>
      <c r="U8" s="187">
        <f t="shared" si="47"/>
        <v>1343.9847635736758</v>
      </c>
      <c r="V8" s="187">
        <f>U8*$A8/100</f>
        <v>27.099036771106643</v>
      </c>
      <c r="W8" s="188">
        <f t="shared" si="49"/>
        <v>1371.0838003447825</v>
      </c>
      <c r="X8" s="187">
        <f t="shared" si="50"/>
        <v>1978.9381951832866</v>
      </c>
      <c r="Y8" s="187">
        <f>X8*$A8/100</f>
        <v>39.901731308637345</v>
      </c>
      <c r="Z8" s="188">
        <f t="shared" si="52"/>
        <v>2018.839926491924</v>
      </c>
      <c r="AA8" s="187">
        <f t="shared" si="53"/>
        <v>105.8255719349351</v>
      </c>
      <c r="AB8" s="187">
        <f>AA8*$A8/100</f>
        <v>2.133782422921783</v>
      </c>
      <c r="AC8" s="188">
        <f t="shared" si="55"/>
        <v>107.95935435785688</v>
      </c>
      <c r="AD8" s="187">
        <f t="shared" si="56"/>
        <v>412.71973054624686</v>
      </c>
      <c r="AE8" s="187">
        <f>AD8*$A8/100</f>
        <v>8.321751449394954</v>
      </c>
      <c r="AF8" s="188">
        <f t="shared" si="58"/>
        <v>421.04148199564185</v>
      </c>
      <c r="AG8" s="187">
        <f t="shared" si="59"/>
        <v>4127.1973054624686</v>
      </c>
      <c r="AH8" s="187">
        <f>AG8*$A8/100</f>
        <v>83.217514493949523</v>
      </c>
      <c r="AI8" s="188">
        <f t="shared" si="61"/>
        <v>4210.4148199564179</v>
      </c>
      <c r="AJ8" s="187">
        <f t="shared" si="62"/>
        <v>370.38950177227287</v>
      </c>
      <c r="AK8" s="187">
        <f>AJ8*$A8/100</f>
        <v>7.4682384802262414</v>
      </c>
      <c r="AL8" s="188">
        <f t="shared" si="64"/>
        <v>377.85774025249913</v>
      </c>
      <c r="AM8" s="187">
        <f t="shared" si="65"/>
        <v>179.90347228938967</v>
      </c>
      <c r="AN8" s="187">
        <f>AM8*$A8/100</f>
        <v>3.6274301189670313</v>
      </c>
      <c r="AO8" s="188">
        <f t="shared" si="67"/>
        <v>183.5309024083567</v>
      </c>
      <c r="AP8" s="187">
        <f t="shared" si="68"/>
        <v>0</v>
      </c>
      <c r="AQ8" s="187">
        <f>AP8*$A8/100</f>
        <v>0</v>
      </c>
      <c r="AR8" s="188">
        <f t="shared" si="70"/>
        <v>0</v>
      </c>
      <c r="AS8" s="186">
        <f t="shared" si="71"/>
        <v>862488.99382691435</v>
      </c>
      <c r="AT8" s="187"/>
      <c r="AU8" s="169"/>
      <c r="AV8" s="169"/>
    </row>
    <row r="9" spans="1:48">
      <c r="A9" s="169">
        <f>VLOOKUP(B9,Misc_inputs!$A$3:$B$33,2,0)</f>
        <v>5.3200852056836103</v>
      </c>
      <c r="B9" s="168">
        <v>2020</v>
      </c>
      <c r="C9" s="187">
        <f t="shared" si="29"/>
        <v>864732.83653556195</v>
      </c>
      <c r="D9" s="187">
        <f t="shared" si="30"/>
        <v>46004.523705216663</v>
      </c>
      <c r="E9" s="188">
        <f t="shared" si="31"/>
        <v>910737.36024077865</v>
      </c>
      <c r="F9" s="187">
        <f t="shared" si="32"/>
        <v>1479.0431547026394</v>
      </c>
      <c r="G9" s="187">
        <f t="shared" ref="G9:G19" si="72">F9*$A9/100</f>
        <v>78.686356059011274</v>
      </c>
      <c r="H9" s="188">
        <f t="shared" si="34"/>
        <v>1557.7295107616508</v>
      </c>
      <c r="I9" s="187">
        <f t="shared" si="35"/>
        <v>1349.491929473211</v>
      </c>
      <c r="J9" s="187">
        <f t="shared" ref="J9:J19" si="73">I9*$A9/100</f>
        <v>71.794120491798608</v>
      </c>
      <c r="K9" s="188">
        <f t="shared" si="37"/>
        <v>1421.2860499650096</v>
      </c>
      <c r="L9" s="187">
        <f t="shared" si="38"/>
        <v>626.16425527556999</v>
      </c>
      <c r="M9" s="187">
        <f t="shared" ref="M9:M19" si="74">L9*$A9/100</f>
        <v>33.312471908194553</v>
      </c>
      <c r="N9" s="188">
        <f t="shared" si="40"/>
        <v>659.47672718376452</v>
      </c>
      <c r="O9" s="187">
        <f t="shared" si="41"/>
        <v>626.16425527556999</v>
      </c>
      <c r="P9" s="187">
        <f t="shared" ref="P9:P19" si="75">O9*$A9/100</f>
        <v>33.312471908194553</v>
      </c>
      <c r="Q9" s="188">
        <f t="shared" si="43"/>
        <v>659.47672718376452</v>
      </c>
      <c r="R9" s="187">
        <f t="shared" si="44"/>
        <v>3962.1083049333479</v>
      </c>
      <c r="S9" s="187">
        <f t="shared" ref="S9:S19" si="76">R9*$A9/100</f>
        <v>210.78753776392071</v>
      </c>
      <c r="T9" s="188">
        <f t="shared" si="46"/>
        <v>4172.8958426972686</v>
      </c>
      <c r="U9" s="187">
        <f t="shared" si="47"/>
        <v>1371.0838003447825</v>
      </c>
      <c r="V9" s="187">
        <f t="shared" ref="V9:V19" si="77">U9*$A9/100</f>
        <v>72.942826419667384</v>
      </c>
      <c r="W9" s="188">
        <f t="shared" si="49"/>
        <v>1444.0266267644499</v>
      </c>
      <c r="X9" s="187">
        <f t="shared" si="50"/>
        <v>2018.839926491924</v>
      </c>
      <c r="Y9" s="187">
        <f t="shared" ref="Y9:Y19" si="78">X9*$A9/100</f>
        <v>107.40400425573073</v>
      </c>
      <c r="Z9" s="188">
        <f t="shared" si="52"/>
        <v>2126.2439307476548</v>
      </c>
      <c r="AA9" s="187">
        <f t="shared" si="53"/>
        <v>107.95935435785688</v>
      </c>
      <c r="AB9" s="187">
        <f t="shared" ref="AB9:AB19" si="79">AA9*$A9/100</f>
        <v>5.7435296393438877</v>
      </c>
      <c r="AC9" s="188">
        <f t="shared" si="55"/>
        <v>113.70288399720077</v>
      </c>
      <c r="AD9" s="187">
        <f t="shared" si="56"/>
        <v>421.04148199564185</v>
      </c>
      <c r="AE9" s="187">
        <f t="shared" ref="AE9:AE19" si="80">AD9*$A9/100</f>
        <v>22.39976559344116</v>
      </c>
      <c r="AF9" s="188">
        <f t="shared" si="58"/>
        <v>443.44124758908299</v>
      </c>
      <c r="AG9" s="187">
        <f t="shared" si="59"/>
        <v>4210.4148199564179</v>
      </c>
      <c r="AH9" s="187">
        <f t="shared" ref="AH9:AH19" si="81">AG9*$A9/100</f>
        <v>223.9976559344116</v>
      </c>
      <c r="AI9" s="188">
        <f t="shared" si="61"/>
        <v>4434.4124758908292</v>
      </c>
      <c r="AJ9" s="187">
        <f t="shared" si="62"/>
        <v>377.85774025249913</v>
      </c>
      <c r="AK9" s="187">
        <f t="shared" ref="AK9:AK19" si="82">AJ9*$A9/100</f>
        <v>20.102353737703609</v>
      </c>
      <c r="AL9" s="188">
        <f t="shared" si="64"/>
        <v>397.96009399020272</v>
      </c>
      <c r="AM9" s="187">
        <f t="shared" si="65"/>
        <v>183.5309024083567</v>
      </c>
      <c r="AN9" s="187">
        <f t="shared" ref="AN9:AN19" si="83">AM9*$A9/100</f>
        <v>9.7640003868846108</v>
      </c>
      <c r="AO9" s="188">
        <f t="shared" si="67"/>
        <v>193.29490279524131</v>
      </c>
      <c r="AP9" s="187">
        <f t="shared" si="68"/>
        <v>0</v>
      </c>
      <c r="AQ9" s="187">
        <f t="shared" ref="AQ9:AQ19" si="84">AP9*$A9/100</f>
        <v>0</v>
      </c>
      <c r="AR9" s="188">
        <f t="shared" si="70"/>
        <v>0</v>
      </c>
      <c r="AS9" s="186">
        <f t="shared" si="71"/>
        <v>879879.53395196935</v>
      </c>
      <c r="AT9" s="187"/>
      <c r="AU9" s="169"/>
      <c r="AV9" s="169"/>
    </row>
    <row r="10" spans="1:48">
      <c r="A10" s="169">
        <f>VLOOKUP(B10,Misc_inputs!$A$3:$B$33,2,0)</f>
        <v>7.6258108678813302E-2</v>
      </c>
      <c r="B10" s="168">
        <v>2021</v>
      </c>
      <c r="C10" s="187">
        <f t="shared" si="29"/>
        <v>910737.36024077865</v>
      </c>
      <c r="D10" s="187">
        <f t="shared" si="30"/>
        <v>694.51108595096844</v>
      </c>
      <c r="E10" s="188">
        <f t="shared" si="31"/>
        <v>911431.87132672966</v>
      </c>
      <c r="F10" s="187">
        <f t="shared" si="32"/>
        <v>1557.7295107616508</v>
      </c>
      <c r="G10" s="187">
        <f t="shared" si="72"/>
        <v>1.1878950632385665</v>
      </c>
      <c r="H10" s="188">
        <f t="shared" si="34"/>
        <v>1558.9174058248893</v>
      </c>
      <c r="I10" s="187">
        <f t="shared" si="35"/>
        <v>1421.2860499650096</v>
      </c>
      <c r="J10" s="187">
        <f t="shared" si="73"/>
        <v>1.0838458606191299</v>
      </c>
      <c r="K10" s="188">
        <f t="shared" si="37"/>
        <v>1422.3698958256286</v>
      </c>
      <c r="L10" s="187">
        <f t="shared" si="38"/>
        <v>659.47672718376452</v>
      </c>
      <c r="M10" s="187">
        <f t="shared" si="74"/>
        <v>0.50290447932727622</v>
      </c>
      <c r="N10" s="188">
        <f t="shared" si="40"/>
        <v>659.97963166309182</v>
      </c>
      <c r="O10" s="187">
        <f t="shared" si="41"/>
        <v>659.47672718376452</v>
      </c>
      <c r="P10" s="187">
        <f t="shared" si="75"/>
        <v>0.50290447932727622</v>
      </c>
      <c r="Q10" s="188">
        <f t="shared" si="43"/>
        <v>659.97963166309182</v>
      </c>
      <c r="R10" s="187">
        <f t="shared" si="44"/>
        <v>4172.8958426972686</v>
      </c>
      <c r="S10" s="187">
        <f t="shared" si="76"/>
        <v>3.1821714467777649</v>
      </c>
      <c r="T10" s="188">
        <f t="shared" si="46"/>
        <v>4176.0780141440464</v>
      </c>
      <c r="U10" s="187">
        <f t="shared" si="47"/>
        <v>1444.0266267644499</v>
      </c>
      <c r="V10" s="187">
        <f t="shared" si="77"/>
        <v>1.101187394389036</v>
      </c>
      <c r="W10" s="188">
        <f t="shared" si="49"/>
        <v>1445.1278141588389</v>
      </c>
      <c r="X10" s="187">
        <f t="shared" si="50"/>
        <v>2126.2439307476548</v>
      </c>
      <c r="Y10" s="187">
        <f t="shared" si="78"/>
        <v>1.6214334074862184</v>
      </c>
      <c r="Z10" s="188">
        <f t="shared" si="52"/>
        <v>2127.8653641551409</v>
      </c>
      <c r="AA10" s="187">
        <f t="shared" si="53"/>
        <v>113.70288399720077</v>
      </c>
      <c r="AB10" s="187">
        <f t="shared" si="79"/>
        <v>8.6707668849530378E-2</v>
      </c>
      <c r="AC10" s="188">
        <f t="shared" si="55"/>
        <v>113.7895916660503</v>
      </c>
      <c r="AD10" s="187">
        <f t="shared" si="56"/>
        <v>443.44124758908299</v>
      </c>
      <c r="AE10" s="187">
        <f t="shared" si="80"/>
        <v>0.33815990851316846</v>
      </c>
      <c r="AF10" s="188">
        <f t="shared" si="58"/>
        <v>443.77940749759614</v>
      </c>
      <c r="AG10" s="187">
        <f t="shared" si="59"/>
        <v>4434.4124758908292</v>
      </c>
      <c r="AH10" s="187">
        <f t="shared" si="81"/>
        <v>3.3815990851316844</v>
      </c>
      <c r="AI10" s="188">
        <f t="shared" si="61"/>
        <v>4437.7940749759609</v>
      </c>
      <c r="AJ10" s="187">
        <f t="shared" si="62"/>
        <v>397.96009399020272</v>
      </c>
      <c r="AK10" s="187">
        <f t="shared" si="82"/>
        <v>0.30347684097335637</v>
      </c>
      <c r="AL10" s="188">
        <f t="shared" si="64"/>
        <v>398.26357083117608</v>
      </c>
      <c r="AM10" s="187">
        <f t="shared" si="65"/>
        <v>193.29490279524131</v>
      </c>
      <c r="AN10" s="187">
        <f t="shared" si="83"/>
        <v>0.14740303704420166</v>
      </c>
      <c r="AO10" s="188">
        <f t="shared" si="67"/>
        <v>193.44230583228551</v>
      </c>
      <c r="AP10" s="187">
        <f t="shared" si="68"/>
        <v>0</v>
      </c>
      <c r="AQ10" s="187">
        <f t="shared" si="84"/>
        <v>0</v>
      </c>
      <c r="AR10" s="188">
        <f t="shared" si="70"/>
        <v>0</v>
      </c>
      <c r="AS10" s="186">
        <f t="shared" si="71"/>
        <v>926689.87486558582</v>
      </c>
      <c r="AT10" s="169"/>
      <c r="AU10" s="169"/>
      <c r="AV10" s="169"/>
    </row>
    <row r="11" spans="1:48">
      <c r="A11" s="169">
        <f>VLOOKUP(B11,Misc_inputs!$A$3:$B$33,2,0)</f>
        <v>2.8492930312000952</v>
      </c>
      <c r="B11" s="168">
        <v>2022</v>
      </c>
      <c r="C11" s="187">
        <f t="shared" si="29"/>
        <v>911431.87132672966</v>
      </c>
      <c r="D11" s="187">
        <f t="shared" si="30"/>
        <v>25969.364793849127</v>
      </c>
      <c r="E11" s="188">
        <f t="shared" si="31"/>
        <v>937401.23612057883</v>
      </c>
      <c r="F11" s="187">
        <f t="shared" si="32"/>
        <v>1558.9174058248893</v>
      </c>
      <c r="G11" s="187">
        <f t="shared" si="72"/>
        <v>44.418125006333874</v>
      </c>
      <c r="H11" s="188">
        <f t="shared" si="34"/>
        <v>1603.3355308312232</v>
      </c>
      <c r="I11" s="187">
        <f t="shared" si="35"/>
        <v>1422.3698958256286</v>
      </c>
      <c r="J11" s="187">
        <f t="shared" si="73"/>
        <v>40.527486319647693</v>
      </c>
      <c r="K11" s="188">
        <f t="shared" si="37"/>
        <v>1462.8973821452764</v>
      </c>
      <c r="L11" s="187">
        <f t="shared" si="38"/>
        <v>659.97963166309182</v>
      </c>
      <c r="M11" s="187">
        <f t="shared" si="74"/>
        <v>18.804753652316535</v>
      </c>
      <c r="N11" s="188">
        <f t="shared" si="40"/>
        <v>678.78438531540837</v>
      </c>
      <c r="O11" s="187">
        <f t="shared" si="41"/>
        <v>659.97963166309182</v>
      </c>
      <c r="P11" s="187">
        <f t="shared" si="75"/>
        <v>18.804753652316535</v>
      </c>
      <c r="Q11" s="188">
        <f t="shared" si="43"/>
        <v>678.78438531540837</v>
      </c>
      <c r="R11" s="187">
        <f t="shared" si="44"/>
        <v>4176.0780141440464</v>
      </c>
      <c r="S11" s="187">
        <f t="shared" si="76"/>
        <v>118.98869983448563</v>
      </c>
      <c r="T11" s="188">
        <f t="shared" si="46"/>
        <v>4295.0667139785319</v>
      </c>
      <c r="U11" s="187">
        <f t="shared" si="47"/>
        <v>1445.1278141588389</v>
      </c>
      <c r="V11" s="187">
        <f t="shared" si="77"/>
        <v>41.175926100762062</v>
      </c>
      <c r="W11" s="188">
        <f t="shared" si="49"/>
        <v>1486.303740259601</v>
      </c>
      <c r="X11" s="187">
        <f t="shared" si="50"/>
        <v>2127.8653641551409</v>
      </c>
      <c r="Y11" s="187">
        <f t="shared" si="78"/>
        <v>60.629119534192959</v>
      </c>
      <c r="Z11" s="188">
        <f t="shared" si="52"/>
        <v>2188.4944836893337</v>
      </c>
      <c r="AA11" s="187">
        <f t="shared" si="53"/>
        <v>113.7895916660503</v>
      </c>
      <c r="AB11" s="187">
        <f t="shared" si="79"/>
        <v>3.2421989055718154</v>
      </c>
      <c r="AC11" s="188">
        <f t="shared" si="55"/>
        <v>117.03179057162211</v>
      </c>
      <c r="AD11" s="187">
        <f t="shared" si="56"/>
        <v>443.77940749759614</v>
      </c>
      <c r="AE11" s="187">
        <f t="shared" si="80"/>
        <v>12.644575731730081</v>
      </c>
      <c r="AF11" s="188">
        <f t="shared" si="58"/>
        <v>456.42398322932621</v>
      </c>
      <c r="AG11" s="187">
        <f t="shared" si="59"/>
        <v>4437.7940749759609</v>
      </c>
      <c r="AH11" s="187">
        <f t="shared" si="81"/>
        <v>126.44575731730077</v>
      </c>
      <c r="AI11" s="188">
        <f t="shared" si="61"/>
        <v>4564.2398322932613</v>
      </c>
      <c r="AJ11" s="187">
        <f t="shared" si="62"/>
        <v>398.26357083117608</v>
      </c>
      <c r="AK11" s="187">
        <f t="shared" si="82"/>
        <v>11.347696169501354</v>
      </c>
      <c r="AL11" s="188">
        <f t="shared" si="64"/>
        <v>409.61126700067746</v>
      </c>
      <c r="AM11" s="187">
        <f t="shared" si="65"/>
        <v>193.44230583228551</v>
      </c>
      <c r="AN11" s="187">
        <f t="shared" si="83"/>
        <v>5.5117381394720857</v>
      </c>
      <c r="AO11" s="188">
        <f t="shared" si="67"/>
        <v>198.95404397175759</v>
      </c>
      <c r="AP11" s="187">
        <f t="shared" si="68"/>
        <v>0</v>
      </c>
      <c r="AQ11" s="187">
        <f t="shared" si="84"/>
        <v>0</v>
      </c>
      <c r="AR11" s="188">
        <f t="shared" si="70"/>
        <v>0</v>
      </c>
      <c r="AS11" s="186">
        <f t="shared" si="71"/>
        <v>927396.55103747651</v>
      </c>
      <c r="AT11" s="169"/>
      <c r="AU11" s="169"/>
      <c r="AV11" s="169"/>
    </row>
    <row r="12" spans="1:48">
      <c r="A12" s="169">
        <f>VLOOKUP(B12,Misc_inputs!$A$3:$B$33,2,0)</f>
        <v>3.143440902459993</v>
      </c>
      <c r="B12" s="168">
        <v>2023</v>
      </c>
      <c r="C12" s="187">
        <f t="shared" si="29"/>
        <v>937401.23612057883</v>
      </c>
      <c r="D12" s="187">
        <f t="shared" si="30"/>
        <v>29466.653876379853</v>
      </c>
      <c r="E12" s="188">
        <f t="shared" si="31"/>
        <v>966867.88999695866</v>
      </c>
      <c r="F12" s="187">
        <f t="shared" si="32"/>
        <v>1603.3355308312232</v>
      </c>
      <c r="G12" s="187">
        <f t="shared" si="72"/>
        <v>50.399904879822728</v>
      </c>
      <c r="H12" s="188">
        <f t="shared" si="34"/>
        <v>1653.735435711046</v>
      </c>
      <c r="I12" s="187">
        <f t="shared" si="35"/>
        <v>1462.8973821452764</v>
      </c>
      <c r="J12" s="187">
        <f t="shared" si="73"/>
        <v>45.985314671371086</v>
      </c>
      <c r="K12" s="188">
        <f t="shared" si="37"/>
        <v>1508.8826968166475</v>
      </c>
      <c r="L12" s="187">
        <f t="shared" si="38"/>
        <v>678.78438531540837</v>
      </c>
      <c r="M12" s="187">
        <f t="shared" si="74"/>
        <v>21.337186007516188</v>
      </c>
      <c r="N12" s="188">
        <f t="shared" si="40"/>
        <v>700.12157132292452</v>
      </c>
      <c r="O12" s="187">
        <f t="shared" si="41"/>
        <v>678.78438531540837</v>
      </c>
      <c r="P12" s="187">
        <f t="shared" si="75"/>
        <v>21.337186007516188</v>
      </c>
      <c r="Q12" s="188">
        <f t="shared" si="43"/>
        <v>700.12157132292452</v>
      </c>
      <c r="R12" s="187">
        <f t="shared" si="44"/>
        <v>4295.0667139785319</v>
      </c>
      <c r="S12" s="187">
        <f t="shared" si="76"/>
        <v>135.01288387514552</v>
      </c>
      <c r="T12" s="188">
        <f t="shared" si="46"/>
        <v>4430.0795978536771</v>
      </c>
      <c r="U12" s="187">
        <f t="shared" si="47"/>
        <v>1486.303740259601</v>
      </c>
      <c r="V12" s="187">
        <f t="shared" si="77"/>
        <v>46.721079706113031</v>
      </c>
      <c r="W12" s="188">
        <f t="shared" si="49"/>
        <v>1533.024819965714</v>
      </c>
      <c r="X12" s="187">
        <f t="shared" si="50"/>
        <v>2188.4944836893337</v>
      </c>
      <c r="Y12" s="187">
        <f t="shared" si="78"/>
        <v>68.794030748371156</v>
      </c>
      <c r="Z12" s="188">
        <f t="shared" si="52"/>
        <v>2257.2885144377051</v>
      </c>
      <c r="AA12" s="187">
        <f t="shared" si="53"/>
        <v>117.03179057162211</v>
      </c>
      <c r="AB12" s="187">
        <f t="shared" si="79"/>
        <v>3.6788251737096869</v>
      </c>
      <c r="AC12" s="188">
        <f t="shared" si="55"/>
        <v>120.71061574533179</v>
      </c>
      <c r="AD12" s="187">
        <f t="shared" si="56"/>
        <v>456.42398322932621</v>
      </c>
      <c r="AE12" s="187">
        <f t="shared" si="80"/>
        <v>14.347418177467778</v>
      </c>
      <c r="AF12" s="188">
        <f t="shared" si="58"/>
        <v>470.77140140679398</v>
      </c>
      <c r="AG12" s="187">
        <f t="shared" si="59"/>
        <v>4564.2398322932613</v>
      </c>
      <c r="AH12" s="187">
        <f t="shared" si="81"/>
        <v>143.47418177467776</v>
      </c>
      <c r="AI12" s="188">
        <f t="shared" si="61"/>
        <v>4707.7140140679394</v>
      </c>
      <c r="AJ12" s="187">
        <f t="shared" si="62"/>
        <v>409.61126700067746</v>
      </c>
      <c r="AK12" s="187">
        <f t="shared" si="82"/>
        <v>12.875888107983908</v>
      </c>
      <c r="AL12" s="188">
        <f t="shared" si="64"/>
        <v>422.48715510866134</v>
      </c>
      <c r="AM12" s="187">
        <f t="shared" si="65"/>
        <v>198.95404397175759</v>
      </c>
      <c r="AN12" s="187">
        <f t="shared" si="83"/>
        <v>6.2540027953064676</v>
      </c>
      <c r="AO12" s="188">
        <f t="shared" si="67"/>
        <v>205.20804676706405</v>
      </c>
      <c r="AP12" s="187">
        <f t="shared" si="68"/>
        <v>0</v>
      </c>
      <c r="AQ12" s="187">
        <f t="shared" si="84"/>
        <v>0</v>
      </c>
      <c r="AR12" s="188">
        <f t="shared" si="70"/>
        <v>0</v>
      </c>
      <c r="AS12" s="186">
        <f t="shared" si="71"/>
        <v>953820.79633777728</v>
      </c>
      <c r="AT12" s="169"/>
      <c r="AU12" s="169"/>
      <c r="AV12" s="169"/>
    </row>
    <row r="13" spans="1:48">
      <c r="A13" s="169">
        <f>VLOOKUP(B13,Misc_inputs!$A$3:$B$33,2,0)</f>
        <v>1.8594732384912049</v>
      </c>
      <c r="B13" s="168">
        <v>2024</v>
      </c>
      <c r="C13" s="187">
        <f t="shared" si="29"/>
        <v>966867.88999695866</v>
      </c>
      <c r="D13" s="187">
        <f t="shared" si="30"/>
        <v>17978.649666058027</v>
      </c>
      <c r="E13" s="188">
        <f t="shared" si="31"/>
        <v>984846.53966301668</v>
      </c>
      <c r="F13" s="187">
        <f t="shared" si="32"/>
        <v>1653.735435711046</v>
      </c>
      <c r="G13" s="187">
        <f t="shared" si="72"/>
        <v>30.750767862492825</v>
      </c>
      <c r="H13" s="188">
        <f t="shared" si="34"/>
        <v>1684.4862035735389</v>
      </c>
      <c r="I13" s="187">
        <f t="shared" si="35"/>
        <v>1508.8826968166475</v>
      </c>
      <c r="J13" s="187">
        <f t="shared" si="73"/>
        <v>28.057269947529946</v>
      </c>
      <c r="K13" s="188">
        <f t="shared" si="37"/>
        <v>1536.9399667641774</v>
      </c>
      <c r="L13" s="187">
        <f t="shared" si="38"/>
        <v>700.12157132292452</v>
      </c>
      <c r="M13" s="187">
        <f t="shared" si="74"/>
        <v>13.018573255653896</v>
      </c>
      <c r="N13" s="188">
        <f t="shared" si="40"/>
        <v>713.14014457857843</v>
      </c>
      <c r="O13" s="187">
        <f t="shared" si="41"/>
        <v>700.12157132292452</v>
      </c>
      <c r="P13" s="187">
        <f t="shared" si="75"/>
        <v>13.018573255653896</v>
      </c>
      <c r="Q13" s="188">
        <f t="shared" si="43"/>
        <v>713.14014457857843</v>
      </c>
      <c r="R13" s="187">
        <f t="shared" si="44"/>
        <v>4430.0795978536771</v>
      </c>
      <c r="S13" s="187">
        <f t="shared" si="76"/>
        <v>82.376144565947925</v>
      </c>
      <c r="T13" s="188">
        <f t="shared" si="46"/>
        <v>4512.4557424196246</v>
      </c>
      <c r="U13" s="187">
        <f t="shared" si="47"/>
        <v>1533.024819965714</v>
      </c>
      <c r="V13" s="187">
        <f t="shared" si="77"/>
        <v>28.506186266690424</v>
      </c>
      <c r="W13" s="188">
        <f t="shared" si="49"/>
        <v>1561.5310062324045</v>
      </c>
      <c r="X13" s="187">
        <f t="shared" si="50"/>
        <v>2257.2885144377051</v>
      </c>
      <c r="Y13" s="187">
        <f t="shared" si="78"/>
        <v>41.9736758415048</v>
      </c>
      <c r="Z13" s="188">
        <f t="shared" si="52"/>
        <v>2299.2621902792098</v>
      </c>
      <c r="AA13" s="187">
        <f t="shared" si="53"/>
        <v>120.71061574533179</v>
      </c>
      <c r="AB13" s="187">
        <f t="shared" si="79"/>
        <v>2.2445815958023956</v>
      </c>
      <c r="AC13" s="188">
        <f t="shared" si="55"/>
        <v>122.95519734113419</v>
      </c>
      <c r="AD13" s="187">
        <f t="shared" si="56"/>
        <v>470.77140140679398</v>
      </c>
      <c r="AE13" s="187">
        <f t="shared" si="80"/>
        <v>8.7538682236293432</v>
      </c>
      <c r="AF13" s="188">
        <f t="shared" si="58"/>
        <v>479.52526963042334</v>
      </c>
      <c r="AG13" s="187">
        <f t="shared" si="59"/>
        <v>4707.7140140679394</v>
      </c>
      <c r="AH13" s="187">
        <f t="shared" si="81"/>
        <v>87.538682236293411</v>
      </c>
      <c r="AI13" s="188">
        <f t="shared" si="61"/>
        <v>4795.2526963042328</v>
      </c>
      <c r="AJ13" s="187">
        <f t="shared" si="62"/>
        <v>422.48715510866134</v>
      </c>
      <c r="AK13" s="187">
        <f t="shared" si="82"/>
        <v>7.8560355853083852</v>
      </c>
      <c r="AL13" s="188">
        <f t="shared" si="64"/>
        <v>430.34319069396975</v>
      </c>
      <c r="AM13" s="187">
        <f t="shared" si="65"/>
        <v>205.20804676706405</v>
      </c>
      <c r="AN13" s="187">
        <f t="shared" si="83"/>
        <v>3.8157887128640722</v>
      </c>
      <c r="AO13" s="188">
        <f t="shared" si="67"/>
        <v>209.02383547992812</v>
      </c>
      <c r="AP13" s="187">
        <f t="shared" si="68"/>
        <v>0</v>
      </c>
      <c r="AQ13" s="187">
        <f t="shared" si="84"/>
        <v>0</v>
      </c>
      <c r="AR13" s="188">
        <f t="shared" si="70"/>
        <v>0</v>
      </c>
      <c r="AS13" s="186">
        <f t="shared" si="71"/>
        <v>983803.58938602882</v>
      </c>
      <c r="AT13" s="169"/>
      <c r="AU13" s="169"/>
      <c r="AV13" s="169"/>
    </row>
    <row r="14" spans="1:48">
      <c r="A14" s="169">
        <f>VLOOKUP(B14,Misc_inputs!$A$3:$B$33,2,0)</f>
        <v>1.892198034308179</v>
      </c>
      <c r="B14" s="168">
        <v>2025</v>
      </c>
      <c r="C14" s="187">
        <f t="shared" si="29"/>
        <v>984846.53966301668</v>
      </c>
      <c r="D14" s="187">
        <f t="shared" si="30"/>
        <v>18635.246864455723</v>
      </c>
      <c r="E14" s="188">
        <f t="shared" si="31"/>
        <v>1003481.7865274724</v>
      </c>
      <c r="F14" s="187">
        <f t="shared" si="32"/>
        <v>1684.4862035735389</v>
      </c>
      <c r="G14" s="187">
        <f t="shared" si="72"/>
        <v>31.873814832210975</v>
      </c>
      <c r="H14" s="188">
        <f t="shared" si="34"/>
        <v>1716.3600184057498</v>
      </c>
      <c r="I14" s="187">
        <f t="shared" si="35"/>
        <v>1536.9399667641774</v>
      </c>
      <c r="J14" s="187">
        <f t="shared" si="73"/>
        <v>29.081947839608542</v>
      </c>
      <c r="K14" s="188">
        <f t="shared" si="37"/>
        <v>1566.0219146037859</v>
      </c>
      <c r="L14" s="187">
        <f t="shared" si="38"/>
        <v>713.14014457857843</v>
      </c>
      <c r="M14" s="187">
        <f t="shared" si="74"/>
        <v>13.494023797578368</v>
      </c>
      <c r="N14" s="188">
        <f t="shared" si="40"/>
        <v>726.63416837615682</v>
      </c>
      <c r="O14" s="187">
        <f t="shared" si="41"/>
        <v>713.14014457857843</v>
      </c>
      <c r="P14" s="187">
        <f t="shared" si="75"/>
        <v>13.494023797578368</v>
      </c>
      <c r="Q14" s="188">
        <f t="shared" si="43"/>
        <v>726.63416837615682</v>
      </c>
      <c r="R14" s="187">
        <f t="shared" si="44"/>
        <v>4512.4557424196246</v>
      </c>
      <c r="S14" s="187">
        <f t="shared" si="76"/>
        <v>85.38459885709068</v>
      </c>
      <c r="T14" s="188">
        <f t="shared" si="46"/>
        <v>4597.8403412767157</v>
      </c>
      <c r="U14" s="187">
        <f t="shared" si="47"/>
        <v>1561.5310062324045</v>
      </c>
      <c r="V14" s="187">
        <f t="shared" si="77"/>
        <v>29.547259005042289</v>
      </c>
      <c r="W14" s="188">
        <f t="shared" si="49"/>
        <v>1591.0782652374467</v>
      </c>
      <c r="X14" s="187">
        <f t="shared" si="50"/>
        <v>2299.2621902792098</v>
      </c>
      <c r="Y14" s="187">
        <f t="shared" si="78"/>
        <v>43.506593968054396</v>
      </c>
      <c r="Z14" s="188">
        <f t="shared" si="52"/>
        <v>2342.7687842472642</v>
      </c>
      <c r="AA14" s="187">
        <f t="shared" si="53"/>
        <v>122.95519734113419</v>
      </c>
      <c r="AB14" s="187">
        <f t="shared" si="79"/>
        <v>2.3265558271686837</v>
      </c>
      <c r="AC14" s="188">
        <f t="shared" si="55"/>
        <v>125.28175316830288</v>
      </c>
      <c r="AD14" s="187">
        <f t="shared" si="56"/>
        <v>479.52526963042334</v>
      </c>
      <c r="AE14" s="187">
        <f t="shared" si="80"/>
        <v>9.0735677259578651</v>
      </c>
      <c r="AF14" s="188">
        <f t="shared" si="58"/>
        <v>488.59883735638118</v>
      </c>
      <c r="AG14" s="187">
        <f t="shared" si="59"/>
        <v>4795.2526963042328</v>
      </c>
      <c r="AH14" s="187">
        <f t="shared" si="81"/>
        <v>90.735677259578637</v>
      </c>
      <c r="AI14" s="188">
        <f t="shared" si="61"/>
        <v>4885.9883735638114</v>
      </c>
      <c r="AJ14" s="187">
        <f t="shared" si="62"/>
        <v>430.34319069396975</v>
      </c>
      <c r="AK14" s="187">
        <f t="shared" si="82"/>
        <v>8.1429453950903934</v>
      </c>
      <c r="AL14" s="188">
        <f t="shared" si="64"/>
        <v>438.48613608906015</v>
      </c>
      <c r="AM14" s="187">
        <f t="shared" si="65"/>
        <v>209.02383547992812</v>
      </c>
      <c r="AN14" s="187">
        <f t="shared" si="83"/>
        <v>3.9551449061867618</v>
      </c>
      <c r="AO14" s="188">
        <f t="shared" si="67"/>
        <v>212.9789803861149</v>
      </c>
      <c r="AP14" s="187">
        <f t="shared" si="68"/>
        <v>0</v>
      </c>
      <c r="AQ14" s="187">
        <f t="shared" si="84"/>
        <v>0</v>
      </c>
      <c r="AR14" s="188">
        <f t="shared" si="70"/>
        <v>0</v>
      </c>
      <c r="AS14" s="186">
        <f t="shared" si="71"/>
        <v>1002097.1538499778</v>
      </c>
      <c r="AT14" s="169"/>
      <c r="AU14" s="169"/>
      <c r="AV14" s="169"/>
    </row>
    <row r="15" spans="1:48">
      <c r="A15" s="169">
        <f>VLOOKUP(B15,Misc_inputs!$A$3:$B$33,2,0)</f>
        <v>2.0003592159356653</v>
      </c>
      <c r="B15" s="168">
        <v>2026</v>
      </c>
      <c r="C15" s="187">
        <f t="shared" si="29"/>
        <v>1003481.7865274724</v>
      </c>
      <c r="D15" s="187">
        <f t="shared" si="30"/>
        <v>20073.240397038157</v>
      </c>
      <c r="E15" s="188">
        <f t="shared" si="31"/>
        <v>1023555.0269245106</v>
      </c>
      <c r="F15" s="187">
        <f t="shared" si="32"/>
        <v>1716.3600184057498</v>
      </c>
      <c r="G15" s="187">
        <f t="shared" si="72"/>
        <v>34.333365806814498</v>
      </c>
      <c r="H15" s="188">
        <f t="shared" si="34"/>
        <v>1750.6933842125643</v>
      </c>
      <c r="I15" s="187">
        <f t="shared" si="35"/>
        <v>1566.0219146037859</v>
      </c>
      <c r="J15" s="187">
        <f t="shared" si="73"/>
        <v>31.326063692348988</v>
      </c>
      <c r="K15" s="188">
        <f t="shared" si="37"/>
        <v>1597.3479782961349</v>
      </c>
      <c r="L15" s="187">
        <f t="shared" si="38"/>
        <v>726.63416837615682</v>
      </c>
      <c r="M15" s="187">
        <f t="shared" si="74"/>
        <v>14.535293553249932</v>
      </c>
      <c r="N15" s="188">
        <f t="shared" si="40"/>
        <v>741.16946192940679</v>
      </c>
      <c r="O15" s="187">
        <f t="shared" si="41"/>
        <v>726.63416837615682</v>
      </c>
      <c r="P15" s="187">
        <f t="shared" si="75"/>
        <v>14.535293553249932</v>
      </c>
      <c r="Q15" s="188">
        <f t="shared" si="43"/>
        <v>741.16946192940679</v>
      </c>
      <c r="R15" s="187">
        <f t="shared" si="44"/>
        <v>4597.8403412767157</v>
      </c>
      <c r="S15" s="187">
        <f t="shared" si="76"/>
        <v>91.973323000736642</v>
      </c>
      <c r="T15" s="188">
        <f t="shared" si="46"/>
        <v>4689.8136642774525</v>
      </c>
      <c r="U15" s="187">
        <f t="shared" si="47"/>
        <v>1591.0782652374467</v>
      </c>
      <c r="V15" s="187">
        <f t="shared" si="77"/>
        <v>31.827280711426575</v>
      </c>
      <c r="W15" s="188">
        <f t="shared" si="49"/>
        <v>1622.9055459488732</v>
      </c>
      <c r="X15" s="187">
        <f t="shared" si="50"/>
        <v>2342.7687842472642</v>
      </c>
      <c r="Y15" s="187">
        <f t="shared" si="78"/>
        <v>46.86379128375409</v>
      </c>
      <c r="Z15" s="188">
        <f t="shared" si="52"/>
        <v>2389.6325755310181</v>
      </c>
      <c r="AA15" s="187">
        <f t="shared" si="53"/>
        <v>125.28175316830288</v>
      </c>
      <c r="AB15" s="187">
        <f t="shared" si="79"/>
        <v>2.506085095387919</v>
      </c>
      <c r="AC15" s="188">
        <f t="shared" si="55"/>
        <v>127.7878382636908</v>
      </c>
      <c r="AD15" s="187">
        <f t="shared" si="56"/>
        <v>488.59883735638118</v>
      </c>
      <c r="AE15" s="187">
        <f t="shared" si="80"/>
        <v>9.773731872012883</v>
      </c>
      <c r="AF15" s="188">
        <f t="shared" si="58"/>
        <v>498.37256922839407</v>
      </c>
      <c r="AG15" s="187">
        <f t="shared" si="59"/>
        <v>4885.9883735638114</v>
      </c>
      <c r="AH15" s="187">
        <f t="shared" si="81"/>
        <v>97.737318720128826</v>
      </c>
      <c r="AI15" s="188">
        <f t="shared" si="61"/>
        <v>4983.7256922839406</v>
      </c>
      <c r="AJ15" s="187">
        <f t="shared" si="62"/>
        <v>438.48613608906015</v>
      </c>
      <c r="AK15" s="187">
        <f t="shared" si="82"/>
        <v>8.7712978338577177</v>
      </c>
      <c r="AL15" s="188">
        <f t="shared" si="64"/>
        <v>447.25743392291787</v>
      </c>
      <c r="AM15" s="187">
        <f t="shared" si="65"/>
        <v>212.9789803861149</v>
      </c>
      <c r="AN15" s="187">
        <f t="shared" si="83"/>
        <v>4.2603446621594623</v>
      </c>
      <c r="AO15" s="188">
        <f t="shared" si="67"/>
        <v>217.23932504827437</v>
      </c>
      <c r="AP15" s="187">
        <f t="shared" si="68"/>
        <v>0</v>
      </c>
      <c r="AQ15" s="187">
        <f t="shared" si="84"/>
        <v>0</v>
      </c>
      <c r="AR15" s="188">
        <f t="shared" si="70"/>
        <v>0</v>
      </c>
      <c r="AS15" s="186">
        <f t="shared" si="71"/>
        <v>1021058.8164969855</v>
      </c>
      <c r="AT15" s="169"/>
      <c r="AU15" s="169"/>
      <c r="AV15" s="169"/>
    </row>
    <row r="16" spans="1:48">
      <c r="A16" s="169">
        <f>VLOOKUP(B16,Misc_inputs!$A$3:$B$33,2,0)</f>
        <v>0</v>
      </c>
      <c r="B16" s="168">
        <v>2027</v>
      </c>
      <c r="C16" s="187">
        <f t="shared" si="29"/>
        <v>1023555.0269245106</v>
      </c>
      <c r="D16" s="187">
        <f t="shared" si="30"/>
        <v>0</v>
      </c>
      <c r="E16" s="188">
        <f t="shared" si="31"/>
        <v>1023555.0269245106</v>
      </c>
      <c r="F16" s="187">
        <f t="shared" si="32"/>
        <v>1750.6933842125643</v>
      </c>
      <c r="G16" s="187">
        <f t="shared" si="72"/>
        <v>0</v>
      </c>
      <c r="H16" s="188">
        <f t="shared" si="34"/>
        <v>1750.6933842125643</v>
      </c>
      <c r="I16" s="187">
        <f t="shared" si="35"/>
        <v>1597.3479782961349</v>
      </c>
      <c r="J16" s="187">
        <f t="shared" si="73"/>
        <v>0</v>
      </c>
      <c r="K16" s="188">
        <f t="shared" si="37"/>
        <v>1597.3479782961349</v>
      </c>
      <c r="L16" s="187">
        <f t="shared" si="38"/>
        <v>741.16946192940679</v>
      </c>
      <c r="M16" s="187">
        <f t="shared" si="74"/>
        <v>0</v>
      </c>
      <c r="N16" s="188">
        <f t="shared" si="40"/>
        <v>741.16946192940679</v>
      </c>
      <c r="O16" s="187">
        <f t="shared" si="41"/>
        <v>741.16946192940679</v>
      </c>
      <c r="P16" s="187">
        <f t="shared" si="75"/>
        <v>0</v>
      </c>
      <c r="Q16" s="188">
        <f t="shared" si="43"/>
        <v>741.16946192940679</v>
      </c>
      <c r="R16" s="187">
        <f t="shared" si="44"/>
        <v>4689.8136642774525</v>
      </c>
      <c r="S16" s="187">
        <f t="shared" si="76"/>
        <v>0</v>
      </c>
      <c r="T16" s="188">
        <f t="shared" si="46"/>
        <v>4689.8136642774525</v>
      </c>
      <c r="U16" s="187">
        <f t="shared" si="47"/>
        <v>1622.9055459488732</v>
      </c>
      <c r="V16" s="187">
        <f t="shared" si="77"/>
        <v>0</v>
      </c>
      <c r="W16" s="188">
        <f t="shared" si="49"/>
        <v>1622.9055459488732</v>
      </c>
      <c r="X16" s="187">
        <f t="shared" si="50"/>
        <v>2389.6325755310181</v>
      </c>
      <c r="Y16" s="187">
        <f t="shared" si="78"/>
        <v>0</v>
      </c>
      <c r="Z16" s="188">
        <f t="shared" si="52"/>
        <v>2389.6325755310181</v>
      </c>
      <c r="AA16" s="187">
        <f t="shared" si="53"/>
        <v>127.7878382636908</v>
      </c>
      <c r="AB16" s="187">
        <f t="shared" si="79"/>
        <v>0</v>
      </c>
      <c r="AC16" s="188">
        <f t="shared" si="55"/>
        <v>127.7878382636908</v>
      </c>
      <c r="AD16" s="187">
        <f t="shared" si="56"/>
        <v>498.37256922839407</v>
      </c>
      <c r="AE16" s="187">
        <f t="shared" si="80"/>
        <v>0</v>
      </c>
      <c r="AF16" s="188">
        <f t="shared" si="58"/>
        <v>498.37256922839407</v>
      </c>
      <c r="AG16" s="187">
        <f t="shared" si="59"/>
        <v>4983.7256922839406</v>
      </c>
      <c r="AH16" s="187">
        <f t="shared" si="81"/>
        <v>0</v>
      </c>
      <c r="AI16" s="188">
        <f t="shared" si="61"/>
        <v>4983.7256922839406</v>
      </c>
      <c r="AJ16" s="187">
        <f t="shared" si="62"/>
        <v>447.25743392291787</v>
      </c>
      <c r="AK16" s="187">
        <f t="shared" si="82"/>
        <v>0</v>
      </c>
      <c r="AL16" s="188">
        <f t="shared" si="64"/>
        <v>447.25743392291787</v>
      </c>
      <c r="AM16" s="187">
        <f t="shared" si="65"/>
        <v>217.23932504827437</v>
      </c>
      <c r="AN16" s="187">
        <f t="shared" si="83"/>
        <v>0</v>
      </c>
      <c r="AO16" s="188">
        <f t="shared" si="67"/>
        <v>217.23932504827437</v>
      </c>
      <c r="AP16" s="187">
        <f t="shared" si="68"/>
        <v>0</v>
      </c>
      <c r="AQ16" s="187">
        <f t="shared" si="84"/>
        <v>0</v>
      </c>
      <c r="AR16" s="188">
        <f t="shared" si="70"/>
        <v>0</v>
      </c>
      <c r="AS16" s="186">
        <f t="shared" si="71"/>
        <v>1041483.6606329064</v>
      </c>
      <c r="AT16" s="169"/>
      <c r="AU16" s="169"/>
      <c r="AV16" s="169"/>
    </row>
    <row r="17" spans="1:49">
      <c r="A17" s="169">
        <f>VLOOKUP(B17,Misc_inputs!$A$3:$B$33,2,0)</f>
        <v>0</v>
      </c>
      <c r="B17" s="168">
        <v>2028</v>
      </c>
      <c r="C17" s="187">
        <f t="shared" si="29"/>
        <v>1023555.0269245106</v>
      </c>
      <c r="D17" s="187">
        <f t="shared" si="30"/>
        <v>0</v>
      </c>
      <c r="E17" s="188">
        <f t="shared" si="31"/>
        <v>1023555.0269245106</v>
      </c>
      <c r="F17" s="187">
        <f t="shared" si="32"/>
        <v>1750.6933842125643</v>
      </c>
      <c r="G17" s="187">
        <f t="shared" si="72"/>
        <v>0</v>
      </c>
      <c r="H17" s="188">
        <f t="shared" si="34"/>
        <v>1750.6933842125643</v>
      </c>
      <c r="I17" s="187">
        <f t="shared" si="35"/>
        <v>1597.3479782961349</v>
      </c>
      <c r="J17" s="187">
        <f t="shared" si="73"/>
        <v>0</v>
      </c>
      <c r="K17" s="188">
        <f t="shared" si="37"/>
        <v>1597.3479782961349</v>
      </c>
      <c r="L17" s="187">
        <f t="shared" si="38"/>
        <v>741.16946192940679</v>
      </c>
      <c r="M17" s="187">
        <f t="shared" si="74"/>
        <v>0</v>
      </c>
      <c r="N17" s="188">
        <f t="shared" si="40"/>
        <v>741.16946192940679</v>
      </c>
      <c r="O17" s="187">
        <f t="shared" si="41"/>
        <v>741.16946192940679</v>
      </c>
      <c r="P17" s="187">
        <f t="shared" si="75"/>
        <v>0</v>
      </c>
      <c r="Q17" s="188">
        <f t="shared" si="43"/>
        <v>741.16946192940679</v>
      </c>
      <c r="R17" s="187">
        <f t="shared" si="44"/>
        <v>4689.8136642774525</v>
      </c>
      <c r="S17" s="187">
        <f t="shared" si="76"/>
        <v>0</v>
      </c>
      <c r="T17" s="188">
        <f t="shared" si="46"/>
        <v>4689.8136642774525</v>
      </c>
      <c r="U17" s="187">
        <f t="shared" si="47"/>
        <v>1622.9055459488732</v>
      </c>
      <c r="V17" s="187">
        <f t="shared" si="77"/>
        <v>0</v>
      </c>
      <c r="W17" s="188">
        <f t="shared" si="49"/>
        <v>1622.9055459488732</v>
      </c>
      <c r="X17" s="187">
        <f t="shared" si="50"/>
        <v>2389.6325755310181</v>
      </c>
      <c r="Y17" s="187">
        <f t="shared" si="78"/>
        <v>0</v>
      </c>
      <c r="Z17" s="188">
        <f t="shared" si="52"/>
        <v>2389.6325755310181</v>
      </c>
      <c r="AA17" s="187">
        <f t="shared" si="53"/>
        <v>127.7878382636908</v>
      </c>
      <c r="AB17" s="187">
        <f t="shared" si="79"/>
        <v>0</v>
      </c>
      <c r="AC17" s="188">
        <f t="shared" si="55"/>
        <v>127.7878382636908</v>
      </c>
      <c r="AD17" s="187">
        <f t="shared" si="56"/>
        <v>498.37256922839407</v>
      </c>
      <c r="AE17" s="187">
        <f t="shared" si="80"/>
        <v>0</v>
      </c>
      <c r="AF17" s="188">
        <f t="shared" si="58"/>
        <v>498.37256922839407</v>
      </c>
      <c r="AG17" s="187">
        <f t="shared" si="59"/>
        <v>4983.7256922839406</v>
      </c>
      <c r="AH17" s="187">
        <f t="shared" si="81"/>
        <v>0</v>
      </c>
      <c r="AI17" s="188">
        <f t="shared" si="61"/>
        <v>4983.7256922839406</v>
      </c>
      <c r="AJ17" s="187">
        <f t="shared" si="62"/>
        <v>447.25743392291787</v>
      </c>
      <c r="AK17" s="187">
        <f t="shared" si="82"/>
        <v>0</v>
      </c>
      <c r="AL17" s="188">
        <f t="shared" si="64"/>
        <v>447.25743392291787</v>
      </c>
      <c r="AM17" s="187">
        <f t="shared" si="65"/>
        <v>217.23932504827437</v>
      </c>
      <c r="AN17" s="187">
        <f t="shared" si="83"/>
        <v>0</v>
      </c>
      <c r="AO17" s="188">
        <f t="shared" si="67"/>
        <v>217.23932504827437</v>
      </c>
      <c r="AP17" s="187">
        <f t="shared" si="68"/>
        <v>0</v>
      </c>
      <c r="AQ17" s="187">
        <f t="shared" si="84"/>
        <v>0</v>
      </c>
      <c r="AR17" s="188">
        <f t="shared" si="70"/>
        <v>0</v>
      </c>
      <c r="AS17" s="186">
        <f t="shared" si="71"/>
        <v>1041483.6606329064</v>
      </c>
      <c r="AT17" s="169"/>
      <c r="AU17" s="169"/>
      <c r="AV17" s="169"/>
    </row>
    <row r="18" spans="1:49">
      <c r="A18" s="169">
        <f>VLOOKUP(B18,Misc_inputs!$A$3:$B$33,2,0)</f>
        <v>0</v>
      </c>
      <c r="B18" s="168">
        <v>2029</v>
      </c>
      <c r="C18" s="187">
        <f t="shared" si="29"/>
        <v>1023555.0269245106</v>
      </c>
      <c r="D18" s="187">
        <f t="shared" si="30"/>
        <v>0</v>
      </c>
      <c r="E18" s="188">
        <f t="shared" si="31"/>
        <v>1023555.0269245106</v>
      </c>
      <c r="F18" s="187">
        <f t="shared" si="32"/>
        <v>1750.6933842125643</v>
      </c>
      <c r="G18" s="187">
        <f t="shared" si="72"/>
        <v>0</v>
      </c>
      <c r="H18" s="188">
        <f t="shared" si="34"/>
        <v>1750.6933842125643</v>
      </c>
      <c r="I18" s="187">
        <f t="shared" si="35"/>
        <v>1597.3479782961349</v>
      </c>
      <c r="J18" s="187">
        <f t="shared" si="73"/>
        <v>0</v>
      </c>
      <c r="K18" s="188">
        <f t="shared" si="37"/>
        <v>1597.3479782961349</v>
      </c>
      <c r="L18" s="187">
        <f t="shared" si="38"/>
        <v>741.16946192940679</v>
      </c>
      <c r="M18" s="187">
        <f t="shared" si="74"/>
        <v>0</v>
      </c>
      <c r="N18" s="188">
        <f t="shared" si="40"/>
        <v>741.16946192940679</v>
      </c>
      <c r="O18" s="187">
        <f t="shared" si="41"/>
        <v>741.16946192940679</v>
      </c>
      <c r="P18" s="187">
        <f t="shared" si="75"/>
        <v>0</v>
      </c>
      <c r="Q18" s="188">
        <f t="shared" si="43"/>
        <v>741.16946192940679</v>
      </c>
      <c r="R18" s="187">
        <f t="shared" si="44"/>
        <v>4689.8136642774525</v>
      </c>
      <c r="S18" s="187">
        <f t="shared" si="76"/>
        <v>0</v>
      </c>
      <c r="T18" s="188">
        <f t="shared" si="46"/>
        <v>4689.8136642774525</v>
      </c>
      <c r="U18" s="187">
        <f t="shared" si="47"/>
        <v>1622.9055459488732</v>
      </c>
      <c r="V18" s="187">
        <f t="shared" si="77"/>
        <v>0</v>
      </c>
      <c r="W18" s="188">
        <f t="shared" si="49"/>
        <v>1622.9055459488732</v>
      </c>
      <c r="X18" s="187">
        <f t="shared" si="50"/>
        <v>2389.6325755310181</v>
      </c>
      <c r="Y18" s="187">
        <f t="shared" si="78"/>
        <v>0</v>
      </c>
      <c r="Z18" s="188">
        <f t="shared" si="52"/>
        <v>2389.6325755310181</v>
      </c>
      <c r="AA18" s="187">
        <f t="shared" si="53"/>
        <v>127.7878382636908</v>
      </c>
      <c r="AB18" s="187">
        <f t="shared" si="79"/>
        <v>0</v>
      </c>
      <c r="AC18" s="188">
        <f t="shared" si="55"/>
        <v>127.7878382636908</v>
      </c>
      <c r="AD18" s="187">
        <f t="shared" si="56"/>
        <v>498.37256922839407</v>
      </c>
      <c r="AE18" s="187">
        <f t="shared" si="80"/>
        <v>0</v>
      </c>
      <c r="AF18" s="188">
        <f t="shared" si="58"/>
        <v>498.37256922839407</v>
      </c>
      <c r="AG18" s="187">
        <f t="shared" si="59"/>
        <v>4983.7256922839406</v>
      </c>
      <c r="AH18" s="187">
        <f t="shared" si="81"/>
        <v>0</v>
      </c>
      <c r="AI18" s="188">
        <f t="shared" si="61"/>
        <v>4983.7256922839406</v>
      </c>
      <c r="AJ18" s="187">
        <f t="shared" si="62"/>
        <v>447.25743392291787</v>
      </c>
      <c r="AK18" s="187">
        <f t="shared" si="82"/>
        <v>0</v>
      </c>
      <c r="AL18" s="188">
        <f t="shared" si="64"/>
        <v>447.25743392291787</v>
      </c>
      <c r="AM18" s="187">
        <f t="shared" si="65"/>
        <v>217.23932504827437</v>
      </c>
      <c r="AN18" s="187">
        <f t="shared" si="83"/>
        <v>0</v>
      </c>
      <c r="AO18" s="188">
        <f t="shared" si="67"/>
        <v>217.23932504827437</v>
      </c>
      <c r="AP18" s="187">
        <f t="shared" si="68"/>
        <v>0</v>
      </c>
      <c r="AQ18" s="187">
        <f t="shared" si="84"/>
        <v>0</v>
      </c>
      <c r="AR18" s="188">
        <f t="shared" si="70"/>
        <v>0</v>
      </c>
      <c r="AS18" s="186">
        <f t="shared" si="71"/>
        <v>1041483.6606329064</v>
      </c>
      <c r="AT18" s="169"/>
      <c r="AU18" s="169"/>
      <c r="AV18" s="169"/>
    </row>
    <row r="19" spans="1:49">
      <c r="A19" s="169">
        <f>VLOOKUP(B19,Misc_inputs!$A$3:$B$33,2,0)</f>
        <v>0</v>
      </c>
      <c r="B19" s="168">
        <v>2030</v>
      </c>
      <c r="C19" s="187">
        <f t="shared" si="29"/>
        <v>1023555.0269245106</v>
      </c>
      <c r="D19" s="187">
        <f t="shared" si="30"/>
        <v>0</v>
      </c>
      <c r="E19" s="188">
        <f t="shared" si="31"/>
        <v>1023555.0269245106</v>
      </c>
      <c r="F19" s="187">
        <f t="shared" si="32"/>
        <v>1750.6933842125643</v>
      </c>
      <c r="G19" s="187">
        <f t="shared" si="72"/>
        <v>0</v>
      </c>
      <c r="H19" s="188">
        <f t="shared" si="34"/>
        <v>1750.6933842125643</v>
      </c>
      <c r="I19" s="187">
        <f t="shared" si="35"/>
        <v>1597.3479782961349</v>
      </c>
      <c r="J19" s="187">
        <f t="shared" si="73"/>
        <v>0</v>
      </c>
      <c r="K19" s="188">
        <f t="shared" si="37"/>
        <v>1597.3479782961349</v>
      </c>
      <c r="L19" s="187">
        <f t="shared" si="38"/>
        <v>741.16946192940679</v>
      </c>
      <c r="M19" s="187">
        <f t="shared" si="74"/>
        <v>0</v>
      </c>
      <c r="N19" s="188">
        <f t="shared" si="40"/>
        <v>741.16946192940679</v>
      </c>
      <c r="O19" s="187">
        <f t="shared" si="41"/>
        <v>741.16946192940679</v>
      </c>
      <c r="P19" s="187">
        <f t="shared" si="75"/>
        <v>0</v>
      </c>
      <c r="Q19" s="188">
        <f t="shared" si="43"/>
        <v>741.16946192940679</v>
      </c>
      <c r="R19" s="187">
        <f t="shared" si="44"/>
        <v>4689.8136642774525</v>
      </c>
      <c r="S19" s="187">
        <f t="shared" si="76"/>
        <v>0</v>
      </c>
      <c r="T19" s="188">
        <f t="shared" si="46"/>
        <v>4689.8136642774525</v>
      </c>
      <c r="U19" s="187">
        <f t="shared" si="47"/>
        <v>1622.9055459488732</v>
      </c>
      <c r="V19" s="187">
        <f t="shared" si="77"/>
        <v>0</v>
      </c>
      <c r="W19" s="188">
        <f t="shared" si="49"/>
        <v>1622.9055459488732</v>
      </c>
      <c r="X19" s="187">
        <f t="shared" si="50"/>
        <v>2389.6325755310181</v>
      </c>
      <c r="Y19" s="187">
        <f t="shared" si="78"/>
        <v>0</v>
      </c>
      <c r="Z19" s="188">
        <f t="shared" si="52"/>
        <v>2389.6325755310181</v>
      </c>
      <c r="AA19" s="187">
        <f t="shared" si="53"/>
        <v>127.7878382636908</v>
      </c>
      <c r="AB19" s="187">
        <f t="shared" si="79"/>
        <v>0</v>
      </c>
      <c r="AC19" s="188">
        <f t="shared" si="55"/>
        <v>127.7878382636908</v>
      </c>
      <c r="AD19" s="187">
        <f t="shared" si="56"/>
        <v>498.37256922839407</v>
      </c>
      <c r="AE19" s="187">
        <f t="shared" si="80"/>
        <v>0</v>
      </c>
      <c r="AF19" s="188">
        <f t="shared" si="58"/>
        <v>498.37256922839407</v>
      </c>
      <c r="AG19" s="187">
        <f t="shared" si="59"/>
        <v>4983.7256922839406</v>
      </c>
      <c r="AH19" s="187">
        <f t="shared" si="81"/>
        <v>0</v>
      </c>
      <c r="AI19" s="188">
        <f t="shared" si="61"/>
        <v>4983.7256922839406</v>
      </c>
      <c r="AJ19" s="187">
        <f t="shared" si="62"/>
        <v>447.25743392291787</v>
      </c>
      <c r="AK19" s="187">
        <f t="shared" si="82"/>
        <v>0</v>
      </c>
      <c r="AL19" s="188">
        <f t="shared" si="64"/>
        <v>447.25743392291787</v>
      </c>
      <c r="AM19" s="187">
        <f t="shared" si="65"/>
        <v>217.23932504827437</v>
      </c>
      <c r="AN19" s="187">
        <f t="shared" si="83"/>
        <v>0</v>
      </c>
      <c r="AO19" s="188">
        <f t="shared" si="67"/>
        <v>217.23932504827437</v>
      </c>
      <c r="AP19" s="187">
        <f t="shared" si="68"/>
        <v>0</v>
      </c>
      <c r="AQ19" s="187">
        <f t="shared" si="84"/>
        <v>0</v>
      </c>
      <c r="AR19" s="188">
        <f t="shared" si="70"/>
        <v>0</v>
      </c>
      <c r="AS19" s="186">
        <f t="shared" si="71"/>
        <v>1041483.6606329064</v>
      </c>
      <c r="AT19" s="169"/>
      <c r="AU19" s="169"/>
      <c r="AV19" s="169"/>
    </row>
    <row r="21" spans="1:49" s="190" customFormat="1" ht="23">
      <c r="A21" s="183" t="s">
        <v>575</v>
      </c>
      <c r="B21" s="189"/>
      <c r="C21" s="189"/>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row>
    <row r="22" spans="1:49" ht="62">
      <c r="A22" s="173" t="s">
        <v>539</v>
      </c>
      <c r="B22" s="172" t="s">
        <v>342</v>
      </c>
      <c r="C22" s="172" t="s">
        <v>406</v>
      </c>
      <c r="D22" s="184" t="s">
        <v>540</v>
      </c>
      <c r="E22" s="185" t="s">
        <v>541</v>
      </c>
      <c r="F22" s="172" t="s">
        <v>407</v>
      </c>
      <c r="G22" s="184" t="s">
        <v>540</v>
      </c>
      <c r="H22" s="185" t="s">
        <v>541</v>
      </c>
      <c r="I22" s="172" t="s">
        <v>408</v>
      </c>
      <c r="J22" s="184" t="s">
        <v>540</v>
      </c>
      <c r="K22" s="185" t="s">
        <v>541</v>
      </c>
      <c r="L22" s="172" t="s">
        <v>409</v>
      </c>
      <c r="M22" s="184" t="s">
        <v>540</v>
      </c>
      <c r="N22" s="185" t="s">
        <v>541</v>
      </c>
      <c r="O22" s="172" t="s">
        <v>410</v>
      </c>
      <c r="P22" s="184" t="s">
        <v>540</v>
      </c>
      <c r="Q22" s="185" t="s">
        <v>541</v>
      </c>
      <c r="R22" s="172" t="s">
        <v>424</v>
      </c>
      <c r="S22" s="184" t="s">
        <v>540</v>
      </c>
      <c r="T22" s="185" t="s">
        <v>541</v>
      </c>
      <c r="U22" s="172" t="s">
        <v>411</v>
      </c>
      <c r="V22" s="184" t="s">
        <v>540</v>
      </c>
      <c r="W22" s="185" t="s">
        <v>541</v>
      </c>
      <c r="X22" s="191" t="s">
        <v>412</v>
      </c>
    </row>
    <row r="23" spans="1:49">
      <c r="B23" s="168">
        <v>2015</v>
      </c>
      <c r="C23" s="186">
        <f>IF(Cost_of_crime_Raw_data!C98="not estimated","0",Cost_of_crime_Raw_data!C98)</f>
        <v>3670</v>
      </c>
      <c r="D23" s="187">
        <f>C23*$A23/100</f>
        <v>0</v>
      </c>
      <c r="E23" s="188">
        <f>C23+D23</f>
        <v>3670</v>
      </c>
      <c r="F23" s="186">
        <f>IF(Cost_of_crime_Raw_data!C99="not estimated","0",Cost_of_crime_Raw_data!C99)</f>
        <v>2240</v>
      </c>
      <c r="G23" s="187">
        <f>F23*$A23/100</f>
        <v>0</v>
      </c>
      <c r="H23" s="188">
        <f>F23+G23</f>
        <v>2240</v>
      </c>
      <c r="I23" s="186">
        <f>IF(Cost_of_crime_Raw_data!C100="not estimated","0",Cost_of_crime_Raw_data!C100)</f>
        <v>200</v>
      </c>
      <c r="J23" s="187">
        <f>I23*$A23/100</f>
        <v>0</v>
      </c>
      <c r="K23" s="188">
        <f>I23+J23</f>
        <v>200</v>
      </c>
      <c r="L23" s="186">
        <f>IF(Cost_of_crime_Raw_data!C101="not estimated","0",Cost_of_crime_Raw_data!C101)</f>
        <v>1870</v>
      </c>
      <c r="M23" s="187">
        <f>L23*$A23/100</f>
        <v>0</v>
      </c>
      <c r="N23" s="188">
        <f>L23+M23</f>
        <v>1870</v>
      </c>
      <c r="O23" s="186">
        <f>IF(Cost_of_crime_Raw_data!C102="not estimated","0",Cost_of_crime_Raw_data!C102)</f>
        <v>100</v>
      </c>
      <c r="P23" s="187">
        <f>O23*$A23/100</f>
        <v>0</v>
      </c>
      <c r="Q23" s="188">
        <f>O23+P23</f>
        <v>100</v>
      </c>
      <c r="R23" s="186">
        <f>IF(Cost_of_crime_Raw_data!C103="not estimated","0",Cost_of_crime_Raw_data!C103)</f>
        <v>3900</v>
      </c>
      <c r="S23" s="187">
        <f>R23*$A23/100</f>
        <v>0</v>
      </c>
      <c r="T23" s="188">
        <f>R23+S23</f>
        <v>3900</v>
      </c>
      <c r="U23" s="186">
        <f>IF(Cost_of_crime_Raw_data!C104="not estimated","0",Cost_of_crime_Raw_data!C104)</f>
        <v>350</v>
      </c>
      <c r="V23" s="187">
        <f>U23*$A23/100</f>
        <v>0</v>
      </c>
      <c r="W23" s="188">
        <f>U23+V23</f>
        <v>350</v>
      </c>
      <c r="X23" s="187">
        <f>SUM(W23,T23,Q23,N23,K23,H23,E23)</f>
        <v>12330</v>
      </c>
    </row>
    <row r="24" spans="1:49">
      <c r="A24" s="169">
        <f>VLOOKUP(B24,Misc_inputs!$A$3:$B$33,2,0)</f>
        <v>1.8963035451147277</v>
      </c>
      <c r="B24" s="168">
        <v>2016</v>
      </c>
      <c r="C24" s="187">
        <f>E23</f>
        <v>3670</v>
      </c>
      <c r="D24" s="187">
        <f t="shared" ref="D24" si="85">C24*$A24/100</f>
        <v>69.594340105710501</v>
      </c>
      <c r="E24" s="188">
        <f t="shared" ref="E24" si="86">C24+D24</f>
        <v>3739.5943401057107</v>
      </c>
      <c r="F24" s="187">
        <f>H23</f>
        <v>2240</v>
      </c>
      <c r="G24" s="187">
        <f t="shared" ref="G24" si="87">F24*$A24/100</f>
        <v>42.477199410569902</v>
      </c>
      <c r="H24" s="188">
        <f t="shared" ref="H24" si="88">F24+G24</f>
        <v>2282.4771994105699</v>
      </c>
      <c r="I24" s="187">
        <f>K23</f>
        <v>200</v>
      </c>
      <c r="J24" s="187">
        <f t="shared" ref="J24" si="89">I24*$A24/100</f>
        <v>3.7926070902294553</v>
      </c>
      <c r="K24" s="188">
        <f t="shared" ref="K24" si="90">I24+J24</f>
        <v>203.79260709022947</v>
      </c>
      <c r="L24" s="187">
        <f>N23</f>
        <v>1870</v>
      </c>
      <c r="M24" s="187">
        <f t="shared" ref="M24" si="91">L24*$A24/100</f>
        <v>35.460876293645406</v>
      </c>
      <c r="N24" s="188">
        <f t="shared" ref="N24" si="92">L24+M24</f>
        <v>1905.4608762936455</v>
      </c>
      <c r="O24" s="187">
        <f>Q23</f>
        <v>100</v>
      </c>
      <c r="P24" s="187">
        <f t="shared" ref="P24" si="93">O24*$A24/100</f>
        <v>1.8963035451147277</v>
      </c>
      <c r="Q24" s="188">
        <f t="shared" ref="Q24" si="94">O24+P24</f>
        <v>101.89630354511473</v>
      </c>
      <c r="R24" s="187">
        <f>T23</f>
        <v>3900</v>
      </c>
      <c r="S24" s="187">
        <f t="shared" ref="S24" si="95">R24*$A24/100</f>
        <v>73.955838259474376</v>
      </c>
      <c r="T24" s="188">
        <f t="shared" ref="T24" si="96">R24+S24</f>
        <v>3973.9558382594741</v>
      </c>
      <c r="U24" s="187">
        <f>W23</f>
        <v>350</v>
      </c>
      <c r="V24" s="187">
        <f t="shared" ref="V24" si="97">U24*$A24/100</f>
        <v>6.6370624079015466</v>
      </c>
      <c r="W24" s="188">
        <f t="shared" ref="W24" si="98">U24+V24</f>
        <v>356.63706240790157</v>
      </c>
      <c r="X24" s="187">
        <f t="shared" ref="X24" si="99">SUM(W24,T24,Q24,N24,K24,H24,E24)</f>
        <v>12563.814227112645</v>
      </c>
    </row>
    <row r="25" spans="1:49" s="168" customFormat="1">
      <c r="A25" s="169">
        <f>VLOOKUP(B25,Misc_inputs!$A$3:$B$33,2,0)</f>
        <v>1.8209228570152332</v>
      </c>
      <c r="B25" s="168">
        <v>2017</v>
      </c>
      <c r="C25" s="187">
        <f t="shared" ref="C25:C38" si="100">E24</f>
        <v>3739.5943401057107</v>
      </c>
      <c r="D25" s="187">
        <f t="shared" ref="D25:D38" si="101">C25*$A25/100</f>
        <v>68.095128098632856</v>
      </c>
      <c r="E25" s="188">
        <f t="shared" ref="E25:E38" si="102">C25+D25</f>
        <v>3807.6894682043435</v>
      </c>
      <c r="F25" s="187">
        <f t="shared" ref="F25:F38" si="103">H24</f>
        <v>2282.4771994105699</v>
      </c>
      <c r="G25" s="187">
        <f t="shared" ref="G25:G38" si="104">F25*$A25/100</f>
        <v>41.562149030228227</v>
      </c>
      <c r="H25" s="188">
        <f t="shared" ref="H25:H38" si="105">F25+G25</f>
        <v>2324.0393484407982</v>
      </c>
      <c r="I25" s="187">
        <f t="shared" ref="I25:I38" si="106">K24</f>
        <v>203.79260709022947</v>
      </c>
      <c r="J25" s="187">
        <f t="shared" ref="J25:J38" si="107">I25*$A25/100</f>
        <v>3.710906163413235</v>
      </c>
      <c r="K25" s="188">
        <f t="shared" ref="K25:K38" si="108">I25+J25</f>
        <v>207.50351325364269</v>
      </c>
      <c r="L25" s="187">
        <f t="shared" ref="L25:L38" si="109">N24</f>
        <v>1905.4608762936455</v>
      </c>
      <c r="M25" s="187">
        <f t="shared" ref="M25:M38" si="110">L25*$A25/100</f>
        <v>34.696972627913745</v>
      </c>
      <c r="N25" s="188">
        <f t="shared" ref="N25:N38" si="111">L25+M25</f>
        <v>1940.1578489215592</v>
      </c>
      <c r="O25" s="187">
        <f t="shared" ref="O25:O38" si="112">Q24</f>
        <v>101.89630354511473</v>
      </c>
      <c r="P25" s="187">
        <f t="shared" ref="P25:P38" si="113">O25*$A25/100</f>
        <v>1.8554530817066175</v>
      </c>
      <c r="Q25" s="188">
        <f t="shared" ref="Q25:Q38" si="114">O25+P25</f>
        <v>103.75175662682135</v>
      </c>
      <c r="R25" s="187">
        <f t="shared" ref="R25:R38" si="115">T24</f>
        <v>3973.9558382594741</v>
      </c>
      <c r="S25" s="187">
        <f t="shared" ref="S25:S38" si="116">R25*$A25/100</f>
        <v>72.362670186558077</v>
      </c>
      <c r="T25" s="188">
        <f t="shared" ref="T25:T38" si="117">R25+S25</f>
        <v>4046.3185084460324</v>
      </c>
      <c r="U25" s="187">
        <f t="shared" ref="U25:U38" si="118">W24</f>
        <v>356.63706240790157</v>
      </c>
      <c r="V25" s="187">
        <f t="shared" ref="V25:V38" si="119">U25*$A25/100</f>
        <v>6.4940857859731613</v>
      </c>
      <c r="W25" s="188">
        <f t="shared" ref="W25:W38" si="120">U25+V25</f>
        <v>363.13114819387471</v>
      </c>
      <c r="X25" s="187">
        <f t="shared" ref="X25:X38" si="121">SUM(W25,T25,Q25,N25,K25,H25,E25)</f>
        <v>12792.591592087072</v>
      </c>
      <c r="Z25" s="193"/>
      <c r="AC25" s="193"/>
      <c r="AF25" s="193"/>
      <c r="AI25" s="193"/>
      <c r="AL25" s="193"/>
      <c r="AO25" s="193"/>
      <c r="AR25" s="193"/>
      <c r="AU25" s="193"/>
      <c r="AW25" s="169"/>
    </row>
    <row r="26" spans="1:49" s="168" customFormat="1">
      <c r="A26" s="169">
        <f>VLOOKUP(B26,Misc_inputs!$A$3:$B$33,2,0)</f>
        <v>1.9988242855231282</v>
      </c>
      <c r="B26" s="168">
        <v>2018</v>
      </c>
      <c r="C26" s="187">
        <f t="shared" si="100"/>
        <v>3807.6894682043435</v>
      </c>
      <c r="D26" s="187">
        <f t="shared" si="101"/>
        <v>76.109021807774866</v>
      </c>
      <c r="E26" s="188">
        <f t="shared" si="102"/>
        <v>3883.7984900121182</v>
      </c>
      <c r="F26" s="187">
        <f t="shared" si="103"/>
        <v>2324.0393484407982</v>
      </c>
      <c r="G26" s="187">
        <f t="shared" si="104"/>
        <v>46.453462901748154</v>
      </c>
      <c r="H26" s="188">
        <f t="shared" si="105"/>
        <v>2370.4928113425462</v>
      </c>
      <c r="I26" s="187">
        <f t="shared" si="106"/>
        <v>207.50351325364269</v>
      </c>
      <c r="J26" s="187">
        <f t="shared" si="107"/>
        <v>4.1476306162275129</v>
      </c>
      <c r="K26" s="188">
        <f t="shared" si="108"/>
        <v>211.6511438698702</v>
      </c>
      <c r="L26" s="187">
        <f t="shared" si="109"/>
        <v>1940.1578489215592</v>
      </c>
      <c r="M26" s="187">
        <f t="shared" si="110"/>
        <v>38.780346261727253</v>
      </c>
      <c r="N26" s="188">
        <f t="shared" si="111"/>
        <v>1978.9381951832866</v>
      </c>
      <c r="O26" s="187">
        <f t="shared" si="112"/>
        <v>103.75175662682135</v>
      </c>
      <c r="P26" s="187">
        <f t="shared" si="113"/>
        <v>2.0738153081137565</v>
      </c>
      <c r="Q26" s="188">
        <f t="shared" si="114"/>
        <v>105.8255719349351</v>
      </c>
      <c r="R26" s="187">
        <f t="shared" si="115"/>
        <v>4046.3185084460324</v>
      </c>
      <c r="S26" s="187">
        <f t="shared" si="116"/>
        <v>80.878797016436508</v>
      </c>
      <c r="T26" s="188">
        <f t="shared" si="117"/>
        <v>4127.1973054624686</v>
      </c>
      <c r="U26" s="187">
        <f t="shared" si="118"/>
        <v>363.13114819387471</v>
      </c>
      <c r="V26" s="187">
        <f t="shared" si="119"/>
        <v>7.2583535783981485</v>
      </c>
      <c r="W26" s="188">
        <f t="shared" si="120"/>
        <v>370.38950177227287</v>
      </c>
      <c r="X26" s="187">
        <f t="shared" si="121"/>
        <v>13048.293019577497</v>
      </c>
      <c r="Z26" s="193"/>
      <c r="AC26" s="193"/>
      <c r="AF26" s="193"/>
      <c r="AI26" s="193"/>
      <c r="AL26" s="193"/>
      <c r="AO26" s="193"/>
      <c r="AR26" s="193"/>
      <c r="AU26" s="193"/>
      <c r="AW26" s="169"/>
    </row>
    <row r="27" spans="1:49" s="168" customFormat="1">
      <c r="A27" s="169">
        <f>VLOOKUP(B27,Misc_inputs!$A$3:$B$33,2,0)</f>
        <v>2.0163202370724722</v>
      </c>
      <c r="B27" s="168">
        <v>2019</v>
      </c>
      <c r="C27" s="187">
        <f t="shared" si="100"/>
        <v>3883.7984900121182</v>
      </c>
      <c r="D27" s="187">
        <f t="shared" si="101"/>
        <v>78.309814921229432</v>
      </c>
      <c r="E27" s="188">
        <f t="shared" si="102"/>
        <v>3962.1083049333479</v>
      </c>
      <c r="F27" s="187">
        <f t="shared" si="103"/>
        <v>2370.4928113425462</v>
      </c>
      <c r="G27" s="187">
        <f t="shared" si="104"/>
        <v>47.796726273447938</v>
      </c>
      <c r="H27" s="188">
        <f t="shared" si="105"/>
        <v>2418.289537615994</v>
      </c>
      <c r="I27" s="187">
        <f t="shared" si="106"/>
        <v>211.6511438698702</v>
      </c>
      <c r="J27" s="187">
        <f t="shared" si="107"/>
        <v>4.267564845843566</v>
      </c>
      <c r="K27" s="188">
        <f t="shared" si="108"/>
        <v>215.91870871571376</v>
      </c>
      <c r="L27" s="187">
        <f t="shared" si="109"/>
        <v>1978.9381951832866</v>
      </c>
      <c r="M27" s="187">
        <f t="shared" si="110"/>
        <v>39.901731308637345</v>
      </c>
      <c r="N27" s="188">
        <f t="shared" si="111"/>
        <v>2018.839926491924</v>
      </c>
      <c r="O27" s="187">
        <f t="shared" si="112"/>
        <v>105.8255719349351</v>
      </c>
      <c r="P27" s="187">
        <f t="shared" si="113"/>
        <v>2.133782422921783</v>
      </c>
      <c r="Q27" s="188">
        <f t="shared" si="114"/>
        <v>107.95935435785688</v>
      </c>
      <c r="R27" s="187">
        <f t="shared" si="115"/>
        <v>4127.1973054624686</v>
      </c>
      <c r="S27" s="187">
        <f t="shared" si="116"/>
        <v>83.217514493949523</v>
      </c>
      <c r="T27" s="188">
        <f t="shared" si="117"/>
        <v>4210.4148199564179</v>
      </c>
      <c r="U27" s="187">
        <f t="shared" si="118"/>
        <v>370.38950177227287</v>
      </c>
      <c r="V27" s="187">
        <f t="shared" si="119"/>
        <v>7.4682384802262414</v>
      </c>
      <c r="W27" s="188">
        <f t="shared" si="120"/>
        <v>377.85774025249913</v>
      </c>
      <c r="X27" s="187">
        <f t="shared" si="121"/>
        <v>13311.388392323754</v>
      </c>
      <c r="Z27" s="193"/>
      <c r="AC27" s="193"/>
      <c r="AF27" s="193"/>
      <c r="AI27" s="193"/>
      <c r="AL27" s="193"/>
      <c r="AO27" s="193"/>
      <c r="AR27" s="193"/>
      <c r="AU27" s="193"/>
      <c r="AW27" s="169"/>
    </row>
    <row r="28" spans="1:49" s="168" customFormat="1">
      <c r="A28" s="169">
        <f>VLOOKUP(B28,Misc_inputs!$A$3:$B$33,2,0)</f>
        <v>5.3200852056836103</v>
      </c>
      <c r="B28" s="168">
        <v>2020</v>
      </c>
      <c r="C28" s="187">
        <f t="shared" si="100"/>
        <v>3962.1083049333479</v>
      </c>
      <c r="D28" s="187">
        <f t="shared" si="101"/>
        <v>210.78753776392071</v>
      </c>
      <c r="E28" s="188">
        <f t="shared" si="102"/>
        <v>4172.8958426972686</v>
      </c>
      <c r="F28" s="187">
        <f t="shared" si="103"/>
        <v>2418.289537615994</v>
      </c>
      <c r="G28" s="187">
        <f t="shared" si="104"/>
        <v>128.65506392130308</v>
      </c>
      <c r="H28" s="188">
        <f t="shared" si="105"/>
        <v>2546.9446015372973</v>
      </c>
      <c r="I28" s="187">
        <f t="shared" si="106"/>
        <v>215.91870871571376</v>
      </c>
      <c r="J28" s="187">
        <f t="shared" si="107"/>
        <v>11.487059278687775</v>
      </c>
      <c r="K28" s="188">
        <f t="shared" si="108"/>
        <v>227.40576799440154</v>
      </c>
      <c r="L28" s="187">
        <f t="shared" si="109"/>
        <v>2018.839926491924</v>
      </c>
      <c r="M28" s="187">
        <f t="shared" si="110"/>
        <v>107.40400425573073</v>
      </c>
      <c r="N28" s="188">
        <f t="shared" si="111"/>
        <v>2126.2439307476548</v>
      </c>
      <c r="O28" s="187">
        <f t="shared" si="112"/>
        <v>107.95935435785688</v>
      </c>
      <c r="P28" s="187">
        <f t="shared" si="113"/>
        <v>5.7435296393438877</v>
      </c>
      <c r="Q28" s="188">
        <f t="shared" si="114"/>
        <v>113.70288399720077</v>
      </c>
      <c r="R28" s="187">
        <f t="shared" si="115"/>
        <v>4210.4148199564179</v>
      </c>
      <c r="S28" s="187">
        <f t="shared" si="116"/>
        <v>223.9976559344116</v>
      </c>
      <c r="T28" s="188">
        <f t="shared" si="117"/>
        <v>4434.4124758908292</v>
      </c>
      <c r="U28" s="187">
        <f t="shared" si="118"/>
        <v>377.85774025249913</v>
      </c>
      <c r="V28" s="187">
        <f t="shared" si="119"/>
        <v>20.102353737703609</v>
      </c>
      <c r="W28" s="188">
        <f t="shared" si="120"/>
        <v>397.96009399020272</v>
      </c>
      <c r="X28" s="187">
        <f t="shared" si="121"/>
        <v>14019.565596854856</v>
      </c>
      <c r="Z28" s="193"/>
      <c r="AC28" s="193"/>
      <c r="AF28" s="193"/>
      <c r="AI28" s="193"/>
      <c r="AL28" s="193"/>
      <c r="AO28" s="193"/>
      <c r="AR28" s="193"/>
      <c r="AU28" s="193"/>
      <c r="AW28" s="169"/>
    </row>
    <row r="29" spans="1:49" s="168" customFormat="1">
      <c r="A29" s="169">
        <f>VLOOKUP(B29,Misc_inputs!$A$3:$B$33,2,0)</f>
        <v>7.6258108678813302E-2</v>
      </c>
      <c r="B29" s="168">
        <v>2021</v>
      </c>
      <c r="C29" s="187">
        <f t="shared" si="100"/>
        <v>4172.8958426972686</v>
      </c>
      <c r="D29" s="187">
        <f t="shared" si="101"/>
        <v>3.1821714467777649</v>
      </c>
      <c r="E29" s="188">
        <f t="shared" si="102"/>
        <v>4176.0780141440464</v>
      </c>
      <c r="F29" s="187">
        <f t="shared" si="103"/>
        <v>2546.9446015372973</v>
      </c>
      <c r="G29" s="187">
        <f t="shared" si="104"/>
        <v>1.9422517822294807</v>
      </c>
      <c r="H29" s="188">
        <f t="shared" si="105"/>
        <v>2548.8868533195268</v>
      </c>
      <c r="I29" s="187">
        <f t="shared" si="106"/>
        <v>227.40576799440154</v>
      </c>
      <c r="J29" s="187">
        <f t="shared" si="107"/>
        <v>0.17341533769906076</v>
      </c>
      <c r="K29" s="188">
        <f t="shared" si="108"/>
        <v>227.5791833321006</v>
      </c>
      <c r="L29" s="187">
        <f t="shared" si="109"/>
        <v>2126.2439307476548</v>
      </c>
      <c r="M29" s="187">
        <f t="shared" si="110"/>
        <v>1.6214334074862184</v>
      </c>
      <c r="N29" s="188">
        <f t="shared" si="111"/>
        <v>2127.8653641551409</v>
      </c>
      <c r="O29" s="187">
        <f t="shared" si="112"/>
        <v>113.70288399720077</v>
      </c>
      <c r="P29" s="187">
        <f t="shared" si="113"/>
        <v>8.6707668849530378E-2</v>
      </c>
      <c r="Q29" s="188">
        <f t="shared" si="114"/>
        <v>113.7895916660503</v>
      </c>
      <c r="R29" s="187">
        <f t="shared" si="115"/>
        <v>4434.4124758908292</v>
      </c>
      <c r="S29" s="187">
        <f t="shared" si="116"/>
        <v>3.3815990851316844</v>
      </c>
      <c r="T29" s="188">
        <f t="shared" si="117"/>
        <v>4437.7940749759609</v>
      </c>
      <c r="U29" s="187">
        <f t="shared" si="118"/>
        <v>397.96009399020272</v>
      </c>
      <c r="V29" s="187">
        <f t="shared" si="119"/>
        <v>0.30347684097335637</v>
      </c>
      <c r="W29" s="188">
        <f t="shared" si="120"/>
        <v>398.26357083117608</v>
      </c>
      <c r="X29" s="187">
        <f t="shared" si="121"/>
        <v>14030.256652424003</v>
      </c>
      <c r="Z29" s="193"/>
      <c r="AC29" s="193"/>
      <c r="AF29" s="193"/>
      <c r="AI29" s="193"/>
      <c r="AL29" s="193"/>
      <c r="AO29" s="193"/>
      <c r="AR29" s="193"/>
      <c r="AU29" s="193"/>
      <c r="AW29" s="169"/>
    </row>
    <row r="30" spans="1:49" s="168" customFormat="1">
      <c r="A30" s="169">
        <f>VLOOKUP(B30,Misc_inputs!$A$3:$B$33,2,0)</f>
        <v>2.8492930312000952</v>
      </c>
      <c r="B30" s="168">
        <v>2022</v>
      </c>
      <c r="C30" s="187">
        <f t="shared" si="100"/>
        <v>4176.0780141440464</v>
      </c>
      <c r="D30" s="187">
        <f t="shared" si="101"/>
        <v>118.98869983448563</v>
      </c>
      <c r="E30" s="188">
        <f t="shared" si="102"/>
        <v>4295.0667139785319</v>
      </c>
      <c r="F30" s="187">
        <f t="shared" si="103"/>
        <v>2548.8868533195268</v>
      </c>
      <c r="G30" s="187">
        <f t="shared" si="104"/>
        <v>72.625255484808662</v>
      </c>
      <c r="H30" s="188">
        <f t="shared" si="105"/>
        <v>2621.5121088043356</v>
      </c>
      <c r="I30" s="187">
        <f t="shared" si="106"/>
        <v>227.5791833321006</v>
      </c>
      <c r="J30" s="187">
        <f t="shared" si="107"/>
        <v>6.4843978111436309</v>
      </c>
      <c r="K30" s="188">
        <f t="shared" si="108"/>
        <v>234.06358114324422</v>
      </c>
      <c r="L30" s="187">
        <f t="shared" si="109"/>
        <v>2127.8653641551409</v>
      </c>
      <c r="M30" s="187">
        <f t="shared" si="110"/>
        <v>60.629119534192959</v>
      </c>
      <c r="N30" s="188">
        <f t="shared" si="111"/>
        <v>2188.4944836893337</v>
      </c>
      <c r="O30" s="187">
        <f t="shared" si="112"/>
        <v>113.7895916660503</v>
      </c>
      <c r="P30" s="187">
        <f t="shared" si="113"/>
        <v>3.2421989055718154</v>
      </c>
      <c r="Q30" s="188">
        <f t="shared" si="114"/>
        <v>117.03179057162211</v>
      </c>
      <c r="R30" s="187">
        <f t="shared" si="115"/>
        <v>4437.7940749759609</v>
      </c>
      <c r="S30" s="187">
        <f t="shared" si="116"/>
        <v>126.44575731730077</v>
      </c>
      <c r="T30" s="188">
        <f t="shared" si="117"/>
        <v>4564.2398322932613</v>
      </c>
      <c r="U30" s="187">
        <f t="shared" si="118"/>
        <v>398.26357083117608</v>
      </c>
      <c r="V30" s="187">
        <f t="shared" si="119"/>
        <v>11.347696169501354</v>
      </c>
      <c r="W30" s="188">
        <f t="shared" si="120"/>
        <v>409.61126700067746</v>
      </c>
      <c r="X30" s="187">
        <f t="shared" si="121"/>
        <v>14430.019777481008</v>
      </c>
      <c r="Z30" s="193"/>
      <c r="AC30" s="193"/>
      <c r="AF30" s="193"/>
      <c r="AI30" s="193"/>
      <c r="AL30" s="193"/>
      <c r="AO30" s="193"/>
      <c r="AR30" s="193"/>
      <c r="AU30" s="193"/>
      <c r="AW30" s="169"/>
    </row>
    <row r="31" spans="1:49" s="168" customFormat="1">
      <c r="A31" s="169">
        <f>VLOOKUP(B31,Misc_inputs!$A$3:$B$33,2,0)</f>
        <v>3.143440902459993</v>
      </c>
      <c r="B31" s="168">
        <v>2023</v>
      </c>
      <c r="C31" s="187">
        <f t="shared" si="100"/>
        <v>4295.0667139785319</v>
      </c>
      <c r="D31" s="187">
        <f t="shared" si="101"/>
        <v>135.01288387514552</v>
      </c>
      <c r="E31" s="188">
        <f t="shared" si="102"/>
        <v>4430.0795978536771</v>
      </c>
      <c r="F31" s="187">
        <f t="shared" si="103"/>
        <v>2621.5121088043356</v>
      </c>
      <c r="G31" s="187">
        <f t="shared" si="104"/>
        <v>82.405683891096999</v>
      </c>
      <c r="H31" s="188">
        <f t="shared" si="105"/>
        <v>2703.9177926954326</v>
      </c>
      <c r="I31" s="187">
        <f t="shared" si="106"/>
        <v>234.06358114324422</v>
      </c>
      <c r="J31" s="187">
        <f t="shared" si="107"/>
        <v>7.3576503474193737</v>
      </c>
      <c r="K31" s="188">
        <f t="shared" si="108"/>
        <v>241.42123149066359</v>
      </c>
      <c r="L31" s="187">
        <f t="shared" si="109"/>
        <v>2188.4944836893337</v>
      </c>
      <c r="M31" s="187">
        <f t="shared" si="110"/>
        <v>68.794030748371156</v>
      </c>
      <c r="N31" s="188">
        <f t="shared" si="111"/>
        <v>2257.2885144377051</v>
      </c>
      <c r="O31" s="187">
        <f t="shared" si="112"/>
        <v>117.03179057162211</v>
      </c>
      <c r="P31" s="187">
        <f t="shared" si="113"/>
        <v>3.6788251737096869</v>
      </c>
      <c r="Q31" s="188">
        <f t="shared" si="114"/>
        <v>120.71061574533179</v>
      </c>
      <c r="R31" s="187">
        <f t="shared" si="115"/>
        <v>4564.2398322932613</v>
      </c>
      <c r="S31" s="187">
        <f t="shared" si="116"/>
        <v>143.47418177467776</v>
      </c>
      <c r="T31" s="188">
        <f t="shared" si="117"/>
        <v>4707.7140140679394</v>
      </c>
      <c r="U31" s="187">
        <f t="shared" si="118"/>
        <v>409.61126700067746</v>
      </c>
      <c r="V31" s="187">
        <f t="shared" si="119"/>
        <v>12.875888107983908</v>
      </c>
      <c r="W31" s="188">
        <f t="shared" si="120"/>
        <v>422.48715510866134</v>
      </c>
      <c r="X31" s="187">
        <f t="shared" si="121"/>
        <v>14883.618921399411</v>
      </c>
      <c r="Z31" s="193"/>
      <c r="AC31" s="193"/>
      <c r="AF31" s="193"/>
      <c r="AI31" s="193"/>
      <c r="AL31" s="193"/>
      <c r="AO31" s="193"/>
      <c r="AR31" s="193"/>
      <c r="AU31" s="193"/>
      <c r="AW31" s="169"/>
    </row>
    <row r="32" spans="1:49" s="168" customFormat="1">
      <c r="A32" s="169">
        <f>VLOOKUP(B32,Misc_inputs!$A$3:$B$33,2,0)</f>
        <v>1.8594732384912049</v>
      </c>
      <c r="B32" s="168">
        <v>2024</v>
      </c>
      <c r="C32" s="187">
        <f t="shared" si="100"/>
        <v>4430.0795978536771</v>
      </c>
      <c r="D32" s="187">
        <f t="shared" si="101"/>
        <v>82.376144565947925</v>
      </c>
      <c r="E32" s="188">
        <f t="shared" si="102"/>
        <v>4512.4557424196246</v>
      </c>
      <c r="F32" s="187">
        <f t="shared" si="103"/>
        <v>2703.9177926954326</v>
      </c>
      <c r="G32" s="187">
        <f t="shared" si="104"/>
        <v>50.278627745973665</v>
      </c>
      <c r="H32" s="188">
        <f t="shared" si="105"/>
        <v>2754.1964204414062</v>
      </c>
      <c r="I32" s="187">
        <f t="shared" si="106"/>
        <v>241.42123149066359</v>
      </c>
      <c r="J32" s="187">
        <f t="shared" si="107"/>
        <v>4.4891631916047912</v>
      </c>
      <c r="K32" s="188">
        <f t="shared" si="108"/>
        <v>245.91039468226839</v>
      </c>
      <c r="L32" s="187">
        <f t="shared" si="109"/>
        <v>2257.2885144377051</v>
      </c>
      <c r="M32" s="187">
        <f t="shared" si="110"/>
        <v>41.9736758415048</v>
      </c>
      <c r="N32" s="188">
        <f t="shared" si="111"/>
        <v>2299.2621902792098</v>
      </c>
      <c r="O32" s="187">
        <f t="shared" si="112"/>
        <v>120.71061574533179</v>
      </c>
      <c r="P32" s="187">
        <f t="shared" si="113"/>
        <v>2.2445815958023956</v>
      </c>
      <c r="Q32" s="188">
        <f t="shared" si="114"/>
        <v>122.95519734113419</v>
      </c>
      <c r="R32" s="187">
        <f t="shared" si="115"/>
        <v>4707.7140140679394</v>
      </c>
      <c r="S32" s="187">
        <f t="shared" si="116"/>
        <v>87.538682236293411</v>
      </c>
      <c r="T32" s="188">
        <f t="shared" si="117"/>
        <v>4795.2526963042328</v>
      </c>
      <c r="U32" s="187">
        <f t="shared" si="118"/>
        <v>422.48715510866134</v>
      </c>
      <c r="V32" s="187">
        <f t="shared" si="119"/>
        <v>7.8560355853083852</v>
      </c>
      <c r="W32" s="188">
        <f t="shared" si="120"/>
        <v>430.34319069396975</v>
      </c>
      <c r="X32" s="187">
        <f t="shared" si="121"/>
        <v>15160.375832161846</v>
      </c>
      <c r="Z32" s="193"/>
      <c r="AC32" s="193"/>
      <c r="AF32" s="193"/>
      <c r="AI32" s="193"/>
      <c r="AL32" s="193"/>
      <c r="AO32" s="193"/>
      <c r="AR32" s="193"/>
      <c r="AU32" s="193"/>
      <c r="AW32" s="169"/>
    </row>
    <row r="33" spans="1:49" s="168" customFormat="1">
      <c r="A33" s="169">
        <f>VLOOKUP(B33,Misc_inputs!$A$3:$B$33,2,0)</f>
        <v>1.892198034308179</v>
      </c>
      <c r="B33" s="168">
        <v>2025</v>
      </c>
      <c r="C33" s="187">
        <f t="shared" si="100"/>
        <v>4512.4557424196246</v>
      </c>
      <c r="D33" s="187">
        <f t="shared" si="101"/>
        <v>85.38459885709068</v>
      </c>
      <c r="E33" s="188">
        <f t="shared" si="102"/>
        <v>4597.8403412767157</v>
      </c>
      <c r="F33" s="187">
        <f t="shared" si="103"/>
        <v>2754.1964204414062</v>
      </c>
      <c r="G33" s="187">
        <f t="shared" si="104"/>
        <v>52.114850528578515</v>
      </c>
      <c r="H33" s="188">
        <f t="shared" si="105"/>
        <v>2806.3112709699849</v>
      </c>
      <c r="I33" s="187">
        <f t="shared" si="106"/>
        <v>245.91039468226839</v>
      </c>
      <c r="J33" s="187">
        <f t="shared" si="107"/>
        <v>4.6531116543373674</v>
      </c>
      <c r="K33" s="188">
        <f t="shared" si="108"/>
        <v>250.56350633660577</v>
      </c>
      <c r="L33" s="187">
        <f t="shared" si="109"/>
        <v>2299.2621902792098</v>
      </c>
      <c r="M33" s="187">
        <f t="shared" si="110"/>
        <v>43.506593968054396</v>
      </c>
      <c r="N33" s="188">
        <f t="shared" si="111"/>
        <v>2342.7687842472642</v>
      </c>
      <c r="O33" s="187">
        <f t="shared" si="112"/>
        <v>122.95519734113419</v>
      </c>
      <c r="P33" s="187">
        <f t="shared" si="113"/>
        <v>2.3265558271686837</v>
      </c>
      <c r="Q33" s="188">
        <f t="shared" si="114"/>
        <v>125.28175316830288</v>
      </c>
      <c r="R33" s="187">
        <f t="shared" si="115"/>
        <v>4795.2526963042328</v>
      </c>
      <c r="S33" s="187">
        <f t="shared" si="116"/>
        <v>90.735677259578637</v>
      </c>
      <c r="T33" s="188">
        <f t="shared" si="117"/>
        <v>4885.9883735638114</v>
      </c>
      <c r="U33" s="187">
        <f t="shared" si="118"/>
        <v>430.34319069396975</v>
      </c>
      <c r="V33" s="187">
        <f t="shared" si="119"/>
        <v>8.1429453950903934</v>
      </c>
      <c r="W33" s="188">
        <f t="shared" si="120"/>
        <v>438.48613608906015</v>
      </c>
      <c r="X33" s="187">
        <f t="shared" si="121"/>
        <v>15447.240165651747</v>
      </c>
      <c r="Z33" s="193"/>
      <c r="AC33" s="193"/>
      <c r="AF33" s="193"/>
      <c r="AI33" s="193"/>
      <c r="AL33" s="193"/>
      <c r="AO33" s="193"/>
      <c r="AR33" s="193"/>
      <c r="AU33" s="193"/>
      <c r="AW33" s="169"/>
    </row>
    <row r="34" spans="1:49">
      <c r="A34" s="169">
        <f>VLOOKUP(B34,Misc_inputs!$A$3:$B$33,2,0)</f>
        <v>2.0003592159356653</v>
      </c>
      <c r="B34" s="168">
        <v>2026</v>
      </c>
      <c r="C34" s="187">
        <f t="shared" si="100"/>
        <v>4597.8403412767157</v>
      </c>
      <c r="D34" s="187">
        <f t="shared" si="101"/>
        <v>91.973323000736642</v>
      </c>
      <c r="E34" s="188">
        <f t="shared" si="102"/>
        <v>4689.8136642774525</v>
      </c>
      <c r="F34" s="187">
        <f t="shared" si="103"/>
        <v>2806.3112709699849</v>
      </c>
      <c r="G34" s="187">
        <f t="shared" si="104"/>
        <v>56.136306136689392</v>
      </c>
      <c r="H34" s="188">
        <f t="shared" si="105"/>
        <v>2862.4475771066741</v>
      </c>
      <c r="I34" s="187">
        <f t="shared" si="106"/>
        <v>250.56350633660577</v>
      </c>
      <c r="J34" s="187">
        <f t="shared" si="107"/>
        <v>5.012170190775838</v>
      </c>
      <c r="K34" s="188">
        <f t="shared" si="108"/>
        <v>255.5756765273816</v>
      </c>
      <c r="L34" s="187">
        <f t="shared" si="109"/>
        <v>2342.7687842472642</v>
      </c>
      <c r="M34" s="187">
        <f t="shared" si="110"/>
        <v>46.86379128375409</v>
      </c>
      <c r="N34" s="188">
        <f t="shared" si="111"/>
        <v>2389.6325755310181</v>
      </c>
      <c r="O34" s="187">
        <f t="shared" si="112"/>
        <v>125.28175316830288</v>
      </c>
      <c r="P34" s="187">
        <f t="shared" si="113"/>
        <v>2.506085095387919</v>
      </c>
      <c r="Q34" s="188">
        <f t="shared" si="114"/>
        <v>127.7878382636908</v>
      </c>
      <c r="R34" s="187">
        <f t="shared" si="115"/>
        <v>4885.9883735638114</v>
      </c>
      <c r="S34" s="187">
        <f t="shared" si="116"/>
        <v>97.737318720128826</v>
      </c>
      <c r="T34" s="188">
        <f t="shared" si="117"/>
        <v>4983.7256922839406</v>
      </c>
      <c r="U34" s="187">
        <f t="shared" si="118"/>
        <v>438.48613608906015</v>
      </c>
      <c r="V34" s="187">
        <f t="shared" si="119"/>
        <v>8.7712978338577177</v>
      </c>
      <c r="W34" s="188">
        <f t="shared" si="120"/>
        <v>447.25743392291787</v>
      </c>
      <c r="X34" s="187">
        <f t="shared" si="121"/>
        <v>15756.240457913074</v>
      </c>
    </row>
    <row r="35" spans="1:49">
      <c r="A35" s="169">
        <f>VLOOKUP(B35,Misc_inputs!$A$3:$B$33,2,0)</f>
        <v>0</v>
      </c>
      <c r="B35" s="168">
        <v>2027</v>
      </c>
      <c r="C35" s="187">
        <f t="shared" si="100"/>
        <v>4689.8136642774525</v>
      </c>
      <c r="D35" s="187">
        <f t="shared" si="101"/>
        <v>0</v>
      </c>
      <c r="E35" s="188">
        <f t="shared" si="102"/>
        <v>4689.8136642774525</v>
      </c>
      <c r="F35" s="187">
        <f t="shared" si="103"/>
        <v>2862.4475771066741</v>
      </c>
      <c r="G35" s="187">
        <f t="shared" si="104"/>
        <v>0</v>
      </c>
      <c r="H35" s="188">
        <f t="shared" si="105"/>
        <v>2862.4475771066741</v>
      </c>
      <c r="I35" s="187">
        <f t="shared" si="106"/>
        <v>255.5756765273816</v>
      </c>
      <c r="J35" s="187">
        <f t="shared" si="107"/>
        <v>0</v>
      </c>
      <c r="K35" s="188">
        <f t="shared" si="108"/>
        <v>255.5756765273816</v>
      </c>
      <c r="L35" s="187">
        <f t="shared" si="109"/>
        <v>2389.6325755310181</v>
      </c>
      <c r="M35" s="187">
        <f t="shared" si="110"/>
        <v>0</v>
      </c>
      <c r="N35" s="188">
        <f t="shared" si="111"/>
        <v>2389.6325755310181</v>
      </c>
      <c r="O35" s="187">
        <f t="shared" si="112"/>
        <v>127.7878382636908</v>
      </c>
      <c r="P35" s="187">
        <f t="shared" si="113"/>
        <v>0</v>
      </c>
      <c r="Q35" s="188">
        <f t="shared" si="114"/>
        <v>127.7878382636908</v>
      </c>
      <c r="R35" s="187">
        <f t="shared" si="115"/>
        <v>4983.7256922839406</v>
      </c>
      <c r="S35" s="187">
        <f t="shared" si="116"/>
        <v>0</v>
      </c>
      <c r="T35" s="188">
        <f t="shared" si="117"/>
        <v>4983.7256922839406</v>
      </c>
      <c r="U35" s="187">
        <f t="shared" si="118"/>
        <v>447.25743392291787</v>
      </c>
      <c r="V35" s="187">
        <f t="shared" si="119"/>
        <v>0</v>
      </c>
      <c r="W35" s="188">
        <f t="shared" si="120"/>
        <v>447.25743392291787</v>
      </c>
      <c r="X35" s="187">
        <f t="shared" si="121"/>
        <v>15756.240457913074</v>
      </c>
    </row>
    <row r="36" spans="1:49">
      <c r="A36" s="169">
        <f>VLOOKUP(B36,Misc_inputs!$A$3:$B$33,2,0)</f>
        <v>0</v>
      </c>
      <c r="B36" s="168">
        <v>2028</v>
      </c>
      <c r="C36" s="187">
        <f t="shared" si="100"/>
        <v>4689.8136642774525</v>
      </c>
      <c r="D36" s="187">
        <f t="shared" si="101"/>
        <v>0</v>
      </c>
      <c r="E36" s="188">
        <f t="shared" si="102"/>
        <v>4689.8136642774525</v>
      </c>
      <c r="F36" s="187">
        <f t="shared" si="103"/>
        <v>2862.4475771066741</v>
      </c>
      <c r="G36" s="187">
        <f t="shared" si="104"/>
        <v>0</v>
      </c>
      <c r="H36" s="188">
        <f t="shared" si="105"/>
        <v>2862.4475771066741</v>
      </c>
      <c r="I36" s="187">
        <f t="shared" si="106"/>
        <v>255.5756765273816</v>
      </c>
      <c r="J36" s="187">
        <f t="shared" si="107"/>
        <v>0</v>
      </c>
      <c r="K36" s="188">
        <f t="shared" si="108"/>
        <v>255.5756765273816</v>
      </c>
      <c r="L36" s="187">
        <f t="shared" si="109"/>
        <v>2389.6325755310181</v>
      </c>
      <c r="M36" s="187">
        <f t="shared" si="110"/>
        <v>0</v>
      </c>
      <c r="N36" s="188">
        <f t="shared" si="111"/>
        <v>2389.6325755310181</v>
      </c>
      <c r="O36" s="187">
        <f t="shared" si="112"/>
        <v>127.7878382636908</v>
      </c>
      <c r="P36" s="187">
        <f t="shared" si="113"/>
        <v>0</v>
      </c>
      <c r="Q36" s="188">
        <f t="shared" si="114"/>
        <v>127.7878382636908</v>
      </c>
      <c r="R36" s="187">
        <f t="shared" si="115"/>
        <v>4983.7256922839406</v>
      </c>
      <c r="S36" s="187">
        <f t="shared" si="116"/>
        <v>0</v>
      </c>
      <c r="T36" s="188">
        <f t="shared" si="117"/>
        <v>4983.7256922839406</v>
      </c>
      <c r="U36" s="187">
        <f t="shared" si="118"/>
        <v>447.25743392291787</v>
      </c>
      <c r="V36" s="187">
        <f t="shared" si="119"/>
        <v>0</v>
      </c>
      <c r="W36" s="188">
        <f t="shared" si="120"/>
        <v>447.25743392291787</v>
      </c>
      <c r="X36" s="187">
        <f t="shared" si="121"/>
        <v>15756.240457913074</v>
      </c>
    </row>
    <row r="37" spans="1:49">
      <c r="A37" s="169">
        <f>VLOOKUP(B37,Misc_inputs!$A$3:$B$33,2,0)</f>
        <v>0</v>
      </c>
      <c r="B37" s="168">
        <v>2029</v>
      </c>
      <c r="C37" s="187">
        <f t="shared" si="100"/>
        <v>4689.8136642774525</v>
      </c>
      <c r="D37" s="187">
        <f t="shared" si="101"/>
        <v>0</v>
      </c>
      <c r="E37" s="188">
        <f t="shared" si="102"/>
        <v>4689.8136642774525</v>
      </c>
      <c r="F37" s="187">
        <f t="shared" si="103"/>
        <v>2862.4475771066741</v>
      </c>
      <c r="G37" s="187">
        <f t="shared" si="104"/>
        <v>0</v>
      </c>
      <c r="H37" s="188">
        <f t="shared" si="105"/>
        <v>2862.4475771066741</v>
      </c>
      <c r="I37" s="187">
        <f t="shared" si="106"/>
        <v>255.5756765273816</v>
      </c>
      <c r="J37" s="187">
        <f t="shared" si="107"/>
        <v>0</v>
      </c>
      <c r="K37" s="188">
        <f t="shared" si="108"/>
        <v>255.5756765273816</v>
      </c>
      <c r="L37" s="187">
        <f t="shared" si="109"/>
        <v>2389.6325755310181</v>
      </c>
      <c r="M37" s="187">
        <f t="shared" si="110"/>
        <v>0</v>
      </c>
      <c r="N37" s="188">
        <f t="shared" si="111"/>
        <v>2389.6325755310181</v>
      </c>
      <c r="O37" s="187">
        <f t="shared" si="112"/>
        <v>127.7878382636908</v>
      </c>
      <c r="P37" s="187">
        <f t="shared" si="113"/>
        <v>0</v>
      </c>
      <c r="Q37" s="188">
        <f t="shared" si="114"/>
        <v>127.7878382636908</v>
      </c>
      <c r="R37" s="187">
        <f t="shared" si="115"/>
        <v>4983.7256922839406</v>
      </c>
      <c r="S37" s="187">
        <f t="shared" si="116"/>
        <v>0</v>
      </c>
      <c r="T37" s="188">
        <f t="shared" si="117"/>
        <v>4983.7256922839406</v>
      </c>
      <c r="U37" s="187">
        <f t="shared" si="118"/>
        <v>447.25743392291787</v>
      </c>
      <c r="V37" s="187">
        <f t="shared" si="119"/>
        <v>0</v>
      </c>
      <c r="W37" s="188">
        <f t="shared" si="120"/>
        <v>447.25743392291787</v>
      </c>
      <c r="X37" s="187">
        <f t="shared" si="121"/>
        <v>15756.240457913074</v>
      </c>
    </row>
    <row r="38" spans="1:49">
      <c r="A38" s="169">
        <f>VLOOKUP(B38,Misc_inputs!$A$3:$B$33,2,0)</f>
        <v>0</v>
      </c>
      <c r="B38" s="168">
        <v>2030</v>
      </c>
      <c r="C38" s="187">
        <f t="shared" si="100"/>
        <v>4689.8136642774525</v>
      </c>
      <c r="D38" s="187">
        <f t="shared" si="101"/>
        <v>0</v>
      </c>
      <c r="E38" s="188">
        <f t="shared" si="102"/>
        <v>4689.8136642774525</v>
      </c>
      <c r="F38" s="187">
        <f t="shared" si="103"/>
        <v>2862.4475771066741</v>
      </c>
      <c r="G38" s="187">
        <f t="shared" si="104"/>
        <v>0</v>
      </c>
      <c r="H38" s="188">
        <f t="shared" si="105"/>
        <v>2862.4475771066741</v>
      </c>
      <c r="I38" s="187">
        <f t="shared" si="106"/>
        <v>255.5756765273816</v>
      </c>
      <c r="J38" s="187">
        <f t="shared" si="107"/>
        <v>0</v>
      </c>
      <c r="K38" s="188">
        <f t="shared" si="108"/>
        <v>255.5756765273816</v>
      </c>
      <c r="L38" s="187">
        <f t="shared" si="109"/>
        <v>2389.6325755310181</v>
      </c>
      <c r="M38" s="187">
        <f t="shared" si="110"/>
        <v>0</v>
      </c>
      <c r="N38" s="188">
        <f t="shared" si="111"/>
        <v>2389.6325755310181</v>
      </c>
      <c r="O38" s="187">
        <f t="shared" si="112"/>
        <v>127.7878382636908</v>
      </c>
      <c r="P38" s="187">
        <f t="shared" si="113"/>
        <v>0</v>
      </c>
      <c r="Q38" s="188">
        <f t="shared" si="114"/>
        <v>127.7878382636908</v>
      </c>
      <c r="R38" s="187">
        <f t="shared" si="115"/>
        <v>4983.7256922839406</v>
      </c>
      <c r="S38" s="187">
        <f t="shared" si="116"/>
        <v>0</v>
      </c>
      <c r="T38" s="188">
        <f t="shared" si="117"/>
        <v>4983.7256922839406</v>
      </c>
      <c r="U38" s="187">
        <f t="shared" si="118"/>
        <v>447.25743392291787</v>
      </c>
      <c r="V38" s="187">
        <f t="shared" si="119"/>
        <v>0</v>
      </c>
      <c r="W38" s="188">
        <f t="shared" si="120"/>
        <v>447.25743392291787</v>
      </c>
      <c r="X38" s="187">
        <f t="shared" si="121"/>
        <v>15756.240457913074</v>
      </c>
    </row>
    <row r="40" spans="1:49" ht="23">
      <c r="A40" s="183" t="s">
        <v>419</v>
      </c>
      <c r="B40" s="189"/>
      <c r="C40" s="189"/>
      <c r="D40" s="189"/>
      <c r="E40" s="189"/>
      <c r="F40" s="189"/>
      <c r="G40" s="189"/>
      <c r="H40" s="189"/>
      <c r="I40" s="189"/>
      <c r="J40" s="189"/>
      <c r="K40" s="189"/>
      <c r="L40" s="189"/>
      <c r="M40" s="189"/>
      <c r="N40" s="189"/>
      <c r="O40" s="189"/>
      <c r="P40" s="189"/>
      <c r="Q40" s="189"/>
      <c r="R40" s="189"/>
      <c r="S40" s="189"/>
      <c r="T40" s="189"/>
      <c r="U40" s="189"/>
      <c r="V40" s="189"/>
      <c r="W40" s="189"/>
      <c r="X40" s="189"/>
    </row>
    <row r="41" spans="1:49" ht="77.5">
      <c r="A41" s="173" t="s">
        <v>539</v>
      </c>
      <c r="B41" s="172" t="s">
        <v>342</v>
      </c>
      <c r="C41" s="172" t="str">
        <f>Cost_of_crime_Raw_data!A107</f>
        <v>Drug offences (e.g. driving under the influence of drugs)</v>
      </c>
      <c r="D41" s="184" t="s">
        <v>540</v>
      </c>
      <c r="E41" s="185" t="s">
        <v>541</v>
      </c>
      <c r="F41" s="172" t="str">
        <f>Cost_of_crime_Raw_data!A108</f>
        <v>Alcohol offences (e.g. driving under the influence of alcohol)</v>
      </c>
      <c r="G41" s="184" t="s">
        <v>540</v>
      </c>
      <c r="H41" s="185" t="s">
        <v>541</v>
      </c>
      <c r="I41" s="172" t="str">
        <f>Cost_of_crime_Raw_data!A109</f>
        <v>Other indictable non- motoring offences</v>
      </c>
      <c r="J41" s="184" t="s">
        <v>540</v>
      </c>
      <c r="K41" s="185" t="s">
        <v>541</v>
      </c>
      <c r="L41" s="172" t="str">
        <f>Cost_of_crime_Raw_data!A110</f>
        <v>Indictable motoring offences</v>
      </c>
      <c r="M41" s="184" t="s">
        <v>540</v>
      </c>
      <c r="N41" s="185" t="s">
        <v>541</v>
      </c>
      <c r="O41" s="172" t="str">
        <f>Cost_of_crime_Raw_data!A111</f>
        <v>Summary non-motoring offences</v>
      </c>
      <c r="P41" s="184" t="s">
        <v>540</v>
      </c>
      <c r="Q41" s="185" t="s">
        <v>541</v>
      </c>
      <c r="R41" s="172" t="str">
        <f>Cost_of_crime_Raw_data!A112</f>
        <v>Summary motoring offences</v>
      </c>
      <c r="S41" s="184" t="s">
        <v>540</v>
      </c>
      <c r="T41" s="185" t="s">
        <v>541</v>
      </c>
      <c r="U41" s="172" t="str">
        <f>Cost_of_crime_Raw_data!A113</f>
        <v>TOTAL TRAFFIC/ MOTORING/ OTHER</v>
      </c>
    </row>
    <row r="42" spans="1:49">
      <c r="B42" s="168">
        <v>2000</v>
      </c>
      <c r="C42" s="169" t="s">
        <v>429</v>
      </c>
      <c r="D42" s="187" t="e">
        <f>C42*$A42/100</f>
        <v>#VALUE!</v>
      </c>
      <c r="E42" s="188" t="e">
        <f>C42+D42</f>
        <v>#VALUE!</v>
      </c>
      <c r="F42" s="169" t="s">
        <v>429</v>
      </c>
      <c r="G42" s="187" t="e">
        <f>F42*$A42/100</f>
        <v>#VALUE!</v>
      </c>
      <c r="H42" s="188" t="e">
        <f>F42+G42</f>
        <v>#VALUE!</v>
      </c>
      <c r="I42" s="169" t="s">
        <v>429</v>
      </c>
      <c r="J42" s="187" t="e">
        <f>I42*$A42/100</f>
        <v>#VALUE!</v>
      </c>
      <c r="K42" s="188" t="e">
        <f>I42+J42</f>
        <v>#VALUE!</v>
      </c>
      <c r="L42" s="169" t="s">
        <v>429</v>
      </c>
      <c r="M42" s="187" t="e">
        <f>L42*$A42/100</f>
        <v>#VALUE!</v>
      </c>
      <c r="N42" s="188" t="e">
        <f>L42+M42</f>
        <v>#VALUE!</v>
      </c>
      <c r="O42" s="169" t="s">
        <v>429</v>
      </c>
      <c r="P42" s="187" t="e">
        <f>O42*$A42/100</f>
        <v>#VALUE!</v>
      </c>
      <c r="Q42" s="188" t="e">
        <f>O42+P42</f>
        <v>#VALUE!</v>
      </c>
      <c r="R42" s="169" t="s">
        <v>429</v>
      </c>
      <c r="S42" s="187" t="e">
        <f>R42*$A42/100</f>
        <v>#VALUE!</v>
      </c>
      <c r="T42" s="188" t="e">
        <f>R42+S42</f>
        <v>#VALUE!</v>
      </c>
      <c r="U42" s="187" t="e">
        <f>SUM(T42,Q42,N42,K42,H42,E42)</f>
        <v>#VALUE!</v>
      </c>
    </row>
    <row r="43" spans="1:49">
      <c r="A43" s="169">
        <f>VLOOKUP(B43,Misc_inputs!$A$3:$B$33,2,0)</f>
        <v>1.8509525763893939</v>
      </c>
      <c r="B43" s="168">
        <v>2001</v>
      </c>
      <c r="C43" s="169" t="s">
        <v>429</v>
      </c>
      <c r="D43" s="187" t="e">
        <f>C43*$A43/100</f>
        <v>#VALUE!</v>
      </c>
      <c r="E43" s="188" t="e">
        <f>C43+D43</f>
        <v>#VALUE!</v>
      </c>
      <c r="F43" s="169" t="s">
        <v>429</v>
      </c>
      <c r="G43" s="187" t="e">
        <f>F43*$A43/100</f>
        <v>#VALUE!</v>
      </c>
      <c r="H43" s="188" t="e">
        <f>F43+G43</f>
        <v>#VALUE!</v>
      </c>
      <c r="I43" s="169" t="s">
        <v>429</v>
      </c>
      <c r="J43" s="187" t="e">
        <f>I43*$A43/100</f>
        <v>#VALUE!</v>
      </c>
      <c r="K43" s="188" t="e">
        <f>I43+J43</f>
        <v>#VALUE!</v>
      </c>
      <c r="L43" s="169" t="s">
        <v>429</v>
      </c>
      <c r="M43" s="187" t="e">
        <f>L43*$A43/100</f>
        <v>#VALUE!</v>
      </c>
      <c r="N43" s="188" t="e">
        <f>L43+M43</f>
        <v>#VALUE!</v>
      </c>
      <c r="O43" s="169" t="s">
        <v>429</v>
      </c>
      <c r="P43" s="187" t="e">
        <f>O43*$A43/100</f>
        <v>#VALUE!</v>
      </c>
      <c r="Q43" s="188" t="e">
        <f>O43+P43</f>
        <v>#VALUE!</v>
      </c>
      <c r="R43" s="169" t="s">
        <v>429</v>
      </c>
      <c r="S43" s="187" t="e">
        <f>R43*$A43/100</f>
        <v>#VALUE!</v>
      </c>
      <c r="T43" s="188" t="e">
        <f>R43+S43</f>
        <v>#VALUE!</v>
      </c>
      <c r="U43" s="187" t="e">
        <f t="shared" ref="U43:U72" si="122">SUM(T43,Q43,N43,K43,H43,E43)</f>
        <v>#VALUE!</v>
      </c>
    </row>
    <row r="44" spans="1:49">
      <c r="A44" s="169">
        <f>VLOOKUP(B44,Misc_inputs!$A$3:$B$33,2,0)</f>
        <v>2.0601670280994799</v>
      </c>
      <c r="B44" s="168">
        <v>2002</v>
      </c>
      <c r="C44" s="169" t="s">
        <v>429</v>
      </c>
      <c r="D44" s="187" t="e">
        <f t="shared" ref="D44:D55" si="123">C44*$A44/100</f>
        <v>#VALUE!</v>
      </c>
      <c r="E44" s="188" t="e">
        <f t="shared" ref="E44:E72" si="124">C44+D44</f>
        <v>#VALUE!</v>
      </c>
      <c r="F44" s="169" t="s">
        <v>429</v>
      </c>
      <c r="G44" s="187" t="e">
        <f t="shared" ref="G44:G55" si="125">F44*$A44/100</f>
        <v>#VALUE!</v>
      </c>
      <c r="H44" s="188" t="e">
        <f t="shared" ref="H44:H72" si="126">F44+G44</f>
        <v>#VALUE!</v>
      </c>
      <c r="I44" s="169" t="s">
        <v>429</v>
      </c>
      <c r="J44" s="187" t="e">
        <f t="shared" ref="J44:J55" si="127">I44*$A44/100</f>
        <v>#VALUE!</v>
      </c>
      <c r="K44" s="188" t="e">
        <f t="shared" ref="K44:K72" si="128">I44+J44</f>
        <v>#VALUE!</v>
      </c>
      <c r="L44" s="169" t="s">
        <v>429</v>
      </c>
      <c r="M44" s="187" t="e">
        <f t="shared" ref="M44:M55" si="129">L44*$A44/100</f>
        <v>#VALUE!</v>
      </c>
      <c r="N44" s="188" t="e">
        <f t="shared" ref="N44:N72" si="130">L44+M44</f>
        <v>#VALUE!</v>
      </c>
      <c r="O44" s="169" t="s">
        <v>429</v>
      </c>
      <c r="P44" s="187" t="e">
        <f t="shared" ref="P44:P55" si="131">O44*$A44/100</f>
        <v>#VALUE!</v>
      </c>
      <c r="Q44" s="188" t="e">
        <f t="shared" ref="Q44:Q72" si="132">O44+P44</f>
        <v>#VALUE!</v>
      </c>
      <c r="R44" s="169" t="s">
        <v>429</v>
      </c>
      <c r="S44" s="187" t="e">
        <f t="shared" ref="S44:S55" si="133">R44*$A44/100</f>
        <v>#VALUE!</v>
      </c>
      <c r="T44" s="188" t="e">
        <f t="shared" ref="T44:T72" si="134">R44+S44</f>
        <v>#VALUE!</v>
      </c>
      <c r="U44" s="187" t="e">
        <f t="shared" si="122"/>
        <v>#VALUE!</v>
      </c>
    </row>
    <row r="45" spans="1:49">
      <c r="A45" s="169">
        <f>VLOOKUP(B45,Misc_inputs!$A$3:$B$33,2,0)</f>
        <v>2.7352938960343987</v>
      </c>
      <c r="B45" s="168">
        <v>2003</v>
      </c>
      <c r="C45" s="169" t="s">
        <v>429</v>
      </c>
      <c r="D45" s="187" t="e">
        <f t="shared" si="123"/>
        <v>#VALUE!</v>
      </c>
      <c r="E45" s="188" t="e">
        <f t="shared" si="124"/>
        <v>#VALUE!</v>
      </c>
      <c r="F45" s="169" t="s">
        <v>429</v>
      </c>
      <c r="G45" s="187" t="e">
        <f t="shared" si="125"/>
        <v>#VALUE!</v>
      </c>
      <c r="H45" s="188" t="e">
        <f t="shared" si="126"/>
        <v>#VALUE!</v>
      </c>
      <c r="I45" s="169" t="s">
        <v>429</v>
      </c>
      <c r="J45" s="187" t="e">
        <f t="shared" si="127"/>
        <v>#VALUE!</v>
      </c>
      <c r="K45" s="188" t="e">
        <f t="shared" si="128"/>
        <v>#VALUE!</v>
      </c>
      <c r="L45" s="169" t="s">
        <v>429</v>
      </c>
      <c r="M45" s="187" t="e">
        <f t="shared" si="129"/>
        <v>#VALUE!</v>
      </c>
      <c r="N45" s="188" t="e">
        <f t="shared" si="130"/>
        <v>#VALUE!</v>
      </c>
      <c r="O45" s="169" t="s">
        <v>429</v>
      </c>
      <c r="P45" s="187" t="e">
        <f t="shared" si="131"/>
        <v>#VALUE!</v>
      </c>
      <c r="Q45" s="188" t="e">
        <f t="shared" si="132"/>
        <v>#VALUE!</v>
      </c>
      <c r="R45" s="169" t="s">
        <v>429</v>
      </c>
      <c r="S45" s="187" t="e">
        <f t="shared" si="133"/>
        <v>#VALUE!</v>
      </c>
      <c r="T45" s="188" t="e">
        <f t="shared" si="134"/>
        <v>#VALUE!</v>
      </c>
      <c r="U45" s="187" t="e">
        <f t="shared" si="122"/>
        <v>#VALUE!</v>
      </c>
    </row>
    <row r="46" spans="1:49">
      <c r="A46" s="169">
        <f>VLOOKUP(B46,Misc_inputs!$A$3:$B$33,2,0)</f>
        <v>2.5734301841181981</v>
      </c>
      <c r="B46" s="168">
        <v>2004</v>
      </c>
      <c r="C46" s="169" t="s">
        <v>429</v>
      </c>
      <c r="D46" s="187" t="e">
        <f t="shared" si="123"/>
        <v>#VALUE!</v>
      </c>
      <c r="E46" s="188" t="e">
        <f t="shared" si="124"/>
        <v>#VALUE!</v>
      </c>
      <c r="F46" s="169" t="s">
        <v>429</v>
      </c>
      <c r="G46" s="187" t="e">
        <f t="shared" si="125"/>
        <v>#VALUE!</v>
      </c>
      <c r="H46" s="188" t="e">
        <f t="shared" si="126"/>
        <v>#VALUE!</v>
      </c>
      <c r="I46" s="169" t="s">
        <v>429</v>
      </c>
      <c r="J46" s="187" t="e">
        <f t="shared" si="127"/>
        <v>#VALUE!</v>
      </c>
      <c r="K46" s="188" t="e">
        <f t="shared" si="128"/>
        <v>#VALUE!</v>
      </c>
      <c r="L46" s="169" t="s">
        <v>429</v>
      </c>
      <c r="M46" s="187" t="e">
        <f t="shared" si="129"/>
        <v>#VALUE!</v>
      </c>
      <c r="N46" s="188" t="e">
        <f t="shared" si="130"/>
        <v>#VALUE!</v>
      </c>
      <c r="O46" s="169" t="s">
        <v>429</v>
      </c>
      <c r="P46" s="187" t="e">
        <f t="shared" si="131"/>
        <v>#VALUE!</v>
      </c>
      <c r="Q46" s="188" t="e">
        <f t="shared" si="132"/>
        <v>#VALUE!</v>
      </c>
      <c r="R46" s="169" t="s">
        <v>429</v>
      </c>
      <c r="S46" s="187" t="e">
        <f t="shared" si="133"/>
        <v>#VALUE!</v>
      </c>
      <c r="T46" s="188" t="e">
        <f t="shared" si="134"/>
        <v>#VALUE!</v>
      </c>
      <c r="U46" s="187" t="e">
        <f t="shared" si="122"/>
        <v>#VALUE!</v>
      </c>
    </row>
    <row r="47" spans="1:49">
      <c r="A47" s="169">
        <f>VLOOKUP(B47,Misc_inputs!$A$3:$B$33,2,0)</f>
        <v>3.1315066925981085</v>
      </c>
      <c r="B47" s="168">
        <v>2005</v>
      </c>
      <c r="C47" s="169" t="s">
        <v>429</v>
      </c>
      <c r="D47" s="187" t="e">
        <f t="shared" si="123"/>
        <v>#VALUE!</v>
      </c>
      <c r="E47" s="188" t="e">
        <f t="shared" si="124"/>
        <v>#VALUE!</v>
      </c>
      <c r="F47" s="169" t="s">
        <v>429</v>
      </c>
      <c r="G47" s="187" t="e">
        <f t="shared" si="125"/>
        <v>#VALUE!</v>
      </c>
      <c r="H47" s="188" t="e">
        <f t="shared" si="126"/>
        <v>#VALUE!</v>
      </c>
      <c r="I47" s="169" t="s">
        <v>429</v>
      </c>
      <c r="J47" s="187" t="e">
        <f t="shared" si="127"/>
        <v>#VALUE!</v>
      </c>
      <c r="K47" s="188" t="e">
        <f t="shared" si="128"/>
        <v>#VALUE!</v>
      </c>
      <c r="L47" s="169" t="s">
        <v>429</v>
      </c>
      <c r="M47" s="187" t="e">
        <f t="shared" si="129"/>
        <v>#VALUE!</v>
      </c>
      <c r="N47" s="188" t="e">
        <f t="shared" si="130"/>
        <v>#VALUE!</v>
      </c>
      <c r="O47" s="169" t="s">
        <v>429</v>
      </c>
      <c r="P47" s="187" t="e">
        <f t="shared" si="131"/>
        <v>#VALUE!</v>
      </c>
      <c r="Q47" s="188" t="e">
        <f t="shared" si="132"/>
        <v>#VALUE!</v>
      </c>
      <c r="R47" s="169" t="s">
        <v>429</v>
      </c>
      <c r="S47" s="187" t="e">
        <f t="shared" si="133"/>
        <v>#VALUE!</v>
      </c>
      <c r="T47" s="188" t="e">
        <f t="shared" si="134"/>
        <v>#VALUE!</v>
      </c>
      <c r="U47" s="187" t="e">
        <f t="shared" si="122"/>
        <v>#VALUE!</v>
      </c>
    </row>
    <row r="48" spans="1:49">
      <c r="A48" s="169">
        <f>VLOOKUP(B48,Misc_inputs!$A$3:$B$33,2,0)</f>
        <v>2.853248435199073</v>
      </c>
      <c r="B48" s="168">
        <v>2006</v>
      </c>
      <c r="C48" s="169" t="s">
        <v>429</v>
      </c>
      <c r="D48" s="187" t="e">
        <f t="shared" si="123"/>
        <v>#VALUE!</v>
      </c>
      <c r="E48" s="188" t="e">
        <f t="shared" si="124"/>
        <v>#VALUE!</v>
      </c>
      <c r="F48" s="169" t="s">
        <v>429</v>
      </c>
      <c r="G48" s="187" t="e">
        <f t="shared" si="125"/>
        <v>#VALUE!</v>
      </c>
      <c r="H48" s="188" t="e">
        <f t="shared" si="126"/>
        <v>#VALUE!</v>
      </c>
      <c r="I48" s="169" t="s">
        <v>429</v>
      </c>
      <c r="J48" s="187" t="e">
        <f t="shared" si="127"/>
        <v>#VALUE!</v>
      </c>
      <c r="K48" s="188" t="e">
        <f t="shared" si="128"/>
        <v>#VALUE!</v>
      </c>
      <c r="L48" s="169" t="s">
        <v>429</v>
      </c>
      <c r="M48" s="187" t="e">
        <f t="shared" si="129"/>
        <v>#VALUE!</v>
      </c>
      <c r="N48" s="188" t="e">
        <f t="shared" si="130"/>
        <v>#VALUE!</v>
      </c>
      <c r="O48" s="169" t="s">
        <v>429</v>
      </c>
      <c r="P48" s="187" t="e">
        <f t="shared" si="131"/>
        <v>#VALUE!</v>
      </c>
      <c r="Q48" s="188" t="e">
        <f t="shared" si="132"/>
        <v>#VALUE!</v>
      </c>
      <c r="R48" s="169" t="s">
        <v>429</v>
      </c>
      <c r="S48" s="187" t="e">
        <f t="shared" si="133"/>
        <v>#VALUE!</v>
      </c>
      <c r="T48" s="188" t="e">
        <f t="shared" si="134"/>
        <v>#VALUE!</v>
      </c>
      <c r="U48" s="187" t="e">
        <f t="shared" si="122"/>
        <v>#VALUE!</v>
      </c>
    </row>
    <row r="49" spans="1:21">
      <c r="A49" s="169">
        <f>VLOOKUP(B49,Misc_inputs!$A$3:$B$33,2,0)</f>
        <v>2.7960714791272023</v>
      </c>
      <c r="B49" s="168">
        <v>2007</v>
      </c>
      <c r="C49" s="169" t="s">
        <v>429</v>
      </c>
      <c r="D49" s="187" t="e">
        <f t="shared" si="123"/>
        <v>#VALUE!</v>
      </c>
      <c r="E49" s="188" t="e">
        <f t="shared" si="124"/>
        <v>#VALUE!</v>
      </c>
      <c r="F49" s="169" t="s">
        <v>429</v>
      </c>
      <c r="G49" s="187" t="e">
        <f t="shared" si="125"/>
        <v>#VALUE!</v>
      </c>
      <c r="H49" s="188" t="e">
        <f t="shared" si="126"/>
        <v>#VALUE!</v>
      </c>
      <c r="I49" s="169" t="s">
        <v>429</v>
      </c>
      <c r="J49" s="187" t="e">
        <f t="shared" si="127"/>
        <v>#VALUE!</v>
      </c>
      <c r="K49" s="188" t="e">
        <f t="shared" si="128"/>
        <v>#VALUE!</v>
      </c>
      <c r="L49" s="169" t="s">
        <v>429</v>
      </c>
      <c r="M49" s="187" t="e">
        <f t="shared" si="129"/>
        <v>#VALUE!</v>
      </c>
      <c r="N49" s="188" t="e">
        <f t="shared" si="130"/>
        <v>#VALUE!</v>
      </c>
      <c r="O49" s="169" t="s">
        <v>429</v>
      </c>
      <c r="P49" s="187" t="e">
        <f t="shared" si="131"/>
        <v>#VALUE!</v>
      </c>
      <c r="Q49" s="188" t="e">
        <f t="shared" si="132"/>
        <v>#VALUE!</v>
      </c>
      <c r="R49" s="169" t="s">
        <v>429</v>
      </c>
      <c r="S49" s="187" t="e">
        <f t="shared" si="133"/>
        <v>#VALUE!</v>
      </c>
      <c r="T49" s="188" t="e">
        <f t="shared" si="134"/>
        <v>#VALUE!</v>
      </c>
      <c r="U49" s="187" t="e">
        <f t="shared" si="122"/>
        <v>#VALUE!</v>
      </c>
    </row>
    <row r="50" spans="1:21">
      <c r="A50" s="169">
        <f>VLOOKUP(B50,Misc_inputs!$A$3:$B$33,2,0)</f>
        <v>3.2489393373071294</v>
      </c>
      <c r="B50" s="168">
        <v>2008</v>
      </c>
      <c r="C50" s="169" t="s">
        <v>429</v>
      </c>
      <c r="D50" s="187" t="e">
        <f t="shared" si="123"/>
        <v>#VALUE!</v>
      </c>
      <c r="E50" s="188" t="e">
        <f t="shared" si="124"/>
        <v>#VALUE!</v>
      </c>
      <c r="F50" s="169" t="s">
        <v>429</v>
      </c>
      <c r="G50" s="187" t="e">
        <f t="shared" si="125"/>
        <v>#VALUE!</v>
      </c>
      <c r="H50" s="188" t="e">
        <f t="shared" si="126"/>
        <v>#VALUE!</v>
      </c>
      <c r="I50" s="169" t="s">
        <v>429</v>
      </c>
      <c r="J50" s="187" t="e">
        <f t="shared" si="127"/>
        <v>#VALUE!</v>
      </c>
      <c r="K50" s="188" t="e">
        <f t="shared" si="128"/>
        <v>#VALUE!</v>
      </c>
      <c r="L50" s="169" t="s">
        <v>429</v>
      </c>
      <c r="M50" s="187" t="e">
        <f t="shared" si="129"/>
        <v>#VALUE!</v>
      </c>
      <c r="N50" s="188" t="e">
        <f t="shared" si="130"/>
        <v>#VALUE!</v>
      </c>
      <c r="O50" s="169" t="s">
        <v>429</v>
      </c>
      <c r="P50" s="187" t="e">
        <f t="shared" si="131"/>
        <v>#VALUE!</v>
      </c>
      <c r="Q50" s="188" t="e">
        <f t="shared" si="132"/>
        <v>#VALUE!</v>
      </c>
      <c r="R50" s="169" t="s">
        <v>429</v>
      </c>
      <c r="S50" s="187" t="e">
        <f t="shared" si="133"/>
        <v>#VALUE!</v>
      </c>
      <c r="T50" s="188" t="e">
        <f t="shared" si="134"/>
        <v>#VALUE!</v>
      </c>
      <c r="U50" s="187" t="e">
        <f t="shared" si="122"/>
        <v>#VALUE!</v>
      </c>
    </row>
    <row r="51" spans="1:21">
      <c r="A51" s="169">
        <f>VLOOKUP(B51,Misc_inputs!$A$3:$B$33,2,0)</f>
        <v>1.7010725699507729</v>
      </c>
      <c r="B51" s="168">
        <v>2009</v>
      </c>
      <c r="C51" s="169" t="s">
        <v>429</v>
      </c>
      <c r="D51" s="187" t="e">
        <f t="shared" si="123"/>
        <v>#VALUE!</v>
      </c>
      <c r="E51" s="188" t="e">
        <f t="shared" si="124"/>
        <v>#VALUE!</v>
      </c>
      <c r="F51" s="169" t="s">
        <v>429</v>
      </c>
      <c r="G51" s="187" t="e">
        <f t="shared" si="125"/>
        <v>#VALUE!</v>
      </c>
      <c r="H51" s="188" t="e">
        <f t="shared" si="126"/>
        <v>#VALUE!</v>
      </c>
      <c r="I51" s="169" t="s">
        <v>429</v>
      </c>
      <c r="J51" s="187" t="e">
        <f t="shared" si="127"/>
        <v>#VALUE!</v>
      </c>
      <c r="K51" s="188" t="e">
        <f t="shared" si="128"/>
        <v>#VALUE!</v>
      </c>
      <c r="L51" s="169" t="s">
        <v>429</v>
      </c>
      <c r="M51" s="187" t="e">
        <f t="shared" si="129"/>
        <v>#VALUE!</v>
      </c>
      <c r="N51" s="188" t="e">
        <f t="shared" si="130"/>
        <v>#VALUE!</v>
      </c>
      <c r="O51" s="169" t="s">
        <v>429</v>
      </c>
      <c r="P51" s="187" t="e">
        <f t="shared" si="131"/>
        <v>#VALUE!</v>
      </c>
      <c r="Q51" s="188" t="e">
        <f t="shared" si="132"/>
        <v>#VALUE!</v>
      </c>
      <c r="R51" s="169" t="s">
        <v>429</v>
      </c>
      <c r="S51" s="187" t="e">
        <f t="shared" si="133"/>
        <v>#VALUE!</v>
      </c>
      <c r="T51" s="188" t="e">
        <f t="shared" si="134"/>
        <v>#VALUE!</v>
      </c>
      <c r="U51" s="187" t="e">
        <f t="shared" si="122"/>
        <v>#VALUE!</v>
      </c>
    </row>
    <row r="52" spans="1:21">
      <c r="A52" s="169">
        <f>VLOOKUP(B52,Misc_inputs!$A$3:$B$33,2,0)</f>
        <v>1.3734918692079017</v>
      </c>
      <c r="B52" s="168">
        <v>2010</v>
      </c>
      <c r="C52" s="169" t="s">
        <v>429</v>
      </c>
      <c r="D52" s="187" t="e">
        <f t="shared" si="123"/>
        <v>#VALUE!</v>
      </c>
      <c r="E52" s="188" t="e">
        <f t="shared" si="124"/>
        <v>#VALUE!</v>
      </c>
      <c r="F52" s="169" t="s">
        <v>429</v>
      </c>
      <c r="G52" s="187" t="e">
        <f t="shared" si="125"/>
        <v>#VALUE!</v>
      </c>
      <c r="H52" s="188" t="e">
        <f t="shared" si="126"/>
        <v>#VALUE!</v>
      </c>
      <c r="I52" s="169" t="s">
        <v>429</v>
      </c>
      <c r="J52" s="187" t="e">
        <f t="shared" si="127"/>
        <v>#VALUE!</v>
      </c>
      <c r="K52" s="188" t="e">
        <f t="shared" si="128"/>
        <v>#VALUE!</v>
      </c>
      <c r="L52" s="169" t="s">
        <v>429</v>
      </c>
      <c r="M52" s="187" t="e">
        <f t="shared" si="129"/>
        <v>#VALUE!</v>
      </c>
      <c r="N52" s="188" t="e">
        <f t="shared" si="130"/>
        <v>#VALUE!</v>
      </c>
      <c r="O52" s="169" t="s">
        <v>429</v>
      </c>
      <c r="P52" s="187" t="e">
        <f t="shared" si="131"/>
        <v>#VALUE!</v>
      </c>
      <c r="Q52" s="188" t="e">
        <f t="shared" si="132"/>
        <v>#VALUE!</v>
      </c>
      <c r="R52" s="169" t="s">
        <v>429</v>
      </c>
      <c r="S52" s="187" t="e">
        <f t="shared" si="133"/>
        <v>#VALUE!</v>
      </c>
      <c r="T52" s="188" t="e">
        <f t="shared" si="134"/>
        <v>#VALUE!</v>
      </c>
      <c r="U52" s="187" t="e">
        <f t="shared" si="122"/>
        <v>#VALUE!</v>
      </c>
    </row>
    <row r="53" spans="1:21">
      <c r="A53" s="169">
        <f>VLOOKUP(B53,Misc_inputs!$A$3:$B$33,2,0)</f>
        <v>2.0688542081199257</v>
      </c>
      <c r="B53" s="168">
        <v>2011</v>
      </c>
      <c r="C53" s="169" t="s">
        <v>429</v>
      </c>
      <c r="D53" s="187" t="e">
        <f t="shared" si="123"/>
        <v>#VALUE!</v>
      </c>
      <c r="E53" s="188" t="e">
        <f t="shared" si="124"/>
        <v>#VALUE!</v>
      </c>
      <c r="F53" s="169" t="s">
        <v>429</v>
      </c>
      <c r="G53" s="187" t="e">
        <f t="shared" si="125"/>
        <v>#VALUE!</v>
      </c>
      <c r="H53" s="188" t="e">
        <f t="shared" si="126"/>
        <v>#VALUE!</v>
      </c>
      <c r="I53" s="169" t="s">
        <v>429</v>
      </c>
      <c r="J53" s="187" t="e">
        <f t="shared" si="127"/>
        <v>#VALUE!</v>
      </c>
      <c r="K53" s="188" t="e">
        <f t="shared" si="128"/>
        <v>#VALUE!</v>
      </c>
      <c r="L53" s="169" t="s">
        <v>429</v>
      </c>
      <c r="M53" s="187" t="e">
        <f t="shared" si="129"/>
        <v>#VALUE!</v>
      </c>
      <c r="N53" s="188" t="e">
        <f t="shared" si="130"/>
        <v>#VALUE!</v>
      </c>
      <c r="O53" s="169" t="s">
        <v>429</v>
      </c>
      <c r="P53" s="187" t="e">
        <f t="shared" si="131"/>
        <v>#VALUE!</v>
      </c>
      <c r="Q53" s="188" t="e">
        <f t="shared" si="132"/>
        <v>#VALUE!</v>
      </c>
      <c r="R53" s="169" t="s">
        <v>429</v>
      </c>
      <c r="S53" s="187" t="e">
        <f t="shared" si="133"/>
        <v>#VALUE!</v>
      </c>
      <c r="T53" s="188" t="e">
        <f t="shared" si="134"/>
        <v>#VALUE!</v>
      </c>
      <c r="U53" s="187" t="e">
        <f t="shared" si="122"/>
        <v>#VALUE!</v>
      </c>
    </row>
    <row r="54" spans="1:21">
      <c r="A54" s="169">
        <f>VLOOKUP(B54,Misc_inputs!$A$3:$B$33,2,0)</f>
        <v>1.6091515591183065</v>
      </c>
      <c r="B54" s="168">
        <v>2012</v>
      </c>
      <c r="C54" s="169" t="s">
        <v>429</v>
      </c>
      <c r="D54" s="187" t="e">
        <f t="shared" si="123"/>
        <v>#VALUE!</v>
      </c>
      <c r="E54" s="188" t="e">
        <f t="shared" si="124"/>
        <v>#VALUE!</v>
      </c>
      <c r="F54" s="169" t="s">
        <v>429</v>
      </c>
      <c r="G54" s="187" t="e">
        <f t="shared" si="125"/>
        <v>#VALUE!</v>
      </c>
      <c r="H54" s="188" t="e">
        <f t="shared" si="126"/>
        <v>#VALUE!</v>
      </c>
      <c r="I54" s="169" t="s">
        <v>429</v>
      </c>
      <c r="J54" s="187" t="e">
        <f t="shared" si="127"/>
        <v>#VALUE!</v>
      </c>
      <c r="K54" s="188" t="e">
        <f t="shared" si="128"/>
        <v>#VALUE!</v>
      </c>
      <c r="L54" s="169" t="s">
        <v>429</v>
      </c>
      <c r="M54" s="187" t="e">
        <f t="shared" si="129"/>
        <v>#VALUE!</v>
      </c>
      <c r="N54" s="188" t="e">
        <f t="shared" si="130"/>
        <v>#VALUE!</v>
      </c>
      <c r="O54" s="169" t="s">
        <v>429</v>
      </c>
      <c r="P54" s="187" t="e">
        <f t="shared" si="131"/>
        <v>#VALUE!</v>
      </c>
      <c r="Q54" s="188" t="e">
        <f t="shared" si="132"/>
        <v>#VALUE!</v>
      </c>
      <c r="R54" s="169" t="s">
        <v>429</v>
      </c>
      <c r="S54" s="187" t="e">
        <f t="shared" si="133"/>
        <v>#VALUE!</v>
      </c>
      <c r="T54" s="188" t="e">
        <f t="shared" si="134"/>
        <v>#VALUE!</v>
      </c>
      <c r="U54" s="187" t="e">
        <f t="shared" si="122"/>
        <v>#VALUE!</v>
      </c>
    </row>
    <row r="55" spans="1:21">
      <c r="A55" s="169">
        <f>VLOOKUP(B55,Misc_inputs!$A$3:$B$33,2,0)</f>
        <v>2.2357385540164949</v>
      </c>
      <c r="B55" s="168">
        <v>2013</v>
      </c>
      <c r="C55" s="169" t="s">
        <v>429</v>
      </c>
      <c r="D55" s="187" t="e">
        <f t="shared" si="123"/>
        <v>#VALUE!</v>
      </c>
      <c r="E55" s="188" t="e">
        <f t="shared" si="124"/>
        <v>#VALUE!</v>
      </c>
      <c r="F55" s="169" t="s">
        <v>429</v>
      </c>
      <c r="G55" s="187" t="e">
        <f t="shared" si="125"/>
        <v>#VALUE!</v>
      </c>
      <c r="H55" s="188" t="e">
        <f t="shared" si="126"/>
        <v>#VALUE!</v>
      </c>
      <c r="I55" s="169" t="s">
        <v>429</v>
      </c>
      <c r="J55" s="187" t="e">
        <f t="shared" si="127"/>
        <v>#VALUE!</v>
      </c>
      <c r="K55" s="188" t="e">
        <f t="shared" si="128"/>
        <v>#VALUE!</v>
      </c>
      <c r="L55" s="169" t="s">
        <v>429</v>
      </c>
      <c r="M55" s="187" t="e">
        <f t="shared" si="129"/>
        <v>#VALUE!</v>
      </c>
      <c r="N55" s="188" t="e">
        <f t="shared" si="130"/>
        <v>#VALUE!</v>
      </c>
      <c r="O55" s="169" t="s">
        <v>429</v>
      </c>
      <c r="P55" s="187" t="e">
        <f t="shared" si="131"/>
        <v>#VALUE!</v>
      </c>
      <c r="Q55" s="188" t="e">
        <f t="shared" si="132"/>
        <v>#VALUE!</v>
      </c>
      <c r="R55" s="169" t="s">
        <v>429</v>
      </c>
      <c r="S55" s="187" t="e">
        <f t="shared" si="133"/>
        <v>#VALUE!</v>
      </c>
      <c r="T55" s="188" t="e">
        <f t="shared" si="134"/>
        <v>#VALUE!</v>
      </c>
      <c r="U55" s="187" t="e">
        <f t="shared" si="122"/>
        <v>#VALUE!</v>
      </c>
    </row>
    <row r="56" spans="1:21">
      <c r="A56" s="169">
        <f>VLOOKUP(B56,Misc_inputs!$A$3:$B$33,2,0)</f>
        <v>1.5952823611433897</v>
      </c>
      <c r="B56" s="168">
        <v>2014</v>
      </c>
      <c r="C56" s="169" t="s">
        <v>429</v>
      </c>
      <c r="D56" s="187" t="e">
        <f>C56*$A56/100</f>
        <v>#VALUE!</v>
      </c>
      <c r="E56" s="188" t="e">
        <f t="shared" si="124"/>
        <v>#VALUE!</v>
      </c>
      <c r="F56" s="169" t="s">
        <v>429</v>
      </c>
      <c r="G56" s="187" t="e">
        <f>F56*$A56/100</f>
        <v>#VALUE!</v>
      </c>
      <c r="H56" s="188" t="e">
        <f t="shared" si="126"/>
        <v>#VALUE!</v>
      </c>
      <c r="I56" s="169" t="s">
        <v>429</v>
      </c>
      <c r="J56" s="187" t="e">
        <f>I56*$A56/100</f>
        <v>#VALUE!</v>
      </c>
      <c r="K56" s="188" t="e">
        <f t="shared" si="128"/>
        <v>#VALUE!</v>
      </c>
      <c r="L56" s="169" t="s">
        <v>429</v>
      </c>
      <c r="M56" s="187" t="e">
        <f>L56*$A56/100</f>
        <v>#VALUE!</v>
      </c>
      <c r="N56" s="188" t="e">
        <f t="shared" si="130"/>
        <v>#VALUE!</v>
      </c>
      <c r="O56" s="169" t="s">
        <v>429</v>
      </c>
      <c r="P56" s="187" t="e">
        <f>O56*$A56/100</f>
        <v>#VALUE!</v>
      </c>
      <c r="Q56" s="188" t="e">
        <f t="shared" si="132"/>
        <v>#VALUE!</v>
      </c>
      <c r="R56" s="169" t="s">
        <v>429</v>
      </c>
      <c r="S56" s="187" t="e">
        <f>R56*$A56/100</f>
        <v>#VALUE!</v>
      </c>
      <c r="T56" s="188" t="e">
        <f t="shared" si="134"/>
        <v>#VALUE!</v>
      </c>
      <c r="U56" s="187" t="e">
        <f t="shared" si="122"/>
        <v>#VALUE!</v>
      </c>
    </row>
    <row r="57" spans="1:21">
      <c r="A57" s="169">
        <f>VLOOKUP(B57,Misc_inputs!$A$3:$B$33,2,0)</f>
        <v>0.51307917271416026</v>
      </c>
      <c r="B57" s="168">
        <v>2015</v>
      </c>
      <c r="C57" s="169" t="s">
        <v>429</v>
      </c>
      <c r="D57" s="187" t="e">
        <f t="shared" ref="D57:D72" si="135">C57*$A57/100</f>
        <v>#VALUE!</v>
      </c>
      <c r="E57" s="188" t="e">
        <f t="shared" si="124"/>
        <v>#VALUE!</v>
      </c>
      <c r="F57" s="169" t="s">
        <v>429</v>
      </c>
      <c r="G57" s="187" t="e">
        <f t="shared" ref="G57:G72" si="136">F57*$A57/100</f>
        <v>#VALUE!</v>
      </c>
      <c r="H57" s="188" t="e">
        <f t="shared" si="126"/>
        <v>#VALUE!</v>
      </c>
      <c r="I57" s="169" t="s">
        <v>429</v>
      </c>
      <c r="J57" s="187" t="e">
        <f t="shared" ref="J57:J72" si="137">I57*$A57/100</f>
        <v>#VALUE!</v>
      </c>
      <c r="K57" s="188" t="e">
        <f t="shared" si="128"/>
        <v>#VALUE!</v>
      </c>
      <c r="L57" s="169" t="s">
        <v>429</v>
      </c>
      <c r="M57" s="187" t="e">
        <f t="shared" ref="M57:M72" si="138">L57*$A57/100</f>
        <v>#VALUE!</v>
      </c>
      <c r="N57" s="188" t="e">
        <f t="shared" si="130"/>
        <v>#VALUE!</v>
      </c>
      <c r="O57" s="169" t="s">
        <v>429</v>
      </c>
      <c r="P57" s="187" t="e">
        <f t="shared" ref="P57:P72" si="139">O57*$A57/100</f>
        <v>#VALUE!</v>
      </c>
      <c r="Q57" s="188" t="e">
        <f t="shared" si="132"/>
        <v>#VALUE!</v>
      </c>
      <c r="R57" s="169" t="s">
        <v>429</v>
      </c>
      <c r="S57" s="187" t="e">
        <f t="shared" ref="S57:S72" si="140">R57*$A57/100</f>
        <v>#VALUE!</v>
      </c>
      <c r="T57" s="188" t="e">
        <f t="shared" si="134"/>
        <v>#VALUE!</v>
      </c>
      <c r="U57" s="187" t="e">
        <f t="shared" si="122"/>
        <v>#VALUE!</v>
      </c>
    </row>
    <row r="58" spans="1:21">
      <c r="A58" s="169">
        <f>VLOOKUP(B58,Misc_inputs!$A$3:$B$33,2,0)</f>
        <v>1.8963035451147277</v>
      </c>
      <c r="B58" s="168">
        <v>2016</v>
      </c>
      <c r="C58" s="169" t="s">
        <v>429</v>
      </c>
      <c r="D58" s="187" t="e">
        <f t="shared" si="135"/>
        <v>#VALUE!</v>
      </c>
      <c r="E58" s="188" t="e">
        <f t="shared" si="124"/>
        <v>#VALUE!</v>
      </c>
      <c r="F58" s="169" t="s">
        <v>429</v>
      </c>
      <c r="G58" s="187" t="e">
        <f t="shared" si="136"/>
        <v>#VALUE!</v>
      </c>
      <c r="H58" s="188" t="e">
        <f t="shared" si="126"/>
        <v>#VALUE!</v>
      </c>
      <c r="I58" s="169" t="s">
        <v>429</v>
      </c>
      <c r="J58" s="187" t="e">
        <f t="shared" si="137"/>
        <v>#VALUE!</v>
      </c>
      <c r="K58" s="188" t="e">
        <f t="shared" si="128"/>
        <v>#VALUE!</v>
      </c>
      <c r="L58" s="169" t="s">
        <v>429</v>
      </c>
      <c r="M58" s="187" t="e">
        <f t="shared" si="138"/>
        <v>#VALUE!</v>
      </c>
      <c r="N58" s="188" t="e">
        <f t="shared" si="130"/>
        <v>#VALUE!</v>
      </c>
      <c r="O58" s="169" t="s">
        <v>429</v>
      </c>
      <c r="P58" s="187" t="e">
        <f t="shared" si="139"/>
        <v>#VALUE!</v>
      </c>
      <c r="Q58" s="188" t="e">
        <f t="shared" si="132"/>
        <v>#VALUE!</v>
      </c>
      <c r="R58" s="169" t="s">
        <v>429</v>
      </c>
      <c r="S58" s="187" t="e">
        <f t="shared" si="140"/>
        <v>#VALUE!</v>
      </c>
      <c r="T58" s="188" t="e">
        <f t="shared" si="134"/>
        <v>#VALUE!</v>
      </c>
      <c r="U58" s="187" t="e">
        <f t="shared" si="122"/>
        <v>#VALUE!</v>
      </c>
    </row>
    <row r="59" spans="1:21">
      <c r="A59" s="169">
        <f>VLOOKUP(B59,Misc_inputs!$A$3:$B$33,2,0)</f>
        <v>1.8209228570152332</v>
      </c>
      <c r="B59" s="168">
        <v>2017</v>
      </c>
      <c r="C59" s="169" t="s">
        <v>429</v>
      </c>
      <c r="D59" s="187" t="e">
        <f t="shared" si="135"/>
        <v>#VALUE!</v>
      </c>
      <c r="E59" s="188" t="e">
        <f t="shared" si="124"/>
        <v>#VALUE!</v>
      </c>
      <c r="F59" s="169" t="s">
        <v>429</v>
      </c>
      <c r="G59" s="187" t="e">
        <f t="shared" si="136"/>
        <v>#VALUE!</v>
      </c>
      <c r="H59" s="188" t="e">
        <f t="shared" si="126"/>
        <v>#VALUE!</v>
      </c>
      <c r="I59" s="169" t="s">
        <v>429</v>
      </c>
      <c r="J59" s="187" t="e">
        <f t="shared" si="137"/>
        <v>#VALUE!</v>
      </c>
      <c r="K59" s="188" t="e">
        <f t="shared" si="128"/>
        <v>#VALUE!</v>
      </c>
      <c r="L59" s="169" t="s">
        <v>429</v>
      </c>
      <c r="M59" s="187" t="e">
        <f t="shared" si="138"/>
        <v>#VALUE!</v>
      </c>
      <c r="N59" s="188" t="e">
        <f t="shared" si="130"/>
        <v>#VALUE!</v>
      </c>
      <c r="O59" s="169" t="s">
        <v>429</v>
      </c>
      <c r="P59" s="187" t="e">
        <f t="shared" si="139"/>
        <v>#VALUE!</v>
      </c>
      <c r="Q59" s="188" t="e">
        <f t="shared" si="132"/>
        <v>#VALUE!</v>
      </c>
      <c r="R59" s="169" t="s">
        <v>429</v>
      </c>
      <c r="S59" s="187" t="e">
        <f t="shared" si="140"/>
        <v>#VALUE!</v>
      </c>
      <c r="T59" s="188" t="e">
        <f t="shared" si="134"/>
        <v>#VALUE!</v>
      </c>
      <c r="U59" s="187" t="e">
        <f t="shared" si="122"/>
        <v>#VALUE!</v>
      </c>
    </row>
    <row r="60" spans="1:21">
      <c r="A60" s="169">
        <f>VLOOKUP(B60,Misc_inputs!$A$3:$B$33,2,0)</f>
        <v>1.9988242855231282</v>
      </c>
      <c r="B60" s="168">
        <v>2018</v>
      </c>
      <c r="C60" s="169" t="s">
        <v>429</v>
      </c>
      <c r="D60" s="187" t="e">
        <f t="shared" si="135"/>
        <v>#VALUE!</v>
      </c>
      <c r="E60" s="188" t="e">
        <f t="shared" si="124"/>
        <v>#VALUE!</v>
      </c>
      <c r="F60" s="169" t="s">
        <v>429</v>
      </c>
      <c r="G60" s="187" t="e">
        <f t="shared" si="136"/>
        <v>#VALUE!</v>
      </c>
      <c r="H60" s="188" t="e">
        <f t="shared" si="126"/>
        <v>#VALUE!</v>
      </c>
      <c r="I60" s="169" t="s">
        <v>429</v>
      </c>
      <c r="J60" s="187" t="e">
        <f t="shared" si="137"/>
        <v>#VALUE!</v>
      </c>
      <c r="K60" s="188" t="e">
        <f t="shared" si="128"/>
        <v>#VALUE!</v>
      </c>
      <c r="L60" s="169" t="s">
        <v>429</v>
      </c>
      <c r="M60" s="187" t="e">
        <f t="shared" si="138"/>
        <v>#VALUE!</v>
      </c>
      <c r="N60" s="188" t="e">
        <f t="shared" si="130"/>
        <v>#VALUE!</v>
      </c>
      <c r="O60" s="169" t="s">
        <v>429</v>
      </c>
      <c r="P60" s="187" t="e">
        <f t="shared" si="139"/>
        <v>#VALUE!</v>
      </c>
      <c r="Q60" s="188" t="e">
        <f t="shared" si="132"/>
        <v>#VALUE!</v>
      </c>
      <c r="R60" s="169" t="s">
        <v>429</v>
      </c>
      <c r="S60" s="187" t="e">
        <f t="shared" si="140"/>
        <v>#VALUE!</v>
      </c>
      <c r="T60" s="188" t="e">
        <f t="shared" si="134"/>
        <v>#VALUE!</v>
      </c>
      <c r="U60" s="187" t="e">
        <f t="shared" si="122"/>
        <v>#VALUE!</v>
      </c>
    </row>
    <row r="61" spans="1:21">
      <c r="A61" s="169">
        <f>VLOOKUP(B61,Misc_inputs!$A$3:$B$33,2,0)</f>
        <v>2.0163202370724722</v>
      </c>
      <c r="B61" s="168">
        <v>2019</v>
      </c>
      <c r="C61" s="169" t="s">
        <v>429</v>
      </c>
      <c r="D61" s="187" t="e">
        <f t="shared" si="135"/>
        <v>#VALUE!</v>
      </c>
      <c r="E61" s="188" t="e">
        <f t="shared" si="124"/>
        <v>#VALUE!</v>
      </c>
      <c r="F61" s="169" t="s">
        <v>429</v>
      </c>
      <c r="G61" s="187" t="e">
        <f t="shared" si="136"/>
        <v>#VALUE!</v>
      </c>
      <c r="H61" s="188" t="e">
        <f t="shared" si="126"/>
        <v>#VALUE!</v>
      </c>
      <c r="I61" s="169" t="s">
        <v>429</v>
      </c>
      <c r="J61" s="187" t="e">
        <f t="shared" si="137"/>
        <v>#VALUE!</v>
      </c>
      <c r="K61" s="188" t="e">
        <f t="shared" si="128"/>
        <v>#VALUE!</v>
      </c>
      <c r="L61" s="169" t="s">
        <v>429</v>
      </c>
      <c r="M61" s="187" t="e">
        <f t="shared" si="138"/>
        <v>#VALUE!</v>
      </c>
      <c r="N61" s="188" t="e">
        <f t="shared" si="130"/>
        <v>#VALUE!</v>
      </c>
      <c r="O61" s="169" t="s">
        <v>429</v>
      </c>
      <c r="P61" s="187" t="e">
        <f t="shared" si="139"/>
        <v>#VALUE!</v>
      </c>
      <c r="Q61" s="188" t="e">
        <f t="shared" si="132"/>
        <v>#VALUE!</v>
      </c>
      <c r="R61" s="169" t="s">
        <v>429</v>
      </c>
      <c r="S61" s="187" t="e">
        <f t="shared" si="140"/>
        <v>#VALUE!</v>
      </c>
      <c r="T61" s="188" t="e">
        <f t="shared" si="134"/>
        <v>#VALUE!</v>
      </c>
      <c r="U61" s="187" t="e">
        <f t="shared" si="122"/>
        <v>#VALUE!</v>
      </c>
    </row>
    <row r="62" spans="1:21">
      <c r="A62" s="169">
        <f>VLOOKUP(B62,Misc_inputs!$A$3:$B$33,2,0)</f>
        <v>5.3200852056836103</v>
      </c>
      <c r="B62" s="168">
        <v>2020</v>
      </c>
      <c r="C62" s="169" t="s">
        <v>429</v>
      </c>
      <c r="D62" s="187" t="e">
        <f t="shared" si="135"/>
        <v>#VALUE!</v>
      </c>
      <c r="E62" s="188" t="e">
        <f t="shared" si="124"/>
        <v>#VALUE!</v>
      </c>
      <c r="F62" s="169" t="s">
        <v>429</v>
      </c>
      <c r="G62" s="187" t="e">
        <f t="shared" si="136"/>
        <v>#VALUE!</v>
      </c>
      <c r="H62" s="188" t="e">
        <f t="shared" si="126"/>
        <v>#VALUE!</v>
      </c>
      <c r="I62" s="169" t="s">
        <v>429</v>
      </c>
      <c r="J62" s="187" t="e">
        <f t="shared" si="137"/>
        <v>#VALUE!</v>
      </c>
      <c r="K62" s="188" t="e">
        <f t="shared" si="128"/>
        <v>#VALUE!</v>
      </c>
      <c r="L62" s="169" t="s">
        <v>429</v>
      </c>
      <c r="M62" s="187" t="e">
        <f t="shared" si="138"/>
        <v>#VALUE!</v>
      </c>
      <c r="N62" s="188" t="e">
        <f t="shared" si="130"/>
        <v>#VALUE!</v>
      </c>
      <c r="O62" s="169" t="s">
        <v>429</v>
      </c>
      <c r="P62" s="187" t="e">
        <f t="shared" si="139"/>
        <v>#VALUE!</v>
      </c>
      <c r="Q62" s="188" t="e">
        <f t="shared" si="132"/>
        <v>#VALUE!</v>
      </c>
      <c r="R62" s="169" t="s">
        <v>429</v>
      </c>
      <c r="S62" s="187" t="e">
        <f t="shared" si="140"/>
        <v>#VALUE!</v>
      </c>
      <c r="T62" s="188" t="e">
        <f t="shared" si="134"/>
        <v>#VALUE!</v>
      </c>
      <c r="U62" s="187" t="e">
        <f t="shared" si="122"/>
        <v>#VALUE!</v>
      </c>
    </row>
    <row r="63" spans="1:21">
      <c r="A63" s="169">
        <f>VLOOKUP(B63,Misc_inputs!$A$3:$B$33,2,0)</f>
        <v>7.6258108678813302E-2</v>
      </c>
      <c r="B63" s="168">
        <v>2021</v>
      </c>
      <c r="C63" s="169" t="s">
        <v>429</v>
      </c>
      <c r="D63" s="187" t="e">
        <f t="shared" si="135"/>
        <v>#VALUE!</v>
      </c>
      <c r="E63" s="188" t="e">
        <f t="shared" si="124"/>
        <v>#VALUE!</v>
      </c>
      <c r="F63" s="169" t="s">
        <v>429</v>
      </c>
      <c r="G63" s="187" t="e">
        <f t="shared" si="136"/>
        <v>#VALUE!</v>
      </c>
      <c r="H63" s="188" t="e">
        <f t="shared" si="126"/>
        <v>#VALUE!</v>
      </c>
      <c r="I63" s="169" t="s">
        <v>429</v>
      </c>
      <c r="J63" s="187" t="e">
        <f t="shared" si="137"/>
        <v>#VALUE!</v>
      </c>
      <c r="K63" s="188" t="e">
        <f t="shared" si="128"/>
        <v>#VALUE!</v>
      </c>
      <c r="L63" s="169" t="s">
        <v>429</v>
      </c>
      <c r="M63" s="187" t="e">
        <f t="shared" si="138"/>
        <v>#VALUE!</v>
      </c>
      <c r="N63" s="188" t="e">
        <f t="shared" si="130"/>
        <v>#VALUE!</v>
      </c>
      <c r="O63" s="169" t="s">
        <v>429</v>
      </c>
      <c r="P63" s="187" t="e">
        <f t="shared" si="139"/>
        <v>#VALUE!</v>
      </c>
      <c r="Q63" s="188" t="e">
        <f t="shared" si="132"/>
        <v>#VALUE!</v>
      </c>
      <c r="R63" s="169" t="s">
        <v>429</v>
      </c>
      <c r="S63" s="187" t="e">
        <f t="shared" si="140"/>
        <v>#VALUE!</v>
      </c>
      <c r="T63" s="188" t="e">
        <f t="shared" si="134"/>
        <v>#VALUE!</v>
      </c>
      <c r="U63" s="187" t="e">
        <f t="shared" si="122"/>
        <v>#VALUE!</v>
      </c>
    </row>
    <row r="64" spans="1:21">
      <c r="A64" s="169">
        <f>VLOOKUP(B64,Misc_inputs!$A$3:$B$33,2,0)</f>
        <v>2.8492930312000952</v>
      </c>
      <c r="B64" s="168">
        <v>2022</v>
      </c>
      <c r="C64" s="169" t="s">
        <v>429</v>
      </c>
      <c r="D64" s="187" t="e">
        <f t="shared" si="135"/>
        <v>#VALUE!</v>
      </c>
      <c r="E64" s="188" t="e">
        <f t="shared" si="124"/>
        <v>#VALUE!</v>
      </c>
      <c r="F64" s="169" t="s">
        <v>429</v>
      </c>
      <c r="G64" s="187" t="e">
        <f t="shared" si="136"/>
        <v>#VALUE!</v>
      </c>
      <c r="H64" s="188" t="e">
        <f t="shared" si="126"/>
        <v>#VALUE!</v>
      </c>
      <c r="I64" s="169" t="s">
        <v>429</v>
      </c>
      <c r="J64" s="187" t="e">
        <f t="shared" si="137"/>
        <v>#VALUE!</v>
      </c>
      <c r="K64" s="188" t="e">
        <f t="shared" si="128"/>
        <v>#VALUE!</v>
      </c>
      <c r="L64" s="169" t="s">
        <v>429</v>
      </c>
      <c r="M64" s="187" t="e">
        <f t="shared" si="138"/>
        <v>#VALUE!</v>
      </c>
      <c r="N64" s="188" t="e">
        <f t="shared" si="130"/>
        <v>#VALUE!</v>
      </c>
      <c r="O64" s="169" t="s">
        <v>429</v>
      </c>
      <c r="P64" s="187" t="e">
        <f t="shared" si="139"/>
        <v>#VALUE!</v>
      </c>
      <c r="Q64" s="188" t="e">
        <f t="shared" si="132"/>
        <v>#VALUE!</v>
      </c>
      <c r="R64" s="169" t="s">
        <v>429</v>
      </c>
      <c r="S64" s="187" t="e">
        <f t="shared" si="140"/>
        <v>#VALUE!</v>
      </c>
      <c r="T64" s="188" t="e">
        <f t="shared" si="134"/>
        <v>#VALUE!</v>
      </c>
      <c r="U64" s="187" t="e">
        <f t="shared" si="122"/>
        <v>#VALUE!</v>
      </c>
    </row>
    <row r="65" spans="1:21">
      <c r="A65" s="169">
        <f>VLOOKUP(B65,Misc_inputs!$A$3:$B$33,2,0)</f>
        <v>3.143440902459993</v>
      </c>
      <c r="B65" s="168">
        <v>2023</v>
      </c>
      <c r="C65" s="169" t="s">
        <v>429</v>
      </c>
      <c r="D65" s="187" t="e">
        <f t="shared" si="135"/>
        <v>#VALUE!</v>
      </c>
      <c r="E65" s="188" t="e">
        <f t="shared" si="124"/>
        <v>#VALUE!</v>
      </c>
      <c r="F65" s="169" t="s">
        <v>429</v>
      </c>
      <c r="G65" s="187" t="e">
        <f t="shared" si="136"/>
        <v>#VALUE!</v>
      </c>
      <c r="H65" s="188" t="e">
        <f t="shared" si="126"/>
        <v>#VALUE!</v>
      </c>
      <c r="I65" s="169" t="s">
        <v>429</v>
      </c>
      <c r="J65" s="187" t="e">
        <f t="shared" si="137"/>
        <v>#VALUE!</v>
      </c>
      <c r="K65" s="188" t="e">
        <f t="shared" si="128"/>
        <v>#VALUE!</v>
      </c>
      <c r="L65" s="169" t="s">
        <v>429</v>
      </c>
      <c r="M65" s="187" t="e">
        <f t="shared" si="138"/>
        <v>#VALUE!</v>
      </c>
      <c r="N65" s="188" t="e">
        <f t="shared" si="130"/>
        <v>#VALUE!</v>
      </c>
      <c r="O65" s="169" t="s">
        <v>429</v>
      </c>
      <c r="P65" s="187" t="e">
        <f t="shared" si="139"/>
        <v>#VALUE!</v>
      </c>
      <c r="Q65" s="188" t="e">
        <f t="shared" si="132"/>
        <v>#VALUE!</v>
      </c>
      <c r="R65" s="169" t="s">
        <v>429</v>
      </c>
      <c r="S65" s="187" t="e">
        <f t="shared" si="140"/>
        <v>#VALUE!</v>
      </c>
      <c r="T65" s="188" t="e">
        <f t="shared" si="134"/>
        <v>#VALUE!</v>
      </c>
      <c r="U65" s="187" t="e">
        <f t="shared" si="122"/>
        <v>#VALUE!</v>
      </c>
    </row>
    <row r="66" spans="1:21">
      <c r="A66" s="169">
        <f>VLOOKUP(B66,Misc_inputs!$A$3:$B$33,2,0)</f>
        <v>1.8594732384912049</v>
      </c>
      <c r="B66" s="168">
        <v>2024</v>
      </c>
      <c r="C66" s="169" t="s">
        <v>429</v>
      </c>
      <c r="D66" s="187" t="e">
        <f t="shared" si="135"/>
        <v>#VALUE!</v>
      </c>
      <c r="E66" s="188" t="e">
        <f t="shared" si="124"/>
        <v>#VALUE!</v>
      </c>
      <c r="F66" s="169" t="s">
        <v>429</v>
      </c>
      <c r="G66" s="187" t="e">
        <f t="shared" si="136"/>
        <v>#VALUE!</v>
      </c>
      <c r="H66" s="188" t="e">
        <f t="shared" si="126"/>
        <v>#VALUE!</v>
      </c>
      <c r="I66" s="169" t="s">
        <v>429</v>
      </c>
      <c r="J66" s="187" t="e">
        <f t="shared" si="137"/>
        <v>#VALUE!</v>
      </c>
      <c r="K66" s="188" t="e">
        <f t="shared" si="128"/>
        <v>#VALUE!</v>
      </c>
      <c r="L66" s="169" t="s">
        <v>429</v>
      </c>
      <c r="M66" s="187" t="e">
        <f t="shared" si="138"/>
        <v>#VALUE!</v>
      </c>
      <c r="N66" s="188" t="e">
        <f t="shared" si="130"/>
        <v>#VALUE!</v>
      </c>
      <c r="O66" s="169" t="s">
        <v>429</v>
      </c>
      <c r="P66" s="187" t="e">
        <f t="shared" si="139"/>
        <v>#VALUE!</v>
      </c>
      <c r="Q66" s="188" t="e">
        <f t="shared" si="132"/>
        <v>#VALUE!</v>
      </c>
      <c r="R66" s="169" t="s">
        <v>429</v>
      </c>
      <c r="S66" s="187" t="e">
        <f t="shared" si="140"/>
        <v>#VALUE!</v>
      </c>
      <c r="T66" s="188" t="e">
        <f t="shared" si="134"/>
        <v>#VALUE!</v>
      </c>
      <c r="U66" s="187" t="e">
        <f t="shared" si="122"/>
        <v>#VALUE!</v>
      </c>
    </row>
    <row r="67" spans="1:21">
      <c r="A67" s="169">
        <f>VLOOKUP(B67,Misc_inputs!$A$3:$B$33,2,0)</f>
        <v>1.892198034308179</v>
      </c>
      <c r="B67" s="168">
        <v>2025</v>
      </c>
      <c r="C67" s="169" t="s">
        <v>429</v>
      </c>
      <c r="D67" s="187" t="e">
        <f t="shared" si="135"/>
        <v>#VALUE!</v>
      </c>
      <c r="E67" s="188" t="e">
        <f t="shared" si="124"/>
        <v>#VALUE!</v>
      </c>
      <c r="F67" s="169" t="s">
        <v>429</v>
      </c>
      <c r="G67" s="187" t="e">
        <f t="shared" si="136"/>
        <v>#VALUE!</v>
      </c>
      <c r="H67" s="188" t="e">
        <f t="shared" si="126"/>
        <v>#VALUE!</v>
      </c>
      <c r="I67" s="169" t="s">
        <v>429</v>
      </c>
      <c r="J67" s="187" t="e">
        <f t="shared" si="137"/>
        <v>#VALUE!</v>
      </c>
      <c r="K67" s="188" t="e">
        <f t="shared" si="128"/>
        <v>#VALUE!</v>
      </c>
      <c r="L67" s="169" t="s">
        <v>429</v>
      </c>
      <c r="M67" s="187" t="e">
        <f t="shared" si="138"/>
        <v>#VALUE!</v>
      </c>
      <c r="N67" s="188" t="e">
        <f t="shared" si="130"/>
        <v>#VALUE!</v>
      </c>
      <c r="O67" s="169" t="s">
        <v>429</v>
      </c>
      <c r="P67" s="187" t="e">
        <f t="shared" si="139"/>
        <v>#VALUE!</v>
      </c>
      <c r="Q67" s="188" t="e">
        <f t="shared" si="132"/>
        <v>#VALUE!</v>
      </c>
      <c r="R67" s="169" t="s">
        <v>429</v>
      </c>
      <c r="S67" s="187" t="e">
        <f t="shared" si="140"/>
        <v>#VALUE!</v>
      </c>
      <c r="T67" s="188" t="e">
        <f t="shared" si="134"/>
        <v>#VALUE!</v>
      </c>
      <c r="U67" s="187" t="e">
        <f t="shared" si="122"/>
        <v>#VALUE!</v>
      </c>
    </row>
    <row r="68" spans="1:21">
      <c r="A68" s="169">
        <f>VLOOKUP(B68,Misc_inputs!$A$3:$B$33,2,0)</f>
        <v>2.0003592159356653</v>
      </c>
      <c r="B68" s="168">
        <v>2026</v>
      </c>
      <c r="C68" s="169" t="s">
        <v>429</v>
      </c>
      <c r="D68" s="187" t="e">
        <f t="shared" si="135"/>
        <v>#VALUE!</v>
      </c>
      <c r="E68" s="188" t="e">
        <f t="shared" si="124"/>
        <v>#VALUE!</v>
      </c>
      <c r="F68" s="169" t="s">
        <v>429</v>
      </c>
      <c r="G68" s="187" t="e">
        <f t="shared" si="136"/>
        <v>#VALUE!</v>
      </c>
      <c r="H68" s="188" t="e">
        <f t="shared" si="126"/>
        <v>#VALUE!</v>
      </c>
      <c r="I68" s="169" t="s">
        <v>429</v>
      </c>
      <c r="J68" s="187" t="e">
        <f t="shared" si="137"/>
        <v>#VALUE!</v>
      </c>
      <c r="K68" s="188" t="e">
        <f t="shared" si="128"/>
        <v>#VALUE!</v>
      </c>
      <c r="L68" s="169" t="s">
        <v>429</v>
      </c>
      <c r="M68" s="187" t="e">
        <f t="shared" si="138"/>
        <v>#VALUE!</v>
      </c>
      <c r="N68" s="188" t="e">
        <f t="shared" si="130"/>
        <v>#VALUE!</v>
      </c>
      <c r="O68" s="169" t="s">
        <v>429</v>
      </c>
      <c r="P68" s="187" t="e">
        <f t="shared" si="139"/>
        <v>#VALUE!</v>
      </c>
      <c r="Q68" s="188" t="e">
        <f t="shared" si="132"/>
        <v>#VALUE!</v>
      </c>
      <c r="R68" s="169" t="s">
        <v>429</v>
      </c>
      <c r="S68" s="187" t="e">
        <f t="shared" si="140"/>
        <v>#VALUE!</v>
      </c>
      <c r="T68" s="188" t="e">
        <f t="shared" si="134"/>
        <v>#VALUE!</v>
      </c>
      <c r="U68" s="187" t="e">
        <f t="shared" si="122"/>
        <v>#VALUE!</v>
      </c>
    </row>
    <row r="69" spans="1:21">
      <c r="A69" s="169">
        <f>VLOOKUP(B69,Misc_inputs!$A$3:$B$33,2,0)</f>
        <v>0</v>
      </c>
      <c r="B69" s="168">
        <v>2027</v>
      </c>
      <c r="C69" s="169" t="s">
        <v>429</v>
      </c>
      <c r="D69" s="187" t="e">
        <f t="shared" si="135"/>
        <v>#VALUE!</v>
      </c>
      <c r="E69" s="188" t="e">
        <f t="shared" si="124"/>
        <v>#VALUE!</v>
      </c>
      <c r="F69" s="169" t="s">
        <v>429</v>
      </c>
      <c r="G69" s="187" t="e">
        <f t="shared" si="136"/>
        <v>#VALUE!</v>
      </c>
      <c r="H69" s="188" t="e">
        <f t="shared" si="126"/>
        <v>#VALUE!</v>
      </c>
      <c r="I69" s="169" t="s">
        <v>429</v>
      </c>
      <c r="J69" s="187" t="e">
        <f t="shared" si="137"/>
        <v>#VALUE!</v>
      </c>
      <c r="K69" s="188" t="e">
        <f t="shared" si="128"/>
        <v>#VALUE!</v>
      </c>
      <c r="L69" s="169" t="s">
        <v>429</v>
      </c>
      <c r="M69" s="187" t="e">
        <f t="shared" si="138"/>
        <v>#VALUE!</v>
      </c>
      <c r="N69" s="188" t="e">
        <f t="shared" si="130"/>
        <v>#VALUE!</v>
      </c>
      <c r="O69" s="169" t="s">
        <v>429</v>
      </c>
      <c r="P69" s="187" t="e">
        <f t="shared" si="139"/>
        <v>#VALUE!</v>
      </c>
      <c r="Q69" s="188" t="e">
        <f t="shared" si="132"/>
        <v>#VALUE!</v>
      </c>
      <c r="R69" s="169" t="s">
        <v>429</v>
      </c>
      <c r="S69" s="187" t="e">
        <f t="shared" si="140"/>
        <v>#VALUE!</v>
      </c>
      <c r="T69" s="188" t="e">
        <f t="shared" si="134"/>
        <v>#VALUE!</v>
      </c>
      <c r="U69" s="187" t="e">
        <f t="shared" si="122"/>
        <v>#VALUE!</v>
      </c>
    </row>
    <row r="70" spans="1:21">
      <c r="A70" s="169">
        <f>VLOOKUP(B70,Misc_inputs!$A$3:$B$33,2,0)</f>
        <v>0</v>
      </c>
      <c r="B70" s="168">
        <v>2028</v>
      </c>
      <c r="C70" s="169" t="s">
        <v>429</v>
      </c>
      <c r="D70" s="187" t="e">
        <f t="shared" si="135"/>
        <v>#VALUE!</v>
      </c>
      <c r="E70" s="188" t="e">
        <f t="shared" si="124"/>
        <v>#VALUE!</v>
      </c>
      <c r="F70" s="169" t="s">
        <v>429</v>
      </c>
      <c r="G70" s="187" t="e">
        <f t="shared" si="136"/>
        <v>#VALUE!</v>
      </c>
      <c r="H70" s="188" t="e">
        <f t="shared" si="126"/>
        <v>#VALUE!</v>
      </c>
      <c r="I70" s="169" t="s">
        <v>429</v>
      </c>
      <c r="J70" s="187" t="e">
        <f t="shared" si="137"/>
        <v>#VALUE!</v>
      </c>
      <c r="K70" s="188" t="e">
        <f t="shared" si="128"/>
        <v>#VALUE!</v>
      </c>
      <c r="L70" s="169" t="s">
        <v>429</v>
      </c>
      <c r="M70" s="187" t="e">
        <f t="shared" si="138"/>
        <v>#VALUE!</v>
      </c>
      <c r="N70" s="188" t="e">
        <f t="shared" si="130"/>
        <v>#VALUE!</v>
      </c>
      <c r="O70" s="169" t="s">
        <v>429</v>
      </c>
      <c r="P70" s="187" t="e">
        <f t="shared" si="139"/>
        <v>#VALUE!</v>
      </c>
      <c r="Q70" s="188" t="e">
        <f t="shared" si="132"/>
        <v>#VALUE!</v>
      </c>
      <c r="R70" s="169" t="s">
        <v>429</v>
      </c>
      <c r="S70" s="187" t="e">
        <f t="shared" si="140"/>
        <v>#VALUE!</v>
      </c>
      <c r="T70" s="188" t="e">
        <f t="shared" si="134"/>
        <v>#VALUE!</v>
      </c>
      <c r="U70" s="187" t="e">
        <f t="shared" si="122"/>
        <v>#VALUE!</v>
      </c>
    </row>
    <row r="71" spans="1:21">
      <c r="A71" s="169">
        <f>VLOOKUP(B71,Misc_inputs!$A$3:$B$33,2,0)</f>
        <v>0</v>
      </c>
      <c r="B71" s="168">
        <v>2029</v>
      </c>
      <c r="C71" s="169" t="s">
        <v>429</v>
      </c>
      <c r="D71" s="187" t="e">
        <f t="shared" si="135"/>
        <v>#VALUE!</v>
      </c>
      <c r="E71" s="188" t="e">
        <f t="shared" si="124"/>
        <v>#VALUE!</v>
      </c>
      <c r="F71" s="169" t="s">
        <v>429</v>
      </c>
      <c r="G71" s="187" t="e">
        <f t="shared" si="136"/>
        <v>#VALUE!</v>
      </c>
      <c r="H71" s="188" t="e">
        <f t="shared" si="126"/>
        <v>#VALUE!</v>
      </c>
      <c r="I71" s="169" t="s">
        <v>429</v>
      </c>
      <c r="J71" s="187" t="e">
        <f t="shared" si="137"/>
        <v>#VALUE!</v>
      </c>
      <c r="K71" s="188" t="e">
        <f t="shared" si="128"/>
        <v>#VALUE!</v>
      </c>
      <c r="L71" s="169" t="s">
        <v>429</v>
      </c>
      <c r="M71" s="187" t="e">
        <f t="shared" si="138"/>
        <v>#VALUE!</v>
      </c>
      <c r="N71" s="188" t="e">
        <f t="shared" si="130"/>
        <v>#VALUE!</v>
      </c>
      <c r="O71" s="169" t="s">
        <v>429</v>
      </c>
      <c r="P71" s="187" t="e">
        <f t="shared" si="139"/>
        <v>#VALUE!</v>
      </c>
      <c r="Q71" s="188" t="e">
        <f t="shared" si="132"/>
        <v>#VALUE!</v>
      </c>
      <c r="R71" s="169" t="s">
        <v>429</v>
      </c>
      <c r="S71" s="187" t="e">
        <f t="shared" si="140"/>
        <v>#VALUE!</v>
      </c>
      <c r="T71" s="188" t="e">
        <f t="shared" si="134"/>
        <v>#VALUE!</v>
      </c>
      <c r="U71" s="187" t="e">
        <f t="shared" si="122"/>
        <v>#VALUE!</v>
      </c>
    </row>
    <row r="72" spans="1:21">
      <c r="A72" s="169">
        <f>VLOOKUP(B72,Misc_inputs!$A$3:$B$33,2,0)</f>
        <v>0</v>
      </c>
      <c r="B72" s="168">
        <v>2030</v>
      </c>
      <c r="C72" s="169" t="s">
        <v>429</v>
      </c>
      <c r="D72" s="187" t="e">
        <f t="shared" si="135"/>
        <v>#VALUE!</v>
      </c>
      <c r="E72" s="188" t="e">
        <f t="shared" si="124"/>
        <v>#VALUE!</v>
      </c>
      <c r="F72" s="169" t="s">
        <v>429</v>
      </c>
      <c r="G72" s="187" t="e">
        <f t="shared" si="136"/>
        <v>#VALUE!</v>
      </c>
      <c r="H72" s="188" t="e">
        <f t="shared" si="126"/>
        <v>#VALUE!</v>
      </c>
      <c r="I72" s="169" t="s">
        <v>429</v>
      </c>
      <c r="J72" s="187" t="e">
        <f t="shared" si="137"/>
        <v>#VALUE!</v>
      </c>
      <c r="K72" s="188" t="e">
        <f t="shared" si="128"/>
        <v>#VALUE!</v>
      </c>
      <c r="L72" s="169" t="s">
        <v>429</v>
      </c>
      <c r="M72" s="187" t="e">
        <f t="shared" si="138"/>
        <v>#VALUE!</v>
      </c>
      <c r="N72" s="188" t="e">
        <f t="shared" si="130"/>
        <v>#VALUE!</v>
      </c>
      <c r="O72" s="169" t="s">
        <v>429</v>
      </c>
      <c r="P72" s="187" t="e">
        <f t="shared" si="139"/>
        <v>#VALUE!</v>
      </c>
      <c r="Q72" s="188" t="e">
        <f t="shared" si="132"/>
        <v>#VALUE!</v>
      </c>
      <c r="R72" s="169" t="s">
        <v>429</v>
      </c>
      <c r="S72" s="187" t="e">
        <f t="shared" si="140"/>
        <v>#VALUE!</v>
      </c>
      <c r="T72" s="188" t="e">
        <f t="shared" si="134"/>
        <v>#VALUE!</v>
      </c>
      <c r="U72" s="187" t="e">
        <f t="shared" si="122"/>
        <v>#VALUE!</v>
      </c>
    </row>
    <row r="77" spans="1:21" s="222" customFormat="1">
      <c r="A77" s="222" t="s">
        <v>697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dimension ref="A1:G16"/>
  <sheetViews>
    <sheetView workbookViewId="0"/>
  </sheetViews>
  <sheetFormatPr defaultColWidth="10.921875" defaultRowHeight="15.5"/>
  <cols>
    <col min="1" max="3" width="10.921875" style="114"/>
    <col min="4" max="4" width="21.921875" style="114" customWidth="1"/>
    <col min="5" max="5" width="14.61328125" style="114" customWidth="1"/>
    <col min="6" max="6" width="14.921875" style="114" customWidth="1"/>
    <col min="7" max="16384" width="10.921875" style="114"/>
  </cols>
  <sheetData>
    <row r="1" spans="1:7">
      <c r="A1" s="176" t="s">
        <v>35</v>
      </c>
      <c r="B1" s="195" t="s">
        <v>175</v>
      </c>
      <c r="C1" s="195" t="s">
        <v>179</v>
      </c>
      <c r="D1" s="195" t="s">
        <v>259</v>
      </c>
      <c r="E1" s="195" t="s">
        <v>249</v>
      </c>
      <c r="F1" s="195" t="s">
        <v>254</v>
      </c>
      <c r="G1" s="196" t="s">
        <v>582</v>
      </c>
    </row>
    <row r="2" spans="1:7">
      <c r="A2" s="176" t="s">
        <v>22</v>
      </c>
      <c r="B2" s="195" t="s">
        <v>176</v>
      </c>
      <c r="C2" s="195" t="s">
        <v>178</v>
      </c>
      <c r="D2" s="195" t="s">
        <v>260</v>
      </c>
      <c r="E2" s="195" t="s">
        <v>250</v>
      </c>
      <c r="F2" s="195" t="s">
        <v>255</v>
      </c>
      <c r="G2" s="196" t="s">
        <v>583</v>
      </c>
    </row>
    <row r="3" spans="1:7">
      <c r="A3" s="176" t="s">
        <v>24</v>
      </c>
      <c r="B3" s="195" t="s">
        <v>177</v>
      </c>
      <c r="C3" s="195" t="s">
        <v>177</v>
      </c>
      <c r="D3" s="195" t="s">
        <v>261</v>
      </c>
      <c r="E3" s="195" t="s">
        <v>251</v>
      </c>
      <c r="F3" s="195" t="s">
        <v>256</v>
      </c>
      <c r="G3" s="196" t="s">
        <v>584</v>
      </c>
    </row>
    <row r="4" spans="1:7">
      <c r="A4" s="176"/>
      <c r="B4" s="176" t="s">
        <v>178</v>
      </c>
      <c r="C4" s="195" t="s">
        <v>244</v>
      </c>
      <c r="D4" s="195" t="s">
        <v>262</v>
      </c>
      <c r="E4" s="195" t="s">
        <v>252</v>
      </c>
      <c r="F4" s="195" t="s">
        <v>257</v>
      </c>
      <c r="G4" s="196" t="s">
        <v>587</v>
      </c>
    </row>
    <row r="5" spans="1:7">
      <c r="A5" s="176"/>
      <c r="B5" s="176" t="s">
        <v>179</v>
      </c>
      <c r="C5" s="195" t="s">
        <v>245</v>
      </c>
      <c r="D5" s="195" t="s">
        <v>263</v>
      </c>
      <c r="E5" s="195" t="s">
        <v>253</v>
      </c>
      <c r="F5" s="195" t="s">
        <v>258</v>
      </c>
      <c r="G5" s="196" t="s">
        <v>588</v>
      </c>
    </row>
    <row r="6" spans="1:7">
      <c r="G6" s="196" t="s">
        <v>589</v>
      </c>
    </row>
    <row r="7" spans="1:7">
      <c r="G7" s="196" t="s">
        <v>585</v>
      </c>
    </row>
    <row r="8" spans="1:7">
      <c r="G8" s="196" t="s">
        <v>586</v>
      </c>
    </row>
    <row r="9" spans="1:7">
      <c r="G9" s="196"/>
    </row>
    <row r="10" spans="1:7">
      <c r="G10" s="196"/>
    </row>
    <row r="11" spans="1:7">
      <c r="G11" s="196"/>
    </row>
    <row r="16" spans="1:7" s="222" customFormat="1">
      <c r="A16" s="222" t="s">
        <v>697</v>
      </c>
    </row>
  </sheetData>
  <phoneticPr fontId="41" type="noConversion"/>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30E36-660B-4852-A95F-A48A7922887E}">
  <sheetPr codeName="Sheet31">
    <tabColor theme="1"/>
  </sheetPr>
  <dimension ref="A1:J55"/>
  <sheetViews>
    <sheetView showGridLines="0" showRowColHeaders="0" topLeftCell="A25" workbookViewId="0">
      <selection activeCell="F56" sqref="F56"/>
    </sheetView>
  </sheetViews>
  <sheetFormatPr defaultColWidth="8.69140625" defaultRowHeight="15.5"/>
  <cols>
    <col min="1" max="1" width="13.15234375" style="72" customWidth="1"/>
    <col min="2" max="2" width="10.84375" style="72" customWidth="1"/>
    <col min="3" max="3" width="24.69140625" style="72" bestFit="1" customWidth="1"/>
    <col min="4" max="4" width="39.07421875" style="72" bestFit="1" customWidth="1"/>
    <col min="5" max="5" width="15.69140625" style="72" customWidth="1"/>
    <col min="6" max="6" width="13.921875" style="72" customWidth="1"/>
    <col min="7" max="7" width="13.53515625" style="72" customWidth="1"/>
    <col min="8" max="8" width="19.07421875" style="72" customWidth="1"/>
    <col min="9" max="9" width="32.23046875" style="72" customWidth="1"/>
    <col min="10" max="16384" width="8.69140625" style="72"/>
  </cols>
  <sheetData>
    <row r="1" spans="1:10" ht="20.5">
      <c r="A1" s="71" t="s">
        <v>0</v>
      </c>
      <c r="B1" s="760" t="s">
        <v>638</v>
      </c>
    </row>
    <row r="2" spans="1:10" ht="23">
      <c r="A2" s="682" t="str">
        <f>Title</f>
        <v>Economic evaluation of Restorative Justice</v>
      </c>
      <c r="B2" s="683"/>
      <c r="C2" s="683"/>
      <c r="D2" s="683"/>
    </row>
    <row r="3" spans="1:10" ht="16" thickBot="1">
      <c r="A3" s="758" t="s">
        <v>739</v>
      </c>
      <c r="B3" s="759"/>
      <c r="C3" s="759"/>
      <c r="D3" s="759"/>
      <c r="E3" s="759"/>
      <c r="F3" s="759"/>
      <c r="G3" s="759"/>
      <c r="H3" s="759"/>
      <c r="I3" s="759"/>
    </row>
    <row r="4" spans="1:10" ht="16" thickTop="1">
      <c r="A4" s="73" t="s">
        <v>789</v>
      </c>
    </row>
    <row r="5" spans="1:10">
      <c r="D5" s="74"/>
      <c r="E5" s="75" t="s">
        <v>782</v>
      </c>
      <c r="F5" s="75" t="s">
        <v>781</v>
      </c>
      <c r="G5" s="75" t="s">
        <v>780</v>
      </c>
      <c r="H5" s="75" t="s">
        <v>596</v>
      </c>
      <c r="I5" s="75" t="s">
        <v>639</v>
      </c>
    </row>
    <row r="6" spans="1:10">
      <c r="D6" s="74" t="s">
        <v>790</v>
      </c>
      <c r="E6" s="680">
        <f>IF(F6="",G6,F6)</f>
        <v>1</v>
      </c>
      <c r="F6" s="1055"/>
      <c r="G6" s="77">
        <v>1</v>
      </c>
      <c r="H6" s="77" t="s">
        <v>736</v>
      </c>
      <c r="I6" s="77"/>
    </row>
    <row r="9" spans="1:10">
      <c r="A9" s="73" t="s">
        <v>753</v>
      </c>
    </row>
    <row r="10" spans="1:10">
      <c r="A10" s="73"/>
      <c r="C10" s="686" t="s">
        <v>810</v>
      </c>
      <c r="D10" s="686" t="s">
        <v>811</v>
      </c>
      <c r="E10" s="75" t="s">
        <v>782</v>
      </c>
      <c r="F10" s="75" t="s">
        <v>781</v>
      </c>
      <c r="G10" s="75" t="s">
        <v>780</v>
      </c>
      <c r="H10" s="75" t="s">
        <v>596</v>
      </c>
      <c r="I10" s="75" t="s">
        <v>639</v>
      </c>
    </row>
    <row r="11" spans="1:10">
      <c r="C11" s="685" t="s">
        <v>628</v>
      </c>
      <c r="D11" s="685" t="s">
        <v>290</v>
      </c>
      <c r="E11" s="689">
        <f t="shared" ref="E11:E29" si="0">IF(F11="",G11,F11)</f>
        <v>2.9389521015641253E-4</v>
      </c>
      <c r="F11" s="1101"/>
      <c r="G11" s="688">
        <f>Reoffending_inputs!J373</f>
        <v>2.9389521015641253E-4</v>
      </c>
      <c r="H11" s="77" t="s">
        <v>868</v>
      </c>
      <c r="I11" s="77" t="s">
        <v>815</v>
      </c>
      <c r="J11" s="1063" t="s">
        <v>886</v>
      </c>
    </row>
    <row r="12" spans="1:10">
      <c r="C12" s="685"/>
      <c r="D12" s="685" t="s">
        <v>649</v>
      </c>
      <c r="E12" s="689">
        <f t="shared" si="0"/>
        <v>0.22109169493871875</v>
      </c>
      <c r="F12" s="1101"/>
      <c r="G12" s="688">
        <f>Reoffending_inputs!J374</f>
        <v>0.22109169493871875</v>
      </c>
      <c r="H12" s="77" t="s">
        <v>868</v>
      </c>
      <c r="I12" s="77" t="s">
        <v>675</v>
      </c>
    </row>
    <row r="13" spans="1:10">
      <c r="C13" s="685"/>
      <c r="D13" s="685" t="s">
        <v>650</v>
      </c>
      <c r="E13" s="689">
        <f t="shared" si="0"/>
        <v>0.28594457131323381</v>
      </c>
      <c r="F13" s="1101"/>
      <c r="G13" s="688">
        <f>Reoffending_inputs!J375</f>
        <v>0.28594457131323381</v>
      </c>
      <c r="H13" s="77" t="s">
        <v>868</v>
      </c>
      <c r="I13" s="77" t="s">
        <v>675</v>
      </c>
    </row>
    <row r="14" spans="1:10">
      <c r="C14" s="692" t="s">
        <v>617</v>
      </c>
      <c r="D14" s="692" t="s">
        <v>544</v>
      </c>
      <c r="E14" s="693">
        <f t="shared" si="0"/>
        <v>7.4741747139604377E-3</v>
      </c>
      <c r="F14" s="1101"/>
      <c r="G14" s="694">
        <f>Reoffending_inputs!J376</f>
        <v>7.4741747139604377E-3</v>
      </c>
      <c r="H14" s="77" t="s">
        <v>868</v>
      </c>
      <c r="I14" s="77" t="s">
        <v>675</v>
      </c>
    </row>
    <row r="15" spans="1:10">
      <c r="C15" s="692"/>
      <c r="D15" s="692" t="s">
        <v>651</v>
      </c>
      <c r="E15" s="693">
        <f t="shared" si="0"/>
        <v>1.4445743114849847E-2</v>
      </c>
      <c r="F15" s="1101"/>
      <c r="G15" s="694">
        <f>Reoffending_inputs!J377</f>
        <v>1.4445743114849847E-2</v>
      </c>
      <c r="H15" s="77" t="s">
        <v>868</v>
      </c>
      <c r="I15" s="77" t="s">
        <v>675</v>
      </c>
    </row>
    <row r="16" spans="1:10">
      <c r="C16" s="685" t="s">
        <v>292</v>
      </c>
      <c r="D16" s="685" t="s">
        <v>292</v>
      </c>
      <c r="E16" s="689">
        <f t="shared" si="0"/>
        <v>1.936556533542242E-2</v>
      </c>
      <c r="F16" s="1101"/>
      <c r="G16" s="688">
        <f>Reoffending_inputs!J378</f>
        <v>1.936556533542242E-2</v>
      </c>
      <c r="H16" s="77" t="s">
        <v>868</v>
      </c>
      <c r="I16" s="77" t="s">
        <v>675</v>
      </c>
    </row>
    <row r="17" spans="3:9">
      <c r="C17" s="685"/>
      <c r="D17" s="685" t="s">
        <v>658</v>
      </c>
      <c r="E17" s="689">
        <f t="shared" si="0"/>
        <v>0</v>
      </c>
      <c r="F17" s="1101"/>
      <c r="G17" s="688">
        <f>Reoffending_inputs!J379</f>
        <v>0</v>
      </c>
      <c r="H17" s="77" t="s">
        <v>868</v>
      </c>
      <c r="I17" s="77" t="s">
        <v>675</v>
      </c>
    </row>
    <row r="18" spans="3:9">
      <c r="C18" s="692" t="s">
        <v>293</v>
      </c>
      <c r="D18" s="692" t="s">
        <v>652</v>
      </c>
      <c r="E18" s="693">
        <f t="shared" si="0"/>
        <v>6.9058305926001137E-2</v>
      </c>
      <c r="F18" s="1101"/>
      <c r="G18" s="694">
        <f>Reoffending_inputs!J380</f>
        <v>6.9058305926001137E-2</v>
      </c>
      <c r="H18" s="77" t="s">
        <v>868</v>
      </c>
      <c r="I18" s="77" t="s">
        <v>675</v>
      </c>
    </row>
    <row r="19" spans="3:9">
      <c r="C19" s="692"/>
      <c r="D19" s="692" t="s">
        <v>659</v>
      </c>
      <c r="E19" s="693">
        <f t="shared" si="0"/>
        <v>0</v>
      </c>
      <c r="F19" s="1101"/>
      <c r="G19" s="694">
        <f>Reoffending_inputs!J381</f>
        <v>0</v>
      </c>
      <c r="H19" s="77" t="s">
        <v>868</v>
      </c>
      <c r="I19" s="77" t="s">
        <v>675</v>
      </c>
    </row>
    <row r="20" spans="3:9">
      <c r="C20" s="692"/>
      <c r="D20" s="692" t="s">
        <v>660</v>
      </c>
      <c r="E20" s="693">
        <f t="shared" si="0"/>
        <v>0</v>
      </c>
      <c r="F20" s="1101"/>
      <c r="G20" s="694">
        <f>Reoffending_inputs!J382</f>
        <v>0</v>
      </c>
      <c r="H20" s="77" t="s">
        <v>868</v>
      </c>
      <c r="I20" s="77" t="s">
        <v>675</v>
      </c>
    </row>
    <row r="21" spans="3:9">
      <c r="C21" s="692"/>
      <c r="D21" s="692" t="s">
        <v>653</v>
      </c>
      <c r="E21" s="693">
        <f t="shared" si="0"/>
        <v>2.9010811403613567E-2</v>
      </c>
      <c r="F21" s="1101"/>
      <c r="G21" s="694">
        <f>Reoffending_inputs!J383</f>
        <v>2.9010811403613567E-2</v>
      </c>
      <c r="H21" s="77" t="s">
        <v>868</v>
      </c>
      <c r="I21" s="77" t="s">
        <v>675</v>
      </c>
    </row>
    <row r="22" spans="3:9">
      <c r="C22" s="692"/>
      <c r="D22" s="692" t="s">
        <v>694</v>
      </c>
      <c r="E22" s="693">
        <f t="shared" si="0"/>
        <v>0</v>
      </c>
      <c r="F22" s="1101"/>
      <c r="G22" s="694">
        <f>Reoffending_inputs!J384</f>
        <v>0</v>
      </c>
      <c r="H22" s="77" t="s">
        <v>868</v>
      </c>
      <c r="I22" s="77" t="s">
        <v>675</v>
      </c>
    </row>
    <row r="23" spans="3:9">
      <c r="C23" s="692"/>
      <c r="D23" s="692" t="s">
        <v>654</v>
      </c>
      <c r="E23" s="693">
        <f t="shared" si="0"/>
        <v>7.9551502557111034E-2</v>
      </c>
      <c r="F23" s="1101"/>
      <c r="G23" s="694">
        <f>Reoffending_inputs!J385</f>
        <v>7.9551502557111034E-2</v>
      </c>
      <c r="H23" s="77" t="s">
        <v>868</v>
      </c>
      <c r="I23" s="77" t="s">
        <v>675</v>
      </c>
    </row>
    <row r="24" spans="3:9">
      <c r="C24" s="692"/>
      <c r="D24" s="692" t="s">
        <v>668</v>
      </c>
      <c r="E24" s="693">
        <f t="shared" si="0"/>
        <v>0</v>
      </c>
      <c r="F24" s="1101"/>
      <c r="G24" s="694">
        <f>Reoffending_inputs!J386</f>
        <v>0</v>
      </c>
      <c r="H24" s="77" t="s">
        <v>868</v>
      </c>
      <c r="I24" s="77" t="s">
        <v>675</v>
      </c>
    </row>
    <row r="25" spans="3:9">
      <c r="C25" s="692"/>
      <c r="D25" s="692" t="s">
        <v>655</v>
      </c>
      <c r="E25" s="693">
        <f t="shared" si="0"/>
        <v>2.7621901490694146E-2</v>
      </c>
      <c r="F25" s="1101"/>
      <c r="G25" s="694">
        <f>Reoffending_inputs!J387</f>
        <v>2.7621901490694146E-2</v>
      </c>
      <c r="H25" s="77" t="s">
        <v>868</v>
      </c>
      <c r="I25" s="77" t="s">
        <v>675</v>
      </c>
    </row>
    <row r="26" spans="3:9">
      <c r="C26" s="685" t="s">
        <v>629</v>
      </c>
      <c r="D26" s="685" t="s">
        <v>656</v>
      </c>
      <c r="E26" s="689">
        <f t="shared" si="0"/>
        <v>1.0085550905143721E-2</v>
      </c>
      <c r="F26" s="1101"/>
      <c r="G26" s="688">
        <f>Reoffending_inputs!J388</f>
        <v>1.0085550905143721E-2</v>
      </c>
      <c r="H26" s="77" t="s">
        <v>868</v>
      </c>
      <c r="I26" s="77" t="s">
        <v>675</v>
      </c>
    </row>
    <row r="27" spans="3:9">
      <c r="C27" s="685"/>
      <c r="D27" s="685" t="s">
        <v>657</v>
      </c>
      <c r="E27" s="689">
        <f t="shared" si="0"/>
        <v>0.23605628309109464</v>
      </c>
      <c r="F27" s="1101"/>
      <c r="G27" s="688">
        <f>Reoffending_inputs!J389</f>
        <v>0.23605628309109464</v>
      </c>
      <c r="H27" s="77" t="s">
        <v>868</v>
      </c>
      <c r="I27" s="77" t="s">
        <v>675</v>
      </c>
    </row>
    <row r="28" spans="3:9">
      <c r="C28" s="685"/>
      <c r="D28" s="685" t="s">
        <v>669</v>
      </c>
      <c r="E28" s="689">
        <f t="shared" si="0"/>
        <v>0</v>
      </c>
      <c r="F28" s="1101"/>
      <c r="G28" s="688">
        <f>Reoffending_inputs!J390</f>
        <v>0</v>
      </c>
      <c r="H28" s="77" t="s">
        <v>868</v>
      </c>
      <c r="I28" s="77" t="s">
        <v>675</v>
      </c>
    </row>
    <row r="29" spans="3:9">
      <c r="C29" s="685"/>
      <c r="D29" s="685" t="s">
        <v>670</v>
      </c>
      <c r="E29" s="689">
        <f t="shared" si="0"/>
        <v>0</v>
      </c>
      <c r="F29" s="1101"/>
      <c r="G29" s="688">
        <f>Reoffending_inputs!J391</f>
        <v>0</v>
      </c>
      <c r="H29" s="77" t="s">
        <v>868</v>
      </c>
      <c r="I29" s="77" t="s">
        <v>675</v>
      </c>
    </row>
    <row r="30" spans="3:9">
      <c r="C30" s="685" t="s">
        <v>786</v>
      </c>
      <c r="D30" s="685"/>
      <c r="E30" s="689">
        <f>SUM(E11:E29)</f>
        <v>0.99999999999999989</v>
      </c>
      <c r="F30" s="699"/>
      <c r="G30" s="688"/>
      <c r="H30" s="77" t="s">
        <v>812</v>
      </c>
      <c r="I30" s="77"/>
    </row>
    <row r="32" spans="3:9">
      <c r="E32" s="78"/>
    </row>
    <row r="33" spans="1:9" ht="16" thickBot="1">
      <c r="A33" s="758" t="s">
        <v>858</v>
      </c>
      <c r="B33" s="759"/>
      <c r="C33" s="759"/>
      <c r="D33" s="759"/>
      <c r="E33" s="759"/>
      <c r="F33" s="759"/>
      <c r="G33" s="759"/>
      <c r="H33" s="759"/>
      <c r="I33" s="759"/>
    </row>
    <row r="34" spans="1:9" ht="16.75" customHeight="1" thickTop="1">
      <c r="E34" s="78"/>
    </row>
    <row r="35" spans="1:9" ht="16.75" customHeight="1">
      <c r="A35" s="73" t="s">
        <v>859</v>
      </c>
      <c r="E35" s="78"/>
    </row>
    <row r="36" spans="1:9" ht="16.75" customHeight="1">
      <c r="D36" s="74"/>
      <c r="E36" s="75" t="s">
        <v>782</v>
      </c>
      <c r="F36" s="75" t="s">
        <v>781</v>
      </c>
      <c r="G36" s="75" t="s">
        <v>780</v>
      </c>
      <c r="H36" s="75" t="s">
        <v>596</v>
      </c>
      <c r="I36" s="75" t="s">
        <v>639</v>
      </c>
    </row>
    <row r="37" spans="1:9" ht="16.75" customHeight="1">
      <c r="D37" s="74" t="s">
        <v>861</v>
      </c>
      <c r="E37" s="76">
        <f>IF(F37="",G37,F37)</f>
        <v>0.41</v>
      </c>
      <c r="F37" s="761"/>
      <c r="G37" s="76">
        <f>RJ_pathway!F4</f>
        <v>0.41</v>
      </c>
      <c r="H37" s="77" t="s">
        <v>863</v>
      </c>
      <c r="I37" s="77"/>
    </row>
    <row r="38" spans="1:9" ht="16.75" customHeight="1">
      <c r="D38" s="74" t="s">
        <v>862</v>
      </c>
      <c r="E38" s="76">
        <f t="shared" ref="E38:E39" si="1">IF(F38="",G38,F38)</f>
        <v>0.66</v>
      </c>
      <c r="F38" s="761"/>
      <c r="G38" s="76">
        <f>RJ_pathway!F5</f>
        <v>0.66</v>
      </c>
      <c r="H38" s="77" t="s">
        <v>863</v>
      </c>
      <c r="I38" s="77"/>
    </row>
    <row r="39" spans="1:9" ht="16.75" customHeight="1">
      <c r="D39" s="74" t="s">
        <v>860</v>
      </c>
      <c r="E39" s="76">
        <f t="shared" si="1"/>
        <v>0.31</v>
      </c>
      <c r="F39" s="761"/>
      <c r="G39" s="76">
        <f>RJ_pathway!F6</f>
        <v>0.31</v>
      </c>
      <c r="H39" s="77" t="s">
        <v>863</v>
      </c>
      <c r="I39" s="77"/>
    </row>
    <row r="40" spans="1:9">
      <c r="E40" s="78"/>
    </row>
    <row r="41" spans="1:9" ht="16" thickBot="1">
      <c r="A41" s="758" t="s">
        <v>682</v>
      </c>
      <c r="B41" s="759"/>
      <c r="C41" s="759"/>
      <c r="D41" s="759"/>
      <c r="E41" s="759"/>
      <c r="F41" s="759"/>
      <c r="G41" s="759"/>
      <c r="H41" s="759"/>
      <c r="I41" s="759"/>
    </row>
    <row r="42" spans="1:9" ht="16" thickTop="1">
      <c r="A42" s="73" t="s">
        <v>791</v>
      </c>
    </row>
    <row r="43" spans="1:9">
      <c r="D43" s="74"/>
      <c r="E43" s="75" t="s">
        <v>782</v>
      </c>
      <c r="F43" s="75" t="s">
        <v>781</v>
      </c>
      <c r="G43" s="75" t="s">
        <v>780</v>
      </c>
      <c r="H43" s="75" t="s">
        <v>596</v>
      </c>
      <c r="I43" s="75" t="s">
        <v>639</v>
      </c>
    </row>
    <row r="44" spans="1:9">
      <c r="D44" s="74" t="s">
        <v>809</v>
      </c>
      <c r="E44" s="76">
        <f>IF(F44="",G44,F44)</f>
        <v>0</v>
      </c>
      <c r="F44" s="761"/>
      <c r="G44" s="76">
        <v>0</v>
      </c>
      <c r="H44" s="77" t="s">
        <v>736</v>
      </c>
      <c r="I44" s="77"/>
    </row>
    <row r="46" spans="1:9">
      <c r="A46" s="73" t="s">
        <v>754</v>
      </c>
    </row>
    <row r="47" spans="1:9">
      <c r="D47" s="74"/>
      <c r="E47" s="75" t="s">
        <v>782</v>
      </c>
      <c r="F47" s="75" t="s">
        <v>781</v>
      </c>
      <c r="G47" s="75" t="s">
        <v>780</v>
      </c>
      <c r="H47" s="75" t="s">
        <v>596</v>
      </c>
      <c r="I47" s="75" t="s">
        <v>639</v>
      </c>
    </row>
    <row r="48" spans="1:9">
      <c r="D48" s="74" t="s">
        <v>906</v>
      </c>
      <c r="E48" s="76">
        <f>IF(F48="",G48,F48)</f>
        <v>0</v>
      </c>
      <c r="F48" s="761"/>
      <c r="G48" s="76">
        <f>Reoffending_inputs!H362</f>
        <v>0</v>
      </c>
      <c r="H48" s="77" t="s">
        <v>736</v>
      </c>
      <c r="I48" s="77" t="s">
        <v>899</v>
      </c>
    </row>
    <row r="50" spans="1:9">
      <c r="A50" s="73" t="s">
        <v>843</v>
      </c>
    </row>
    <row r="51" spans="1:9">
      <c r="D51" s="74"/>
      <c r="E51" s="75" t="s">
        <v>782</v>
      </c>
      <c r="F51" s="75" t="s">
        <v>781</v>
      </c>
      <c r="G51" s="75" t="s">
        <v>780</v>
      </c>
      <c r="H51" s="75" t="s">
        <v>596</v>
      </c>
      <c r="I51" s="75" t="s">
        <v>639</v>
      </c>
    </row>
    <row r="52" spans="1:9">
      <c r="D52" s="74" t="s">
        <v>844</v>
      </c>
      <c r="E52" s="680">
        <f>MIN(IF(F52="",G52,F52),4)</f>
        <v>1</v>
      </c>
      <c r="F52" s="1070"/>
      <c r="G52" s="77">
        <v>1</v>
      </c>
      <c r="H52" s="77" t="s">
        <v>845</v>
      </c>
      <c r="I52" s="77" t="s">
        <v>846</v>
      </c>
    </row>
    <row r="55" spans="1:9">
      <c r="A55" s="700"/>
      <c r="B55" s="700"/>
      <c r="C55" s="700"/>
      <c r="D55" s="700"/>
      <c r="E55" s="700"/>
      <c r="F55" s="700"/>
      <c r="G55" s="700"/>
      <c r="H55" s="700"/>
      <c r="I55" s="700"/>
    </row>
  </sheetData>
  <conditionalFormatting sqref="E30">
    <cfRule type="cellIs" dxfId="23" priority="1" operator="notEqual">
      <formula>1</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tabColor rgb="FFE6E6E6"/>
    <pageSetUpPr fitToPage="1"/>
  </sheetPr>
  <dimension ref="A1:R20"/>
  <sheetViews>
    <sheetView workbookViewId="0"/>
  </sheetViews>
  <sheetFormatPr defaultColWidth="8.69140625" defaultRowHeight="12.5"/>
  <cols>
    <col min="1" max="1" width="21.69140625" style="1" customWidth="1"/>
    <col min="2" max="2" width="9.69140625" style="1" customWidth="1"/>
    <col min="3" max="3" width="16.15234375" style="1" customWidth="1"/>
    <col min="4" max="4" width="13.61328125" style="1" customWidth="1"/>
    <col min="5" max="6" width="13.4609375" style="1" customWidth="1"/>
    <col min="7" max="7" width="11.921875" style="1" customWidth="1"/>
    <col min="8" max="16384" width="8.69140625" style="1"/>
  </cols>
  <sheetData>
    <row r="1" spans="1:18" ht="21" thickBot="1">
      <c r="A1" s="789" t="s">
        <v>479</v>
      </c>
      <c r="B1" s="790"/>
      <c r="C1" s="790"/>
      <c r="D1" s="790"/>
      <c r="E1" s="790"/>
      <c r="F1" s="790"/>
      <c r="G1" s="790"/>
    </row>
    <row r="2" spans="1:18" hidden="1"/>
    <row r="3" spans="1:18" hidden="1"/>
    <row r="4" spans="1:18" ht="26">
      <c r="A4" s="58" t="s">
        <v>83</v>
      </c>
      <c r="B4" s="35" t="s">
        <v>84</v>
      </c>
      <c r="C4" s="35" t="s">
        <v>85</v>
      </c>
      <c r="D4" s="35" t="s">
        <v>86</v>
      </c>
      <c r="E4" s="35" t="s">
        <v>87</v>
      </c>
      <c r="F4" s="35"/>
      <c r="G4" s="35" t="s">
        <v>3</v>
      </c>
      <c r="K4" s="46" t="s">
        <v>276</v>
      </c>
      <c r="L4" s="33"/>
      <c r="M4" s="33"/>
      <c r="N4" s="33"/>
      <c r="O4" s="33"/>
      <c r="P4" s="33"/>
      <c r="Q4" s="33"/>
      <c r="R4" s="34"/>
    </row>
    <row r="5" spans="1:18" ht="69.5" customHeight="1">
      <c r="A5" s="36">
        <v>1</v>
      </c>
      <c r="B5" s="37"/>
      <c r="C5" s="36" t="s">
        <v>88</v>
      </c>
      <c r="D5" s="36" t="s">
        <v>89</v>
      </c>
      <c r="E5" s="38" t="s">
        <v>90</v>
      </c>
      <c r="F5" s="38"/>
      <c r="G5" s="39" t="s">
        <v>91</v>
      </c>
      <c r="K5" s="1136" t="s">
        <v>277</v>
      </c>
      <c r="L5" s="1137"/>
      <c r="M5" s="1137"/>
      <c r="N5" s="1137"/>
      <c r="O5" s="1137"/>
      <c r="P5" s="1137"/>
      <c r="Q5" s="1137"/>
      <c r="R5" s="1138"/>
    </row>
    <row r="6" spans="1:18" ht="69.5" customHeight="1">
      <c r="A6" s="36">
        <v>2</v>
      </c>
      <c r="B6" s="40"/>
      <c r="C6" s="36" t="s">
        <v>92</v>
      </c>
      <c r="D6" s="36" t="s">
        <v>93</v>
      </c>
      <c r="E6" s="38" t="s">
        <v>94</v>
      </c>
      <c r="F6" s="38"/>
      <c r="G6" s="39" t="s">
        <v>95</v>
      </c>
      <c r="K6" s="1136" t="s">
        <v>595</v>
      </c>
      <c r="L6" s="1137"/>
      <c r="M6" s="1137"/>
      <c r="N6" s="1137"/>
      <c r="O6" s="1137"/>
      <c r="P6" s="1137"/>
      <c r="Q6" s="1137"/>
      <c r="R6" s="1138"/>
    </row>
    <row r="7" spans="1:18" ht="69.5" customHeight="1">
      <c r="A7" s="36">
        <v>3</v>
      </c>
      <c r="B7" s="41"/>
      <c r="C7" s="36" t="s">
        <v>96</v>
      </c>
      <c r="D7" s="36" t="s">
        <v>97</v>
      </c>
      <c r="E7" s="38" t="s">
        <v>98</v>
      </c>
      <c r="F7" s="38"/>
      <c r="G7" s="39" t="s">
        <v>99</v>
      </c>
      <c r="K7" s="1136"/>
      <c r="L7" s="1137"/>
      <c r="M7" s="1137"/>
      <c r="N7" s="1137"/>
      <c r="O7" s="1137"/>
      <c r="P7" s="1137"/>
      <c r="Q7" s="1137"/>
      <c r="R7" s="1138"/>
    </row>
    <row r="8" spans="1:18" ht="69.5" customHeight="1">
      <c r="A8" s="36">
        <v>4</v>
      </c>
      <c r="B8" s="42"/>
      <c r="C8" s="36" t="s">
        <v>100</v>
      </c>
      <c r="D8" s="36" t="s">
        <v>101</v>
      </c>
      <c r="E8" s="38" t="s">
        <v>102</v>
      </c>
      <c r="F8" s="38"/>
      <c r="G8" s="39" t="s">
        <v>103</v>
      </c>
      <c r="K8" s="1136"/>
      <c r="L8" s="1137"/>
      <c r="M8" s="1137"/>
      <c r="N8" s="1137"/>
      <c r="O8" s="1137"/>
      <c r="P8" s="1137"/>
      <c r="Q8" s="1137"/>
      <c r="R8" s="1138"/>
    </row>
    <row r="9" spans="1:18" ht="69.5" customHeight="1" thickBot="1">
      <c r="A9" s="36">
        <v>5</v>
      </c>
      <c r="B9" s="43"/>
      <c r="C9" s="36"/>
      <c r="D9" s="36" t="s">
        <v>104</v>
      </c>
      <c r="E9" s="38" t="s">
        <v>105</v>
      </c>
      <c r="F9" s="38"/>
      <c r="G9" s="39" t="s">
        <v>106</v>
      </c>
      <c r="K9" s="1139" t="s">
        <v>474</v>
      </c>
      <c r="L9" s="1140"/>
      <c r="M9" s="1140"/>
      <c r="N9" s="1140"/>
      <c r="O9" s="1140"/>
      <c r="P9" s="1140"/>
      <c r="Q9" s="1140"/>
      <c r="R9" s="1141"/>
    </row>
    <row r="10" spans="1:18" ht="69.5" customHeight="1" thickBot="1">
      <c r="A10" s="36">
        <v>6</v>
      </c>
      <c r="B10" s="44"/>
      <c r="C10" s="36" t="s">
        <v>107</v>
      </c>
      <c r="D10" s="36" t="s">
        <v>108</v>
      </c>
      <c r="E10" s="38" t="s">
        <v>109</v>
      </c>
      <c r="F10" s="38"/>
      <c r="G10" s="39" t="s">
        <v>110</v>
      </c>
      <c r="K10" s="1142" t="s">
        <v>594</v>
      </c>
      <c r="L10" s="1143"/>
      <c r="M10" s="1143"/>
      <c r="N10" s="1143"/>
      <c r="O10" s="1143"/>
      <c r="P10" s="1143"/>
      <c r="Q10" s="1143"/>
      <c r="R10" s="1144"/>
    </row>
    <row r="12" spans="1:18" ht="13">
      <c r="A12" s="45" t="s">
        <v>265</v>
      </c>
    </row>
    <row r="20" spans="1:1" s="222" customFormat="1" ht="15.5">
      <c r="A20" s="222" t="s">
        <v>697</v>
      </c>
    </row>
  </sheetData>
  <mergeCells count="4">
    <mergeCell ref="K5:R5"/>
    <mergeCell ref="K9:R9"/>
    <mergeCell ref="K6:R8"/>
    <mergeCell ref="K10:R10"/>
  </mergeCells>
  <phoneticPr fontId="41" type="noConversion"/>
  <pageMargins left="0" right="0" top="0" bottom="0" header="0.51181102362204722" footer="0.51181102362204722"/>
  <headerFooter alignWithMargins="0"/>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tabColor rgb="FFB2CCE5"/>
  </sheetPr>
  <dimension ref="A1:OA284"/>
  <sheetViews>
    <sheetView workbookViewId="0"/>
  </sheetViews>
  <sheetFormatPr defaultColWidth="10.921875" defaultRowHeight="15.5"/>
  <cols>
    <col min="1" max="1" width="50.921875" style="114" customWidth="1"/>
    <col min="2" max="2" width="11.23046875" style="114" bestFit="1" customWidth="1"/>
    <col min="3" max="6" width="10.921875" style="114" customWidth="1"/>
    <col min="7" max="16" width="10.921875" style="114" hidden="1" customWidth="1"/>
    <col min="17" max="26" width="10.69140625" style="114" hidden="1" customWidth="1"/>
    <col min="27" max="27" width="11" style="114" bestFit="1" customWidth="1"/>
    <col min="28" max="28" width="10.921875" style="114" customWidth="1"/>
    <col min="29" max="30" width="11.23046875" style="114" bestFit="1" customWidth="1"/>
    <col min="31" max="31" width="0" style="114" hidden="1" customWidth="1"/>
    <col min="32" max="35" width="10.921875" style="114" hidden="1" customWidth="1"/>
    <col min="36" max="16384" width="10.921875" style="114"/>
  </cols>
  <sheetData>
    <row r="1" spans="1:345" ht="20.5">
      <c r="A1" s="235" t="s">
        <v>0</v>
      </c>
      <c r="B1" s="760" t="s">
        <v>483</v>
      </c>
      <c r="C1" s="802"/>
      <c r="D1" s="802"/>
    </row>
    <row r="2" spans="1:345" ht="50.15" customHeight="1" thickBot="1">
      <c r="A2" s="326" t="str">
        <f>Title</f>
        <v>Economic evaluation of Restorative Justice</v>
      </c>
      <c r="B2" s="326"/>
    </row>
    <row r="3" spans="1:345" ht="28.65" hidden="1" customHeight="1" thickBot="1">
      <c r="A3" s="365"/>
      <c r="B3" s="176">
        <v>1</v>
      </c>
      <c r="C3" s="176">
        <v>2</v>
      </c>
      <c r="D3" s="176">
        <v>3</v>
      </c>
      <c r="E3" s="176">
        <v>4</v>
      </c>
      <c r="F3" s="176">
        <v>5</v>
      </c>
      <c r="G3" s="176">
        <v>6</v>
      </c>
      <c r="H3" s="176">
        <v>7</v>
      </c>
      <c r="I3" s="176">
        <v>8</v>
      </c>
      <c r="J3" s="176">
        <v>9</v>
      </c>
      <c r="K3" s="176">
        <v>10</v>
      </c>
      <c r="L3" s="176">
        <v>11</v>
      </c>
      <c r="M3" s="176">
        <v>12</v>
      </c>
      <c r="N3" s="176">
        <v>13</v>
      </c>
      <c r="O3" s="176">
        <v>14</v>
      </c>
      <c r="P3" s="176">
        <v>15</v>
      </c>
      <c r="Q3" s="176">
        <v>16</v>
      </c>
      <c r="R3" s="176">
        <v>17</v>
      </c>
      <c r="S3" s="176">
        <v>18</v>
      </c>
      <c r="T3" s="176">
        <v>19</v>
      </c>
      <c r="U3" s="176">
        <v>20</v>
      </c>
      <c r="V3" s="176">
        <v>21</v>
      </c>
      <c r="W3" s="176">
        <v>22</v>
      </c>
      <c r="X3" s="176">
        <v>23</v>
      </c>
      <c r="Y3" s="176">
        <v>24</v>
      </c>
      <c r="Z3" s="176">
        <v>25</v>
      </c>
    </row>
    <row r="4" spans="1:345" ht="50.15" customHeight="1" thickBot="1">
      <c r="A4" s="799"/>
      <c r="B4" s="799" t="str">
        <f>CONCATENATE("Costs Yr1"," ", "(",'Proposition Summary'!$B$76,")")</f>
        <v>Costs Yr1 (GBP (£))</v>
      </c>
      <c r="C4" s="800" t="str">
        <f>CONCATENATE("Costs Yr2"," ", "(",'Proposition Summary'!$B$76,")")</f>
        <v>Costs Yr2 (GBP (£))</v>
      </c>
      <c r="D4" s="801" t="str">
        <f>CONCATENATE("Costs Yr3"," ", "(",'Proposition Summary'!$B$76,")")</f>
        <v>Costs Yr3 (GBP (£))</v>
      </c>
      <c r="E4" s="801" t="str">
        <f>CONCATENATE("Costs Yr4"," ", "(",'Proposition Summary'!$B$76,")")</f>
        <v>Costs Yr4 (GBP (£))</v>
      </c>
      <c r="F4" s="801" t="str">
        <f>CONCATENATE("Costs Yr5"," ", "(",'Proposition Summary'!$B$76,")")</f>
        <v>Costs Yr5 (GBP (£))</v>
      </c>
      <c r="G4" s="337" t="str">
        <f>CONCATENATE("Costs Yr6"," ", "(",'Proposition Summary'!$B$76,")")</f>
        <v>Costs Yr6 (GBP (£))</v>
      </c>
      <c r="H4" s="337" t="str">
        <f>CONCATENATE("Costs Yr7"," ", "(",'Proposition Summary'!$B$76,")")</f>
        <v>Costs Yr7 (GBP (£))</v>
      </c>
      <c r="I4" s="337" t="str">
        <f>CONCATENATE("Costs Yr8"," ", "(",'Proposition Summary'!$B$76,")")</f>
        <v>Costs Yr8 (GBP (£))</v>
      </c>
      <c r="J4" s="337" t="str">
        <f>CONCATENATE("Costs Yr9"," ", "(",'Proposition Summary'!$B$76,")")</f>
        <v>Costs Yr9 (GBP (£))</v>
      </c>
      <c r="K4" s="337" t="str">
        <f>CONCATENATE("Costs Yr10"," ", "(",'Proposition Summary'!$B$76,")")</f>
        <v>Costs Yr10 (GBP (£))</v>
      </c>
      <c r="L4" s="337" t="str">
        <f>CONCATENATE("Costs Yr11"," ", "(",'Proposition Summary'!$B$76,")")</f>
        <v>Costs Yr11 (GBP (£))</v>
      </c>
      <c r="M4" s="337" t="str">
        <f>CONCATENATE("Costs Yr12"," ", "(",'Proposition Summary'!$B$76,")")</f>
        <v>Costs Yr12 (GBP (£))</v>
      </c>
      <c r="N4" s="337" t="str">
        <f>CONCATENATE("Costs Yr13"," ", "(",'Proposition Summary'!$B$76,")")</f>
        <v>Costs Yr13 (GBP (£))</v>
      </c>
      <c r="O4" s="337" t="str">
        <f>CONCATENATE("Costs Yr14"," ", "(",'Proposition Summary'!$B$76,")")</f>
        <v>Costs Yr14 (GBP (£))</v>
      </c>
      <c r="P4" s="337" t="str">
        <f>CONCATENATE("Costs Yr15"," ", "(",'Proposition Summary'!$B$76,")")</f>
        <v>Costs Yr15 (GBP (£))</v>
      </c>
      <c r="Q4" s="337" t="str">
        <f>CONCATENATE("Costs Yr16"," ", "(",'Proposition Summary'!$B$76,")")</f>
        <v>Costs Yr16 (GBP (£))</v>
      </c>
      <c r="R4" s="337" t="str">
        <f>CONCATENATE("Costs Yr17"," ", "(",'Proposition Summary'!$B$76,")")</f>
        <v>Costs Yr17 (GBP (£))</v>
      </c>
      <c r="S4" s="337" t="str">
        <f>CONCATENATE("Costs Yr18"," ", "(",'Proposition Summary'!$B$76,")")</f>
        <v>Costs Yr18 (GBP (£))</v>
      </c>
      <c r="T4" s="337" t="str">
        <f>CONCATENATE("Costs Yr19"," ", "(",'Proposition Summary'!$B$76,")")</f>
        <v>Costs Yr19 (GBP (£))</v>
      </c>
      <c r="U4" s="337" t="str">
        <f>CONCATENATE("Costs Yr20"," ", "(",'Proposition Summary'!$B$76,")")</f>
        <v>Costs Yr20 (GBP (£))</v>
      </c>
      <c r="V4" s="337" t="str">
        <f>CONCATENATE("Costs Yr21"," ", "(",'Proposition Summary'!$B$76,")")</f>
        <v>Costs Yr21 (GBP (£))</v>
      </c>
      <c r="W4" s="337" t="str">
        <f>CONCATENATE("Costs Yr22"," ", "(",'Proposition Summary'!$B$76,")")</f>
        <v>Costs Yr22 (GBP (£))</v>
      </c>
      <c r="X4" s="337" t="str">
        <f>CONCATENATE("Costs Yr23"," ", "(",'Proposition Summary'!$B$76,")")</f>
        <v>Costs Yr23 (GBP (£))</v>
      </c>
      <c r="Y4" s="337" t="str">
        <f>CONCATENATE("Costs Yr24"," ", "(",'Proposition Summary'!$B$76,")")</f>
        <v>Costs Yr24 (GBP (£))</v>
      </c>
      <c r="Z4" s="337" t="str">
        <f>CONCATENATE("Costs Yr25"," ", "(",'Proposition Summary'!$B$76,")")</f>
        <v>Costs Yr25 (GBP (£))</v>
      </c>
      <c r="AA4" s="329"/>
    </row>
    <row r="5" spans="1:345" s="196" customFormat="1" ht="24.9" customHeight="1" thickTop="1">
      <c r="A5" s="338" t="s">
        <v>270</v>
      </c>
      <c r="B5" s="339"/>
      <c r="C5" s="339"/>
      <c r="D5" s="339"/>
      <c r="E5" s="339"/>
      <c r="F5" s="339"/>
      <c r="G5" s="339"/>
      <c r="H5" s="339"/>
      <c r="I5" s="339"/>
      <c r="J5" s="339"/>
      <c r="K5" s="339"/>
      <c r="L5" s="339"/>
      <c r="M5" s="339"/>
      <c r="N5" s="339"/>
      <c r="O5" s="339"/>
      <c r="P5" s="339"/>
      <c r="Q5" s="339"/>
      <c r="R5" s="339"/>
      <c r="S5" s="339"/>
      <c r="T5" s="339"/>
      <c r="U5" s="339"/>
      <c r="V5" s="339"/>
      <c r="W5" s="339"/>
      <c r="X5" s="339"/>
      <c r="Y5" s="339"/>
      <c r="Z5" s="340"/>
      <c r="AA5" s="341"/>
    </row>
    <row r="6" spans="1:345" s="196" customFormat="1">
      <c r="A6" s="328" t="s">
        <v>5</v>
      </c>
      <c r="B6" s="246"/>
      <c r="C6" s="246"/>
      <c r="D6" s="246"/>
      <c r="E6" s="246"/>
      <c r="F6" s="246"/>
      <c r="G6" s="246"/>
      <c r="H6" s="246"/>
      <c r="I6" s="246"/>
      <c r="J6" s="246"/>
      <c r="K6" s="246"/>
      <c r="L6" s="246"/>
      <c r="M6" s="246"/>
      <c r="N6" s="246"/>
      <c r="O6" s="246"/>
      <c r="P6" s="246"/>
      <c r="Q6" s="246"/>
      <c r="R6" s="246"/>
      <c r="S6" s="246"/>
      <c r="T6" s="246"/>
      <c r="U6" s="246"/>
      <c r="V6" s="246"/>
      <c r="W6" s="246"/>
      <c r="X6" s="246"/>
      <c r="Y6" s="246"/>
      <c r="Z6" s="366"/>
    </row>
    <row r="7" spans="1:345">
      <c r="A7" s="290" t="s">
        <v>6</v>
      </c>
      <c r="B7" s="367">
        <f>IF(B$3&lt;=time, B8+B9, "")</f>
        <v>0</v>
      </c>
      <c r="C7" s="367">
        <f>IF(C$3&lt;=time, C8+C9, "")</f>
        <v>0</v>
      </c>
      <c r="D7" s="367">
        <f t="shared" ref="D7:Y7" si="0">IF(D$3&lt;=time, D8+D9, "")</f>
        <v>0</v>
      </c>
      <c r="E7" s="367">
        <f t="shared" si="0"/>
        <v>0</v>
      </c>
      <c r="F7" s="367">
        <f t="shared" si="0"/>
        <v>0</v>
      </c>
      <c r="G7" s="367" t="str">
        <f t="shared" si="0"/>
        <v/>
      </c>
      <c r="H7" s="367" t="str">
        <f t="shared" si="0"/>
        <v/>
      </c>
      <c r="I7" s="367" t="str">
        <f t="shared" si="0"/>
        <v/>
      </c>
      <c r="J7" s="367" t="str">
        <f t="shared" si="0"/>
        <v/>
      </c>
      <c r="K7" s="367" t="str">
        <f t="shared" si="0"/>
        <v/>
      </c>
      <c r="L7" s="367" t="str">
        <f t="shared" si="0"/>
        <v/>
      </c>
      <c r="M7" s="367" t="str">
        <f t="shared" si="0"/>
        <v/>
      </c>
      <c r="N7" s="367" t="str">
        <f t="shared" si="0"/>
        <v/>
      </c>
      <c r="O7" s="367" t="str">
        <f t="shared" si="0"/>
        <v/>
      </c>
      <c r="P7" s="367" t="str">
        <f t="shared" si="0"/>
        <v/>
      </c>
      <c r="Q7" s="367" t="str">
        <f t="shared" si="0"/>
        <v/>
      </c>
      <c r="R7" s="367" t="str">
        <f t="shared" si="0"/>
        <v/>
      </c>
      <c r="S7" s="367" t="str">
        <f t="shared" si="0"/>
        <v/>
      </c>
      <c r="T7" s="367" t="str">
        <f t="shared" si="0"/>
        <v/>
      </c>
      <c r="U7" s="367" t="str">
        <f t="shared" si="0"/>
        <v/>
      </c>
      <c r="V7" s="367" t="str">
        <f t="shared" si="0"/>
        <v/>
      </c>
      <c r="W7" s="367" t="str">
        <f t="shared" si="0"/>
        <v/>
      </c>
      <c r="X7" s="367" t="str">
        <f t="shared" si="0"/>
        <v/>
      </c>
      <c r="Y7" s="367" t="str">
        <f t="shared" si="0"/>
        <v/>
      </c>
      <c r="Z7" s="368" t="str">
        <f>IF(Z$3&lt;=time, Z8+Z9, "")</f>
        <v/>
      </c>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c r="FL7" s="196"/>
      <c r="FM7" s="196"/>
      <c r="FN7" s="196"/>
      <c r="FO7" s="196"/>
      <c r="FP7" s="196"/>
      <c r="FQ7" s="196"/>
      <c r="FR7" s="196"/>
      <c r="FS7" s="196"/>
      <c r="FT7" s="196"/>
      <c r="FU7" s="196"/>
      <c r="FV7" s="196"/>
      <c r="FW7" s="196"/>
      <c r="FX7" s="196"/>
      <c r="FY7" s="196"/>
      <c r="FZ7" s="196"/>
      <c r="GA7" s="196"/>
      <c r="GB7" s="196"/>
      <c r="GC7" s="196"/>
      <c r="GD7" s="196"/>
      <c r="GE7" s="196"/>
      <c r="GF7" s="196"/>
      <c r="GG7" s="196"/>
      <c r="GH7" s="196"/>
      <c r="GI7" s="196"/>
      <c r="GJ7" s="196"/>
      <c r="GK7" s="196"/>
      <c r="GL7" s="196"/>
      <c r="GM7" s="196"/>
      <c r="GN7" s="196"/>
      <c r="GO7" s="196"/>
      <c r="GP7" s="196"/>
      <c r="GQ7" s="196"/>
      <c r="GR7" s="196"/>
      <c r="GS7" s="196"/>
      <c r="GT7" s="196"/>
    </row>
    <row r="8" spans="1:345">
      <c r="A8" s="292" t="s">
        <v>138</v>
      </c>
      <c r="B8" s="367">
        <f>IF(B$3&lt;=time,SUM('Attributable fraction'!AA8:AA17),"")</f>
        <v>0</v>
      </c>
      <c r="C8" s="367">
        <f>IF(C$3&lt;=time,SUM('Attributable fraction'!AB8:AB17),"")</f>
        <v>0</v>
      </c>
      <c r="D8" s="367">
        <f>IF(D$3&lt;=time,SUM('Attributable fraction'!AC8:AC17),"")</f>
        <v>0</v>
      </c>
      <c r="E8" s="367">
        <f>IF(E$3&lt;=time,SUM('Attributable fraction'!AD8:AD17),"")</f>
        <v>0</v>
      </c>
      <c r="F8" s="367">
        <f>IF(F$3&lt;=time,SUM('Attributable fraction'!AE8:AE17),"")</f>
        <v>0</v>
      </c>
      <c r="G8" s="367" t="str">
        <f>IF(G$3&lt;=time,SUM('Attributable fraction'!AF8:AF17),"")</f>
        <v/>
      </c>
      <c r="H8" s="367" t="str">
        <f>IF(H$3&lt;=time,SUM('Attributable fraction'!AG8:AG17),"")</f>
        <v/>
      </c>
      <c r="I8" s="367" t="str">
        <f>IF(I$3&lt;=time,SUM('Attributable fraction'!AH8:AH17),"")</f>
        <v/>
      </c>
      <c r="J8" s="367" t="str">
        <f>IF(J$3&lt;=time,SUM('Attributable fraction'!AI8:AI17),"")</f>
        <v/>
      </c>
      <c r="K8" s="367" t="str">
        <f>IF(K$3&lt;=time,SUM('Attributable fraction'!AJ8:AJ17),"")</f>
        <v/>
      </c>
      <c r="L8" s="367" t="str">
        <f>IF(L$3&lt;=time,SUM('Attributable fraction'!AK8:AK17),"")</f>
        <v/>
      </c>
      <c r="M8" s="367" t="str">
        <f>IF(M$3&lt;=time,SUM('Attributable fraction'!AL8:AL17),"")</f>
        <v/>
      </c>
      <c r="N8" s="367" t="str">
        <f>IF(N$3&lt;=time,SUM('Attributable fraction'!AM8:AM17),"")</f>
        <v/>
      </c>
      <c r="O8" s="367" t="str">
        <f>IF(O$3&lt;=time,SUM('Attributable fraction'!AN8:AN17),"")</f>
        <v/>
      </c>
      <c r="P8" s="367" t="str">
        <f>IF(P$3&lt;=time,SUM('Attributable fraction'!AO8:AO17),"")</f>
        <v/>
      </c>
      <c r="Q8" s="367" t="str">
        <f>IF(Q$3&lt;=time,SUM('Attributable fraction'!AP8:AP17),"")</f>
        <v/>
      </c>
      <c r="R8" s="367" t="str">
        <f>IF(R$3&lt;=time,SUM('Attributable fraction'!AQ8:AQ17),"")</f>
        <v/>
      </c>
      <c r="S8" s="367" t="str">
        <f>IF(S$3&lt;=time,SUM('Attributable fraction'!AR8:AR17),"")</f>
        <v/>
      </c>
      <c r="T8" s="367" t="str">
        <f>IF(T$3&lt;=time,SUM('Attributable fraction'!AS8:AS17),"")</f>
        <v/>
      </c>
      <c r="U8" s="367" t="str">
        <f>IF(U$3&lt;=time,SUM('Attributable fraction'!AT8:AT17),"")</f>
        <v/>
      </c>
      <c r="V8" s="367" t="str">
        <f>IF(V$3&lt;=time,SUM('Attributable fraction'!AU8:AU17),"")</f>
        <v/>
      </c>
      <c r="W8" s="367" t="str">
        <f>IF(W$3&lt;=time,SUM('Attributable fraction'!AV8:AV17),"")</f>
        <v/>
      </c>
      <c r="X8" s="367" t="str">
        <f>IF(X$3&lt;=time,SUM('Attributable fraction'!AW8:AW17),"")</f>
        <v/>
      </c>
      <c r="Y8" s="367" t="str">
        <f>IF(Y$3&lt;=time,SUM('Attributable fraction'!AX8:AX17),"")</f>
        <v/>
      </c>
      <c r="Z8" s="368" t="str">
        <f>IF(Z$3&lt;=time,SUM('Attributable fraction'!AY8:AY17),"")</f>
        <v/>
      </c>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196"/>
      <c r="CI8" s="196"/>
      <c r="CJ8" s="196"/>
      <c r="CK8" s="196"/>
      <c r="CL8" s="196"/>
      <c r="CM8" s="196"/>
      <c r="CN8" s="196"/>
      <c r="CO8" s="196"/>
      <c r="CP8" s="196"/>
      <c r="CQ8" s="196"/>
      <c r="CR8" s="196"/>
      <c r="CS8" s="196"/>
      <c r="CT8" s="196"/>
      <c r="CU8" s="196"/>
      <c r="CV8" s="196"/>
      <c r="CW8" s="196"/>
      <c r="CX8" s="196"/>
      <c r="CY8" s="196"/>
      <c r="CZ8" s="196"/>
      <c r="DA8" s="196"/>
      <c r="DB8" s="196"/>
      <c r="DC8" s="196"/>
      <c r="DD8" s="196"/>
      <c r="DE8" s="196"/>
      <c r="DF8" s="196"/>
      <c r="DG8" s="196"/>
      <c r="DH8" s="196"/>
      <c r="DI8" s="196"/>
      <c r="DJ8" s="196"/>
      <c r="DK8" s="196"/>
      <c r="DL8" s="196"/>
      <c r="DM8" s="196"/>
      <c r="DN8" s="196"/>
      <c r="DO8" s="196"/>
      <c r="DP8" s="196"/>
      <c r="DQ8" s="196"/>
      <c r="DR8" s="196"/>
      <c r="DS8" s="196"/>
      <c r="DT8" s="196"/>
      <c r="DU8" s="196"/>
      <c r="DV8" s="196"/>
      <c r="DW8" s="196"/>
      <c r="DX8" s="196"/>
      <c r="DY8" s="196"/>
      <c r="DZ8" s="196"/>
      <c r="EA8" s="196"/>
      <c r="EB8" s="196"/>
      <c r="EC8" s="196"/>
      <c r="ED8" s="196"/>
      <c r="EE8" s="196"/>
      <c r="EF8" s="196"/>
      <c r="EG8" s="196"/>
      <c r="EH8" s="196"/>
      <c r="EI8" s="196"/>
      <c r="EJ8" s="196"/>
      <c r="EK8" s="196"/>
      <c r="EL8" s="196"/>
      <c r="EM8" s="196"/>
      <c r="EN8" s="196"/>
      <c r="EO8" s="196"/>
      <c r="EP8" s="196"/>
      <c r="EQ8" s="196"/>
      <c r="ER8" s="196"/>
      <c r="ES8" s="196"/>
      <c r="ET8" s="196"/>
      <c r="EU8" s="196"/>
      <c r="EV8" s="196"/>
      <c r="EW8" s="196"/>
      <c r="EX8" s="196"/>
      <c r="EY8" s="196"/>
      <c r="EZ8" s="196"/>
      <c r="FA8" s="196"/>
      <c r="FB8" s="196"/>
      <c r="FC8" s="196"/>
      <c r="FD8" s="196"/>
      <c r="FE8" s="196"/>
      <c r="FF8" s="196"/>
      <c r="FG8" s="196"/>
      <c r="FH8" s="196"/>
      <c r="FI8" s="196"/>
      <c r="FJ8" s="196"/>
      <c r="FK8" s="196"/>
      <c r="FL8" s="196"/>
      <c r="FM8" s="196"/>
      <c r="FN8" s="196"/>
      <c r="FO8" s="196"/>
      <c r="FP8" s="196"/>
      <c r="FQ8" s="196"/>
      <c r="FR8" s="196"/>
      <c r="FS8" s="196"/>
      <c r="FT8" s="196"/>
      <c r="FU8" s="196"/>
      <c r="FV8" s="196"/>
      <c r="FW8" s="196"/>
      <c r="FX8" s="196"/>
      <c r="FY8" s="196"/>
      <c r="FZ8" s="196"/>
      <c r="GA8" s="196"/>
      <c r="GB8" s="196"/>
      <c r="GC8" s="196"/>
      <c r="GD8" s="196"/>
      <c r="GE8" s="196"/>
      <c r="GF8" s="196"/>
      <c r="GG8" s="196"/>
      <c r="GH8" s="196"/>
      <c r="GI8" s="196"/>
      <c r="GJ8" s="196"/>
      <c r="GK8" s="196"/>
      <c r="GL8" s="196"/>
      <c r="GM8" s="196"/>
      <c r="GN8" s="196"/>
      <c r="GO8" s="196"/>
      <c r="GP8" s="196"/>
      <c r="GQ8" s="196"/>
      <c r="GR8" s="196"/>
      <c r="GS8" s="196"/>
      <c r="GT8" s="196"/>
    </row>
    <row r="9" spans="1:345">
      <c r="A9" s="292" t="s">
        <v>13</v>
      </c>
      <c r="B9" s="367">
        <f>IF(B$3&lt;=time, SUM('Attributable fraction'!AA19:AA28), "")</f>
        <v>0</v>
      </c>
      <c r="C9" s="367">
        <f>IF(C$3&lt;=time, SUM('Attributable fraction'!AB19:AB28), "")</f>
        <v>0</v>
      </c>
      <c r="D9" s="367">
        <f>IF(D$3&lt;=time, SUM('Attributable fraction'!AC19:AC28), "")</f>
        <v>0</v>
      </c>
      <c r="E9" s="367">
        <f>IF(E$3&lt;=time, SUM('Attributable fraction'!AD19:AD28), "")</f>
        <v>0</v>
      </c>
      <c r="F9" s="367">
        <f>IF(F$3&lt;=time, SUM('Attributable fraction'!AE19:AE28), "")</f>
        <v>0</v>
      </c>
      <c r="G9" s="367" t="str">
        <f>IF(G$3&lt;=time, SUM('Attributable fraction'!AF19:AF28), "")</f>
        <v/>
      </c>
      <c r="H9" s="367" t="str">
        <f>IF(H$3&lt;=time, SUM('Attributable fraction'!AG19:AG28), "")</f>
        <v/>
      </c>
      <c r="I9" s="367" t="str">
        <f>IF(I$3&lt;=time, SUM('Attributable fraction'!AH19:AH28), "")</f>
        <v/>
      </c>
      <c r="J9" s="367" t="str">
        <f>IF(J$3&lt;=time, SUM('Attributable fraction'!AI19:AI28), "")</f>
        <v/>
      </c>
      <c r="K9" s="367" t="str">
        <f>IF(K$3&lt;=time, SUM('Attributable fraction'!AJ19:AJ28), "")</f>
        <v/>
      </c>
      <c r="L9" s="367" t="str">
        <f>IF(L$3&lt;=time, SUM('Attributable fraction'!AK19:AK28), "")</f>
        <v/>
      </c>
      <c r="M9" s="367" t="str">
        <f>IF(M$3&lt;=time, SUM('Attributable fraction'!AL19:AL28), "")</f>
        <v/>
      </c>
      <c r="N9" s="367" t="str">
        <f>IF(N$3&lt;=time, SUM('Attributable fraction'!AM19:AM28), "")</f>
        <v/>
      </c>
      <c r="O9" s="367" t="str">
        <f>IF(O$3&lt;=time, SUM('Attributable fraction'!AN19:AN28), "")</f>
        <v/>
      </c>
      <c r="P9" s="367" t="str">
        <f>IF(P$3&lt;=time, SUM('Attributable fraction'!AO19:AO28), "")</f>
        <v/>
      </c>
      <c r="Q9" s="367" t="str">
        <f>IF(Q$3&lt;=time, SUM('Attributable fraction'!AP19:AP28), "")</f>
        <v/>
      </c>
      <c r="R9" s="367" t="str">
        <f>IF(R$3&lt;=time, SUM('Attributable fraction'!AQ19:AQ28), "")</f>
        <v/>
      </c>
      <c r="S9" s="367" t="str">
        <f>IF(S$3&lt;=time, SUM('Attributable fraction'!AR19:AR28), "")</f>
        <v/>
      </c>
      <c r="T9" s="367" t="str">
        <f>IF(T$3&lt;=time, SUM('Attributable fraction'!AS19:AS28), "")</f>
        <v/>
      </c>
      <c r="U9" s="367" t="str">
        <f>IF(U$3&lt;=time, SUM('Attributable fraction'!AT19:AT28), "")</f>
        <v/>
      </c>
      <c r="V9" s="367" t="str">
        <f>IF(V$3&lt;=time, SUM('Attributable fraction'!AU19:AU28), "")</f>
        <v/>
      </c>
      <c r="W9" s="367" t="str">
        <f>IF(W$3&lt;=time, SUM('Attributable fraction'!AV19:AV28), "")</f>
        <v/>
      </c>
      <c r="X9" s="367" t="str">
        <f>IF(X$3&lt;=time, SUM('Attributable fraction'!AW19:AW28), "")</f>
        <v/>
      </c>
      <c r="Y9" s="367" t="str">
        <f>IF(Y$3&lt;=time, SUM('Attributable fraction'!AX19:AX28), "")</f>
        <v/>
      </c>
      <c r="Z9" s="368" t="str">
        <f>IF(Z$3&lt;=time, SUM('Attributable fraction'!AY19:AY28), "")</f>
        <v/>
      </c>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E9" s="196"/>
      <c r="DF9" s="196"/>
      <c r="DG9" s="196"/>
      <c r="DH9" s="196"/>
      <c r="DI9" s="196"/>
      <c r="DJ9" s="196"/>
      <c r="DK9" s="196"/>
      <c r="DL9" s="196"/>
      <c r="DM9" s="196"/>
      <c r="DN9" s="196"/>
      <c r="DO9" s="196"/>
      <c r="DP9" s="196"/>
      <c r="DQ9" s="196"/>
      <c r="DR9" s="196"/>
      <c r="DS9" s="196"/>
      <c r="DT9" s="196"/>
      <c r="DU9" s="196"/>
      <c r="DV9" s="196"/>
      <c r="DW9" s="196"/>
      <c r="DX9" s="196"/>
      <c r="DY9" s="196"/>
      <c r="DZ9" s="196"/>
      <c r="EA9" s="196"/>
      <c r="EB9" s="196"/>
      <c r="EC9" s="196"/>
      <c r="ED9" s="196"/>
      <c r="EE9" s="196"/>
      <c r="EF9" s="196"/>
      <c r="EG9" s="196"/>
      <c r="EH9" s="196"/>
      <c r="EI9" s="196"/>
      <c r="EJ9" s="196"/>
      <c r="EK9" s="196"/>
      <c r="EL9" s="196"/>
      <c r="EM9" s="196"/>
      <c r="EN9" s="196"/>
      <c r="EO9" s="196"/>
      <c r="EP9" s="196"/>
      <c r="EQ9" s="196"/>
      <c r="ER9" s="196"/>
      <c r="ES9" s="196"/>
      <c r="ET9" s="196"/>
      <c r="EU9" s="196"/>
      <c r="EV9" s="196"/>
      <c r="EW9" s="196"/>
      <c r="EX9" s="196"/>
      <c r="EY9" s="196"/>
      <c r="EZ9" s="196"/>
      <c r="FA9" s="196"/>
      <c r="FB9" s="196"/>
      <c r="FC9" s="196"/>
      <c r="FD9" s="196"/>
      <c r="FE9" s="196"/>
      <c r="FF9" s="196"/>
      <c r="FG9" s="196"/>
      <c r="FH9" s="196"/>
      <c r="FI9" s="196"/>
      <c r="FJ9" s="196"/>
      <c r="FK9" s="196"/>
      <c r="FL9" s="196"/>
      <c r="FM9" s="196"/>
      <c r="FN9" s="196"/>
      <c r="FO9" s="196"/>
      <c r="FP9" s="196"/>
      <c r="FQ9" s="196"/>
      <c r="FR9" s="196"/>
      <c r="FS9" s="196"/>
      <c r="FT9" s="196"/>
      <c r="FU9" s="196"/>
      <c r="FV9" s="196"/>
      <c r="FW9" s="196"/>
      <c r="FX9" s="196"/>
      <c r="FY9" s="196"/>
      <c r="FZ9" s="196"/>
      <c r="GA9" s="196"/>
      <c r="GB9" s="196"/>
      <c r="GC9" s="196"/>
      <c r="GD9" s="196"/>
      <c r="GE9" s="196"/>
      <c r="GF9" s="196"/>
      <c r="GG9" s="196"/>
      <c r="GH9" s="196"/>
      <c r="GI9" s="196"/>
      <c r="GJ9" s="196"/>
      <c r="GK9" s="196"/>
      <c r="GL9" s="196"/>
      <c r="GM9" s="196"/>
      <c r="GN9" s="196"/>
      <c r="GO9" s="196"/>
      <c r="GP9" s="196"/>
      <c r="GQ9" s="196"/>
      <c r="GR9" s="196"/>
      <c r="GS9" s="196"/>
      <c r="GT9" s="196"/>
    </row>
    <row r="10" spans="1:345">
      <c r="A10" s="290" t="s">
        <v>7</v>
      </c>
      <c r="B10" s="367">
        <f t="shared" ref="B10:Z10" si="1">IF(B$3&lt;=time, B11, "")</f>
        <v>0</v>
      </c>
      <c r="C10" s="367">
        <f t="shared" si="1"/>
        <v>0</v>
      </c>
      <c r="D10" s="367">
        <f t="shared" si="1"/>
        <v>0</v>
      </c>
      <c r="E10" s="367">
        <f t="shared" si="1"/>
        <v>0</v>
      </c>
      <c r="F10" s="367">
        <f t="shared" si="1"/>
        <v>0</v>
      </c>
      <c r="G10" s="367" t="str">
        <f t="shared" si="1"/>
        <v/>
      </c>
      <c r="H10" s="367" t="str">
        <f t="shared" si="1"/>
        <v/>
      </c>
      <c r="I10" s="367" t="str">
        <f t="shared" si="1"/>
        <v/>
      </c>
      <c r="J10" s="367" t="str">
        <f t="shared" si="1"/>
        <v/>
      </c>
      <c r="K10" s="367" t="str">
        <f t="shared" si="1"/>
        <v/>
      </c>
      <c r="L10" s="367" t="str">
        <f t="shared" si="1"/>
        <v/>
      </c>
      <c r="M10" s="367" t="str">
        <f t="shared" si="1"/>
        <v/>
      </c>
      <c r="N10" s="367" t="str">
        <f t="shared" si="1"/>
        <v/>
      </c>
      <c r="O10" s="367" t="str">
        <f t="shared" si="1"/>
        <v/>
      </c>
      <c r="P10" s="367" t="str">
        <f t="shared" si="1"/>
        <v/>
      </c>
      <c r="Q10" s="367" t="str">
        <f t="shared" si="1"/>
        <v/>
      </c>
      <c r="R10" s="367" t="str">
        <f t="shared" si="1"/>
        <v/>
      </c>
      <c r="S10" s="367" t="str">
        <f t="shared" si="1"/>
        <v/>
      </c>
      <c r="T10" s="367" t="str">
        <f t="shared" si="1"/>
        <v/>
      </c>
      <c r="U10" s="367" t="str">
        <f t="shared" si="1"/>
        <v/>
      </c>
      <c r="V10" s="367" t="str">
        <f t="shared" si="1"/>
        <v/>
      </c>
      <c r="W10" s="367" t="str">
        <f t="shared" si="1"/>
        <v/>
      </c>
      <c r="X10" s="367" t="str">
        <f t="shared" si="1"/>
        <v/>
      </c>
      <c r="Y10" s="367" t="str">
        <f t="shared" si="1"/>
        <v/>
      </c>
      <c r="Z10" s="368" t="str">
        <f t="shared" si="1"/>
        <v/>
      </c>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E10" s="196"/>
      <c r="DF10" s="196"/>
      <c r="DG10" s="196"/>
      <c r="DH10" s="196"/>
      <c r="DI10" s="196"/>
      <c r="DJ10" s="196"/>
      <c r="DK10" s="196"/>
      <c r="DL10" s="196"/>
      <c r="DM10" s="196"/>
      <c r="DN10" s="196"/>
      <c r="DO10" s="196"/>
      <c r="DP10" s="196"/>
      <c r="DQ10" s="196"/>
      <c r="DR10" s="196"/>
      <c r="DS10" s="196"/>
      <c r="DT10" s="196"/>
      <c r="DU10" s="196"/>
      <c r="DV10" s="196"/>
      <c r="DW10" s="196"/>
      <c r="DX10" s="196"/>
      <c r="DY10" s="196"/>
      <c r="DZ10" s="196"/>
      <c r="EA10" s="196"/>
      <c r="EB10" s="196"/>
      <c r="EC10" s="196"/>
      <c r="ED10" s="196"/>
      <c r="EE10" s="196"/>
      <c r="EF10" s="196"/>
      <c r="EG10" s="196"/>
      <c r="EH10" s="196"/>
      <c r="EI10" s="196"/>
      <c r="EJ10" s="196"/>
      <c r="EK10" s="196"/>
      <c r="EL10" s="196"/>
      <c r="EM10" s="196"/>
      <c r="EN10" s="196"/>
      <c r="EO10" s="196"/>
      <c r="EP10" s="196"/>
      <c r="EQ10" s="196"/>
      <c r="ER10" s="196"/>
      <c r="ES10" s="196"/>
      <c r="ET10" s="196"/>
      <c r="EU10" s="196"/>
      <c r="EV10" s="196"/>
      <c r="EW10" s="196"/>
      <c r="EX10" s="196"/>
      <c r="EY10" s="196"/>
      <c r="EZ10" s="196"/>
      <c r="FA10" s="196"/>
      <c r="FB10" s="196"/>
      <c r="FC10" s="196"/>
      <c r="FD10" s="196"/>
      <c r="FE10" s="196"/>
      <c r="FF10" s="196"/>
      <c r="FG10" s="196"/>
      <c r="FH10" s="196"/>
      <c r="FI10" s="196"/>
      <c r="FJ10" s="196"/>
      <c r="FK10" s="196"/>
      <c r="FL10" s="196"/>
      <c r="FM10" s="196"/>
      <c r="FN10" s="196"/>
      <c r="FO10" s="196"/>
      <c r="FP10" s="196"/>
      <c r="FQ10" s="196"/>
      <c r="FR10" s="196"/>
      <c r="FS10" s="196"/>
      <c r="FT10" s="196"/>
      <c r="FU10" s="196"/>
      <c r="FV10" s="196"/>
      <c r="FW10" s="196"/>
      <c r="FX10" s="196"/>
      <c r="FY10" s="196"/>
      <c r="FZ10" s="196"/>
      <c r="GA10" s="196"/>
      <c r="GB10" s="196"/>
      <c r="GC10" s="196"/>
      <c r="GD10" s="196"/>
      <c r="GE10" s="196"/>
      <c r="GF10" s="196"/>
      <c r="GG10" s="196"/>
      <c r="GH10" s="196"/>
      <c r="GI10" s="196"/>
      <c r="GJ10" s="196"/>
      <c r="GK10" s="196"/>
      <c r="GL10" s="196"/>
      <c r="GM10" s="196"/>
      <c r="GN10" s="196"/>
      <c r="GO10" s="196"/>
      <c r="GP10" s="196"/>
      <c r="GQ10" s="196"/>
      <c r="GR10" s="196"/>
      <c r="GS10" s="196"/>
      <c r="GT10" s="196"/>
    </row>
    <row r="11" spans="1:345">
      <c r="A11" s="292" t="s">
        <v>149</v>
      </c>
      <c r="B11" s="367">
        <f>IF(B$3&lt;=time, SUM('Attributable fraction'!AA31:AA40), "")</f>
        <v>0</v>
      </c>
      <c r="C11" s="367">
        <f>IF(C$3&lt;=time, SUM('Attributable fraction'!AB31:AB40), "")</f>
        <v>0</v>
      </c>
      <c r="D11" s="367">
        <f>IF(D$3&lt;=time, SUM('Attributable fraction'!AC31:AC40), "")</f>
        <v>0</v>
      </c>
      <c r="E11" s="367">
        <f>IF(E$3&lt;=time, SUM('Attributable fraction'!AD31:AD40), "")</f>
        <v>0</v>
      </c>
      <c r="F11" s="367">
        <f>IF(F$3&lt;=time, SUM('Attributable fraction'!AE31:AE40), "")</f>
        <v>0</v>
      </c>
      <c r="G11" s="367" t="str">
        <f>IF(G$3&lt;=time, SUM('Attributable fraction'!AF31:AF40), "")</f>
        <v/>
      </c>
      <c r="H11" s="367" t="str">
        <f>IF(H$3&lt;=time, SUM('Attributable fraction'!AG31:AG40), "")</f>
        <v/>
      </c>
      <c r="I11" s="367" t="str">
        <f>IF(I$3&lt;=time, SUM('Attributable fraction'!AH31:AH40), "")</f>
        <v/>
      </c>
      <c r="J11" s="367" t="str">
        <f>IF(J$3&lt;=time, SUM('Attributable fraction'!AI31:AI40), "")</f>
        <v/>
      </c>
      <c r="K11" s="367" t="str">
        <f>IF(K$3&lt;=time, SUM('Attributable fraction'!AJ31:AJ40), "")</f>
        <v/>
      </c>
      <c r="L11" s="367" t="str">
        <f>IF(L$3&lt;=time, SUM('Attributable fraction'!AK31:AK40), "")</f>
        <v/>
      </c>
      <c r="M11" s="367" t="str">
        <f>IF(M$3&lt;=time, SUM('Attributable fraction'!AL31:AL40), "")</f>
        <v/>
      </c>
      <c r="N11" s="367" t="str">
        <f>IF(N$3&lt;=time, SUM('Attributable fraction'!AM31:AM40), "")</f>
        <v/>
      </c>
      <c r="O11" s="367" t="str">
        <f>IF(O$3&lt;=time, SUM('Attributable fraction'!AN31:AN40), "")</f>
        <v/>
      </c>
      <c r="P11" s="367" t="str">
        <f>IF(P$3&lt;=time, SUM('Attributable fraction'!AO31:AO40), "")</f>
        <v/>
      </c>
      <c r="Q11" s="367" t="str">
        <f>IF(Q$3&lt;=time, SUM('Attributable fraction'!AP31:AP40), "")</f>
        <v/>
      </c>
      <c r="R11" s="367" t="str">
        <f>IF(R$3&lt;=time, SUM('Attributable fraction'!AQ31:AQ40), "")</f>
        <v/>
      </c>
      <c r="S11" s="367" t="str">
        <f>IF(S$3&lt;=time, SUM('Attributable fraction'!AR31:AR40), "")</f>
        <v/>
      </c>
      <c r="T11" s="367" t="str">
        <f>IF(T$3&lt;=time, SUM('Attributable fraction'!AS31:AS40), "")</f>
        <v/>
      </c>
      <c r="U11" s="367" t="str">
        <f>IF(U$3&lt;=time, SUM('Attributable fraction'!AT31:AT40), "")</f>
        <v/>
      </c>
      <c r="V11" s="367" t="str">
        <f>IF(V$3&lt;=time, SUM('Attributable fraction'!AU31:AU40), "")</f>
        <v/>
      </c>
      <c r="W11" s="367" t="str">
        <f>IF(W$3&lt;=time, SUM('Attributable fraction'!AV31:AV40), "")</f>
        <v/>
      </c>
      <c r="X11" s="367" t="str">
        <f>IF(X$3&lt;=time, SUM('Attributable fraction'!AW31:AW40), "")</f>
        <v/>
      </c>
      <c r="Y11" s="367" t="str">
        <f>IF(Y$3&lt;=time, SUM('Attributable fraction'!AX31:AX40), "")</f>
        <v/>
      </c>
      <c r="Z11" s="368" t="str">
        <f>IF(Z$3&lt;=time, SUM('Attributable fraction'!AY31:AY40), "")</f>
        <v/>
      </c>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E11" s="196"/>
      <c r="DF11" s="196"/>
      <c r="DG11" s="196"/>
      <c r="DH11" s="196"/>
      <c r="DI11" s="196"/>
      <c r="DJ11" s="196"/>
      <c r="DK11" s="196"/>
      <c r="DL11" s="196"/>
      <c r="DM11" s="196"/>
      <c r="DN11" s="196"/>
      <c r="DO11" s="196"/>
      <c r="DP11" s="196"/>
      <c r="DQ11" s="196"/>
      <c r="DR11" s="196"/>
      <c r="DS11" s="196"/>
      <c r="DT11" s="196"/>
      <c r="DU11" s="196"/>
      <c r="DV11" s="196"/>
      <c r="DW11" s="196"/>
      <c r="DX11" s="196"/>
      <c r="DY11" s="196"/>
      <c r="DZ11" s="196"/>
      <c r="EA11" s="196"/>
      <c r="EB11" s="196"/>
      <c r="EC11" s="196"/>
      <c r="ED11" s="196"/>
      <c r="EE11" s="196"/>
      <c r="EF11" s="196"/>
      <c r="EG11" s="196"/>
      <c r="EH11" s="196"/>
      <c r="EI11" s="196"/>
      <c r="EJ11" s="196"/>
      <c r="EK11" s="196"/>
      <c r="EL11" s="196"/>
      <c r="EM11" s="196"/>
      <c r="EN11" s="196"/>
      <c r="EO11" s="196"/>
      <c r="EP11" s="196"/>
      <c r="EQ11" s="196"/>
      <c r="ER11" s="196"/>
      <c r="ES11" s="196"/>
      <c r="ET11" s="196"/>
      <c r="EU11" s="196"/>
      <c r="EV11" s="196"/>
      <c r="EW11" s="196"/>
      <c r="EX11" s="196"/>
      <c r="EY11" s="196"/>
      <c r="EZ11" s="196"/>
      <c r="FA11" s="196"/>
      <c r="FB11" s="196"/>
      <c r="FC11" s="196"/>
      <c r="FD11" s="196"/>
      <c r="FE11" s="196"/>
      <c r="FF11" s="196"/>
      <c r="FG11" s="196"/>
      <c r="FH11" s="196"/>
      <c r="FI11" s="196"/>
      <c r="FJ11" s="196"/>
      <c r="FK11" s="196"/>
      <c r="FL11" s="196"/>
      <c r="FM11" s="196"/>
      <c r="FN11" s="196"/>
      <c r="FO11" s="196"/>
      <c r="FP11" s="196"/>
      <c r="FQ11" s="196"/>
      <c r="FR11" s="196"/>
      <c r="FS11" s="196"/>
      <c r="FT11" s="196"/>
      <c r="FU11" s="196"/>
      <c r="FV11" s="196"/>
      <c r="FW11" s="196"/>
      <c r="FX11" s="196"/>
      <c r="FY11" s="196"/>
      <c r="FZ11" s="196"/>
      <c r="GA11" s="196"/>
      <c r="GB11" s="196"/>
      <c r="GC11" s="196"/>
      <c r="GD11" s="196"/>
      <c r="GE11" s="196"/>
      <c r="GF11" s="196"/>
      <c r="GG11" s="196"/>
      <c r="GH11" s="196"/>
      <c r="GI11" s="196"/>
      <c r="GJ11" s="196"/>
      <c r="GK11" s="196"/>
      <c r="GL11" s="196"/>
      <c r="GM11" s="196"/>
      <c r="GN11" s="196"/>
      <c r="GO11" s="196"/>
      <c r="GP11" s="196"/>
      <c r="GQ11" s="196"/>
      <c r="GR11" s="196"/>
      <c r="GS11" s="196"/>
      <c r="GT11" s="196"/>
      <c r="GU11" s="196"/>
      <c r="GV11" s="196"/>
      <c r="GW11" s="196"/>
      <c r="GX11" s="196"/>
      <c r="GY11" s="196"/>
      <c r="GZ11" s="196"/>
      <c r="HA11" s="196"/>
      <c r="HB11" s="196"/>
      <c r="HC11" s="196"/>
      <c r="HD11" s="196"/>
      <c r="HE11" s="196"/>
      <c r="HF11" s="196"/>
      <c r="HG11" s="196"/>
      <c r="HH11" s="196"/>
      <c r="HI11" s="196"/>
      <c r="HJ11" s="196"/>
      <c r="HK11" s="196"/>
      <c r="HL11" s="196"/>
      <c r="HM11" s="196"/>
      <c r="HN11" s="196"/>
      <c r="HO11" s="196"/>
      <c r="HP11" s="196"/>
      <c r="HQ11" s="196"/>
      <c r="HR11" s="196"/>
      <c r="HS11" s="196"/>
      <c r="HT11" s="196"/>
      <c r="HU11" s="196"/>
      <c r="HV11" s="196"/>
      <c r="HW11" s="196"/>
      <c r="HX11" s="196"/>
      <c r="HY11" s="196"/>
      <c r="HZ11" s="196"/>
      <c r="IA11" s="196"/>
      <c r="IB11" s="196"/>
      <c r="IC11" s="196"/>
      <c r="ID11" s="196"/>
      <c r="IE11" s="196"/>
      <c r="IF11" s="196"/>
      <c r="IG11" s="196"/>
      <c r="IH11" s="196"/>
      <c r="II11" s="196"/>
      <c r="IJ11" s="196"/>
      <c r="IK11" s="196"/>
      <c r="IL11" s="196"/>
      <c r="IM11" s="196"/>
      <c r="IN11" s="196"/>
      <c r="IO11" s="196"/>
      <c r="IP11" s="196"/>
      <c r="IQ11" s="196"/>
      <c r="IR11" s="196"/>
      <c r="IS11" s="196"/>
      <c r="IT11" s="196"/>
      <c r="IU11" s="196"/>
      <c r="IV11" s="196"/>
      <c r="IW11" s="196"/>
      <c r="IX11" s="196"/>
      <c r="IY11" s="196"/>
      <c r="IZ11" s="196"/>
      <c r="JA11" s="196"/>
      <c r="JB11" s="196"/>
      <c r="JC11" s="196"/>
      <c r="JD11" s="196"/>
      <c r="JE11" s="196"/>
      <c r="JF11" s="196"/>
      <c r="JG11" s="196"/>
      <c r="JH11" s="196"/>
      <c r="JI11" s="196"/>
      <c r="JJ11" s="196"/>
      <c r="JK11" s="196"/>
      <c r="JL11" s="196"/>
      <c r="JM11" s="196"/>
      <c r="JN11" s="196"/>
      <c r="JO11" s="196"/>
      <c r="JP11" s="196"/>
      <c r="JQ11" s="196"/>
      <c r="JR11" s="196"/>
      <c r="JS11" s="196"/>
      <c r="JT11" s="196"/>
      <c r="JU11" s="196"/>
      <c r="JV11" s="196"/>
      <c r="JW11" s="196"/>
      <c r="JX11" s="196"/>
      <c r="JY11" s="196"/>
      <c r="JZ11" s="196"/>
      <c r="KA11" s="196"/>
      <c r="KB11" s="196"/>
      <c r="KC11" s="196"/>
      <c r="KD11" s="196"/>
      <c r="KE11" s="196"/>
      <c r="KF11" s="196"/>
      <c r="KG11" s="196"/>
      <c r="KH11" s="196"/>
      <c r="KI11" s="196"/>
      <c r="KJ11" s="196"/>
      <c r="KK11" s="196"/>
      <c r="KL11" s="196"/>
      <c r="KM11" s="196"/>
      <c r="KN11" s="196"/>
      <c r="KO11" s="196"/>
      <c r="KP11" s="196"/>
      <c r="KQ11" s="196"/>
      <c r="KR11" s="196"/>
      <c r="KS11" s="196"/>
      <c r="KT11" s="196"/>
      <c r="KU11" s="196"/>
      <c r="KV11" s="196"/>
      <c r="KW11" s="196"/>
      <c r="KX11" s="196"/>
      <c r="KY11" s="196"/>
      <c r="KZ11" s="196"/>
      <c r="LA11" s="196"/>
      <c r="LB11" s="196"/>
      <c r="LC11" s="196"/>
      <c r="LD11" s="196"/>
      <c r="LE11" s="196"/>
      <c r="LF11" s="196"/>
      <c r="LG11" s="196"/>
      <c r="LH11" s="196"/>
      <c r="LI11" s="196"/>
      <c r="LJ11" s="196"/>
      <c r="LK11" s="196"/>
      <c r="LL11" s="196"/>
      <c r="LM11" s="196"/>
      <c r="LN11" s="196"/>
      <c r="LO11" s="196"/>
      <c r="LP11" s="196"/>
      <c r="LQ11" s="196"/>
      <c r="LR11" s="196"/>
      <c r="LS11" s="196"/>
      <c r="LT11" s="196"/>
      <c r="LU11" s="196"/>
      <c r="LV11" s="196"/>
      <c r="LW11" s="196"/>
      <c r="LX11" s="196"/>
      <c r="LY11" s="196"/>
      <c r="LZ11" s="196"/>
      <c r="MA11" s="196"/>
      <c r="MB11" s="196"/>
      <c r="MC11" s="196"/>
      <c r="MD11" s="196"/>
      <c r="ME11" s="196"/>
      <c r="MF11" s="196"/>
      <c r="MG11" s="196"/>
    </row>
    <row r="12" spans="1:345" s="306" customFormat="1">
      <c r="A12" s="803" t="s">
        <v>12</v>
      </c>
      <c r="B12" s="804">
        <f t="shared" ref="B12:Z12" si="2">IF(B$3&lt;=time, B10+B7, "")</f>
        <v>0</v>
      </c>
      <c r="C12" s="804">
        <f t="shared" si="2"/>
        <v>0</v>
      </c>
      <c r="D12" s="804">
        <f t="shared" si="2"/>
        <v>0</v>
      </c>
      <c r="E12" s="804">
        <f t="shared" si="2"/>
        <v>0</v>
      </c>
      <c r="F12" s="804">
        <f t="shared" si="2"/>
        <v>0</v>
      </c>
      <c r="G12" s="369" t="str">
        <f t="shared" si="2"/>
        <v/>
      </c>
      <c r="H12" s="369" t="str">
        <f t="shared" si="2"/>
        <v/>
      </c>
      <c r="I12" s="369" t="str">
        <f t="shared" si="2"/>
        <v/>
      </c>
      <c r="J12" s="369" t="str">
        <f t="shared" si="2"/>
        <v/>
      </c>
      <c r="K12" s="369" t="str">
        <f t="shared" si="2"/>
        <v/>
      </c>
      <c r="L12" s="369" t="str">
        <f t="shared" si="2"/>
        <v/>
      </c>
      <c r="M12" s="369" t="str">
        <f t="shared" si="2"/>
        <v/>
      </c>
      <c r="N12" s="369" t="str">
        <f t="shared" si="2"/>
        <v/>
      </c>
      <c r="O12" s="369" t="str">
        <f t="shared" si="2"/>
        <v/>
      </c>
      <c r="P12" s="369" t="str">
        <f t="shared" si="2"/>
        <v/>
      </c>
      <c r="Q12" s="369" t="str">
        <f t="shared" si="2"/>
        <v/>
      </c>
      <c r="R12" s="369" t="str">
        <f t="shared" si="2"/>
        <v/>
      </c>
      <c r="S12" s="369" t="str">
        <f t="shared" si="2"/>
        <v/>
      </c>
      <c r="T12" s="369" t="str">
        <f t="shared" si="2"/>
        <v/>
      </c>
      <c r="U12" s="369" t="str">
        <f t="shared" si="2"/>
        <v/>
      </c>
      <c r="V12" s="369" t="str">
        <f t="shared" si="2"/>
        <v/>
      </c>
      <c r="W12" s="369" t="str">
        <f t="shared" si="2"/>
        <v/>
      </c>
      <c r="X12" s="369" t="str">
        <f t="shared" si="2"/>
        <v/>
      </c>
      <c r="Y12" s="369" t="str">
        <f t="shared" si="2"/>
        <v/>
      </c>
      <c r="Z12" s="370" t="str">
        <f t="shared" si="2"/>
        <v/>
      </c>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E12" s="196"/>
      <c r="DF12" s="196"/>
      <c r="DG12" s="196"/>
      <c r="DH12" s="196"/>
      <c r="DI12" s="196"/>
      <c r="DJ12" s="196"/>
      <c r="DK12" s="196"/>
      <c r="DL12" s="196"/>
      <c r="DM12" s="196"/>
      <c r="DN12" s="196"/>
      <c r="DO12" s="196"/>
      <c r="DP12" s="196"/>
      <c r="DQ12" s="196"/>
      <c r="DR12" s="196"/>
      <c r="DS12" s="196"/>
      <c r="DT12" s="196"/>
      <c r="DU12" s="196"/>
      <c r="DV12" s="196"/>
      <c r="DW12" s="196"/>
      <c r="DX12" s="196"/>
      <c r="DY12" s="196"/>
      <c r="DZ12" s="196"/>
      <c r="EA12" s="196"/>
      <c r="EB12" s="196"/>
      <c r="EC12" s="196"/>
      <c r="ED12" s="196"/>
      <c r="EE12" s="196"/>
      <c r="EF12" s="196"/>
      <c r="EG12" s="196"/>
      <c r="EH12" s="196"/>
      <c r="EI12" s="196"/>
      <c r="EJ12" s="196"/>
      <c r="EK12" s="196"/>
      <c r="EL12" s="196"/>
      <c r="EM12" s="196"/>
      <c r="EN12" s="196"/>
      <c r="EO12" s="196"/>
      <c r="EP12" s="196"/>
      <c r="EQ12" s="196"/>
      <c r="ER12" s="196"/>
      <c r="ES12" s="196"/>
      <c r="ET12" s="196"/>
      <c r="EU12" s="196"/>
      <c r="EV12" s="196"/>
      <c r="EW12" s="196"/>
      <c r="EX12" s="196"/>
      <c r="EY12" s="196"/>
      <c r="EZ12" s="196"/>
      <c r="FA12" s="196"/>
      <c r="FB12" s="196"/>
      <c r="FC12" s="196"/>
      <c r="FD12" s="196"/>
      <c r="FE12" s="196"/>
      <c r="FF12" s="196"/>
      <c r="FG12" s="196"/>
      <c r="FH12" s="196"/>
      <c r="FI12" s="196"/>
      <c r="FJ12" s="196"/>
      <c r="FK12" s="196"/>
      <c r="FL12" s="196"/>
      <c r="FM12" s="196"/>
      <c r="FN12" s="196"/>
      <c r="FO12" s="196"/>
      <c r="FP12" s="196"/>
      <c r="FQ12" s="196"/>
      <c r="FR12" s="196"/>
      <c r="FS12" s="196"/>
      <c r="FT12" s="196"/>
      <c r="FU12" s="196"/>
      <c r="FV12" s="196"/>
      <c r="FW12" s="196"/>
      <c r="FX12" s="196"/>
      <c r="FY12" s="196"/>
      <c r="FZ12" s="196"/>
      <c r="GA12" s="196"/>
      <c r="GB12" s="196"/>
      <c r="GC12" s="196"/>
      <c r="GD12" s="196"/>
      <c r="GE12" s="196"/>
      <c r="GF12" s="196"/>
      <c r="GG12" s="196"/>
      <c r="GH12" s="196"/>
      <c r="GI12" s="196"/>
      <c r="GJ12" s="196"/>
      <c r="GK12" s="196"/>
      <c r="GL12" s="196"/>
      <c r="GM12" s="196"/>
      <c r="GN12" s="196"/>
      <c r="GO12" s="196"/>
      <c r="GP12" s="196"/>
      <c r="GQ12" s="196"/>
      <c r="GR12" s="196"/>
      <c r="GS12" s="196"/>
      <c r="GT12" s="196"/>
      <c r="GU12" s="196"/>
      <c r="GV12" s="196"/>
      <c r="GW12" s="196"/>
      <c r="GX12" s="196"/>
      <c r="GY12" s="196"/>
      <c r="GZ12" s="196"/>
      <c r="HA12" s="196"/>
      <c r="HB12" s="196"/>
      <c r="HC12" s="196"/>
      <c r="HD12" s="196"/>
      <c r="HE12" s="196"/>
      <c r="HF12" s="196"/>
      <c r="HG12" s="196"/>
      <c r="HH12" s="196"/>
      <c r="HI12" s="196"/>
      <c r="HJ12" s="196"/>
      <c r="HK12" s="196"/>
      <c r="HL12" s="196"/>
      <c r="HM12" s="196"/>
      <c r="HN12" s="196"/>
      <c r="HO12" s="196"/>
      <c r="HP12" s="196"/>
      <c r="HQ12" s="196"/>
      <c r="HR12" s="196"/>
      <c r="HS12" s="196"/>
      <c r="HT12" s="196"/>
      <c r="HU12" s="196"/>
      <c r="HV12" s="196"/>
      <c r="HW12" s="196"/>
      <c r="HX12" s="196"/>
      <c r="HY12" s="196"/>
      <c r="HZ12" s="196"/>
      <c r="IA12" s="196"/>
      <c r="IB12" s="196"/>
      <c r="IC12" s="196"/>
      <c r="ID12" s="196"/>
      <c r="IE12" s="196"/>
      <c r="IF12" s="196"/>
      <c r="IG12" s="196"/>
      <c r="IH12" s="196"/>
      <c r="II12" s="196"/>
      <c r="IJ12" s="196"/>
      <c r="IK12" s="196"/>
      <c r="IL12" s="196"/>
      <c r="IM12" s="196"/>
      <c r="IN12" s="196"/>
      <c r="IO12" s="196"/>
      <c r="IP12" s="196"/>
      <c r="IQ12" s="196"/>
      <c r="IR12" s="196"/>
      <c r="IS12" s="196"/>
      <c r="IT12" s="196"/>
      <c r="IU12" s="196"/>
      <c r="IV12" s="196"/>
      <c r="IW12" s="196"/>
      <c r="IX12" s="196"/>
      <c r="IY12" s="196"/>
      <c r="IZ12" s="196"/>
      <c r="JA12" s="196"/>
      <c r="JB12" s="196"/>
      <c r="JC12" s="196"/>
      <c r="JD12" s="196"/>
      <c r="JE12" s="196"/>
      <c r="JF12" s="196"/>
      <c r="JG12" s="196"/>
      <c r="JH12" s="196"/>
      <c r="JI12" s="196"/>
      <c r="JJ12" s="196"/>
      <c r="JK12" s="196"/>
      <c r="JL12" s="196"/>
      <c r="JM12" s="196"/>
      <c r="JN12" s="196"/>
      <c r="JO12" s="196"/>
      <c r="JP12" s="196"/>
      <c r="JQ12" s="196"/>
      <c r="JR12" s="196"/>
      <c r="JS12" s="196"/>
      <c r="JT12" s="196"/>
      <c r="JU12" s="196"/>
      <c r="JV12" s="196"/>
      <c r="JW12" s="196"/>
      <c r="JX12" s="196"/>
      <c r="JY12" s="196"/>
      <c r="JZ12" s="196"/>
      <c r="KA12" s="196"/>
      <c r="KB12" s="196"/>
      <c r="KC12" s="196"/>
      <c r="KD12" s="196"/>
      <c r="KE12" s="196"/>
      <c r="KF12" s="196"/>
      <c r="KG12" s="196"/>
      <c r="KH12" s="196"/>
      <c r="KI12" s="196"/>
      <c r="KJ12" s="196"/>
      <c r="KK12" s="196"/>
      <c r="KL12" s="196"/>
      <c r="KM12" s="196"/>
      <c r="KN12" s="196"/>
      <c r="KO12" s="196"/>
      <c r="KP12" s="196"/>
      <c r="KQ12" s="196"/>
      <c r="KR12" s="196"/>
      <c r="KS12" s="196"/>
      <c r="KT12" s="196"/>
      <c r="KU12" s="196"/>
      <c r="KV12" s="196"/>
      <c r="KW12" s="196"/>
      <c r="KX12" s="196"/>
      <c r="KY12" s="196"/>
      <c r="KZ12" s="196"/>
      <c r="LA12" s="196"/>
      <c r="LB12" s="196"/>
      <c r="LC12" s="196"/>
      <c r="LD12" s="196"/>
      <c r="LE12" s="196"/>
      <c r="LF12" s="196"/>
      <c r="LG12" s="196"/>
      <c r="LH12" s="196"/>
      <c r="LI12" s="196"/>
      <c r="LJ12" s="196"/>
      <c r="LK12" s="196"/>
      <c r="LL12" s="196"/>
      <c r="LM12" s="196"/>
      <c r="LN12" s="196"/>
      <c r="LO12" s="196"/>
      <c r="LP12" s="196"/>
      <c r="LQ12" s="196"/>
      <c r="LR12" s="196"/>
      <c r="LS12" s="196"/>
      <c r="LT12" s="196"/>
      <c r="LU12" s="196"/>
      <c r="LV12" s="196"/>
      <c r="LW12" s="196"/>
      <c r="LX12" s="196"/>
      <c r="LY12" s="196"/>
      <c r="LZ12" s="196"/>
      <c r="MA12" s="196"/>
      <c r="MB12" s="196"/>
      <c r="MC12" s="196"/>
      <c r="MD12" s="196"/>
      <c r="ME12" s="196"/>
      <c r="MF12" s="196"/>
      <c r="MG12" s="196"/>
    </row>
    <row r="13" spans="1:345" s="196" customFormat="1">
      <c r="A13" s="297" t="s">
        <v>8</v>
      </c>
      <c r="Z13" s="203"/>
    </row>
    <row r="14" spans="1:345">
      <c r="A14" s="290" t="s">
        <v>280</v>
      </c>
      <c r="B14" s="798">
        <f t="shared" ref="B14:Z14" si="3">IF(B$3&lt;=time, SUM(B15:B17), "")</f>
        <v>284.73002251534706</v>
      </c>
      <c r="C14" s="367">
        <f t="shared" si="3"/>
        <v>0</v>
      </c>
      <c r="D14" s="367">
        <f t="shared" si="3"/>
        <v>0</v>
      </c>
      <c r="E14" s="367">
        <f t="shared" si="3"/>
        <v>0</v>
      </c>
      <c r="F14" s="367">
        <f t="shared" si="3"/>
        <v>0</v>
      </c>
      <c r="G14" s="367" t="str">
        <f t="shared" si="3"/>
        <v/>
      </c>
      <c r="H14" s="367" t="str">
        <f t="shared" si="3"/>
        <v/>
      </c>
      <c r="I14" s="367" t="str">
        <f t="shared" si="3"/>
        <v/>
      </c>
      <c r="J14" s="367" t="str">
        <f t="shared" si="3"/>
        <v/>
      </c>
      <c r="K14" s="367" t="str">
        <f t="shared" si="3"/>
        <v/>
      </c>
      <c r="L14" s="367" t="str">
        <f t="shared" si="3"/>
        <v/>
      </c>
      <c r="M14" s="367" t="str">
        <f t="shared" si="3"/>
        <v/>
      </c>
      <c r="N14" s="367" t="str">
        <f t="shared" si="3"/>
        <v/>
      </c>
      <c r="O14" s="367" t="str">
        <f t="shared" si="3"/>
        <v/>
      </c>
      <c r="P14" s="367" t="str">
        <f t="shared" si="3"/>
        <v/>
      </c>
      <c r="Q14" s="367" t="str">
        <f t="shared" si="3"/>
        <v/>
      </c>
      <c r="R14" s="367" t="str">
        <f t="shared" si="3"/>
        <v/>
      </c>
      <c r="S14" s="367" t="str">
        <f t="shared" si="3"/>
        <v/>
      </c>
      <c r="T14" s="367" t="str">
        <f t="shared" si="3"/>
        <v/>
      </c>
      <c r="U14" s="367" t="str">
        <f t="shared" si="3"/>
        <v/>
      </c>
      <c r="V14" s="367" t="str">
        <f t="shared" si="3"/>
        <v/>
      </c>
      <c r="W14" s="367" t="str">
        <f t="shared" si="3"/>
        <v/>
      </c>
      <c r="X14" s="367" t="str">
        <f t="shared" si="3"/>
        <v/>
      </c>
      <c r="Y14" s="367" t="str">
        <f t="shared" si="3"/>
        <v/>
      </c>
      <c r="Z14" s="368" t="str">
        <f t="shared" si="3"/>
        <v/>
      </c>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E14" s="196"/>
      <c r="DF14" s="196"/>
      <c r="DG14" s="196"/>
      <c r="DH14" s="196"/>
      <c r="DI14" s="196"/>
      <c r="DJ14" s="196"/>
      <c r="DK14" s="196"/>
      <c r="DL14" s="196"/>
      <c r="DM14" s="196"/>
      <c r="DN14" s="196"/>
      <c r="DO14" s="196"/>
      <c r="DP14" s="196"/>
      <c r="DQ14" s="196"/>
      <c r="DR14" s="196"/>
      <c r="DS14" s="196"/>
      <c r="DT14" s="196"/>
      <c r="DU14" s="196"/>
      <c r="DV14" s="196"/>
      <c r="DW14" s="196"/>
      <c r="DX14" s="196"/>
      <c r="DY14" s="196"/>
      <c r="DZ14" s="196"/>
      <c r="EA14" s="196"/>
      <c r="EB14" s="196"/>
      <c r="EC14" s="196"/>
      <c r="ED14" s="196"/>
      <c r="EE14" s="196"/>
      <c r="EF14" s="196"/>
      <c r="EG14" s="196"/>
      <c r="EH14" s="196"/>
      <c r="EI14" s="196"/>
      <c r="EJ14" s="196"/>
      <c r="EK14" s="196"/>
      <c r="EL14" s="196"/>
      <c r="EM14" s="196"/>
      <c r="EN14" s="196"/>
      <c r="EO14" s="196"/>
      <c r="EP14" s="196"/>
      <c r="EQ14" s="196"/>
      <c r="ER14" s="196"/>
      <c r="ES14" s="196"/>
      <c r="ET14" s="196"/>
      <c r="EU14" s="196"/>
      <c r="EV14" s="196"/>
      <c r="EW14" s="196"/>
      <c r="EX14" s="196"/>
      <c r="EY14" s="196"/>
      <c r="EZ14" s="196"/>
      <c r="FA14" s="196"/>
      <c r="FB14" s="196"/>
      <c r="FC14" s="196"/>
      <c r="FD14" s="196"/>
      <c r="FE14" s="196"/>
      <c r="FF14" s="196"/>
      <c r="FG14" s="196"/>
      <c r="FH14" s="196"/>
      <c r="FI14" s="196"/>
      <c r="FJ14" s="196"/>
      <c r="FK14" s="196"/>
      <c r="FL14" s="196"/>
      <c r="FM14" s="196"/>
      <c r="FN14" s="196"/>
      <c r="FO14" s="196"/>
      <c r="FP14" s="196"/>
      <c r="FQ14" s="196"/>
      <c r="FR14" s="196"/>
      <c r="FS14" s="196"/>
      <c r="FT14" s="196"/>
      <c r="FU14" s="196"/>
      <c r="FV14" s="196"/>
      <c r="FW14" s="196"/>
      <c r="FX14" s="196"/>
      <c r="FY14" s="196"/>
      <c r="FZ14" s="196"/>
      <c r="GA14" s="196"/>
      <c r="GB14" s="196"/>
      <c r="GC14" s="196"/>
      <c r="GD14" s="196"/>
      <c r="GE14" s="196"/>
      <c r="GF14" s="196"/>
      <c r="GG14" s="196"/>
      <c r="GH14" s="196"/>
      <c r="GI14" s="196"/>
      <c r="GJ14" s="196"/>
      <c r="GK14" s="196"/>
      <c r="GL14" s="196"/>
      <c r="GM14" s="196"/>
      <c r="GN14" s="196"/>
      <c r="GO14" s="196"/>
      <c r="GP14" s="196"/>
      <c r="GQ14" s="196"/>
      <c r="GR14" s="196"/>
      <c r="GS14" s="196"/>
      <c r="GT14" s="196"/>
      <c r="GU14" s="196"/>
      <c r="GV14" s="196"/>
      <c r="GW14" s="196"/>
      <c r="GX14" s="196"/>
      <c r="GY14" s="196"/>
      <c r="GZ14" s="196"/>
      <c r="HA14" s="196"/>
      <c r="HB14" s="196"/>
      <c r="HC14" s="196"/>
      <c r="HD14" s="196"/>
      <c r="HE14" s="196"/>
      <c r="HF14" s="196"/>
      <c r="HG14" s="196"/>
      <c r="HH14" s="196"/>
      <c r="HI14" s="196"/>
      <c r="HJ14" s="196"/>
      <c r="HK14" s="196"/>
      <c r="HL14" s="196"/>
      <c r="HM14" s="196"/>
      <c r="HN14" s="196"/>
      <c r="HO14" s="196"/>
      <c r="HP14" s="196"/>
      <c r="HQ14" s="196"/>
      <c r="HR14" s="196"/>
      <c r="HS14" s="196"/>
      <c r="HT14" s="196"/>
      <c r="HU14" s="196"/>
      <c r="HV14" s="196"/>
      <c r="HW14" s="196"/>
      <c r="HX14" s="196"/>
      <c r="HY14" s="196"/>
      <c r="HZ14" s="196"/>
      <c r="IA14" s="196"/>
      <c r="IB14" s="196"/>
      <c r="IC14" s="196"/>
      <c r="ID14" s="196"/>
      <c r="IE14" s="196"/>
      <c r="IF14" s="196"/>
      <c r="IG14" s="196"/>
      <c r="IH14" s="196"/>
      <c r="II14" s="196"/>
      <c r="IJ14" s="196"/>
      <c r="IK14" s="196"/>
      <c r="IL14" s="196"/>
      <c r="IM14" s="196"/>
      <c r="IN14" s="196"/>
      <c r="IO14" s="196"/>
      <c r="IP14" s="196"/>
      <c r="IQ14" s="196"/>
      <c r="IR14" s="196"/>
      <c r="IS14" s="196"/>
      <c r="IT14" s="196"/>
      <c r="IU14" s="196"/>
      <c r="IV14" s="196"/>
      <c r="IW14" s="196"/>
      <c r="IX14" s="196"/>
      <c r="IY14" s="196"/>
      <c r="IZ14" s="196"/>
      <c r="JA14" s="196"/>
      <c r="JB14" s="196"/>
      <c r="JC14" s="196"/>
      <c r="JD14" s="196"/>
      <c r="JE14" s="196"/>
      <c r="JF14" s="196"/>
      <c r="JG14" s="196"/>
      <c r="JH14" s="196"/>
      <c r="JI14" s="196"/>
      <c r="JJ14" s="196"/>
      <c r="JK14" s="196"/>
      <c r="JL14" s="196"/>
      <c r="JM14" s="196"/>
      <c r="JN14" s="196"/>
      <c r="JO14" s="196"/>
      <c r="JP14" s="196"/>
      <c r="JQ14" s="196"/>
      <c r="JR14" s="196"/>
      <c r="JS14" s="196"/>
      <c r="JT14" s="196"/>
      <c r="JU14" s="196"/>
      <c r="JV14" s="196"/>
      <c r="JW14" s="196"/>
      <c r="JX14" s="196"/>
      <c r="JY14" s="196"/>
      <c r="JZ14" s="196"/>
      <c r="KA14" s="196"/>
      <c r="KB14" s="196"/>
      <c r="KC14" s="196"/>
      <c r="KD14" s="196"/>
      <c r="KE14" s="196"/>
      <c r="KF14" s="196"/>
      <c r="KG14" s="196"/>
      <c r="KH14" s="196"/>
      <c r="KI14" s="196"/>
      <c r="KJ14" s="196"/>
      <c r="KK14" s="196"/>
      <c r="KL14" s="196"/>
      <c r="KM14" s="196"/>
      <c r="KN14" s="196"/>
      <c r="KO14" s="196"/>
      <c r="KP14" s="196"/>
      <c r="KQ14" s="196"/>
      <c r="KR14" s="196"/>
      <c r="KS14" s="196"/>
      <c r="KT14" s="196"/>
      <c r="KU14" s="196"/>
      <c r="KV14" s="196"/>
      <c r="KW14" s="196"/>
      <c r="KX14" s="196"/>
      <c r="KY14" s="196"/>
      <c r="KZ14" s="196"/>
      <c r="LA14" s="196"/>
      <c r="LB14" s="196"/>
      <c r="LC14" s="196"/>
      <c r="LD14" s="196"/>
      <c r="LE14" s="196"/>
      <c r="LF14" s="196"/>
      <c r="LG14" s="196"/>
      <c r="LH14" s="196"/>
      <c r="LI14" s="196"/>
      <c r="LJ14" s="196"/>
      <c r="LK14" s="196"/>
      <c r="LL14" s="196"/>
      <c r="LM14" s="196"/>
      <c r="LN14" s="196"/>
      <c r="LO14" s="196"/>
      <c r="LP14" s="196"/>
      <c r="LQ14" s="196"/>
      <c r="LR14" s="196"/>
      <c r="LS14" s="196"/>
      <c r="LT14" s="196"/>
      <c r="LU14" s="196"/>
      <c r="LV14" s="196"/>
      <c r="LW14" s="196"/>
      <c r="LX14" s="196"/>
      <c r="LY14" s="196"/>
      <c r="LZ14" s="196"/>
      <c r="MA14" s="196"/>
      <c r="MB14" s="196"/>
      <c r="MC14" s="196"/>
      <c r="MD14" s="196"/>
      <c r="ME14" s="196"/>
      <c r="MF14" s="196"/>
      <c r="MG14" s="196"/>
    </row>
    <row r="15" spans="1:345">
      <c r="A15" s="292" t="s">
        <v>14</v>
      </c>
      <c r="B15" s="798">
        <f>IF(B$3&lt;=time, SUM('Attributable fraction'!AA45:AA54), "")</f>
        <v>284.73002251534706</v>
      </c>
      <c r="C15" s="367">
        <f>IF(C$3&lt;=time, SUM('Attributable fraction'!AB45:AB54), "")</f>
        <v>0</v>
      </c>
      <c r="D15" s="367">
        <f>IF(D$3&lt;=time, SUM('Attributable fraction'!AC45:AC54), "")</f>
        <v>0</v>
      </c>
      <c r="E15" s="367">
        <f>IF(E$3&lt;=time, SUM('Attributable fraction'!AD45:AD54), "")</f>
        <v>0</v>
      </c>
      <c r="F15" s="367">
        <f>IF(F$3&lt;=time, SUM('Attributable fraction'!AE45:AE54), "")</f>
        <v>0</v>
      </c>
      <c r="G15" s="367" t="str">
        <f>IF(G$3&lt;=time, SUM('Attributable fraction'!AF45:AF54), "")</f>
        <v/>
      </c>
      <c r="H15" s="367" t="str">
        <f>IF(H$3&lt;=time, SUM('Attributable fraction'!AG45:AG54), "")</f>
        <v/>
      </c>
      <c r="I15" s="367" t="str">
        <f>IF(I$3&lt;=time, SUM('Attributable fraction'!AH45:AH54), "")</f>
        <v/>
      </c>
      <c r="J15" s="367" t="str">
        <f>IF(J$3&lt;=time, SUM('Attributable fraction'!AI45:AI54), "")</f>
        <v/>
      </c>
      <c r="K15" s="367" t="str">
        <f>IF(K$3&lt;=time, SUM('Attributable fraction'!AJ45:AJ54), "")</f>
        <v/>
      </c>
      <c r="L15" s="367" t="str">
        <f>IF(L$3&lt;=time, SUM('Attributable fraction'!AK45:AK54), "")</f>
        <v/>
      </c>
      <c r="M15" s="367" t="str">
        <f>IF(M$3&lt;=time, SUM('Attributable fraction'!AL45:AL54), "")</f>
        <v/>
      </c>
      <c r="N15" s="367" t="str">
        <f>IF(N$3&lt;=time, SUM('Attributable fraction'!AM45:AM54), "")</f>
        <v/>
      </c>
      <c r="O15" s="367" t="str">
        <f>IF(O$3&lt;=time, SUM('Attributable fraction'!AN45:AN54), "")</f>
        <v/>
      </c>
      <c r="P15" s="367" t="str">
        <f>IF(P$3&lt;=time, SUM('Attributable fraction'!AO45:AO54), "")</f>
        <v/>
      </c>
      <c r="Q15" s="367" t="str">
        <f>IF(Q$3&lt;=time, SUM('Attributable fraction'!AP45:AP54), "")</f>
        <v/>
      </c>
      <c r="R15" s="367" t="str">
        <f>IF(R$3&lt;=time, SUM('Attributable fraction'!AQ45:AQ54), "")</f>
        <v/>
      </c>
      <c r="S15" s="367" t="str">
        <f>IF(S$3&lt;=time, SUM('Attributable fraction'!AR45:AR54), "")</f>
        <v/>
      </c>
      <c r="T15" s="367" t="str">
        <f>IF(T$3&lt;=time, SUM('Attributable fraction'!AS45:AS54), "")</f>
        <v/>
      </c>
      <c r="U15" s="367" t="str">
        <f>IF(U$3&lt;=time, SUM('Attributable fraction'!AT45:AT54), "")</f>
        <v/>
      </c>
      <c r="V15" s="367" t="str">
        <f>IF(V$3&lt;=time, SUM('Attributable fraction'!AU45:AU54), "")</f>
        <v/>
      </c>
      <c r="W15" s="367" t="str">
        <f>IF(W$3&lt;=time, SUM('Attributable fraction'!AV45:AV54), "")</f>
        <v/>
      </c>
      <c r="X15" s="367" t="str">
        <f>IF(X$3&lt;=time, SUM('Attributable fraction'!AW45:AW54), "")</f>
        <v/>
      </c>
      <c r="Y15" s="367" t="str">
        <f>IF(Y$3&lt;=time, SUM('Attributable fraction'!AX45:AX54), "")</f>
        <v/>
      </c>
      <c r="Z15" s="368" t="str">
        <f>IF(Z$3&lt;=time, SUM('Attributable fraction'!AY45:AY54), "")</f>
        <v/>
      </c>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c r="CA15" s="196"/>
      <c r="CB15" s="196"/>
      <c r="CC15" s="196"/>
      <c r="CD15" s="196"/>
      <c r="CE15" s="196"/>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E15" s="196"/>
      <c r="DF15" s="196"/>
      <c r="DG15" s="196"/>
      <c r="DH15" s="196"/>
      <c r="DI15" s="196"/>
      <c r="DJ15" s="196"/>
      <c r="DK15" s="196"/>
      <c r="DL15" s="196"/>
      <c r="DM15" s="196"/>
      <c r="DN15" s="196"/>
      <c r="DO15" s="196"/>
      <c r="DP15" s="196"/>
      <c r="DQ15" s="196"/>
      <c r="DR15" s="196"/>
      <c r="DS15" s="196"/>
      <c r="DT15" s="196"/>
      <c r="DU15" s="196"/>
      <c r="DV15" s="196"/>
      <c r="DW15" s="196"/>
      <c r="DX15" s="196"/>
      <c r="DY15" s="196"/>
      <c r="DZ15" s="196"/>
      <c r="EA15" s="196"/>
      <c r="EB15" s="196"/>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L15" s="196"/>
      <c r="GM15" s="196"/>
      <c r="GN15" s="196"/>
      <c r="GO15" s="196"/>
      <c r="GP15" s="196"/>
      <c r="GQ15" s="196"/>
      <c r="GR15" s="196"/>
      <c r="GS15" s="196"/>
      <c r="GT15" s="196"/>
      <c r="GU15" s="196"/>
      <c r="GV15" s="196"/>
      <c r="GW15" s="196"/>
      <c r="GX15" s="196"/>
      <c r="GY15" s="196"/>
      <c r="GZ15" s="196"/>
      <c r="HA15" s="196"/>
      <c r="HB15" s="196"/>
      <c r="HC15" s="196"/>
      <c r="HD15" s="196"/>
      <c r="HE15" s="196"/>
      <c r="HF15" s="196"/>
      <c r="HG15" s="196"/>
      <c r="HH15" s="196"/>
      <c r="HI15" s="196"/>
      <c r="HJ15" s="196"/>
      <c r="HK15" s="196"/>
      <c r="HL15" s="196"/>
      <c r="HM15" s="196"/>
      <c r="HN15" s="196"/>
      <c r="HO15" s="196"/>
      <c r="HP15" s="196"/>
      <c r="HQ15" s="196"/>
      <c r="HR15" s="196"/>
      <c r="HS15" s="196"/>
      <c r="HT15" s="196"/>
      <c r="HU15" s="196"/>
      <c r="HV15" s="196"/>
      <c r="HW15" s="196"/>
      <c r="HX15" s="196"/>
      <c r="HY15" s="196"/>
      <c r="HZ15" s="196"/>
      <c r="IA15" s="196"/>
      <c r="IB15" s="196"/>
      <c r="IC15" s="196"/>
      <c r="ID15" s="196"/>
      <c r="IE15" s="196"/>
      <c r="IF15" s="196"/>
      <c r="IG15" s="196"/>
      <c r="IH15" s="196"/>
      <c r="II15" s="196"/>
      <c r="IJ15" s="196"/>
      <c r="IK15" s="196"/>
      <c r="IL15" s="196"/>
      <c r="IM15" s="196"/>
      <c r="IN15" s="196"/>
      <c r="IO15" s="196"/>
      <c r="IP15" s="196"/>
      <c r="IQ15" s="196"/>
      <c r="IR15" s="196"/>
      <c r="IS15" s="196"/>
      <c r="IT15" s="196"/>
      <c r="IU15" s="196"/>
      <c r="IV15" s="196"/>
      <c r="IW15" s="196"/>
      <c r="IX15" s="196"/>
      <c r="IY15" s="196"/>
      <c r="IZ15" s="196"/>
      <c r="JA15" s="196"/>
      <c r="JB15" s="196"/>
      <c r="JC15" s="196"/>
      <c r="JD15" s="196"/>
      <c r="JE15" s="196"/>
      <c r="JF15" s="196"/>
      <c r="JG15" s="196"/>
      <c r="JH15" s="196"/>
      <c r="JI15" s="196"/>
      <c r="JJ15" s="196"/>
      <c r="JK15" s="196"/>
      <c r="JL15" s="196"/>
      <c r="JM15" s="196"/>
      <c r="JN15" s="196"/>
      <c r="JO15" s="196"/>
      <c r="JP15" s="196"/>
      <c r="JQ15" s="196"/>
      <c r="JR15" s="196"/>
      <c r="JS15" s="196"/>
      <c r="JT15" s="196"/>
      <c r="JU15" s="196"/>
      <c r="JV15" s="196"/>
      <c r="JW15" s="196"/>
      <c r="JX15" s="196"/>
      <c r="JY15" s="196"/>
      <c r="JZ15" s="196"/>
      <c r="KA15" s="196"/>
      <c r="KB15" s="196"/>
      <c r="KC15" s="196"/>
      <c r="KD15" s="196"/>
      <c r="KE15" s="196"/>
      <c r="KF15" s="196"/>
      <c r="KG15" s="196"/>
      <c r="KH15" s="196"/>
      <c r="KI15" s="196"/>
      <c r="KJ15" s="196"/>
      <c r="KK15" s="196"/>
      <c r="KL15" s="196"/>
      <c r="KM15" s="196"/>
      <c r="KN15" s="196"/>
      <c r="KO15" s="196"/>
      <c r="KP15" s="196"/>
      <c r="KQ15" s="196"/>
      <c r="KR15" s="196"/>
      <c r="KS15" s="196"/>
      <c r="KT15" s="196"/>
      <c r="KU15" s="196"/>
      <c r="KV15" s="196"/>
      <c r="KW15" s="196"/>
      <c r="KX15" s="196"/>
      <c r="KY15" s="196"/>
      <c r="KZ15" s="196"/>
      <c r="LA15" s="196"/>
      <c r="LB15" s="196"/>
      <c r="LC15" s="196"/>
      <c r="LD15" s="196"/>
      <c r="LE15" s="196"/>
      <c r="LF15" s="196"/>
      <c r="LG15" s="196"/>
      <c r="LH15" s="196"/>
      <c r="LI15" s="196"/>
      <c r="LJ15" s="196"/>
      <c r="LK15" s="196"/>
      <c r="LL15" s="196"/>
      <c r="LM15" s="196"/>
      <c r="LN15" s="196"/>
      <c r="LO15" s="196"/>
      <c r="LP15" s="196"/>
      <c r="LQ15" s="196"/>
      <c r="LR15" s="196"/>
      <c r="LS15" s="196"/>
      <c r="LT15" s="196"/>
      <c r="LU15" s="196"/>
      <c r="LV15" s="196"/>
      <c r="LW15" s="196"/>
      <c r="LX15" s="196"/>
      <c r="LY15" s="196"/>
      <c r="LZ15" s="196"/>
      <c r="MA15" s="196"/>
      <c r="MB15" s="196"/>
      <c r="MC15" s="196"/>
      <c r="MD15" s="196"/>
      <c r="ME15" s="196"/>
      <c r="MF15" s="196"/>
      <c r="MG15" s="196"/>
    </row>
    <row r="16" spans="1:345">
      <c r="A16" s="302" t="s">
        <v>15</v>
      </c>
      <c r="B16" s="367">
        <f>IF(B$3&lt;=time, SUM('Attributable fraction'!AA56:AA65), "")</f>
        <v>0</v>
      </c>
      <c r="C16" s="367">
        <f>IF(C$3&lt;=time, SUM('Attributable fraction'!AB56:AB65), "")</f>
        <v>0</v>
      </c>
      <c r="D16" s="367">
        <f>IF(D$3&lt;=time, SUM('Attributable fraction'!AC56:AC65), "")</f>
        <v>0</v>
      </c>
      <c r="E16" s="367">
        <f>IF(E$3&lt;=time, SUM('Attributable fraction'!AD56:AD65), "")</f>
        <v>0</v>
      </c>
      <c r="F16" s="367">
        <f>IF(F$3&lt;=time, SUM('Attributable fraction'!AE56:AE65), "")</f>
        <v>0</v>
      </c>
      <c r="G16" s="367" t="str">
        <f>IF(G$3&lt;=time, SUM('Attributable fraction'!AF56:AF65), "")</f>
        <v/>
      </c>
      <c r="H16" s="367" t="str">
        <f>IF(H$3&lt;=time, SUM('Attributable fraction'!AG56:AG65), "")</f>
        <v/>
      </c>
      <c r="I16" s="367" t="str">
        <f>IF(I$3&lt;=time, SUM('Attributable fraction'!AH56:AH65), "")</f>
        <v/>
      </c>
      <c r="J16" s="367" t="str">
        <f>IF(J$3&lt;=time, SUM('Attributable fraction'!AI56:AI65), "")</f>
        <v/>
      </c>
      <c r="K16" s="367" t="str">
        <f>IF(K$3&lt;=time, SUM('Attributable fraction'!AJ56:AJ65), "")</f>
        <v/>
      </c>
      <c r="L16" s="367" t="str">
        <f>IF(L$3&lt;=time, SUM('Attributable fraction'!AK56:AK65), "")</f>
        <v/>
      </c>
      <c r="M16" s="367" t="str">
        <f>IF(M$3&lt;=time, SUM('Attributable fraction'!AL56:AL65), "")</f>
        <v/>
      </c>
      <c r="N16" s="367" t="str">
        <f>IF(N$3&lt;=time, SUM('Attributable fraction'!AM56:AM65), "")</f>
        <v/>
      </c>
      <c r="O16" s="367" t="str">
        <f>IF(O$3&lt;=time, SUM('Attributable fraction'!AN56:AN65), "")</f>
        <v/>
      </c>
      <c r="P16" s="367" t="str">
        <f>IF(P$3&lt;=time, SUM('Attributable fraction'!AO56:AO65), "")</f>
        <v/>
      </c>
      <c r="Q16" s="367" t="str">
        <f>IF(Q$3&lt;=time, SUM('Attributable fraction'!AP56:AP65), "")</f>
        <v/>
      </c>
      <c r="R16" s="367" t="str">
        <f>IF(R$3&lt;=time, SUM('Attributable fraction'!AQ56:AQ65), "")</f>
        <v/>
      </c>
      <c r="S16" s="367" t="str">
        <f>IF(S$3&lt;=time, SUM('Attributable fraction'!AR56:AR65), "")</f>
        <v/>
      </c>
      <c r="T16" s="367" t="str">
        <f>IF(T$3&lt;=time, SUM('Attributable fraction'!AS56:AS65), "")</f>
        <v/>
      </c>
      <c r="U16" s="367" t="str">
        <f>IF(U$3&lt;=time, SUM('Attributable fraction'!AT56:AT65), "")</f>
        <v/>
      </c>
      <c r="V16" s="367" t="str">
        <f>IF(V$3&lt;=time, SUM('Attributable fraction'!AU56:AU65), "")</f>
        <v/>
      </c>
      <c r="W16" s="367" t="str">
        <f>IF(W$3&lt;=time, SUM('Attributable fraction'!AV56:AV65), "")</f>
        <v/>
      </c>
      <c r="X16" s="367" t="str">
        <f>IF(X$3&lt;=time, SUM('Attributable fraction'!AW56:AW65), "")</f>
        <v/>
      </c>
      <c r="Y16" s="367" t="str">
        <f>IF(Y$3&lt;=time, SUM('Attributable fraction'!AX56:AX65), "")</f>
        <v/>
      </c>
      <c r="Z16" s="368" t="str">
        <f>IF(Z$3&lt;=time, SUM('Attributable fraction'!AY56:AY65), "")</f>
        <v/>
      </c>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E16" s="196"/>
      <c r="DF16" s="196"/>
      <c r="DG16" s="196"/>
      <c r="DH16" s="196"/>
      <c r="DI16" s="196"/>
      <c r="DJ16" s="196"/>
      <c r="DK16" s="196"/>
      <c r="DL16" s="196"/>
      <c r="DM16" s="196"/>
      <c r="DN16" s="196"/>
      <c r="DO16" s="196"/>
      <c r="DP16" s="196"/>
      <c r="DQ16" s="196"/>
      <c r="DR16" s="196"/>
      <c r="DS16" s="196"/>
      <c r="DT16" s="196"/>
      <c r="DU16" s="196"/>
      <c r="DV16" s="196"/>
      <c r="DW16" s="196"/>
      <c r="DX16" s="196"/>
      <c r="DY16" s="196"/>
      <c r="DZ16" s="196"/>
      <c r="EA16" s="196"/>
      <c r="EB16" s="196"/>
      <c r="EC16" s="196"/>
      <c r="ED16" s="196"/>
      <c r="EE16" s="196"/>
      <c r="EF16" s="196"/>
      <c r="EG16" s="196"/>
      <c r="EH16" s="196"/>
      <c r="EI16" s="196"/>
      <c r="EJ16" s="196"/>
      <c r="EK16" s="196"/>
      <c r="EL16" s="196"/>
      <c r="EM16" s="196"/>
      <c r="EN16" s="196"/>
      <c r="EO16" s="196"/>
      <c r="EP16" s="196"/>
      <c r="EQ16" s="196"/>
      <c r="ER16" s="196"/>
      <c r="ES16" s="196"/>
      <c r="ET16" s="196"/>
      <c r="EU16" s="196"/>
      <c r="EV16" s="196"/>
      <c r="EW16" s="196"/>
      <c r="EX16" s="196"/>
      <c r="EY16" s="196"/>
      <c r="EZ16" s="196"/>
      <c r="FA16" s="196"/>
      <c r="FB16" s="196"/>
      <c r="FC16" s="196"/>
      <c r="FD16" s="196"/>
      <c r="FE16" s="196"/>
      <c r="FF16" s="196"/>
      <c r="FG16" s="196"/>
      <c r="FH16" s="196"/>
      <c r="FI16" s="196"/>
      <c r="FJ16" s="196"/>
      <c r="FK16" s="196"/>
      <c r="FL16" s="196"/>
      <c r="FM16" s="196"/>
      <c r="FN16" s="196"/>
      <c r="FO16" s="196"/>
      <c r="FP16" s="196"/>
      <c r="FQ16" s="196"/>
      <c r="FR16" s="196"/>
      <c r="FS16" s="196"/>
      <c r="FT16" s="196"/>
      <c r="FU16" s="196"/>
      <c r="FV16" s="196"/>
      <c r="FW16" s="196"/>
      <c r="FX16" s="196"/>
      <c r="FY16" s="196"/>
      <c r="FZ16" s="196"/>
      <c r="GA16" s="196"/>
      <c r="GB16" s="196"/>
      <c r="GC16" s="196"/>
      <c r="GD16" s="196"/>
      <c r="GE16" s="196"/>
      <c r="GF16" s="196"/>
      <c r="GG16" s="196"/>
      <c r="GH16" s="196"/>
      <c r="GI16" s="196"/>
      <c r="GJ16" s="196"/>
      <c r="GK16" s="196"/>
      <c r="GL16" s="196"/>
      <c r="GM16" s="196"/>
      <c r="GN16" s="196"/>
      <c r="GO16" s="196"/>
      <c r="GP16" s="196"/>
      <c r="GQ16" s="196"/>
      <c r="GR16" s="196"/>
      <c r="GS16" s="196"/>
      <c r="GT16" s="196"/>
      <c r="GU16" s="196"/>
      <c r="GV16" s="196"/>
      <c r="GW16" s="196"/>
      <c r="GX16" s="196"/>
      <c r="GY16" s="196"/>
      <c r="GZ16" s="196"/>
      <c r="HA16" s="196"/>
      <c r="HB16" s="196"/>
      <c r="HC16" s="196"/>
      <c r="HD16" s="196"/>
      <c r="HE16" s="196"/>
      <c r="HF16" s="196"/>
      <c r="HG16" s="196"/>
      <c r="HH16" s="196"/>
      <c r="HI16" s="196"/>
      <c r="HJ16" s="196"/>
      <c r="HK16" s="196"/>
      <c r="HL16" s="196"/>
      <c r="HM16" s="196"/>
      <c r="HN16" s="196"/>
      <c r="HO16" s="196"/>
      <c r="HP16" s="196"/>
      <c r="HQ16" s="196"/>
      <c r="HR16" s="196"/>
      <c r="HS16" s="196"/>
      <c r="HT16" s="196"/>
      <c r="HU16" s="196"/>
      <c r="HV16" s="196"/>
      <c r="HW16" s="196"/>
      <c r="HX16" s="196"/>
      <c r="HY16" s="196"/>
      <c r="HZ16" s="196"/>
      <c r="IA16" s="196"/>
      <c r="IB16" s="196"/>
      <c r="IC16" s="196"/>
      <c r="ID16" s="196"/>
      <c r="IE16" s="196"/>
      <c r="IF16" s="196"/>
      <c r="IG16" s="196"/>
      <c r="IH16" s="196"/>
      <c r="II16" s="196"/>
      <c r="IJ16" s="196"/>
      <c r="IK16" s="196"/>
      <c r="IL16" s="196"/>
      <c r="IM16" s="196"/>
      <c r="IN16" s="196"/>
      <c r="IO16" s="196"/>
      <c r="IP16" s="196"/>
      <c r="IQ16" s="196"/>
      <c r="IR16" s="196"/>
      <c r="IS16" s="196"/>
      <c r="IT16" s="196"/>
      <c r="IU16" s="196"/>
      <c r="IV16" s="196"/>
      <c r="IW16" s="196"/>
      <c r="IX16" s="196"/>
      <c r="IY16" s="196"/>
      <c r="IZ16" s="196"/>
      <c r="JA16" s="196"/>
      <c r="JB16" s="196"/>
      <c r="JC16" s="196"/>
      <c r="JD16" s="196"/>
      <c r="JE16" s="196"/>
      <c r="JF16" s="196"/>
      <c r="JG16" s="196"/>
      <c r="JH16" s="196"/>
      <c r="JI16" s="196"/>
      <c r="JJ16" s="196"/>
      <c r="JK16" s="196"/>
      <c r="JL16" s="196"/>
      <c r="JM16" s="196"/>
      <c r="JN16" s="196"/>
      <c r="JO16" s="196"/>
      <c r="JP16" s="196"/>
      <c r="JQ16" s="196"/>
      <c r="JR16" s="196"/>
      <c r="JS16" s="196"/>
      <c r="JT16" s="196"/>
      <c r="JU16" s="196"/>
      <c r="JV16" s="196"/>
      <c r="JW16" s="196"/>
      <c r="JX16" s="196"/>
      <c r="JY16" s="196"/>
      <c r="JZ16" s="196"/>
      <c r="KA16" s="196"/>
      <c r="KB16" s="196"/>
      <c r="KC16" s="196"/>
      <c r="KD16" s="196"/>
      <c r="KE16" s="196"/>
      <c r="KF16" s="196"/>
      <c r="KG16" s="196"/>
      <c r="KH16" s="196"/>
      <c r="KI16" s="196"/>
      <c r="KJ16" s="196"/>
      <c r="KK16" s="196"/>
      <c r="KL16" s="196"/>
      <c r="KM16" s="196"/>
      <c r="KN16" s="196"/>
      <c r="KO16" s="196"/>
      <c r="KP16" s="196"/>
      <c r="KQ16" s="196"/>
      <c r="KR16" s="196"/>
      <c r="KS16" s="196"/>
      <c r="KT16" s="196"/>
      <c r="KU16" s="196"/>
      <c r="KV16" s="196"/>
      <c r="KW16" s="196"/>
      <c r="KX16" s="196"/>
      <c r="KY16" s="196"/>
      <c r="KZ16" s="196"/>
      <c r="LA16" s="196"/>
      <c r="LB16" s="196"/>
      <c r="LC16" s="196"/>
      <c r="LD16" s="196"/>
      <c r="LE16" s="196"/>
      <c r="LF16" s="196"/>
      <c r="LG16" s="196"/>
      <c r="LH16" s="196"/>
      <c r="LI16" s="196"/>
      <c r="LJ16" s="196"/>
      <c r="LK16" s="196"/>
      <c r="LL16" s="196"/>
      <c r="LM16" s="196"/>
      <c r="LN16" s="196"/>
      <c r="LO16" s="196"/>
      <c r="LP16" s="196"/>
      <c r="LQ16" s="196"/>
      <c r="LR16" s="196"/>
      <c r="LS16" s="196"/>
      <c r="LT16" s="196"/>
      <c r="LU16" s="196"/>
      <c r="LV16" s="196"/>
      <c r="LW16" s="196"/>
      <c r="LX16" s="196"/>
      <c r="LY16" s="196"/>
      <c r="LZ16" s="196"/>
      <c r="MA16" s="196"/>
      <c r="MB16" s="196"/>
      <c r="MC16" s="196"/>
      <c r="MD16" s="196"/>
      <c r="ME16" s="196"/>
      <c r="MF16" s="196"/>
      <c r="MG16" s="196"/>
    </row>
    <row r="17" spans="1:345">
      <c r="A17" s="292" t="s">
        <v>16</v>
      </c>
      <c r="B17" s="367">
        <f>IF(B$3&lt;=time, SUM('Attributable fraction'!AA67:AA76), "")</f>
        <v>0</v>
      </c>
      <c r="C17" s="367">
        <f>IF(C$3&lt;=time, SUM('Attributable fraction'!AB67:AB76), "")</f>
        <v>0</v>
      </c>
      <c r="D17" s="367">
        <f>IF(D$3&lt;=time, SUM('Attributable fraction'!AC67:AC76), "")</f>
        <v>0</v>
      </c>
      <c r="E17" s="367">
        <f>IF(E$3&lt;=time, SUM('Attributable fraction'!AD67:AD76), "")</f>
        <v>0</v>
      </c>
      <c r="F17" s="367">
        <f>IF(F$3&lt;=time, SUM('Attributable fraction'!AE67:AE76), "")</f>
        <v>0</v>
      </c>
      <c r="G17" s="367" t="str">
        <f>IF(G$3&lt;=time, SUM('Attributable fraction'!AF67:AF76), "")</f>
        <v/>
      </c>
      <c r="H17" s="367" t="str">
        <f>IF(H$3&lt;=time, SUM('Attributable fraction'!AG67:AG76), "")</f>
        <v/>
      </c>
      <c r="I17" s="367" t="str">
        <f>IF(I$3&lt;=time, SUM('Attributable fraction'!AH67:AH76), "")</f>
        <v/>
      </c>
      <c r="J17" s="367" t="str">
        <f>IF(J$3&lt;=time, SUM('Attributable fraction'!AI67:AI76), "")</f>
        <v/>
      </c>
      <c r="K17" s="367" t="str">
        <f>IF(K$3&lt;=time, SUM('Attributable fraction'!AJ67:AJ76), "")</f>
        <v/>
      </c>
      <c r="L17" s="367" t="str">
        <f>IF(L$3&lt;=time, SUM('Attributable fraction'!AK67:AK76), "")</f>
        <v/>
      </c>
      <c r="M17" s="367" t="str">
        <f>IF(M$3&lt;=time, SUM('Attributable fraction'!AL67:AL76), "")</f>
        <v/>
      </c>
      <c r="N17" s="367" t="str">
        <f>IF(N$3&lt;=time, SUM('Attributable fraction'!AM67:AM76), "")</f>
        <v/>
      </c>
      <c r="O17" s="367" t="str">
        <f>IF(O$3&lt;=time, SUM('Attributable fraction'!AN67:AN76), "")</f>
        <v/>
      </c>
      <c r="P17" s="367" t="str">
        <f>IF(P$3&lt;=time, SUM('Attributable fraction'!AO67:AO76), "")</f>
        <v/>
      </c>
      <c r="Q17" s="367" t="str">
        <f>IF(Q$3&lt;=time, SUM('Attributable fraction'!AP67:AP76), "")</f>
        <v/>
      </c>
      <c r="R17" s="367" t="str">
        <f>IF(R$3&lt;=time, SUM('Attributable fraction'!AQ67:AQ76), "")</f>
        <v/>
      </c>
      <c r="S17" s="367" t="str">
        <f>IF(S$3&lt;=time, SUM('Attributable fraction'!AR67:AR76), "")</f>
        <v/>
      </c>
      <c r="T17" s="367" t="str">
        <f>IF(T$3&lt;=time, SUM('Attributable fraction'!AS67:AS76), "")</f>
        <v/>
      </c>
      <c r="U17" s="367" t="str">
        <f>IF(U$3&lt;=time, SUM('Attributable fraction'!AT67:AT76), "")</f>
        <v/>
      </c>
      <c r="V17" s="367" t="str">
        <f>IF(V$3&lt;=time, SUM('Attributable fraction'!AU67:AU76), "")</f>
        <v/>
      </c>
      <c r="W17" s="367" t="str">
        <f>IF(W$3&lt;=time, SUM('Attributable fraction'!AV67:AV76), "")</f>
        <v/>
      </c>
      <c r="X17" s="367" t="str">
        <f>IF(X$3&lt;=time, SUM('Attributable fraction'!AW67:AW76), "")</f>
        <v/>
      </c>
      <c r="Y17" s="367" t="str">
        <f>IF(Y$3&lt;=time, SUM('Attributable fraction'!AX67:AX76), "")</f>
        <v/>
      </c>
      <c r="Z17" s="368" t="str">
        <f>IF(Z$3&lt;=time, SUM('Attributable fraction'!AY67:AY76), "")</f>
        <v/>
      </c>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c r="BJ17" s="196"/>
      <c r="BK17" s="196"/>
      <c r="BL17" s="196"/>
      <c r="BM17" s="196"/>
      <c r="BN17" s="196"/>
      <c r="BO17" s="196"/>
      <c r="BP17" s="196"/>
      <c r="BQ17" s="196"/>
      <c r="BR17" s="196"/>
      <c r="BS17" s="196"/>
      <c r="BT17" s="196"/>
      <c r="BU17" s="196"/>
      <c r="BV17" s="196"/>
      <c r="BW17" s="196"/>
      <c r="BX17" s="196"/>
      <c r="BY17" s="196"/>
      <c r="BZ17" s="196"/>
      <c r="CA17" s="196"/>
      <c r="CB17" s="196"/>
      <c r="CC17" s="196"/>
      <c r="CD17" s="196"/>
      <c r="CE17" s="196"/>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E17" s="196"/>
      <c r="DF17" s="196"/>
      <c r="DG17" s="196"/>
      <c r="DH17" s="196"/>
      <c r="DI17" s="196"/>
      <c r="DJ17" s="196"/>
      <c r="DK17" s="196"/>
      <c r="DL17" s="196"/>
      <c r="DM17" s="196"/>
      <c r="DN17" s="196"/>
      <c r="DO17" s="196"/>
      <c r="DP17" s="196"/>
      <c r="DQ17" s="196"/>
      <c r="DR17" s="196"/>
      <c r="DS17" s="196"/>
      <c r="DT17" s="196"/>
      <c r="DU17" s="196"/>
      <c r="DV17" s="196"/>
      <c r="DW17" s="196"/>
      <c r="DX17" s="196"/>
      <c r="DY17" s="196"/>
      <c r="DZ17" s="196"/>
      <c r="EA17" s="196"/>
      <c r="EB17" s="196"/>
      <c r="EC17" s="196"/>
      <c r="ED17" s="196"/>
      <c r="EE17" s="196"/>
      <c r="EF17" s="196"/>
      <c r="EG17" s="196"/>
      <c r="EH17" s="196"/>
      <c r="EI17" s="196"/>
      <c r="EJ17" s="196"/>
      <c r="EK17" s="196"/>
      <c r="EL17" s="196"/>
      <c r="EM17" s="196"/>
      <c r="EN17" s="196"/>
      <c r="EO17" s="196"/>
      <c r="EP17" s="196"/>
      <c r="EQ17" s="196"/>
      <c r="ER17" s="196"/>
      <c r="ES17" s="196"/>
      <c r="ET17" s="196"/>
      <c r="EU17" s="196"/>
      <c r="EV17" s="196"/>
      <c r="EW17" s="196"/>
      <c r="EX17" s="196"/>
      <c r="EY17" s="196"/>
      <c r="EZ17" s="196"/>
      <c r="FA17" s="196"/>
      <c r="FB17" s="196"/>
      <c r="FC17" s="196"/>
      <c r="FD17" s="196"/>
      <c r="FE17" s="196"/>
      <c r="FF17" s="196"/>
      <c r="FG17" s="196"/>
      <c r="FH17" s="196"/>
      <c r="FI17" s="196"/>
      <c r="FJ17" s="196"/>
      <c r="FK17" s="196"/>
      <c r="FL17" s="196"/>
      <c r="FM17" s="196"/>
      <c r="FN17" s="196"/>
      <c r="FO17" s="196"/>
      <c r="FP17" s="196"/>
      <c r="FQ17" s="196"/>
      <c r="FR17" s="196"/>
      <c r="FS17" s="196"/>
      <c r="FT17" s="196"/>
      <c r="FU17" s="196"/>
      <c r="FV17" s="196"/>
      <c r="FW17" s="196"/>
      <c r="FX17" s="196"/>
      <c r="FY17" s="196"/>
      <c r="FZ17" s="196"/>
      <c r="GA17" s="196"/>
      <c r="GB17" s="196"/>
      <c r="GC17" s="196"/>
      <c r="GD17" s="196"/>
      <c r="GE17" s="196"/>
      <c r="GF17" s="196"/>
      <c r="GG17" s="196"/>
      <c r="GH17" s="196"/>
      <c r="GI17" s="196"/>
      <c r="GJ17" s="196"/>
      <c r="GK17" s="196"/>
      <c r="GL17" s="196"/>
      <c r="GM17" s="196"/>
      <c r="GN17" s="196"/>
      <c r="GO17" s="196"/>
      <c r="GP17" s="196"/>
      <c r="GQ17" s="196"/>
      <c r="GR17" s="196"/>
      <c r="GS17" s="196"/>
      <c r="GT17" s="196"/>
      <c r="GU17" s="196"/>
      <c r="GV17" s="196"/>
      <c r="GW17" s="196"/>
      <c r="GX17" s="196"/>
      <c r="GY17" s="196"/>
      <c r="GZ17" s="196"/>
      <c r="HA17" s="196"/>
      <c r="HB17" s="196"/>
      <c r="HC17" s="196"/>
      <c r="HD17" s="196"/>
      <c r="HE17" s="196"/>
      <c r="HF17" s="196"/>
      <c r="HG17" s="196"/>
      <c r="HH17" s="196"/>
      <c r="HI17" s="196"/>
      <c r="HJ17" s="196"/>
      <c r="HK17" s="196"/>
      <c r="HL17" s="196"/>
      <c r="HM17" s="196"/>
      <c r="HN17" s="196"/>
      <c r="HO17" s="196"/>
      <c r="HP17" s="196"/>
      <c r="HQ17" s="196"/>
      <c r="HR17" s="196"/>
      <c r="HS17" s="196"/>
      <c r="HT17" s="196"/>
      <c r="HU17" s="196"/>
      <c r="HV17" s="196"/>
      <c r="HW17" s="196"/>
      <c r="HX17" s="196"/>
      <c r="HY17" s="196"/>
      <c r="HZ17" s="196"/>
      <c r="IA17" s="196"/>
      <c r="IB17" s="196"/>
      <c r="IC17" s="196"/>
      <c r="ID17" s="196"/>
      <c r="IE17" s="196"/>
      <c r="IF17" s="196"/>
      <c r="IG17" s="196"/>
      <c r="IH17" s="196"/>
      <c r="II17" s="196"/>
      <c r="IJ17" s="196"/>
      <c r="IK17" s="196"/>
      <c r="IL17" s="196"/>
      <c r="IM17" s="196"/>
      <c r="IN17" s="196"/>
      <c r="IO17" s="196"/>
      <c r="IP17" s="196"/>
      <c r="IQ17" s="196"/>
      <c r="IR17" s="196"/>
      <c r="IS17" s="196"/>
      <c r="IT17" s="196"/>
      <c r="IU17" s="196"/>
      <c r="IV17" s="196"/>
      <c r="IW17" s="196"/>
      <c r="IX17" s="196"/>
      <c r="IY17" s="196"/>
      <c r="IZ17" s="196"/>
      <c r="JA17" s="196"/>
      <c r="JB17" s="196"/>
      <c r="JC17" s="196"/>
      <c r="JD17" s="196"/>
      <c r="JE17" s="196"/>
      <c r="JF17" s="196"/>
      <c r="JG17" s="196"/>
      <c r="JH17" s="196"/>
      <c r="JI17" s="196"/>
      <c r="JJ17" s="196"/>
      <c r="JK17" s="196"/>
      <c r="JL17" s="196"/>
      <c r="JM17" s="196"/>
      <c r="JN17" s="196"/>
      <c r="JO17" s="196"/>
      <c r="JP17" s="196"/>
      <c r="JQ17" s="196"/>
      <c r="JR17" s="196"/>
      <c r="JS17" s="196"/>
      <c r="JT17" s="196"/>
      <c r="JU17" s="196"/>
      <c r="JV17" s="196"/>
      <c r="JW17" s="196"/>
      <c r="JX17" s="196"/>
      <c r="JY17" s="196"/>
      <c r="JZ17" s="196"/>
      <c r="KA17" s="196"/>
      <c r="KB17" s="196"/>
      <c r="KC17" s="196"/>
      <c r="KD17" s="196"/>
      <c r="KE17" s="196"/>
      <c r="KF17" s="196"/>
      <c r="KG17" s="196"/>
      <c r="KH17" s="196"/>
      <c r="KI17" s="196"/>
      <c r="KJ17" s="196"/>
      <c r="KK17" s="196"/>
      <c r="KL17" s="196"/>
      <c r="KM17" s="196"/>
      <c r="KN17" s="196"/>
      <c r="KO17" s="196"/>
      <c r="KP17" s="196"/>
      <c r="KQ17" s="196"/>
      <c r="KR17" s="196"/>
      <c r="KS17" s="196"/>
      <c r="KT17" s="196"/>
      <c r="KU17" s="196"/>
      <c r="KV17" s="196"/>
      <c r="KW17" s="196"/>
      <c r="KX17" s="196"/>
      <c r="KY17" s="196"/>
      <c r="KZ17" s="196"/>
      <c r="LA17" s="196"/>
      <c r="LB17" s="196"/>
      <c r="LC17" s="196"/>
      <c r="LD17" s="196"/>
      <c r="LE17" s="196"/>
      <c r="LF17" s="196"/>
      <c r="LG17" s="196"/>
      <c r="LH17" s="196"/>
      <c r="LI17" s="196"/>
      <c r="LJ17" s="196"/>
      <c r="LK17" s="196"/>
      <c r="LL17" s="196"/>
      <c r="LM17" s="196"/>
      <c r="LN17" s="196"/>
      <c r="LO17" s="196"/>
      <c r="LP17" s="196"/>
      <c r="LQ17" s="196"/>
      <c r="LR17" s="196"/>
      <c r="LS17" s="196"/>
      <c r="LT17" s="196"/>
      <c r="LU17" s="196"/>
      <c r="LV17" s="196"/>
      <c r="LW17" s="196"/>
      <c r="LX17" s="196"/>
      <c r="LY17" s="196"/>
      <c r="LZ17" s="196"/>
      <c r="MA17" s="196"/>
      <c r="MB17" s="196"/>
      <c r="MC17" s="196"/>
      <c r="MD17" s="196"/>
      <c r="ME17" s="196"/>
      <c r="MF17" s="196"/>
      <c r="MG17" s="196"/>
    </row>
    <row r="18" spans="1:345">
      <c r="A18" s="290" t="s">
        <v>193</v>
      </c>
      <c r="B18" s="367">
        <f>IF(B$3&lt;=time, SUM('Attributable fraction'!AA78:AA87), "")</f>
        <v>0</v>
      </c>
      <c r="C18" s="367">
        <f>IF(C$3&lt;=time, SUM('Attributable fraction'!AB78:AB87), "")</f>
        <v>0</v>
      </c>
      <c r="D18" s="367">
        <f>IF(D$3&lt;=time, SUM('Attributable fraction'!AC78:AC87), "")</f>
        <v>0</v>
      </c>
      <c r="E18" s="367">
        <f>IF(E$3&lt;=time, SUM('Attributable fraction'!AD78:AD87), "")</f>
        <v>0</v>
      </c>
      <c r="F18" s="367">
        <f>IF(F$3&lt;=time, SUM('Attributable fraction'!AE78:AE87), "")</f>
        <v>0</v>
      </c>
      <c r="G18" s="367" t="str">
        <f>IF(G$3&lt;=time, SUM('Attributable fraction'!AF78:AF87), "")</f>
        <v/>
      </c>
      <c r="H18" s="367" t="str">
        <f>IF(H$3&lt;=time, SUM('Attributable fraction'!AG78:AG87), "")</f>
        <v/>
      </c>
      <c r="I18" s="367" t="str">
        <f>IF(I$3&lt;=time, SUM('Attributable fraction'!AH78:AH87), "")</f>
        <v/>
      </c>
      <c r="J18" s="367" t="str">
        <f>IF(J$3&lt;=time, SUM('Attributable fraction'!AI78:AI87), "")</f>
        <v/>
      </c>
      <c r="K18" s="367" t="str">
        <f>IF(K$3&lt;=time, SUM('Attributable fraction'!AJ78:AJ87), "")</f>
        <v/>
      </c>
      <c r="L18" s="367" t="str">
        <f>IF(L$3&lt;=time, SUM('Attributable fraction'!AK78:AK87), "")</f>
        <v/>
      </c>
      <c r="M18" s="367" t="str">
        <f>IF(M$3&lt;=time, SUM('Attributable fraction'!AL78:AL87), "")</f>
        <v/>
      </c>
      <c r="N18" s="367" t="str">
        <f>IF(N$3&lt;=time, SUM('Attributable fraction'!AM78:AM87), "")</f>
        <v/>
      </c>
      <c r="O18" s="367" t="str">
        <f>IF(O$3&lt;=time, SUM('Attributable fraction'!AN78:AN87), "")</f>
        <v/>
      </c>
      <c r="P18" s="367" t="str">
        <f>IF(P$3&lt;=time, SUM('Attributable fraction'!AO78:AO87), "")</f>
        <v/>
      </c>
      <c r="Q18" s="367" t="str">
        <f>IF(Q$3&lt;=time, SUM('Attributable fraction'!AP78:AP87), "")</f>
        <v/>
      </c>
      <c r="R18" s="367" t="str">
        <f>IF(R$3&lt;=time, SUM('Attributable fraction'!AQ78:AQ87), "")</f>
        <v/>
      </c>
      <c r="S18" s="367" t="str">
        <f>IF(S$3&lt;=time, SUM('Attributable fraction'!AR78:AR87), "")</f>
        <v/>
      </c>
      <c r="T18" s="367" t="str">
        <f>IF(T$3&lt;=time, SUM('Attributable fraction'!AS78:AS87), "")</f>
        <v/>
      </c>
      <c r="U18" s="367" t="str">
        <f>IF(U$3&lt;=time, SUM('Attributable fraction'!AT78:AT87), "")</f>
        <v/>
      </c>
      <c r="V18" s="367" t="str">
        <f>IF(V$3&lt;=time, SUM('Attributable fraction'!AU78:AU87), "")</f>
        <v/>
      </c>
      <c r="W18" s="367" t="str">
        <f>IF(W$3&lt;=time, SUM('Attributable fraction'!AV78:AV87), "")</f>
        <v/>
      </c>
      <c r="X18" s="367" t="str">
        <f>IF(X$3&lt;=time, SUM('Attributable fraction'!AW78:AW87), "")</f>
        <v/>
      </c>
      <c r="Y18" s="367" t="str">
        <f>IF(Y$3&lt;=time, SUM('Attributable fraction'!AX78:AX87), "")</f>
        <v/>
      </c>
      <c r="Z18" s="368" t="str">
        <f>IF(Z$3&lt;=time, SUM('Attributable fraction'!AY78:AY87), "")</f>
        <v/>
      </c>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196"/>
      <c r="BK18" s="196"/>
      <c r="BL18" s="196"/>
      <c r="BM18" s="196"/>
      <c r="BN18" s="196"/>
      <c r="BO18" s="196"/>
      <c r="BP18" s="196"/>
      <c r="BQ18" s="196"/>
      <c r="BR18" s="196"/>
      <c r="BS18" s="196"/>
      <c r="BT18" s="196"/>
      <c r="BU18" s="196"/>
      <c r="BV18" s="196"/>
      <c r="BW18" s="196"/>
      <c r="BX18" s="196"/>
      <c r="BY18" s="196"/>
      <c r="BZ18" s="196"/>
      <c r="CA18" s="196"/>
      <c r="CB18" s="196"/>
      <c r="CC18" s="196"/>
      <c r="CD18" s="196"/>
      <c r="CE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E18" s="196"/>
      <c r="DF18" s="196"/>
      <c r="DG18" s="196"/>
      <c r="DH18" s="196"/>
      <c r="DI18" s="196"/>
      <c r="DJ18" s="196"/>
      <c r="DK18" s="196"/>
      <c r="DL18" s="196"/>
      <c r="DM18" s="196"/>
      <c r="DN18" s="196"/>
      <c r="DO18" s="196"/>
      <c r="DP18" s="196"/>
      <c r="DQ18" s="196"/>
      <c r="DR18" s="196"/>
      <c r="DS18" s="196"/>
      <c r="DT18" s="196"/>
      <c r="DU18" s="196"/>
      <c r="DV18" s="196"/>
      <c r="DW18" s="196"/>
      <c r="DX18" s="196"/>
      <c r="DY18" s="196"/>
      <c r="DZ18" s="196"/>
      <c r="EA18" s="196"/>
      <c r="EB18" s="196"/>
      <c r="EC18" s="196"/>
      <c r="ED18" s="196"/>
      <c r="EE18" s="196"/>
      <c r="EF18" s="196"/>
      <c r="EG18" s="196"/>
      <c r="EH18" s="196"/>
      <c r="EI18" s="196"/>
      <c r="EJ18" s="196"/>
      <c r="EK18" s="196"/>
      <c r="EL18" s="196"/>
      <c r="EM18" s="196"/>
      <c r="EN18" s="196"/>
      <c r="EO18" s="196"/>
      <c r="EP18" s="196"/>
      <c r="EQ18" s="196"/>
      <c r="ER18" s="196"/>
      <c r="ES18" s="196"/>
      <c r="ET18" s="196"/>
      <c r="EU18" s="196"/>
      <c r="EV18" s="196"/>
      <c r="EW18" s="196"/>
      <c r="EX18" s="196"/>
      <c r="EY18" s="196"/>
      <c r="EZ18" s="196"/>
      <c r="FA18" s="196"/>
      <c r="FB18" s="196"/>
      <c r="FC18" s="196"/>
      <c r="FD18" s="196"/>
      <c r="FE18" s="196"/>
      <c r="FF18" s="196"/>
      <c r="FG18" s="196"/>
      <c r="FH18" s="196"/>
      <c r="FI18" s="196"/>
      <c r="FJ18" s="196"/>
      <c r="FK18" s="196"/>
      <c r="FL18" s="196"/>
      <c r="FM18" s="196"/>
      <c r="FN18" s="196"/>
      <c r="FO18" s="196"/>
      <c r="FP18" s="196"/>
      <c r="FQ18" s="196"/>
      <c r="FR18" s="196"/>
      <c r="FS18" s="196"/>
      <c r="FT18" s="196"/>
      <c r="FU18" s="196"/>
      <c r="FV18" s="196"/>
      <c r="FW18" s="196"/>
      <c r="FX18" s="196"/>
      <c r="FY18" s="196"/>
      <c r="FZ18" s="196"/>
      <c r="GA18" s="196"/>
      <c r="GB18" s="196"/>
      <c r="GC18" s="196"/>
      <c r="GD18" s="196"/>
      <c r="GE18" s="196"/>
      <c r="GF18" s="196"/>
      <c r="GG18" s="196"/>
      <c r="GH18" s="196"/>
      <c r="GI18" s="196"/>
      <c r="GJ18" s="196"/>
      <c r="GK18" s="196"/>
      <c r="GL18" s="196"/>
      <c r="GM18" s="196"/>
      <c r="GN18" s="196"/>
      <c r="GO18" s="196"/>
      <c r="GP18" s="196"/>
      <c r="GQ18" s="196"/>
      <c r="GR18" s="196"/>
      <c r="GS18" s="196"/>
      <c r="GT18" s="196"/>
      <c r="GU18" s="196"/>
      <c r="GV18" s="196"/>
      <c r="GW18" s="196"/>
      <c r="GX18" s="196"/>
      <c r="GY18" s="196"/>
      <c r="GZ18" s="196"/>
      <c r="HA18" s="196"/>
      <c r="HB18" s="196"/>
      <c r="HC18" s="196"/>
      <c r="HD18" s="196"/>
      <c r="HE18" s="196"/>
      <c r="HF18" s="196"/>
      <c r="HG18" s="196"/>
      <c r="HH18" s="196"/>
      <c r="HI18" s="196"/>
      <c r="HJ18" s="196"/>
      <c r="HK18" s="196"/>
      <c r="HL18" s="196"/>
      <c r="HM18" s="196"/>
      <c r="HN18" s="196"/>
      <c r="HO18" s="196"/>
      <c r="HP18" s="196"/>
      <c r="HQ18" s="196"/>
      <c r="HR18" s="196"/>
      <c r="HS18" s="196"/>
      <c r="HT18" s="196"/>
      <c r="HU18" s="196"/>
      <c r="HV18" s="196"/>
      <c r="HW18" s="196"/>
      <c r="HX18" s="196"/>
      <c r="HY18" s="196"/>
      <c r="HZ18" s="196"/>
      <c r="IA18" s="196"/>
      <c r="IB18" s="196"/>
      <c r="IC18" s="196"/>
      <c r="ID18" s="196"/>
      <c r="IE18" s="196"/>
      <c r="IF18" s="196"/>
      <c r="IG18" s="196"/>
      <c r="IH18" s="196"/>
      <c r="II18" s="196"/>
      <c r="IJ18" s="196"/>
      <c r="IK18" s="196"/>
      <c r="IL18" s="196"/>
      <c r="IM18" s="196"/>
      <c r="IN18" s="196"/>
      <c r="IO18" s="196"/>
      <c r="IP18" s="196"/>
      <c r="IQ18" s="196"/>
      <c r="IR18" s="196"/>
      <c r="IS18" s="196"/>
      <c r="IT18" s="196"/>
      <c r="IU18" s="196"/>
      <c r="IV18" s="196"/>
      <c r="IW18" s="196"/>
      <c r="IX18" s="196"/>
      <c r="IY18" s="196"/>
      <c r="IZ18" s="196"/>
      <c r="JA18" s="196"/>
      <c r="JB18" s="196"/>
      <c r="JC18" s="196"/>
      <c r="JD18" s="196"/>
      <c r="JE18" s="196"/>
      <c r="JF18" s="196"/>
      <c r="JG18" s="196"/>
      <c r="JH18" s="196"/>
      <c r="JI18" s="196"/>
      <c r="JJ18" s="196"/>
      <c r="JK18" s="196"/>
      <c r="JL18" s="196"/>
      <c r="JM18" s="196"/>
      <c r="JN18" s="196"/>
      <c r="JO18" s="196"/>
      <c r="JP18" s="196"/>
      <c r="JQ18" s="196"/>
      <c r="JR18" s="196"/>
      <c r="JS18" s="196"/>
      <c r="JT18" s="196"/>
      <c r="JU18" s="196"/>
      <c r="JV18" s="196"/>
      <c r="JW18" s="196"/>
      <c r="JX18" s="196"/>
      <c r="JY18" s="196"/>
      <c r="JZ18" s="196"/>
      <c r="KA18" s="196"/>
      <c r="KB18" s="196"/>
      <c r="KC18" s="196"/>
      <c r="KD18" s="196"/>
      <c r="KE18" s="196"/>
      <c r="KF18" s="196"/>
      <c r="KG18" s="196"/>
      <c r="KH18" s="196"/>
      <c r="KI18" s="196"/>
      <c r="KJ18" s="196"/>
      <c r="KK18" s="196"/>
      <c r="KL18" s="196"/>
      <c r="KM18" s="196"/>
      <c r="KN18" s="196"/>
      <c r="KO18" s="196"/>
      <c r="KP18" s="196"/>
      <c r="KQ18" s="196"/>
      <c r="KR18" s="196"/>
      <c r="KS18" s="196"/>
      <c r="KT18" s="196"/>
      <c r="KU18" s="196"/>
      <c r="KV18" s="196"/>
      <c r="KW18" s="196"/>
      <c r="KX18" s="196"/>
      <c r="KY18" s="196"/>
      <c r="KZ18" s="196"/>
      <c r="LA18" s="196"/>
      <c r="LB18" s="196"/>
      <c r="LC18" s="196"/>
      <c r="LD18" s="196"/>
      <c r="LE18" s="196"/>
      <c r="LF18" s="196"/>
      <c r="LG18" s="196"/>
      <c r="LH18" s="196"/>
      <c r="LI18" s="196"/>
      <c r="LJ18" s="196"/>
      <c r="LK18" s="196"/>
      <c r="LL18" s="196"/>
      <c r="LM18" s="196"/>
      <c r="LN18" s="196"/>
      <c r="LO18" s="196"/>
      <c r="LP18" s="196"/>
      <c r="LQ18" s="196"/>
      <c r="LR18" s="196"/>
      <c r="LS18" s="196"/>
      <c r="LT18" s="196"/>
      <c r="LU18" s="196"/>
      <c r="LV18" s="196"/>
      <c r="LW18" s="196"/>
      <c r="LX18" s="196"/>
      <c r="LY18" s="196"/>
      <c r="LZ18" s="196"/>
      <c r="MA18" s="196"/>
      <c r="MB18" s="196"/>
      <c r="MC18" s="196"/>
      <c r="MD18" s="196"/>
      <c r="ME18" s="196"/>
      <c r="MF18" s="196"/>
      <c r="MG18" s="196"/>
    </row>
    <row r="19" spans="1:345">
      <c r="A19" s="290" t="s">
        <v>283</v>
      </c>
      <c r="B19" s="367">
        <f>IF(B$3&lt;=time, SUM('Attributable fraction'!AA89:AA98), "")</f>
        <v>0</v>
      </c>
      <c r="C19" s="367">
        <f>IF(C$3&lt;=time, SUM('Attributable fraction'!AB89:AB98), "")</f>
        <v>0</v>
      </c>
      <c r="D19" s="367">
        <f>IF(D$3&lt;=time, SUM('Attributable fraction'!AC89:AC98), "")</f>
        <v>0</v>
      </c>
      <c r="E19" s="367">
        <f>IF(E$3&lt;=time, SUM('Attributable fraction'!AD89:AD98), "")</f>
        <v>0</v>
      </c>
      <c r="F19" s="367">
        <f>IF(F$3&lt;=time, SUM('Attributable fraction'!AE89:AE98), "")</f>
        <v>0</v>
      </c>
      <c r="G19" s="367" t="str">
        <f>IF(G$3&lt;=time, SUM('Attributable fraction'!AF89:AF98), "")</f>
        <v/>
      </c>
      <c r="H19" s="367" t="str">
        <f>IF(H$3&lt;=time, SUM('Attributable fraction'!AG89:AG98), "")</f>
        <v/>
      </c>
      <c r="I19" s="367" t="str">
        <f>IF(I$3&lt;=time, SUM('Attributable fraction'!AH89:AH98), "")</f>
        <v/>
      </c>
      <c r="J19" s="367" t="str">
        <f>IF(J$3&lt;=time, SUM('Attributable fraction'!AI89:AI98), "")</f>
        <v/>
      </c>
      <c r="K19" s="367" t="str">
        <f>IF(K$3&lt;=time, SUM('Attributable fraction'!AJ89:AJ98), "")</f>
        <v/>
      </c>
      <c r="L19" s="367" t="str">
        <f>IF(L$3&lt;=time, SUM('Attributable fraction'!AK89:AK98), "")</f>
        <v/>
      </c>
      <c r="M19" s="367" t="str">
        <f>IF(M$3&lt;=time, SUM('Attributable fraction'!AL89:AL98), "")</f>
        <v/>
      </c>
      <c r="N19" s="367" t="str">
        <f>IF(N$3&lt;=time, SUM('Attributable fraction'!AM89:AM98), "")</f>
        <v/>
      </c>
      <c r="O19" s="367" t="str">
        <f>IF(O$3&lt;=time, SUM('Attributable fraction'!AN89:AN98), "")</f>
        <v/>
      </c>
      <c r="P19" s="367" t="str">
        <f>IF(P$3&lt;=time, SUM('Attributable fraction'!AO89:AO98), "")</f>
        <v/>
      </c>
      <c r="Q19" s="367" t="str">
        <f>IF(Q$3&lt;=time, SUM('Attributable fraction'!AP89:AP98), "")</f>
        <v/>
      </c>
      <c r="R19" s="367" t="str">
        <f>IF(R$3&lt;=time, SUM('Attributable fraction'!AQ89:AQ98), "")</f>
        <v/>
      </c>
      <c r="S19" s="367" t="str">
        <f>IF(S$3&lt;=time, SUM('Attributable fraction'!AR89:AR98), "")</f>
        <v/>
      </c>
      <c r="T19" s="367" t="str">
        <f>IF(T$3&lt;=time, SUM('Attributable fraction'!AS89:AS98), "")</f>
        <v/>
      </c>
      <c r="U19" s="367" t="str">
        <f>IF(U$3&lt;=time, SUM('Attributable fraction'!AT89:AT98), "")</f>
        <v/>
      </c>
      <c r="V19" s="367" t="str">
        <f>IF(V$3&lt;=time, SUM('Attributable fraction'!AU89:AU98), "")</f>
        <v/>
      </c>
      <c r="W19" s="367" t="str">
        <f>IF(W$3&lt;=time, SUM('Attributable fraction'!AV89:AV98), "")</f>
        <v/>
      </c>
      <c r="X19" s="367" t="str">
        <f>IF(X$3&lt;=time, SUM('Attributable fraction'!AW89:AW98), "")</f>
        <v/>
      </c>
      <c r="Y19" s="367" t="str">
        <f>IF(Y$3&lt;=time, SUM('Attributable fraction'!AX89:AX98), "")</f>
        <v/>
      </c>
      <c r="Z19" s="368" t="str">
        <f>IF(Z$3&lt;=time, SUM('Attributable fraction'!AY89:AY98), "")</f>
        <v/>
      </c>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6"/>
      <c r="BF19" s="196"/>
      <c r="BG19" s="196"/>
      <c r="BH19" s="196"/>
      <c r="BI19" s="196"/>
      <c r="BJ19" s="196"/>
      <c r="BK19" s="196"/>
      <c r="BL19" s="196"/>
      <c r="BM19" s="196"/>
      <c r="BN19" s="196"/>
      <c r="BO19" s="196"/>
      <c r="BP19" s="196"/>
      <c r="BQ19" s="196"/>
      <c r="BR19" s="196"/>
      <c r="BS19" s="196"/>
      <c r="BT19" s="196"/>
      <c r="BU19" s="196"/>
      <c r="BV19" s="196"/>
      <c r="BW19" s="196"/>
      <c r="BX19" s="196"/>
      <c r="BY19" s="196"/>
      <c r="BZ19" s="196"/>
      <c r="CA19" s="196"/>
      <c r="CB19" s="196"/>
      <c r="CC19" s="196"/>
      <c r="CD19" s="196"/>
      <c r="CE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E19" s="196"/>
      <c r="DF19" s="196"/>
      <c r="DG19" s="196"/>
      <c r="DH19" s="196"/>
      <c r="DI19" s="196"/>
      <c r="DJ19" s="196"/>
      <c r="DK19" s="196"/>
      <c r="DL19" s="196"/>
      <c r="DM19" s="196"/>
      <c r="DN19" s="196"/>
      <c r="DO19" s="196"/>
      <c r="DP19" s="196"/>
      <c r="DQ19" s="196"/>
      <c r="DR19" s="196"/>
      <c r="DS19" s="196"/>
      <c r="DT19" s="196"/>
      <c r="DU19" s="196"/>
      <c r="DV19" s="196"/>
      <c r="DW19" s="196"/>
      <c r="DX19" s="196"/>
      <c r="DY19" s="196"/>
      <c r="DZ19" s="196"/>
      <c r="EA19" s="196"/>
      <c r="EB19" s="196"/>
      <c r="EC19" s="196"/>
      <c r="ED19" s="196"/>
      <c r="EE19" s="196"/>
      <c r="EF19" s="196"/>
      <c r="EG19" s="196"/>
      <c r="EH19" s="196"/>
      <c r="EI19" s="196"/>
      <c r="EJ19" s="196"/>
      <c r="EK19" s="196"/>
      <c r="EL19" s="196"/>
      <c r="EM19" s="196"/>
      <c r="EN19" s="196"/>
      <c r="EO19" s="196"/>
      <c r="EP19" s="196"/>
      <c r="EQ19" s="196"/>
      <c r="ER19" s="196"/>
      <c r="ES19" s="196"/>
      <c r="ET19" s="196"/>
      <c r="EU19" s="196"/>
      <c r="EV19" s="196"/>
      <c r="EW19" s="196"/>
      <c r="EX19" s="196"/>
      <c r="EY19" s="196"/>
      <c r="EZ19" s="196"/>
      <c r="FA19" s="196"/>
      <c r="FB19" s="196"/>
      <c r="FC19" s="196"/>
      <c r="FD19" s="196"/>
      <c r="FE19" s="196"/>
      <c r="FF19" s="196"/>
      <c r="FG19" s="196"/>
      <c r="FH19" s="196"/>
      <c r="FI19" s="196"/>
      <c r="FJ19" s="196"/>
      <c r="FK19" s="196"/>
      <c r="FL19" s="196"/>
      <c r="FM19" s="196"/>
      <c r="FN19" s="196"/>
      <c r="FO19" s="196"/>
      <c r="FP19" s="196"/>
      <c r="FQ19" s="196"/>
      <c r="FR19" s="196"/>
      <c r="FS19" s="196"/>
      <c r="FT19" s="196"/>
      <c r="FU19" s="196"/>
      <c r="FV19" s="196"/>
      <c r="FW19" s="196"/>
      <c r="FX19" s="196"/>
      <c r="FY19" s="196"/>
      <c r="FZ19" s="196"/>
      <c r="GA19" s="196"/>
      <c r="GB19" s="196"/>
      <c r="GC19" s="196"/>
      <c r="GD19" s="196"/>
      <c r="GE19" s="196"/>
      <c r="GF19" s="196"/>
      <c r="GG19" s="196"/>
      <c r="GH19" s="196"/>
      <c r="GI19" s="196"/>
      <c r="GJ19" s="196"/>
      <c r="GK19" s="196"/>
      <c r="GL19" s="196"/>
      <c r="GM19" s="196"/>
      <c r="GN19" s="196"/>
      <c r="GO19" s="196"/>
      <c r="GP19" s="196"/>
      <c r="GQ19" s="196"/>
      <c r="GR19" s="196"/>
      <c r="GS19" s="196"/>
      <c r="GT19" s="196"/>
      <c r="GU19" s="196"/>
      <c r="GV19" s="196"/>
      <c r="GW19" s="196"/>
      <c r="GX19" s="196"/>
      <c r="GY19" s="196"/>
      <c r="GZ19" s="196"/>
      <c r="HA19" s="196"/>
      <c r="HB19" s="196"/>
      <c r="HC19" s="196"/>
      <c r="HD19" s="196"/>
      <c r="HE19" s="196"/>
      <c r="HF19" s="196"/>
      <c r="HG19" s="196"/>
      <c r="HH19" s="196"/>
      <c r="HI19" s="196"/>
      <c r="HJ19" s="196"/>
      <c r="HK19" s="196"/>
      <c r="HL19" s="196"/>
      <c r="HM19" s="196"/>
      <c r="HN19" s="196"/>
      <c r="HO19" s="196"/>
      <c r="HP19" s="196"/>
      <c r="HQ19" s="196"/>
      <c r="HR19" s="196"/>
      <c r="HS19" s="196"/>
      <c r="HT19" s="196"/>
      <c r="HU19" s="196"/>
      <c r="HV19" s="196"/>
      <c r="HW19" s="196"/>
      <c r="HX19" s="196"/>
      <c r="HY19" s="196"/>
      <c r="HZ19" s="196"/>
      <c r="IA19" s="196"/>
      <c r="IB19" s="196"/>
      <c r="IC19" s="196"/>
      <c r="ID19" s="196"/>
      <c r="IE19" s="196"/>
      <c r="IF19" s="196"/>
      <c r="IG19" s="196"/>
      <c r="IH19" s="196"/>
      <c r="II19" s="196"/>
      <c r="IJ19" s="196"/>
      <c r="IK19" s="196"/>
      <c r="IL19" s="196"/>
      <c r="IM19" s="196"/>
      <c r="IN19" s="196"/>
      <c r="IO19" s="196"/>
      <c r="IP19" s="196"/>
      <c r="IQ19" s="196"/>
      <c r="IR19" s="196"/>
      <c r="IS19" s="196"/>
      <c r="IT19" s="196"/>
      <c r="IU19" s="196"/>
      <c r="IV19" s="196"/>
      <c r="IW19" s="196"/>
      <c r="IX19" s="196"/>
      <c r="IY19" s="196"/>
      <c r="IZ19" s="196"/>
      <c r="JA19" s="196"/>
      <c r="JB19" s="196"/>
      <c r="JC19" s="196"/>
      <c r="JD19" s="196"/>
      <c r="JE19" s="196"/>
      <c r="JF19" s="196"/>
      <c r="JG19" s="196"/>
      <c r="JH19" s="196"/>
      <c r="JI19" s="196"/>
      <c r="JJ19" s="196"/>
      <c r="JK19" s="196"/>
      <c r="JL19" s="196"/>
      <c r="JM19" s="196"/>
      <c r="JN19" s="196"/>
      <c r="JO19" s="196"/>
      <c r="JP19" s="196"/>
      <c r="JQ19" s="196"/>
      <c r="JR19" s="196"/>
      <c r="JS19" s="196"/>
      <c r="JT19" s="196"/>
      <c r="JU19" s="196"/>
      <c r="JV19" s="196"/>
      <c r="JW19" s="196"/>
      <c r="JX19" s="196"/>
      <c r="JY19" s="196"/>
      <c r="JZ19" s="196"/>
      <c r="KA19" s="196"/>
      <c r="KB19" s="196"/>
      <c r="KC19" s="196"/>
      <c r="KD19" s="196"/>
      <c r="KE19" s="196"/>
      <c r="KF19" s="196"/>
      <c r="KG19" s="196"/>
      <c r="KH19" s="196"/>
      <c r="KI19" s="196"/>
      <c r="KJ19" s="196"/>
      <c r="KK19" s="196"/>
      <c r="KL19" s="196"/>
      <c r="KM19" s="196"/>
      <c r="KN19" s="196"/>
      <c r="KO19" s="196"/>
      <c r="KP19" s="196"/>
      <c r="KQ19" s="196"/>
      <c r="KR19" s="196"/>
      <c r="KS19" s="196"/>
      <c r="KT19" s="196"/>
      <c r="KU19" s="196"/>
      <c r="KV19" s="196"/>
      <c r="KW19" s="196"/>
      <c r="KX19" s="196"/>
      <c r="KY19" s="196"/>
      <c r="KZ19" s="196"/>
      <c r="LA19" s="196"/>
      <c r="LB19" s="196"/>
      <c r="LC19" s="196"/>
      <c r="LD19" s="196"/>
      <c r="LE19" s="196"/>
      <c r="LF19" s="196"/>
      <c r="LG19" s="196"/>
      <c r="LH19" s="196"/>
      <c r="LI19" s="196"/>
      <c r="LJ19" s="196"/>
      <c r="LK19" s="196"/>
      <c r="LL19" s="196"/>
      <c r="LM19" s="196"/>
      <c r="LN19" s="196"/>
      <c r="LO19" s="196"/>
      <c r="LP19" s="196"/>
      <c r="LQ19" s="196"/>
      <c r="LR19" s="196"/>
      <c r="LS19" s="196"/>
      <c r="LT19" s="196"/>
      <c r="LU19" s="196"/>
      <c r="LV19" s="196"/>
      <c r="LW19" s="196"/>
      <c r="LX19" s="196"/>
      <c r="LY19" s="196"/>
      <c r="LZ19" s="196"/>
      <c r="MA19" s="196"/>
      <c r="MB19" s="196"/>
      <c r="MC19" s="196"/>
      <c r="MD19" s="196"/>
      <c r="ME19" s="196"/>
      <c r="MF19" s="196"/>
      <c r="MG19" s="196"/>
    </row>
    <row r="20" spans="1:345">
      <c r="A20" s="290" t="s">
        <v>192</v>
      </c>
      <c r="B20" s="367">
        <f t="shared" ref="B20:Z20" si="4">IF(B$3&lt;=time, SUM(B21:B23), "")</f>
        <v>0</v>
      </c>
      <c r="C20" s="367">
        <f t="shared" si="4"/>
        <v>0</v>
      </c>
      <c r="D20" s="367">
        <f t="shared" si="4"/>
        <v>0</v>
      </c>
      <c r="E20" s="367">
        <f t="shared" si="4"/>
        <v>0</v>
      </c>
      <c r="F20" s="367">
        <f t="shared" si="4"/>
        <v>0</v>
      </c>
      <c r="G20" s="367" t="str">
        <f t="shared" si="4"/>
        <v/>
      </c>
      <c r="H20" s="367" t="str">
        <f t="shared" si="4"/>
        <v/>
      </c>
      <c r="I20" s="367" t="str">
        <f t="shared" si="4"/>
        <v/>
      </c>
      <c r="J20" s="367" t="str">
        <f t="shared" si="4"/>
        <v/>
      </c>
      <c r="K20" s="367" t="str">
        <f t="shared" si="4"/>
        <v/>
      </c>
      <c r="L20" s="367" t="str">
        <f t="shared" si="4"/>
        <v/>
      </c>
      <c r="M20" s="367" t="str">
        <f t="shared" si="4"/>
        <v/>
      </c>
      <c r="N20" s="367" t="str">
        <f t="shared" si="4"/>
        <v/>
      </c>
      <c r="O20" s="367" t="str">
        <f t="shared" si="4"/>
        <v/>
      </c>
      <c r="P20" s="367" t="str">
        <f t="shared" si="4"/>
        <v/>
      </c>
      <c r="Q20" s="367" t="str">
        <f t="shared" si="4"/>
        <v/>
      </c>
      <c r="R20" s="367" t="str">
        <f t="shared" si="4"/>
        <v/>
      </c>
      <c r="S20" s="367" t="str">
        <f t="shared" si="4"/>
        <v/>
      </c>
      <c r="T20" s="367" t="str">
        <f t="shared" si="4"/>
        <v/>
      </c>
      <c r="U20" s="367" t="str">
        <f t="shared" si="4"/>
        <v/>
      </c>
      <c r="V20" s="367" t="str">
        <f t="shared" si="4"/>
        <v/>
      </c>
      <c r="W20" s="367" t="str">
        <f t="shared" si="4"/>
        <v/>
      </c>
      <c r="X20" s="367" t="str">
        <f t="shared" si="4"/>
        <v/>
      </c>
      <c r="Y20" s="367" t="str">
        <f t="shared" si="4"/>
        <v/>
      </c>
      <c r="Z20" s="368" t="str">
        <f t="shared" si="4"/>
        <v/>
      </c>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6"/>
      <c r="BA20" s="196"/>
      <c r="BB20" s="196"/>
      <c r="BC20" s="196"/>
      <c r="BD20" s="196"/>
      <c r="BE20" s="196"/>
      <c r="BF20" s="196"/>
      <c r="BG20" s="196"/>
      <c r="BH20" s="196"/>
      <c r="BI20" s="196"/>
      <c r="BJ20" s="196"/>
      <c r="BK20" s="196"/>
      <c r="BL20" s="196"/>
      <c r="BM20" s="196"/>
      <c r="BN20" s="196"/>
      <c r="BO20" s="196"/>
      <c r="BP20" s="196"/>
      <c r="BQ20" s="196"/>
      <c r="BR20" s="196"/>
      <c r="BS20" s="196"/>
      <c r="BT20" s="196"/>
      <c r="BU20" s="196"/>
      <c r="BV20" s="196"/>
      <c r="BW20" s="196"/>
      <c r="BX20" s="196"/>
      <c r="BY20" s="196"/>
      <c r="BZ20" s="196"/>
      <c r="CA20" s="196"/>
      <c r="CB20" s="196"/>
      <c r="CC20" s="196"/>
      <c r="CD20" s="196"/>
      <c r="CE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E20" s="196"/>
      <c r="DF20" s="196"/>
      <c r="DG20" s="196"/>
      <c r="DH20" s="196"/>
      <c r="DI20" s="196"/>
      <c r="DJ20" s="196"/>
      <c r="DK20" s="196"/>
      <c r="DL20" s="196"/>
      <c r="DM20" s="196"/>
      <c r="DN20" s="196"/>
      <c r="DO20" s="196"/>
      <c r="DP20" s="196"/>
      <c r="DQ20" s="196"/>
      <c r="DR20" s="196"/>
      <c r="DS20" s="196"/>
      <c r="DT20" s="196"/>
      <c r="DU20" s="196"/>
      <c r="DV20" s="196"/>
      <c r="DW20" s="196"/>
      <c r="DX20" s="196"/>
      <c r="DY20" s="196"/>
      <c r="DZ20" s="196"/>
      <c r="EA20" s="196"/>
      <c r="EB20" s="196"/>
      <c r="EC20" s="196"/>
      <c r="ED20" s="196"/>
      <c r="EE20" s="196"/>
      <c r="EF20" s="196"/>
      <c r="EG20" s="196"/>
      <c r="EH20" s="196"/>
      <c r="EI20" s="196"/>
      <c r="EJ20" s="196"/>
      <c r="EK20" s="196"/>
      <c r="EL20" s="196"/>
      <c r="EM20" s="196"/>
      <c r="EN20" s="196"/>
      <c r="EO20" s="196"/>
      <c r="EP20" s="196"/>
      <c r="EQ20" s="196"/>
      <c r="ER20" s="196"/>
      <c r="ES20" s="196"/>
      <c r="ET20" s="196"/>
      <c r="EU20" s="196"/>
      <c r="EV20" s="196"/>
      <c r="EW20" s="196"/>
      <c r="EX20" s="196"/>
      <c r="EY20" s="196"/>
      <c r="EZ20" s="196"/>
      <c r="FA20" s="196"/>
      <c r="FB20" s="196"/>
      <c r="FC20" s="196"/>
      <c r="FD20" s="196"/>
      <c r="FE20" s="196"/>
      <c r="FF20" s="196"/>
      <c r="FG20" s="196"/>
      <c r="FH20" s="196"/>
      <c r="FI20" s="196"/>
      <c r="FJ20" s="196"/>
      <c r="FK20" s="196"/>
      <c r="FL20" s="196"/>
      <c r="FM20" s="196"/>
      <c r="FN20" s="196"/>
      <c r="FO20" s="196"/>
      <c r="FP20" s="196"/>
      <c r="FQ20" s="196"/>
      <c r="FR20" s="196"/>
      <c r="FS20" s="196"/>
      <c r="FT20" s="196"/>
      <c r="FU20" s="196"/>
      <c r="FV20" s="196"/>
      <c r="FW20" s="196"/>
      <c r="FX20" s="196"/>
      <c r="FY20" s="196"/>
      <c r="FZ20" s="196"/>
      <c r="GA20" s="196"/>
      <c r="GB20" s="196"/>
      <c r="GC20" s="196"/>
      <c r="GD20" s="196"/>
      <c r="GE20" s="196"/>
      <c r="GF20" s="196"/>
      <c r="GG20" s="196"/>
      <c r="GH20" s="196"/>
      <c r="GI20" s="196"/>
      <c r="GJ20" s="196"/>
      <c r="GK20" s="196"/>
      <c r="GL20" s="196"/>
      <c r="GM20" s="196"/>
      <c r="GN20" s="196"/>
      <c r="GO20" s="196"/>
      <c r="GP20" s="196"/>
      <c r="GQ20" s="196"/>
      <c r="GR20" s="196"/>
      <c r="GS20" s="196"/>
      <c r="GT20" s="196"/>
      <c r="GU20" s="196"/>
      <c r="GV20" s="196"/>
      <c r="GW20" s="196"/>
      <c r="GX20" s="196"/>
      <c r="GY20" s="196"/>
      <c r="GZ20" s="196"/>
      <c r="HA20" s="196"/>
      <c r="HB20" s="196"/>
      <c r="HC20" s="196"/>
      <c r="HD20" s="196"/>
      <c r="HE20" s="196"/>
      <c r="HF20" s="196"/>
      <c r="HG20" s="196"/>
      <c r="HH20" s="196"/>
      <c r="HI20" s="196"/>
      <c r="HJ20" s="196"/>
      <c r="HK20" s="196"/>
      <c r="HL20" s="196"/>
      <c r="HM20" s="196"/>
      <c r="HN20" s="196"/>
      <c r="HO20" s="196"/>
      <c r="HP20" s="196"/>
      <c r="HQ20" s="196"/>
      <c r="HR20" s="196"/>
      <c r="HS20" s="196"/>
      <c r="HT20" s="196"/>
      <c r="HU20" s="196"/>
      <c r="HV20" s="196"/>
      <c r="HW20" s="196"/>
      <c r="HX20" s="196"/>
      <c r="HY20" s="196"/>
      <c r="HZ20" s="196"/>
      <c r="IA20" s="196"/>
      <c r="IB20" s="196"/>
      <c r="IC20" s="196"/>
      <c r="ID20" s="196"/>
      <c r="IE20" s="196"/>
      <c r="IF20" s="196"/>
      <c r="IG20" s="196"/>
      <c r="IH20" s="196"/>
      <c r="II20" s="196"/>
      <c r="IJ20" s="196"/>
      <c r="IK20" s="196"/>
      <c r="IL20" s="196"/>
      <c r="IM20" s="196"/>
      <c r="IN20" s="196"/>
      <c r="IO20" s="196"/>
      <c r="IP20" s="196"/>
      <c r="IQ20" s="196"/>
      <c r="IR20" s="196"/>
      <c r="IS20" s="196"/>
      <c r="IT20" s="196"/>
      <c r="IU20" s="196"/>
      <c r="IV20" s="196"/>
      <c r="IW20" s="196"/>
      <c r="IX20" s="196"/>
      <c r="IY20" s="196"/>
      <c r="IZ20" s="196"/>
      <c r="JA20" s="196"/>
      <c r="JB20" s="196"/>
      <c r="JC20" s="196"/>
      <c r="JD20" s="196"/>
      <c r="JE20" s="196"/>
      <c r="JF20" s="196"/>
      <c r="JG20" s="196"/>
      <c r="JH20" s="196"/>
      <c r="JI20" s="196"/>
      <c r="JJ20" s="196"/>
      <c r="JK20" s="196"/>
      <c r="JL20" s="196"/>
      <c r="JM20" s="196"/>
      <c r="JN20" s="196"/>
      <c r="JO20" s="196"/>
      <c r="JP20" s="196"/>
      <c r="JQ20" s="196"/>
      <c r="JR20" s="196"/>
      <c r="JS20" s="196"/>
      <c r="JT20" s="196"/>
      <c r="JU20" s="196"/>
      <c r="JV20" s="196"/>
      <c r="JW20" s="196"/>
      <c r="JX20" s="196"/>
      <c r="JY20" s="196"/>
      <c r="JZ20" s="196"/>
      <c r="KA20" s="196"/>
      <c r="KB20" s="196"/>
      <c r="KC20" s="196"/>
      <c r="KD20" s="196"/>
      <c r="KE20" s="196"/>
      <c r="KF20" s="196"/>
      <c r="KG20" s="196"/>
      <c r="KH20" s="196"/>
      <c r="KI20" s="196"/>
      <c r="KJ20" s="196"/>
      <c r="KK20" s="196"/>
      <c r="KL20" s="196"/>
      <c r="KM20" s="196"/>
      <c r="KN20" s="196"/>
      <c r="KO20" s="196"/>
      <c r="KP20" s="196"/>
      <c r="KQ20" s="196"/>
      <c r="KR20" s="196"/>
      <c r="KS20" s="196"/>
      <c r="KT20" s="196"/>
      <c r="KU20" s="196"/>
      <c r="KV20" s="196"/>
      <c r="KW20" s="196"/>
      <c r="KX20" s="196"/>
      <c r="KY20" s="196"/>
      <c r="KZ20" s="196"/>
      <c r="LA20" s="196"/>
      <c r="LB20" s="196"/>
      <c r="LC20" s="196"/>
      <c r="LD20" s="196"/>
      <c r="LE20" s="196"/>
      <c r="LF20" s="196"/>
      <c r="LG20" s="196"/>
      <c r="LH20" s="196"/>
      <c r="LI20" s="196"/>
      <c r="LJ20" s="196"/>
      <c r="LK20" s="196"/>
      <c r="LL20" s="196"/>
      <c r="LM20" s="196"/>
      <c r="LN20" s="196"/>
      <c r="LO20" s="196"/>
      <c r="LP20" s="196"/>
      <c r="LQ20" s="196"/>
      <c r="LR20" s="196"/>
      <c r="LS20" s="196"/>
      <c r="LT20" s="196"/>
      <c r="LU20" s="196"/>
      <c r="LV20" s="196"/>
      <c r="LW20" s="196"/>
      <c r="LX20" s="196"/>
      <c r="LY20" s="196"/>
      <c r="LZ20" s="196"/>
      <c r="MA20" s="196"/>
      <c r="MB20" s="196"/>
      <c r="MC20" s="196"/>
      <c r="MD20" s="196"/>
      <c r="ME20" s="196"/>
      <c r="MF20" s="196"/>
      <c r="MG20" s="196"/>
    </row>
    <row r="21" spans="1:345">
      <c r="A21" s="302" t="s">
        <v>14</v>
      </c>
      <c r="B21" s="367">
        <f>IF(B$3&lt;=time, SUM('Attributable fraction'!AA101:AA110), "")</f>
        <v>0</v>
      </c>
      <c r="C21" s="367">
        <f>IF(C$3&lt;=time, SUM('Attributable fraction'!AB101:AB110), "")</f>
        <v>0</v>
      </c>
      <c r="D21" s="367">
        <f>IF(D$3&lt;=time, SUM('Attributable fraction'!AC101:AC110), "")</f>
        <v>0</v>
      </c>
      <c r="E21" s="367">
        <f>IF(E$3&lt;=time, SUM('Attributable fraction'!AD101:AD110), "")</f>
        <v>0</v>
      </c>
      <c r="F21" s="367">
        <f>IF(F$3&lt;=time, SUM('Attributable fraction'!AE101:AE110), "")</f>
        <v>0</v>
      </c>
      <c r="G21" s="367" t="str">
        <f>IF(G$3&lt;=time, SUM('Attributable fraction'!AF101:AF110), "")</f>
        <v/>
      </c>
      <c r="H21" s="367" t="str">
        <f>IF(H$3&lt;=time, SUM('Attributable fraction'!AG101:AG110), "")</f>
        <v/>
      </c>
      <c r="I21" s="367" t="str">
        <f>IF(I$3&lt;=time, SUM('Attributable fraction'!AH101:AH110), "")</f>
        <v/>
      </c>
      <c r="J21" s="367" t="str">
        <f>IF(J$3&lt;=time, SUM('Attributable fraction'!AI101:AI110), "")</f>
        <v/>
      </c>
      <c r="K21" s="367" t="str">
        <f>IF(K$3&lt;=time, SUM('Attributable fraction'!AJ101:AJ110), "")</f>
        <v/>
      </c>
      <c r="L21" s="367" t="str">
        <f>IF(L$3&lt;=time, SUM('Attributable fraction'!AK101:AK110), "")</f>
        <v/>
      </c>
      <c r="M21" s="367" t="str">
        <f>IF(M$3&lt;=time, SUM('Attributable fraction'!AL101:AL110), "")</f>
        <v/>
      </c>
      <c r="N21" s="367" t="str">
        <f>IF(N$3&lt;=time, SUM('Attributable fraction'!AM101:AM110), "")</f>
        <v/>
      </c>
      <c r="O21" s="367" t="str">
        <f>IF(O$3&lt;=time, SUM('Attributable fraction'!AN101:AN110), "")</f>
        <v/>
      </c>
      <c r="P21" s="367" t="str">
        <f>IF(P$3&lt;=time, SUM('Attributable fraction'!AO101:AO110), "")</f>
        <v/>
      </c>
      <c r="Q21" s="367" t="str">
        <f>IF(Q$3&lt;=time, SUM('Attributable fraction'!AP101:AP110), "")</f>
        <v/>
      </c>
      <c r="R21" s="367" t="str">
        <f>IF(R$3&lt;=time, SUM('Attributable fraction'!AQ101:AQ110), "")</f>
        <v/>
      </c>
      <c r="S21" s="367" t="str">
        <f>IF(S$3&lt;=time, SUM('Attributable fraction'!AR101:AR110), "")</f>
        <v/>
      </c>
      <c r="T21" s="367" t="str">
        <f>IF(T$3&lt;=time, SUM('Attributable fraction'!AS101:AS110), "")</f>
        <v/>
      </c>
      <c r="U21" s="367" t="str">
        <f>IF(U$3&lt;=time, SUM('Attributable fraction'!AT101:AT110), "")</f>
        <v/>
      </c>
      <c r="V21" s="367" t="str">
        <f>IF(V$3&lt;=time, SUM('Attributable fraction'!AU101:AU110), "")</f>
        <v/>
      </c>
      <c r="W21" s="367" t="str">
        <f>IF(W$3&lt;=time, SUM('Attributable fraction'!AV101:AV110), "")</f>
        <v/>
      </c>
      <c r="X21" s="367" t="str">
        <f>IF(X$3&lt;=time, SUM('Attributable fraction'!AW101:AW110), "")</f>
        <v/>
      </c>
      <c r="Y21" s="367" t="str">
        <f>IF(Y$3&lt;=time, SUM('Attributable fraction'!AX101:AX110), "")</f>
        <v/>
      </c>
      <c r="Z21" s="368" t="str">
        <f>IF(Z$3&lt;=time, SUM('Attributable fraction'!AY101:AY110), "")</f>
        <v/>
      </c>
      <c r="AA21" s="196"/>
      <c r="AB21" s="196"/>
      <c r="AC21" s="196"/>
      <c r="AD21" s="196"/>
      <c r="AE21" s="196"/>
      <c r="AF21" s="196"/>
      <c r="AG21" s="196"/>
      <c r="AH21" s="196"/>
      <c r="AI21" s="196"/>
      <c r="AJ21" s="196"/>
      <c r="AK21" s="196"/>
      <c r="AL21" s="196"/>
      <c r="AM21" s="196"/>
      <c r="AN21" s="196"/>
      <c r="AO21" s="196"/>
      <c r="AP21" s="196"/>
      <c r="AQ21" s="196"/>
      <c r="AR21" s="196"/>
      <c r="AS21" s="196"/>
      <c r="AT21" s="196"/>
      <c r="AU21" s="196"/>
      <c r="AV21" s="196"/>
      <c r="AW21" s="196"/>
      <c r="AX21" s="196"/>
      <c r="AY21" s="196"/>
      <c r="AZ21" s="196"/>
      <c r="BA21" s="196"/>
      <c r="BB21" s="196"/>
      <c r="BC21" s="196"/>
      <c r="BD21" s="196"/>
      <c r="BE21" s="196"/>
      <c r="BF21" s="196"/>
      <c r="BG21" s="196"/>
      <c r="BH21" s="196"/>
      <c r="BI21" s="196"/>
      <c r="BJ21" s="196"/>
      <c r="BK21" s="196"/>
      <c r="BL21" s="196"/>
      <c r="BM21" s="196"/>
      <c r="BN21" s="196"/>
      <c r="BO21" s="196"/>
      <c r="BP21" s="196"/>
      <c r="BQ21" s="196"/>
      <c r="BR21" s="196"/>
      <c r="BS21" s="196"/>
      <c r="BT21" s="196"/>
      <c r="BU21" s="196"/>
      <c r="BV21" s="196"/>
      <c r="BW21" s="196"/>
      <c r="BX21" s="196"/>
      <c r="BY21" s="196"/>
      <c r="BZ21" s="196"/>
      <c r="CA21" s="196"/>
      <c r="CB21" s="196"/>
      <c r="CC21" s="196"/>
      <c r="CD21" s="196"/>
      <c r="CE21" s="196"/>
      <c r="CF21" s="196"/>
      <c r="CG21" s="196"/>
      <c r="CH21" s="196"/>
      <c r="CI21" s="196"/>
      <c r="CJ21" s="196"/>
      <c r="CK21" s="196"/>
      <c r="CL21" s="196"/>
      <c r="CM21" s="196"/>
      <c r="CN21" s="196"/>
      <c r="CO21" s="196"/>
      <c r="CP21" s="196"/>
      <c r="CQ21" s="196"/>
      <c r="CR21" s="196"/>
      <c r="CS21" s="196"/>
      <c r="CT21" s="196"/>
      <c r="CU21" s="196"/>
      <c r="CV21" s="196"/>
      <c r="CW21" s="196"/>
      <c r="CX21" s="196"/>
      <c r="CY21" s="196"/>
      <c r="CZ21" s="196"/>
      <c r="DA21" s="196"/>
      <c r="DB21" s="196"/>
      <c r="DC21" s="196"/>
      <c r="DD21" s="196"/>
      <c r="DE21" s="196"/>
      <c r="DF21" s="196"/>
      <c r="DG21" s="196"/>
      <c r="DH21" s="196"/>
      <c r="DI21" s="196"/>
      <c r="DJ21" s="196"/>
      <c r="DK21" s="196"/>
      <c r="DL21" s="196"/>
      <c r="DM21" s="196"/>
      <c r="DN21" s="196"/>
      <c r="DO21" s="196"/>
      <c r="DP21" s="196"/>
      <c r="DQ21" s="196"/>
      <c r="DR21" s="196"/>
      <c r="DS21" s="196"/>
      <c r="DT21" s="196"/>
      <c r="DU21" s="196"/>
      <c r="DV21" s="196"/>
      <c r="DW21" s="196"/>
      <c r="DX21" s="196"/>
      <c r="DY21" s="196"/>
      <c r="DZ21" s="196"/>
      <c r="EA21" s="196"/>
      <c r="EB21" s="196"/>
      <c r="EC21" s="196"/>
      <c r="ED21" s="196"/>
      <c r="EE21" s="196"/>
      <c r="EF21" s="196"/>
      <c r="EG21" s="196"/>
      <c r="EH21" s="196"/>
      <c r="EI21" s="196"/>
      <c r="EJ21" s="196"/>
      <c r="EK21" s="196"/>
      <c r="EL21" s="196"/>
      <c r="EM21" s="196"/>
      <c r="EN21" s="196"/>
      <c r="EO21" s="196"/>
      <c r="EP21" s="196"/>
      <c r="EQ21" s="196"/>
      <c r="ER21" s="196"/>
      <c r="ES21" s="196"/>
      <c r="ET21" s="196"/>
      <c r="EU21" s="196"/>
      <c r="EV21" s="196"/>
      <c r="EW21" s="196"/>
      <c r="EX21" s="196"/>
      <c r="EY21" s="196"/>
      <c r="EZ21" s="196"/>
      <c r="FA21" s="196"/>
      <c r="FB21" s="196"/>
      <c r="FC21" s="196"/>
      <c r="FD21" s="196"/>
      <c r="FE21" s="196"/>
      <c r="FF21" s="196"/>
      <c r="FG21" s="196"/>
      <c r="FH21" s="196"/>
      <c r="FI21" s="196"/>
      <c r="FJ21" s="196"/>
      <c r="FK21" s="196"/>
      <c r="FL21" s="196"/>
      <c r="FM21" s="196"/>
      <c r="FN21" s="196"/>
      <c r="FO21" s="196"/>
      <c r="FP21" s="196"/>
      <c r="FQ21" s="196"/>
      <c r="FR21" s="196"/>
      <c r="FS21" s="196"/>
      <c r="FT21" s="196"/>
      <c r="FU21" s="196"/>
      <c r="FV21" s="196"/>
      <c r="FW21" s="196"/>
      <c r="FX21" s="196"/>
      <c r="FY21" s="196"/>
      <c r="FZ21" s="196"/>
      <c r="GA21" s="196"/>
      <c r="GB21" s="196"/>
      <c r="GC21" s="196"/>
      <c r="GD21" s="196"/>
      <c r="GE21" s="196"/>
      <c r="GF21" s="196"/>
      <c r="GG21" s="196"/>
      <c r="GH21" s="196"/>
      <c r="GI21" s="196"/>
      <c r="GJ21" s="196"/>
      <c r="GK21" s="196"/>
      <c r="GL21" s="196"/>
      <c r="GM21" s="196"/>
      <c r="GN21" s="196"/>
      <c r="GO21" s="196"/>
      <c r="GP21" s="196"/>
      <c r="GQ21" s="196"/>
      <c r="GR21" s="196"/>
      <c r="GS21" s="196"/>
      <c r="GT21" s="196"/>
      <c r="GU21" s="196"/>
      <c r="GV21" s="196"/>
      <c r="GW21" s="196"/>
      <c r="GX21" s="196"/>
      <c r="GY21" s="196"/>
      <c r="GZ21" s="196"/>
      <c r="HA21" s="196"/>
      <c r="HB21" s="196"/>
      <c r="HC21" s="196"/>
      <c r="HD21" s="196"/>
      <c r="HE21" s="196"/>
      <c r="HF21" s="196"/>
      <c r="HG21" s="196"/>
      <c r="HH21" s="196"/>
      <c r="HI21" s="196"/>
      <c r="HJ21" s="196"/>
      <c r="HK21" s="196"/>
      <c r="HL21" s="196"/>
      <c r="HM21" s="196"/>
      <c r="HN21" s="196"/>
      <c r="HO21" s="196"/>
      <c r="HP21" s="196"/>
      <c r="HQ21" s="196"/>
      <c r="HR21" s="196"/>
      <c r="HS21" s="196"/>
      <c r="HT21" s="196"/>
      <c r="HU21" s="196"/>
      <c r="HV21" s="196"/>
      <c r="HW21" s="196"/>
      <c r="HX21" s="196"/>
      <c r="HY21" s="196"/>
      <c r="HZ21" s="196"/>
      <c r="IA21" s="196"/>
      <c r="IB21" s="196"/>
      <c r="IC21" s="196"/>
      <c r="ID21" s="196"/>
      <c r="IE21" s="196"/>
      <c r="IF21" s="196"/>
      <c r="IG21" s="196"/>
      <c r="IH21" s="196"/>
      <c r="II21" s="196"/>
      <c r="IJ21" s="196"/>
      <c r="IK21" s="196"/>
      <c r="IL21" s="196"/>
      <c r="IM21" s="196"/>
      <c r="IN21" s="196"/>
      <c r="IO21" s="196"/>
      <c r="IP21" s="196"/>
      <c r="IQ21" s="196"/>
      <c r="IR21" s="196"/>
      <c r="IS21" s="196"/>
      <c r="IT21" s="196"/>
      <c r="IU21" s="196"/>
      <c r="IV21" s="196"/>
      <c r="IW21" s="196"/>
      <c r="IX21" s="196"/>
      <c r="IY21" s="196"/>
      <c r="IZ21" s="196"/>
      <c r="JA21" s="196"/>
      <c r="JB21" s="196"/>
      <c r="JC21" s="196"/>
      <c r="JD21" s="196"/>
      <c r="JE21" s="196"/>
      <c r="JF21" s="196"/>
      <c r="JG21" s="196"/>
      <c r="JH21" s="196"/>
      <c r="JI21" s="196"/>
      <c r="JJ21" s="196"/>
      <c r="JK21" s="196"/>
      <c r="JL21" s="196"/>
      <c r="JM21" s="196"/>
      <c r="JN21" s="196"/>
      <c r="JO21" s="196"/>
      <c r="JP21" s="196"/>
      <c r="JQ21" s="196"/>
      <c r="JR21" s="196"/>
      <c r="JS21" s="196"/>
      <c r="JT21" s="196"/>
      <c r="JU21" s="196"/>
      <c r="JV21" s="196"/>
      <c r="JW21" s="196"/>
      <c r="JX21" s="196"/>
      <c r="JY21" s="196"/>
      <c r="JZ21" s="196"/>
      <c r="KA21" s="196"/>
      <c r="KB21" s="196"/>
      <c r="KC21" s="196"/>
      <c r="KD21" s="196"/>
      <c r="KE21" s="196"/>
      <c r="KF21" s="196"/>
      <c r="KG21" s="196"/>
      <c r="KH21" s="196"/>
      <c r="KI21" s="196"/>
      <c r="KJ21" s="196"/>
      <c r="KK21" s="196"/>
      <c r="KL21" s="196"/>
      <c r="KM21" s="196"/>
      <c r="KN21" s="196"/>
      <c r="KO21" s="196"/>
      <c r="KP21" s="196"/>
      <c r="KQ21" s="196"/>
      <c r="KR21" s="196"/>
      <c r="KS21" s="196"/>
      <c r="KT21" s="196"/>
      <c r="KU21" s="196"/>
      <c r="KV21" s="196"/>
      <c r="KW21" s="196"/>
      <c r="KX21" s="196"/>
      <c r="KY21" s="196"/>
      <c r="KZ21" s="196"/>
      <c r="LA21" s="196"/>
      <c r="LB21" s="196"/>
      <c r="LC21" s="196"/>
      <c r="LD21" s="196"/>
      <c r="LE21" s="196"/>
      <c r="LF21" s="196"/>
      <c r="LG21" s="196"/>
      <c r="LH21" s="196"/>
      <c r="LI21" s="196"/>
      <c r="LJ21" s="196"/>
      <c r="LK21" s="196"/>
      <c r="LL21" s="196"/>
      <c r="LM21" s="196"/>
      <c r="LN21" s="196"/>
      <c r="LO21" s="196"/>
      <c r="LP21" s="196"/>
      <c r="LQ21" s="196"/>
      <c r="LR21" s="196"/>
      <c r="LS21" s="196"/>
      <c r="LT21" s="196"/>
      <c r="LU21" s="196"/>
      <c r="LV21" s="196"/>
      <c r="LW21" s="196"/>
      <c r="LX21" s="196"/>
      <c r="LY21" s="196"/>
      <c r="LZ21" s="196"/>
      <c r="MA21" s="196"/>
      <c r="MB21" s="196"/>
      <c r="MC21" s="196"/>
      <c r="MD21" s="196"/>
      <c r="ME21" s="196"/>
      <c r="MF21" s="196"/>
      <c r="MG21" s="196"/>
    </row>
    <row r="22" spans="1:345">
      <c r="A22" s="302" t="s">
        <v>15</v>
      </c>
      <c r="B22" s="367">
        <f>IF(B$3&lt;=time, SUM('Attributable fraction'!AA112:AA121), "")</f>
        <v>0</v>
      </c>
      <c r="C22" s="367">
        <f>IF(C$3&lt;=time, SUM('Attributable fraction'!AB112:AB121), "")</f>
        <v>0</v>
      </c>
      <c r="D22" s="367">
        <f>IF(D$3&lt;=time, SUM('Attributable fraction'!AC112:AC121), "")</f>
        <v>0</v>
      </c>
      <c r="E22" s="367">
        <f>IF(E$3&lt;=time, SUM('Attributable fraction'!AD112:AD121), "")</f>
        <v>0</v>
      </c>
      <c r="F22" s="367">
        <f>IF(F$3&lt;=time, SUM('Attributable fraction'!AE112:AE121), "")</f>
        <v>0</v>
      </c>
      <c r="G22" s="367" t="str">
        <f>IF(G$3&lt;=time, SUM('Attributable fraction'!AF112:AF121), "")</f>
        <v/>
      </c>
      <c r="H22" s="367" t="str">
        <f>IF(H$3&lt;=time, SUM('Attributable fraction'!AG112:AG121), "")</f>
        <v/>
      </c>
      <c r="I22" s="367" t="str">
        <f>IF(I$3&lt;=time, SUM('Attributable fraction'!AH112:AH121), "")</f>
        <v/>
      </c>
      <c r="J22" s="367" t="str">
        <f>IF(J$3&lt;=time, SUM('Attributable fraction'!AI112:AI121), "")</f>
        <v/>
      </c>
      <c r="K22" s="367" t="str">
        <f>IF(K$3&lt;=time, SUM('Attributable fraction'!AJ112:AJ121), "")</f>
        <v/>
      </c>
      <c r="L22" s="367" t="str">
        <f>IF(L$3&lt;=time, SUM('Attributable fraction'!AK112:AK121), "")</f>
        <v/>
      </c>
      <c r="M22" s="367" t="str">
        <f>IF(M$3&lt;=time, SUM('Attributable fraction'!AL112:AL121), "")</f>
        <v/>
      </c>
      <c r="N22" s="367" t="str">
        <f>IF(N$3&lt;=time, SUM('Attributable fraction'!AM112:AM121), "")</f>
        <v/>
      </c>
      <c r="O22" s="367" t="str">
        <f>IF(O$3&lt;=time, SUM('Attributable fraction'!AN112:AN121), "")</f>
        <v/>
      </c>
      <c r="P22" s="367" t="str">
        <f>IF(P$3&lt;=time, SUM('Attributable fraction'!AO112:AO121), "")</f>
        <v/>
      </c>
      <c r="Q22" s="367" t="str">
        <f>IF(Q$3&lt;=time, SUM('Attributable fraction'!AP112:AP121), "")</f>
        <v/>
      </c>
      <c r="R22" s="367" t="str">
        <f>IF(R$3&lt;=time, SUM('Attributable fraction'!AQ112:AQ121), "")</f>
        <v/>
      </c>
      <c r="S22" s="367" t="str">
        <f>IF(S$3&lt;=time, SUM('Attributable fraction'!AR112:AR121), "")</f>
        <v/>
      </c>
      <c r="T22" s="367" t="str">
        <f>IF(T$3&lt;=time, SUM('Attributable fraction'!AS112:AS121), "")</f>
        <v/>
      </c>
      <c r="U22" s="367" t="str">
        <f>IF(U$3&lt;=time, SUM('Attributable fraction'!AT112:AT121), "")</f>
        <v/>
      </c>
      <c r="V22" s="367" t="str">
        <f>IF(V$3&lt;=time, SUM('Attributable fraction'!AU112:AU121), "")</f>
        <v/>
      </c>
      <c r="W22" s="367" t="str">
        <f>IF(W$3&lt;=time, SUM('Attributable fraction'!AV112:AV121), "")</f>
        <v/>
      </c>
      <c r="X22" s="367" t="str">
        <f>IF(X$3&lt;=time, SUM('Attributable fraction'!AW112:AW121), "")</f>
        <v/>
      </c>
      <c r="Y22" s="367" t="str">
        <f>IF(Y$3&lt;=time, SUM('Attributable fraction'!AX112:AX121), "")</f>
        <v/>
      </c>
      <c r="Z22" s="368" t="str">
        <f>IF(Z$3&lt;=time, SUM('Attributable fraction'!AY112:AY121), "")</f>
        <v/>
      </c>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6"/>
      <c r="CB22" s="196"/>
      <c r="CC22" s="196"/>
      <c r="CD22" s="196"/>
      <c r="CE22" s="196"/>
      <c r="CF22" s="196"/>
      <c r="CG22" s="196"/>
      <c r="CH22" s="196"/>
      <c r="CI22" s="196"/>
      <c r="CJ22" s="196"/>
      <c r="CK22" s="196"/>
      <c r="CL22" s="196"/>
      <c r="CM22" s="196"/>
      <c r="CN22" s="196"/>
      <c r="CO22" s="196"/>
      <c r="CP22" s="196"/>
      <c r="CQ22" s="196"/>
      <c r="CR22" s="196"/>
      <c r="CS22" s="196"/>
      <c r="CT22" s="196"/>
      <c r="CU22" s="196"/>
      <c r="CV22" s="196"/>
      <c r="CW22" s="196"/>
      <c r="CX22" s="196"/>
      <c r="CY22" s="196"/>
      <c r="CZ22" s="196"/>
      <c r="DA22" s="196"/>
      <c r="DB22" s="196"/>
      <c r="DC22" s="196"/>
      <c r="DD22" s="196"/>
      <c r="DE22" s="196"/>
      <c r="DF22" s="196"/>
      <c r="DG22" s="196"/>
      <c r="DH22" s="196"/>
      <c r="DI22" s="196"/>
      <c r="DJ22" s="196"/>
      <c r="DK22" s="196"/>
      <c r="DL22" s="196"/>
      <c r="DM22" s="196"/>
      <c r="DN22" s="196"/>
      <c r="DO22" s="196"/>
      <c r="DP22" s="196"/>
      <c r="DQ22" s="196"/>
      <c r="DR22" s="196"/>
      <c r="DS22" s="196"/>
      <c r="DT22" s="196"/>
      <c r="DU22" s="196"/>
      <c r="DV22" s="196"/>
      <c r="DW22" s="196"/>
      <c r="DX22" s="196"/>
      <c r="DY22" s="196"/>
      <c r="DZ22" s="196"/>
      <c r="EA22" s="196"/>
      <c r="EB22" s="196"/>
      <c r="EC22" s="196"/>
      <c r="ED22" s="196"/>
      <c r="EE22" s="196"/>
      <c r="EF22" s="196"/>
      <c r="EG22" s="196"/>
      <c r="EH22" s="196"/>
      <c r="EI22" s="196"/>
      <c r="EJ22" s="196"/>
      <c r="EK22" s="196"/>
      <c r="EL22" s="196"/>
      <c r="EM22" s="196"/>
      <c r="EN22" s="196"/>
      <c r="EO22" s="196"/>
      <c r="EP22" s="196"/>
      <c r="EQ22" s="196"/>
      <c r="ER22" s="196"/>
      <c r="ES22" s="196"/>
      <c r="ET22" s="196"/>
      <c r="EU22" s="196"/>
      <c r="EV22" s="196"/>
      <c r="EW22" s="196"/>
      <c r="EX22" s="196"/>
      <c r="EY22" s="196"/>
      <c r="EZ22" s="196"/>
      <c r="FA22" s="196"/>
      <c r="FB22" s="196"/>
      <c r="FC22" s="196"/>
      <c r="FD22" s="196"/>
      <c r="FE22" s="196"/>
      <c r="FF22" s="196"/>
      <c r="FG22" s="196"/>
      <c r="FH22" s="196"/>
      <c r="FI22" s="196"/>
      <c r="FJ22" s="196"/>
      <c r="FK22" s="196"/>
      <c r="FL22" s="196"/>
      <c r="FM22" s="196"/>
      <c r="FN22" s="196"/>
      <c r="FO22" s="196"/>
      <c r="FP22" s="196"/>
      <c r="FQ22" s="196"/>
      <c r="FR22" s="196"/>
      <c r="FS22" s="196"/>
      <c r="FT22" s="196"/>
      <c r="FU22" s="196"/>
      <c r="FV22" s="196"/>
      <c r="FW22" s="196"/>
      <c r="FX22" s="196"/>
      <c r="FY22" s="196"/>
      <c r="FZ22" s="196"/>
      <c r="GA22" s="196"/>
      <c r="GB22" s="196"/>
      <c r="GC22" s="196"/>
      <c r="GD22" s="196"/>
      <c r="GE22" s="196"/>
      <c r="GF22" s="196"/>
      <c r="GG22" s="196"/>
      <c r="GH22" s="196"/>
      <c r="GI22" s="196"/>
      <c r="GJ22" s="196"/>
      <c r="GK22" s="196"/>
      <c r="GL22" s="196"/>
      <c r="GM22" s="196"/>
      <c r="GN22" s="196"/>
      <c r="GO22" s="196"/>
      <c r="GP22" s="196"/>
      <c r="GQ22" s="196"/>
      <c r="GR22" s="196"/>
      <c r="GS22" s="196"/>
      <c r="GT22" s="196"/>
      <c r="GU22" s="196"/>
      <c r="GV22" s="196"/>
      <c r="GW22" s="196"/>
      <c r="GX22" s="196"/>
      <c r="GY22" s="196"/>
      <c r="GZ22" s="196"/>
      <c r="HA22" s="196"/>
      <c r="HB22" s="196"/>
      <c r="HC22" s="196"/>
      <c r="HD22" s="196"/>
      <c r="HE22" s="196"/>
      <c r="HF22" s="196"/>
      <c r="HG22" s="196"/>
      <c r="HH22" s="196"/>
      <c r="HI22" s="196"/>
      <c r="HJ22" s="196"/>
      <c r="HK22" s="196"/>
      <c r="HL22" s="196"/>
      <c r="HM22" s="196"/>
      <c r="HN22" s="196"/>
      <c r="HO22" s="196"/>
      <c r="HP22" s="196"/>
      <c r="HQ22" s="196"/>
      <c r="HR22" s="196"/>
      <c r="HS22" s="196"/>
      <c r="HT22" s="196"/>
      <c r="HU22" s="196"/>
      <c r="HV22" s="196"/>
      <c r="HW22" s="196"/>
      <c r="HX22" s="196"/>
      <c r="HY22" s="196"/>
      <c r="HZ22" s="196"/>
      <c r="IA22" s="196"/>
      <c r="IB22" s="196"/>
      <c r="IC22" s="196"/>
      <c r="ID22" s="196"/>
      <c r="IE22" s="196"/>
      <c r="IF22" s="196"/>
      <c r="IG22" s="196"/>
      <c r="IH22" s="196"/>
      <c r="II22" s="196"/>
      <c r="IJ22" s="196"/>
      <c r="IK22" s="196"/>
      <c r="IL22" s="196"/>
      <c r="IM22" s="196"/>
      <c r="IN22" s="196"/>
      <c r="IO22" s="196"/>
      <c r="IP22" s="196"/>
      <c r="IQ22" s="196"/>
      <c r="IR22" s="196"/>
      <c r="IS22" s="196"/>
      <c r="IT22" s="196"/>
      <c r="IU22" s="196"/>
      <c r="IV22" s="196"/>
      <c r="IW22" s="196"/>
      <c r="IX22" s="196"/>
      <c r="IY22" s="196"/>
      <c r="IZ22" s="196"/>
      <c r="JA22" s="196"/>
      <c r="JB22" s="196"/>
      <c r="JC22" s="196"/>
      <c r="JD22" s="196"/>
      <c r="JE22" s="196"/>
      <c r="JF22" s="196"/>
      <c r="JG22" s="196"/>
      <c r="JH22" s="196"/>
      <c r="JI22" s="196"/>
      <c r="JJ22" s="196"/>
      <c r="JK22" s="196"/>
      <c r="JL22" s="196"/>
      <c r="JM22" s="196"/>
      <c r="JN22" s="196"/>
      <c r="JO22" s="196"/>
      <c r="JP22" s="196"/>
      <c r="JQ22" s="196"/>
      <c r="JR22" s="196"/>
      <c r="JS22" s="196"/>
      <c r="JT22" s="196"/>
      <c r="JU22" s="196"/>
      <c r="JV22" s="196"/>
      <c r="JW22" s="196"/>
      <c r="JX22" s="196"/>
      <c r="JY22" s="196"/>
      <c r="JZ22" s="196"/>
      <c r="KA22" s="196"/>
      <c r="KB22" s="196"/>
      <c r="KC22" s="196"/>
      <c r="KD22" s="196"/>
      <c r="KE22" s="196"/>
      <c r="KF22" s="196"/>
      <c r="KG22" s="196"/>
      <c r="KH22" s="196"/>
      <c r="KI22" s="196"/>
      <c r="KJ22" s="196"/>
      <c r="KK22" s="196"/>
      <c r="KL22" s="196"/>
      <c r="KM22" s="196"/>
      <c r="KN22" s="196"/>
      <c r="KO22" s="196"/>
      <c r="KP22" s="196"/>
      <c r="KQ22" s="196"/>
      <c r="KR22" s="196"/>
      <c r="KS22" s="196"/>
      <c r="KT22" s="196"/>
      <c r="KU22" s="196"/>
      <c r="KV22" s="196"/>
      <c r="KW22" s="196"/>
      <c r="KX22" s="196"/>
      <c r="KY22" s="196"/>
      <c r="KZ22" s="196"/>
      <c r="LA22" s="196"/>
      <c r="LB22" s="196"/>
      <c r="LC22" s="196"/>
      <c r="LD22" s="196"/>
      <c r="LE22" s="196"/>
      <c r="LF22" s="196"/>
      <c r="LG22" s="196"/>
      <c r="LH22" s="196"/>
      <c r="LI22" s="196"/>
      <c r="LJ22" s="196"/>
      <c r="LK22" s="196"/>
      <c r="LL22" s="196"/>
      <c r="LM22" s="196"/>
      <c r="LN22" s="196"/>
      <c r="LO22" s="196"/>
      <c r="LP22" s="196"/>
      <c r="LQ22" s="196"/>
      <c r="LR22" s="196"/>
      <c r="LS22" s="196"/>
      <c r="LT22" s="196"/>
      <c r="LU22" s="196"/>
      <c r="LV22" s="196"/>
      <c r="LW22" s="196"/>
      <c r="LX22" s="196"/>
      <c r="LY22" s="196"/>
      <c r="LZ22" s="196"/>
      <c r="MA22" s="196"/>
      <c r="MB22" s="196"/>
      <c r="MC22" s="196"/>
      <c r="MD22" s="196"/>
      <c r="ME22" s="196"/>
      <c r="MF22" s="196"/>
      <c r="MG22" s="196"/>
    </row>
    <row r="23" spans="1:345">
      <c r="A23" s="302" t="s">
        <v>16</v>
      </c>
      <c r="B23" s="367">
        <f>IF(B$3&lt;=time, SUM('Attributable fraction'!AA123:AA132), "")</f>
        <v>0</v>
      </c>
      <c r="C23" s="367">
        <f>IF(C$3&lt;=time, SUM('Attributable fraction'!AB123:AB132), "")</f>
        <v>0</v>
      </c>
      <c r="D23" s="367">
        <f>IF(D$3&lt;=time, SUM('Attributable fraction'!AC123:AC132), "")</f>
        <v>0</v>
      </c>
      <c r="E23" s="367">
        <f>IF(E$3&lt;=time, SUM('Attributable fraction'!AD123:AD132), "")</f>
        <v>0</v>
      </c>
      <c r="F23" s="367">
        <f>IF(F$3&lt;=time, SUM('Attributable fraction'!AE123:AE132), "")</f>
        <v>0</v>
      </c>
      <c r="G23" s="367" t="str">
        <f>IF(G$3&lt;=time, SUM('Attributable fraction'!AF123:AF132), "")</f>
        <v/>
      </c>
      <c r="H23" s="367" t="str">
        <f>IF(H$3&lt;=time, SUM('Attributable fraction'!AG123:AG132), "")</f>
        <v/>
      </c>
      <c r="I23" s="367" t="str">
        <f>IF(I$3&lt;=time, SUM('Attributable fraction'!AH123:AH132), "")</f>
        <v/>
      </c>
      <c r="J23" s="367" t="str">
        <f>IF(J$3&lt;=time, SUM('Attributable fraction'!AI123:AI132), "")</f>
        <v/>
      </c>
      <c r="K23" s="367" t="str">
        <f>IF(K$3&lt;=time, SUM('Attributable fraction'!AJ123:AJ132), "")</f>
        <v/>
      </c>
      <c r="L23" s="367" t="str">
        <f>IF(L$3&lt;=time, SUM('Attributable fraction'!AK123:AK132), "")</f>
        <v/>
      </c>
      <c r="M23" s="367" t="str">
        <f>IF(M$3&lt;=time, SUM('Attributable fraction'!AL123:AL132), "")</f>
        <v/>
      </c>
      <c r="N23" s="367" t="str">
        <f>IF(N$3&lt;=time, SUM('Attributable fraction'!AM123:AM132), "")</f>
        <v/>
      </c>
      <c r="O23" s="367" t="str">
        <f>IF(O$3&lt;=time, SUM('Attributable fraction'!AN123:AN132), "")</f>
        <v/>
      </c>
      <c r="P23" s="367" t="str">
        <f>IF(P$3&lt;=time, SUM('Attributable fraction'!AO123:AO132), "")</f>
        <v/>
      </c>
      <c r="Q23" s="367" t="str">
        <f>IF(Q$3&lt;=time, SUM('Attributable fraction'!AP123:AP132), "")</f>
        <v/>
      </c>
      <c r="R23" s="367" t="str">
        <f>IF(R$3&lt;=time, SUM('Attributable fraction'!AQ123:AQ132), "")</f>
        <v/>
      </c>
      <c r="S23" s="367" t="str">
        <f>IF(S$3&lt;=time, SUM('Attributable fraction'!AR123:AR132), "")</f>
        <v/>
      </c>
      <c r="T23" s="367" t="str">
        <f>IF(T$3&lt;=time, SUM('Attributable fraction'!AS123:AS132), "")</f>
        <v/>
      </c>
      <c r="U23" s="367" t="str">
        <f>IF(U$3&lt;=time, SUM('Attributable fraction'!AT123:AT132), "")</f>
        <v/>
      </c>
      <c r="V23" s="367" t="str">
        <f>IF(V$3&lt;=time, SUM('Attributable fraction'!AU123:AU132), "")</f>
        <v/>
      </c>
      <c r="W23" s="367" t="str">
        <f>IF(W$3&lt;=time, SUM('Attributable fraction'!AV123:AV132), "")</f>
        <v/>
      </c>
      <c r="X23" s="367" t="str">
        <f>IF(X$3&lt;=time, SUM('Attributable fraction'!AW123:AW132), "")</f>
        <v/>
      </c>
      <c r="Y23" s="367" t="str">
        <f>IF(Y$3&lt;=time, SUM('Attributable fraction'!AX123:AX132), "")</f>
        <v/>
      </c>
      <c r="Z23" s="368" t="str">
        <f>IF(Z$3&lt;=time, SUM('Attributable fraction'!AY123:AY132), "")</f>
        <v/>
      </c>
      <c r="AA23" s="196"/>
      <c r="AB23" s="196"/>
      <c r="AC23" s="196"/>
      <c r="AD23" s="196"/>
      <c r="AE23" s="196"/>
      <c r="AF23" s="196"/>
      <c r="AG23" s="196"/>
      <c r="AH23" s="196"/>
      <c r="AI23" s="196"/>
      <c r="AJ23" s="196"/>
      <c r="AK23" s="196"/>
      <c r="AL23" s="196"/>
      <c r="AM23" s="196"/>
      <c r="AN23" s="196"/>
      <c r="AO23" s="196"/>
      <c r="AP23" s="196"/>
      <c r="AQ23" s="196"/>
      <c r="AR23" s="196"/>
      <c r="AS23" s="196"/>
      <c r="AT23" s="196"/>
      <c r="AU23" s="196"/>
      <c r="AV23" s="196"/>
      <c r="AW23" s="196"/>
      <c r="AX23" s="196"/>
      <c r="AY23" s="196"/>
      <c r="AZ23" s="196"/>
      <c r="BA23" s="196"/>
      <c r="BB23" s="196"/>
      <c r="BC23" s="196"/>
      <c r="BD23" s="196"/>
      <c r="BE23" s="196"/>
      <c r="BF23" s="196"/>
      <c r="BG23" s="196"/>
      <c r="BH23" s="196"/>
      <c r="BI23" s="196"/>
      <c r="BJ23" s="196"/>
      <c r="BK23" s="196"/>
      <c r="BL23" s="196"/>
      <c r="BM23" s="196"/>
      <c r="BN23" s="196"/>
      <c r="BO23" s="196"/>
      <c r="BP23" s="196"/>
      <c r="BQ23" s="196"/>
      <c r="BR23" s="196"/>
      <c r="BS23" s="196"/>
      <c r="BT23" s="196"/>
      <c r="BU23" s="196"/>
      <c r="BV23" s="196"/>
      <c r="BW23" s="196"/>
      <c r="BX23" s="196"/>
      <c r="BY23" s="196"/>
      <c r="BZ23" s="196"/>
      <c r="CA23" s="196"/>
      <c r="CB23" s="196"/>
      <c r="CC23" s="196"/>
      <c r="CD23" s="196"/>
      <c r="CE23" s="196"/>
      <c r="CF23" s="196"/>
      <c r="CG23" s="196"/>
      <c r="CH23" s="196"/>
      <c r="CI23" s="196"/>
      <c r="CJ23" s="196"/>
      <c r="CK23" s="196"/>
      <c r="CL23" s="196"/>
      <c r="CM23" s="196"/>
      <c r="CN23" s="196"/>
      <c r="CO23" s="196"/>
      <c r="CP23" s="196"/>
      <c r="CQ23" s="196"/>
      <c r="CR23" s="196"/>
      <c r="CS23" s="196"/>
      <c r="CT23" s="196"/>
      <c r="CU23" s="196"/>
      <c r="CV23" s="196"/>
      <c r="CW23" s="196"/>
      <c r="CX23" s="196"/>
      <c r="CY23" s="196"/>
      <c r="CZ23" s="196"/>
      <c r="DA23" s="196"/>
      <c r="DB23" s="196"/>
      <c r="DC23" s="196"/>
      <c r="DD23" s="196"/>
      <c r="DE23" s="196"/>
      <c r="DF23" s="196"/>
      <c r="DG23" s="196"/>
      <c r="DH23" s="196"/>
      <c r="DI23" s="196"/>
      <c r="DJ23" s="196"/>
      <c r="DK23" s="196"/>
      <c r="DL23" s="196"/>
      <c r="DM23" s="196"/>
      <c r="DN23" s="196"/>
      <c r="DO23" s="196"/>
      <c r="DP23" s="196"/>
      <c r="DQ23" s="196"/>
      <c r="DR23" s="196"/>
      <c r="DS23" s="196"/>
      <c r="DT23" s="196"/>
      <c r="DU23" s="196"/>
      <c r="DV23" s="196"/>
      <c r="DW23" s="196"/>
      <c r="DX23" s="196"/>
      <c r="DY23" s="196"/>
      <c r="DZ23" s="196"/>
      <c r="EA23" s="196"/>
      <c r="EB23" s="196"/>
      <c r="EC23" s="196"/>
      <c r="ED23" s="196"/>
      <c r="EE23" s="196"/>
      <c r="EF23" s="196"/>
      <c r="EG23" s="196"/>
      <c r="EH23" s="196"/>
      <c r="EI23" s="196"/>
      <c r="EJ23" s="196"/>
      <c r="EK23" s="196"/>
      <c r="EL23" s="196"/>
      <c r="EM23" s="196"/>
      <c r="EN23" s="196"/>
      <c r="EO23" s="196"/>
      <c r="EP23" s="196"/>
      <c r="EQ23" s="196"/>
      <c r="ER23" s="196"/>
      <c r="ES23" s="196"/>
      <c r="ET23" s="196"/>
      <c r="EU23" s="196"/>
      <c r="EV23" s="196"/>
      <c r="EW23" s="196"/>
      <c r="EX23" s="196"/>
      <c r="EY23" s="196"/>
      <c r="EZ23" s="196"/>
      <c r="FA23" s="196"/>
      <c r="FB23" s="196"/>
      <c r="FC23" s="196"/>
      <c r="FD23" s="196"/>
      <c r="FE23" s="196"/>
      <c r="FF23" s="196"/>
      <c r="FG23" s="196"/>
      <c r="FH23" s="196"/>
      <c r="FI23" s="196"/>
      <c r="FJ23" s="196"/>
      <c r="FK23" s="196"/>
      <c r="FL23" s="196"/>
      <c r="FM23" s="196"/>
      <c r="FN23" s="196"/>
      <c r="FO23" s="196"/>
      <c r="FP23" s="196"/>
      <c r="FQ23" s="196"/>
      <c r="FR23" s="196"/>
      <c r="FS23" s="196"/>
      <c r="FT23" s="196"/>
      <c r="FU23" s="196"/>
      <c r="FV23" s="196"/>
      <c r="FW23" s="196"/>
      <c r="FX23" s="196"/>
      <c r="FY23" s="196"/>
      <c r="FZ23" s="196"/>
      <c r="GA23" s="196"/>
      <c r="GB23" s="196"/>
      <c r="GC23" s="196"/>
      <c r="GD23" s="196"/>
      <c r="GE23" s="196"/>
      <c r="GF23" s="196"/>
      <c r="GG23" s="196"/>
      <c r="GH23" s="196"/>
      <c r="GI23" s="196"/>
      <c r="GJ23" s="196"/>
      <c r="GK23" s="196"/>
      <c r="GL23" s="196"/>
      <c r="GM23" s="196"/>
      <c r="GN23" s="196"/>
      <c r="GO23" s="196"/>
      <c r="GP23" s="196"/>
      <c r="GQ23" s="196"/>
      <c r="GR23" s="196"/>
      <c r="GS23" s="196"/>
      <c r="GT23" s="196"/>
      <c r="GU23" s="196"/>
      <c r="GV23" s="196"/>
      <c r="GW23" s="196"/>
      <c r="GX23" s="196"/>
      <c r="GY23" s="196"/>
      <c r="GZ23" s="196"/>
      <c r="HA23" s="196"/>
      <c r="HB23" s="196"/>
      <c r="HC23" s="196"/>
      <c r="HD23" s="196"/>
      <c r="HE23" s="196"/>
      <c r="HF23" s="196"/>
      <c r="HG23" s="196"/>
      <c r="HH23" s="196"/>
      <c r="HI23" s="196"/>
      <c r="HJ23" s="196"/>
      <c r="HK23" s="196"/>
      <c r="HL23" s="196"/>
      <c r="HM23" s="196"/>
      <c r="HN23" s="196"/>
      <c r="HO23" s="196"/>
      <c r="HP23" s="196"/>
      <c r="HQ23" s="196"/>
      <c r="HR23" s="196"/>
      <c r="HS23" s="196"/>
      <c r="HT23" s="196"/>
      <c r="HU23" s="196"/>
      <c r="HV23" s="196"/>
      <c r="HW23" s="196"/>
      <c r="HX23" s="196"/>
      <c r="HY23" s="196"/>
      <c r="HZ23" s="196"/>
      <c r="IA23" s="196"/>
      <c r="IB23" s="196"/>
      <c r="IC23" s="196"/>
      <c r="ID23" s="196"/>
      <c r="IE23" s="196"/>
      <c r="IF23" s="196"/>
      <c r="IG23" s="196"/>
      <c r="IH23" s="196"/>
      <c r="II23" s="196"/>
      <c r="IJ23" s="196"/>
      <c r="IK23" s="196"/>
      <c r="IL23" s="196"/>
      <c r="IM23" s="196"/>
      <c r="IN23" s="196"/>
      <c r="IO23" s="196"/>
      <c r="IP23" s="196"/>
      <c r="IQ23" s="196"/>
      <c r="IR23" s="196"/>
      <c r="IS23" s="196"/>
      <c r="IT23" s="196"/>
      <c r="IU23" s="196"/>
      <c r="IV23" s="196"/>
      <c r="IW23" s="196"/>
      <c r="IX23" s="196"/>
      <c r="IY23" s="196"/>
      <c r="IZ23" s="196"/>
      <c r="JA23" s="196"/>
      <c r="JB23" s="196"/>
      <c r="JC23" s="196"/>
      <c r="JD23" s="196"/>
      <c r="JE23" s="196"/>
      <c r="JF23" s="196"/>
      <c r="JG23" s="196"/>
      <c r="JH23" s="196"/>
      <c r="JI23" s="196"/>
      <c r="JJ23" s="196"/>
      <c r="JK23" s="196"/>
      <c r="JL23" s="196"/>
      <c r="JM23" s="196"/>
      <c r="JN23" s="196"/>
      <c r="JO23" s="196"/>
      <c r="JP23" s="196"/>
      <c r="JQ23" s="196"/>
      <c r="JR23" s="196"/>
      <c r="JS23" s="196"/>
      <c r="JT23" s="196"/>
      <c r="JU23" s="196"/>
      <c r="JV23" s="196"/>
      <c r="JW23" s="196"/>
      <c r="JX23" s="196"/>
      <c r="JY23" s="196"/>
      <c r="JZ23" s="196"/>
      <c r="KA23" s="196"/>
      <c r="KB23" s="196"/>
      <c r="KC23" s="196"/>
      <c r="KD23" s="196"/>
      <c r="KE23" s="196"/>
      <c r="KF23" s="196"/>
      <c r="KG23" s="196"/>
      <c r="KH23" s="196"/>
      <c r="KI23" s="196"/>
      <c r="KJ23" s="196"/>
      <c r="KK23" s="196"/>
      <c r="KL23" s="196"/>
      <c r="KM23" s="196"/>
      <c r="KN23" s="196"/>
      <c r="KO23" s="196"/>
      <c r="KP23" s="196"/>
      <c r="KQ23" s="196"/>
      <c r="KR23" s="196"/>
      <c r="KS23" s="196"/>
      <c r="KT23" s="196"/>
      <c r="KU23" s="196"/>
      <c r="KV23" s="196"/>
      <c r="KW23" s="196"/>
      <c r="KX23" s="196"/>
      <c r="KY23" s="196"/>
      <c r="KZ23" s="196"/>
      <c r="LA23" s="196"/>
      <c r="LB23" s="196"/>
      <c r="LC23" s="196"/>
      <c r="LD23" s="196"/>
      <c r="LE23" s="196"/>
      <c r="LF23" s="196"/>
      <c r="LG23" s="196"/>
      <c r="LH23" s="196"/>
      <c r="LI23" s="196"/>
      <c r="LJ23" s="196"/>
      <c r="LK23" s="196"/>
      <c r="LL23" s="196"/>
      <c r="LM23" s="196"/>
      <c r="LN23" s="196"/>
      <c r="LO23" s="196"/>
      <c r="LP23" s="196"/>
      <c r="LQ23" s="196"/>
      <c r="LR23" s="196"/>
      <c r="LS23" s="196"/>
      <c r="LT23" s="196"/>
      <c r="LU23" s="196"/>
      <c r="LV23" s="196"/>
      <c r="LW23" s="196"/>
      <c r="LX23" s="196"/>
      <c r="LY23" s="196"/>
      <c r="LZ23" s="196"/>
      <c r="MA23" s="196"/>
      <c r="MB23" s="196"/>
      <c r="MC23" s="196"/>
      <c r="MD23" s="196"/>
      <c r="ME23" s="196"/>
      <c r="MF23" s="196"/>
      <c r="MG23" s="196"/>
    </row>
    <row r="24" spans="1:345">
      <c r="A24" s="290" t="s">
        <v>193</v>
      </c>
      <c r="B24" s="367">
        <f>IF(B$3&lt;=time, SUM('Attributable fraction'!AA134:AA143), "")</f>
        <v>0</v>
      </c>
      <c r="C24" s="367">
        <f>IF(C$3&lt;=time, SUM('Attributable fraction'!AB134:AB143), "")</f>
        <v>0</v>
      </c>
      <c r="D24" s="367">
        <f>IF(D$3&lt;=time, SUM('Attributable fraction'!AC134:AC143), "")</f>
        <v>0</v>
      </c>
      <c r="E24" s="367">
        <f>IF(E$3&lt;=time, SUM('Attributable fraction'!AD134:AD143), "")</f>
        <v>0</v>
      </c>
      <c r="F24" s="367">
        <f>IF(F$3&lt;=time, SUM('Attributable fraction'!AE134:AE143), "")</f>
        <v>0</v>
      </c>
      <c r="G24" s="367" t="str">
        <f>IF(G$3&lt;=time, SUM('Attributable fraction'!AF134:AF143), "")</f>
        <v/>
      </c>
      <c r="H24" s="367" t="str">
        <f>IF(H$3&lt;=time, SUM('Attributable fraction'!AG134:AG143), "")</f>
        <v/>
      </c>
      <c r="I24" s="367" t="str">
        <f>IF(I$3&lt;=time, SUM('Attributable fraction'!AH134:AH143), "")</f>
        <v/>
      </c>
      <c r="J24" s="367" t="str">
        <f>IF(J$3&lt;=time, SUM('Attributable fraction'!AI134:AI143), "")</f>
        <v/>
      </c>
      <c r="K24" s="367" t="str">
        <f>IF(K$3&lt;=time, SUM('Attributable fraction'!AJ134:AJ143), "")</f>
        <v/>
      </c>
      <c r="L24" s="367" t="str">
        <f>IF(L$3&lt;=time, SUM('Attributable fraction'!AK134:AK143), "")</f>
        <v/>
      </c>
      <c r="M24" s="367" t="str">
        <f>IF(M$3&lt;=time, SUM('Attributable fraction'!AL134:AL143), "")</f>
        <v/>
      </c>
      <c r="N24" s="367" t="str">
        <f>IF(N$3&lt;=time, SUM('Attributable fraction'!AM134:AM143), "")</f>
        <v/>
      </c>
      <c r="O24" s="367" t="str">
        <f>IF(O$3&lt;=time, SUM('Attributable fraction'!AN134:AN143), "")</f>
        <v/>
      </c>
      <c r="P24" s="367" t="str">
        <f>IF(P$3&lt;=time, SUM('Attributable fraction'!AO134:AO143), "")</f>
        <v/>
      </c>
      <c r="Q24" s="367" t="str">
        <f>IF(Q$3&lt;=time, SUM('Attributable fraction'!AP134:AP143), "")</f>
        <v/>
      </c>
      <c r="R24" s="367" t="str">
        <f>IF(R$3&lt;=time, SUM('Attributable fraction'!AQ134:AQ143), "")</f>
        <v/>
      </c>
      <c r="S24" s="367" t="str">
        <f>IF(S$3&lt;=time, SUM('Attributable fraction'!AR134:AR143), "")</f>
        <v/>
      </c>
      <c r="T24" s="367" t="str">
        <f>IF(T$3&lt;=time, SUM('Attributable fraction'!AS134:AS143), "")</f>
        <v/>
      </c>
      <c r="U24" s="367" t="str">
        <f>IF(U$3&lt;=time, SUM('Attributable fraction'!AT134:AT143), "")</f>
        <v/>
      </c>
      <c r="V24" s="367" t="str">
        <f>IF(V$3&lt;=time, SUM('Attributable fraction'!AU134:AU143), "")</f>
        <v/>
      </c>
      <c r="W24" s="367" t="str">
        <f>IF(W$3&lt;=time, SUM('Attributable fraction'!AV134:AV143), "")</f>
        <v/>
      </c>
      <c r="X24" s="367" t="str">
        <f>IF(X$3&lt;=time, SUM('Attributable fraction'!AW134:AW143), "")</f>
        <v/>
      </c>
      <c r="Y24" s="367" t="str">
        <f>IF(Y$3&lt;=time, SUM('Attributable fraction'!AX134:AX143), "")</f>
        <v/>
      </c>
      <c r="Z24" s="368" t="str">
        <f>IF(Z$3&lt;=time, SUM('Attributable fraction'!AY134:AY143), "")</f>
        <v/>
      </c>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c r="BG24" s="196"/>
      <c r="BH24" s="196"/>
      <c r="BI24" s="196"/>
      <c r="BJ24" s="196"/>
      <c r="BK24" s="196"/>
      <c r="BL24" s="196"/>
      <c r="BM24" s="196"/>
      <c r="BN24" s="196"/>
      <c r="BO24" s="196"/>
      <c r="BP24" s="196"/>
      <c r="BQ24" s="196"/>
      <c r="BR24" s="196"/>
      <c r="BS24" s="196"/>
      <c r="BT24" s="196"/>
      <c r="BU24" s="196"/>
      <c r="BV24" s="196"/>
      <c r="BW24" s="196"/>
      <c r="BX24" s="196"/>
      <c r="BY24" s="196"/>
      <c r="BZ24" s="196"/>
      <c r="CA24" s="196"/>
      <c r="CB24" s="196"/>
      <c r="CC24" s="196"/>
      <c r="CD24" s="196"/>
      <c r="CE24" s="196"/>
      <c r="CF24" s="196"/>
      <c r="CG24" s="196"/>
      <c r="CH24" s="196"/>
      <c r="CI24" s="196"/>
      <c r="CJ24" s="196"/>
      <c r="CK24" s="196"/>
      <c r="CL24" s="196"/>
      <c r="CM24" s="196"/>
      <c r="CN24" s="196"/>
      <c r="CO24" s="196"/>
      <c r="CP24" s="196"/>
      <c r="CQ24" s="196"/>
      <c r="CR24" s="196"/>
      <c r="CS24" s="196"/>
      <c r="CT24" s="196"/>
      <c r="CU24" s="196"/>
      <c r="CV24" s="196"/>
      <c r="CW24" s="196"/>
      <c r="CX24" s="196"/>
      <c r="CY24" s="196"/>
      <c r="CZ24" s="196"/>
      <c r="DA24" s="196"/>
      <c r="DB24" s="196"/>
      <c r="DC24" s="196"/>
      <c r="DD24" s="196"/>
      <c r="DE24" s="196"/>
      <c r="DF24" s="196"/>
      <c r="DG24" s="196"/>
      <c r="DH24" s="196"/>
      <c r="DI24" s="196"/>
      <c r="DJ24" s="196"/>
      <c r="DK24" s="196"/>
      <c r="DL24" s="196"/>
      <c r="DM24" s="196"/>
      <c r="DN24" s="196"/>
      <c r="DO24" s="196"/>
      <c r="DP24" s="196"/>
      <c r="DQ24" s="196"/>
      <c r="DR24" s="196"/>
      <c r="DS24" s="196"/>
      <c r="DT24" s="196"/>
      <c r="DU24" s="196"/>
      <c r="DV24" s="196"/>
      <c r="DW24" s="196"/>
      <c r="DX24" s="196"/>
      <c r="DY24" s="196"/>
      <c r="DZ24" s="196"/>
      <c r="EA24" s="196"/>
      <c r="EB24" s="196"/>
      <c r="EC24" s="196"/>
      <c r="ED24" s="196"/>
      <c r="EE24" s="196"/>
      <c r="EF24" s="196"/>
      <c r="EG24" s="196"/>
      <c r="EH24" s="196"/>
      <c r="EI24" s="196"/>
      <c r="EJ24" s="196"/>
      <c r="EK24" s="196"/>
      <c r="EL24" s="196"/>
      <c r="EM24" s="196"/>
      <c r="EN24" s="196"/>
      <c r="EO24" s="196"/>
      <c r="EP24" s="196"/>
      <c r="EQ24" s="196"/>
      <c r="ER24" s="196"/>
      <c r="ES24" s="196"/>
      <c r="ET24" s="196"/>
      <c r="EU24" s="196"/>
      <c r="EV24" s="196"/>
      <c r="EW24" s="196"/>
      <c r="EX24" s="196"/>
      <c r="EY24" s="196"/>
      <c r="EZ24" s="196"/>
      <c r="FA24" s="196"/>
      <c r="FB24" s="196"/>
      <c r="FC24" s="196"/>
      <c r="FD24" s="196"/>
      <c r="FE24" s="196"/>
      <c r="FF24" s="196"/>
      <c r="FG24" s="196"/>
      <c r="FH24" s="196"/>
      <c r="FI24" s="196"/>
      <c r="FJ24" s="196"/>
      <c r="FK24" s="196"/>
      <c r="FL24" s="196"/>
      <c r="FM24" s="196"/>
      <c r="FN24" s="196"/>
      <c r="FO24" s="196"/>
      <c r="FP24" s="196"/>
      <c r="FQ24" s="196"/>
      <c r="FR24" s="196"/>
      <c r="FS24" s="196"/>
      <c r="FT24" s="196"/>
      <c r="FU24" s="196"/>
      <c r="FV24" s="196"/>
      <c r="FW24" s="196"/>
      <c r="FX24" s="196"/>
      <c r="FY24" s="196"/>
      <c r="FZ24" s="196"/>
      <c r="GA24" s="196"/>
      <c r="GB24" s="196"/>
      <c r="GC24" s="196"/>
      <c r="GD24" s="196"/>
      <c r="GE24" s="196"/>
      <c r="GF24" s="196"/>
      <c r="GG24" s="196"/>
      <c r="GH24" s="196"/>
      <c r="GI24" s="196"/>
      <c r="GJ24" s="196"/>
      <c r="GK24" s="196"/>
      <c r="GL24" s="196"/>
      <c r="GM24" s="196"/>
      <c r="GN24" s="196"/>
      <c r="GO24" s="196"/>
      <c r="GP24" s="196"/>
      <c r="GQ24" s="196"/>
      <c r="GR24" s="196"/>
      <c r="GS24" s="196"/>
      <c r="GT24" s="196"/>
      <c r="GU24" s="196"/>
      <c r="GV24" s="196"/>
      <c r="GW24" s="196"/>
      <c r="GX24" s="196"/>
      <c r="GY24" s="196"/>
      <c r="GZ24" s="196"/>
      <c r="HA24" s="196"/>
      <c r="HB24" s="196"/>
      <c r="HC24" s="196"/>
      <c r="HD24" s="196"/>
      <c r="HE24" s="196"/>
      <c r="HF24" s="196"/>
      <c r="HG24" s="196"/>
      <c r="HH24" s="196"/>
      <c r="HI24" s="196"/>
      <c r="HJ24" s="196"/>
      <c r="HK24" s="196"/>
      <c r="HL24" s="196"/>
      <c r="HM24" s="196"/>
      <c r="HN24" s="196"/>
      <c r="HO24" s="196"/>
      <c r="HP24" s="196"/>
      <c r="HQ24" s="196"/>
      <c r="HR24" s="196"/>
      <c r="HS24" s="196"/>
      <c r="HT24" s="196"/>
      <c r="HU24" s="196"/>
      <c r="HV24" s="196"/>
      <c r="HW24" s="196"/>
      <c r="HX24" s="196"/>
      <c r="HY24" s="196"/>
      <c r="HZ24" s="196"/>
      <c r="IA24" s="196"/>
      <c r="IB24" s="196"/>
      <c r="IC24" s="196"/>
      <c r="ID24" s="196"/>
      <c r="IE24" s="196"/>
      <c r="IF24" s="196"/>
      <c r="IG24" s="196"/>
      <c r="IH24" s="196"/>
      <c r="II24" s="196"/>
      <c r="IJ24" s="196"/>
      <c r="IK24" s="196"/>
      <c r="IL24" s="196"/>
      <c r="IM24" s="196"/>
      <c r="IN24" s="196"/>
      <c r="IO24" s="196"/>
      <c r="IP24" s="196"/>
      <c r="IQ24" s="196"/>
      <c r="IR24" s="196"/>
      <c r="IS24" s="196"/>
      <c r="IT24" s="196"/>
      <c r="IU24" s="196"/>
      <c r="IV24" s="196"/>
      <c r="IW24" s="196"/>
      <c r="IX24" s="196"/>
      <c r="IY24" s="196"/>
      <c r="IZ24" s="196"/>
      <c r="JA24" s="196"/>
      <c r="JB24" s="196"/>
      <c r="JC24" s="196"/>
      <c r="JD24" s="196"/>
      <c r="JE24" s="196"/>
      <c r="JF24" s="196"/>
      <c r="JG24" s="196"/>
      <c r="JH24" s="196"/>
      <c r="JI24" s="196"/>
      <c r="JJ24" s="196"/>
      <c r="JK24" s="196"/>
      <c r="JL24" s="196"/>
      <c r="JM24" s="196"/>
      <c r="JN24" s="196"/>
      <c r="JO24" s="196"/>
      <c r="JP24" s="196"/>
      <c r="JQ24" s="196"/>
      <c r="JR24" s="196"/>
      <c r="JS24" s="196"/>
      <c r="JT24" s="196"/>
      <c r="JU24" s="196"/>
      <c r="JV24" s="196"/>
      <c r="JW24" s="196"/>
      <c r="JX24" s="196"/>
      <c r="JY24" s="196"/>
      <c r="JZ24" s="196"/>
      <c r="KA24" s="196"/>
      <c r="KB24" s="196"/>
      <c r="KC24" s="196"/>
      <c r="KD24" s="196"/>
      <c r="KE24" s="196"/>
      <c r="KF24" s="196"/>
      <c r="KG24" s="196"/>
      <c r="KH24" s="196"/>
      <c r="KI24" s="196"/>
      <c r="KJ24" s="196"/>
      <c r="KK24" s="196"/>
      <c r="KL24" s="196"/>
      <c r="KM24" s="196"/>
      <c r="KN24" s="196"/>
      <c r="KO24" s="196"/>
      <c r="KP24" s="196"/>
      <c r="KQ24" s="196"/>
      <c r="KR24" s="196"/>
      <c r="KS24" s="196"/>
      <c r="KT24" s="196"/>
      <c r="KU24" s="196"/>
      <c r="KV24" s="196"/>
      <c r="KW24" s="196"/>
      <c r="KX24" s="196"/>
      <c r="KY24" s="196"/>
      <c r="KZ24" s="196"/>
      <c r="LA24" s="196"/>
      <c r="LB24" s="196"/>
      <c r="LC24" s="196"/>
      <c r="LD24" s="196"/>
      <c r="LE24" s="196"/>
      <c r="LF24" s="196"/>
      <c r="LG24" s="196"/>
      <c r="LH24" s="196"/>
      <c r="LI24" s="196"/>
      <c r="LJ24" s="196"/>
      <c r="LK24" s="196"/>
      <c r="LL24" s="196"/>
      <c r="LM24" s="196"/>
      <c r="LN24" s="196"/>
      <c r="LO24" s="196"/>
      <c r="LP24" s="196"/>
      <c r="LQ24" s="196"/>
      <c r="LR24" s="196"/>
      <c r="LS24" s="196"/>
      <c r="LT24" s="196"/>
      <c r="LU24" s="196"/>
      <c r="LV24" s="196"/>
      <c r="LW24" s="196"/>
      <c r="LX24" s="196"/>
      <c r="LY24" s="196"/>
      <c r="LZ24" s="196"/>
      <c r="MA24" s="196"/>
      <c r="MB24" s="196"/>
      <c r="MC24" s="196"/>
      <c r="MD24" s="196"/>
      <c r="ME24" s="196"/>
      <c r="MF24" s="196"/>
      <c r="MG24" s="196"/>
    </row>
    <row r="25" spans="1:345">
      <c r="A25" s="290" t="s">
        <v>194</v>
      </c>
      <c r="B25" s="367">
        <f>IF(B$3&lt;=time, SUM('Attributable fraction'!AA145:AA154), "")</f>
        <v>0</v>
      </c>
      <c r="C25" s="367">
        <f>IF(C$3&lt;=time, SUM('Attributable fraction'!AB145:AB154), "")</f>
        <v>0</v>
      </c>
      <c r="D25" s="367">
        <f>IF(D$3&lt;=time, SUM('Attributable fraction'!AC145:AC154), "")</f>
        <v>0</v>
      </c>
      <c r="E25" s="367">
        <f>IF(E$3&lt;=time, SUM('Attributable fraction'!AD145:AD154), "")</f>
        <v>0</v>
      </c>
      <c r="F25" s="367">
        <f>IF(F$3&lt;=time, SUM('Attributable fraction'!AE145:AE154), "")</f>
        <v>0</v>
      </c>
      <c r="G25" s="367" t="str">
        <f>IF(G$3&lt;=time, SUM('Attributable fraction'!AF145:AF154), "")</f>
        <v/>
      </c>
      <c r="H25" s="367" t="str">
        <f>IF(H$3&lt;=time, SUM('Attributable fraction'!AG145:AG154), "")</f>
        <v/>
      </c>
      <c r="I25" s="367" t="str">
        <f>IF(I$3&lt;=time, SUM('Attributable fraction'!AH145:AH154), "")</f>
        <v/>
      </c>
      <c r="J25" s="367" t="str">
        <f>IF(J$3&lt;=time, SUM('Attributable fraction'!AI145:AI154), "")</f>
        <v/>
      </c>
      <c r="K25" s="367" t="str">
        <f>IF(K$3&lt;=time, SUM('Attributable fraction'!AJ145:AJ154), "")</f>
        <v/>
      </c>
      <c r="L25" s="367" t="str">
        <f>IF(L$3&lt;=time, SUM('Attributable fraction'!AK145:AK154), "")</f>
        <v/>
      </c>
      <c r="M25" s="367" t="str">
        <f>IF(M$3&lt;=time, SUM('Attributable fraction'!AL145:AL154), "")</f>
        <v/>
      </c>
      <c r="N25" s="367" t="str">
        <f>IF(N$3&lt;=time, SUM('Attributable fraction'!AM145:AM154), "")</f>
        <v/>
      </c>
      <c r="O25" s="367" t="str">
        <f>IF(O$3&lt;=time, SUM('Attributable fraction'!AN145:AN154), "")</f>
        <v/>
      </c>
      <c r="P25" s="367" t="str">
        <f>IF(P$3&lt;=time, SUM('Attributable fraction'!AO145:AO154), "")</f>
        <v/>
      </c>
      <c r="Q25" s="367" t="str">
        <f>IF(Q$3&lt;=time, SUM('Attributable fraction'!AP145:AP154), "")</f>
        <v/>
      </c>
      <c r="R25" s="367" t="str">
        <f>IF(R$3&lt;=time, SUM('Attributable fraction'!AQ145:AQ154), "")</f>
        <v/>
      </c>
      <c r="S25" s="367" t="str">
        <f>IF(S$3&lt;=time, SUM('Attributable fraction'!AR145:AR154), "")</f>
        <v/>
      </c>
      <c r="T25" s="367" t="str">
        <f>IF(T$3&lt;=time, SUM('Attributable fraction'!AS145:AS154), "")</f>
        <v/>
      </c>
      <c r="U25" s="367" t="str">
        <f>IF(U$3&lt;=time, SUM('Attributable fraction'!AT145:AT154), "")</f>
        <v/>
      </c>
      <c r="V25" s="367" t="str">
        <f>IF(V$3&lt;=time, SUM('Attributable fraction'!AU145:AU154), "")</f>
        <v/>
      </c>
      <c r="W25" s="367" t="str">
        <f>IF(W$3&lt;=time, SUM('Attributable fraction'!AV145:AV154), "")</f>
        <v/>
      </c>
      <c r="X25" s="367" t="str">
        <f>IF(X$3&lt;=time, SUM('Attributable fraction'!AW145:AW154), "")</f>
        <v/>
      </c>
      <c r="Y25" s="367" t="str">
        <f>IF(Y$3&lt;=time, SUM('Attributable fraction'!AX145:AX154), "")</f>
        <v/>
      </c>
      <c r="Z25" s="368" t="str">
        <f>IF(Z$3&lt;=time, SUM('Attributable fraction'!AY145:AY154), "")</f>
        <v/>
      </c>
      <c r="AA25" s="196"/>
      <c r="AB25" s="196"/>
      <c r="AC25" s="196"/>
      <c r="AD25" s="196"/>
      <c r="AE25" s="196"/>
      <c r="AF25" s="196"/>
      <c r="AG25" s="196"/>
      <c r="AH25" s="196"/>
      <c r="AI25" s="196"/>
      <c r="AJ25" s="196"/>
      <c r="AK25" s="196"/>
      <c r="AL25" s="196"/>
      <c r="AM25" s="196"/>
      <c r="AN25" s="196"/>
      <c r="AO25" s="196"/>
      <c r="AP25" s="196"/>
      <c r="AQ25" s="196"/>
      <c r="AR25" s="196"/>
      <c r="AS25" s="196"/>
      <c r="AT25" s="196"/>
      <c r="AU25" s="196"/>
      <c r="AV25" s="196"/>
      <c r="AW25" s="196"/>
      <c r="AX25" s="196"/>
      <c r="AY25" s="196"/>
      <c r="AZ25" s="196"/>
      <c r="BA25" s="196"/>
      <c r="BB25" s="196"/>
      <c r="BC25" s="196"/>
      <c r="BD25" s="196"/>
      <c r="BE25" s="196"/>
      <c r="BF25" s="196"/>
      <c r="BG25" s="196"/>
      <c r="BH25" s="196"/>
      <c r="BI25" s="196"/>
      <c r="BJ25" s="196"/>
      <c r="BK25" s="196"/>
      <c r="BL25" s="196"/>
      <c r="BM25" s="196"/>
      <c r="BN25" s="196"/>
      <c r="BO25" s="196"/>
      <c r="BP25" s="196"/>
      <c r="BQ25" s="196"/>
      <c r="BR25" s="196"/>
      <c r="BS25" s="196"/>
      <c r="BT25" s="196"/>
      <c r="BU25" s="196"/>
      <c r="BV25" s="196"/>
      <c r="BW25" s="196"/>
      <c r="BX25" s="196"/>
      <c r="BY25" s="196"/>
      <c r="BZ25" s="196"/>
      <c r="CA25" s="196"/>
      <c r="CB25" s="196"/>
      <c r="CC25" s="196"/>
      <c r="CD25" s="196"/>
      <c r="CE25" s="196"/>
      <c r="CF25" s="196"/>
      <c r="CG25" s="196"/>
      <c r="CH25" s="196"/>
      <c r="CI25" s="196"/>
      <c r="CJ25" s="196"/>
      <c r="CK25" s="196"/>
      <c r="CL25" s="196"/>
      <c r="CM25" s="196"/>
      <c r="CN25" s="196"/>
      <c r="CO25" s="196"/>
      <c r="CP25" s="196"/>
      <c r="CQ25" s="196"/>
      <c r="CR25" s="196"/>
      <c r="CS25" s="196"/>
      <c r="CT25" s="196"/>
      <c r="CU25" s="196"/>
      <c r="CV25" s="196"/>
      <c r="CW25" s="196"/>
      <c r="CX25" s="196"/>
      <c r="CY25" s="196"/>
      <c r="CZ25" s="196"/>
      <c r="DA25" s="196"/>
      <c r="DB25" s="196"/>
      <c r="DC25" s="196"/>
      <c r="DD25" s="196"/>
      <c r="DE25" s="196"/>
      <c r="DF25" s="196"/>
      <c r="DG25" s="196"/>
      <c r="DH25" s="196"/>
      <c r="DI25" s="196"/>
      <c r="DJ25" s="196"/>
      <c r="DK25" s="196"/>
      <c r="DL25" s="196"/>
      <c r="DM25" s="196"/>
      <c r="DN25" s="196"/>
      <c r="DO25" s="196"/>
      <c r="DP25" s="196"/>
      <c r="DQ25" s="196"/>
      <c r="DR25" s="196"/>
      <c r="DS25" s="196"/>
      <c r="DT25" s="196"/>
      <c r="DU25" s="196"/>
      <c r="DV25" s="196"/>
      <c r="DW25" s="196"/>
      <c r="DX25" s="196"/>
      <c r="DY25" s="196"/>
      <c r="DZ25" s="196"/>
      <c r="EA25" s="196"/>
      <c r="EB25" s="196"/>
      <c r="EC25" s="196"/>
      <c r="ED25" s="196"/>
      <c r="EE25" s="196"/>
      <c r="EF25" s="196"/>
      <c r="EG25" s="196"/>
      <c r="EH25" s="196"/>
      <c r="EI25" s="196"/>
      <c r="EJ25" s="196"/>
      <c r="EK25" s="196"/>
      <c r="EL25" s="196"/>
      <c r="EM25" s="196"/>
      <c r="EN25" s="196"/>
      <c r="EO25" s="196"/>
      <c r="EP25" s="196"/>
      <c r="EQ25" s="196"/>
      <c r="ER25" s="196"/>
      <c r="ES25" s="196"/>
      <c r="ET25" s="196"/>
      <c r="EU25" s="196"/>
      <c r="EV25" s="196"/>
      <c r="EW25" s="196"/>
      <c r="EX25" s="196"/>
      <c r="EY25" s="196"/>
      <c r="EZ25" s="196"/>
      <c r="FA25" s="196"/>
      <c r="FB25" s="196"/>
      <c r="FC25" s="196"/>
      <c r="FD25" s="196"/>
      <c r="FE25" s="196"/>
      <c r="FF25" s="196"/>
      <c r="FG25" s="196"/>
      <c r="FH25" s="196"/>
      <c r="FI25" s="196"/>
      <c r="FJ25" s="196"/>
      <c r="FK25" s="196"/>
      <c r="FL25" s="196"/>
      <c r="FM25" s="196"/>
      <c r="FN25" s="196"/>
      <c r="FO25" s="196"/>
      <c r="FP25" s="196"/>
      <c r="FQ25" s="196"/>
      <c r="FR25" s="196"/>
      <c r="FS25" s="196"/>
      <c r="FT25" s="196"/>
      <c r="FU25" s="196"/>
      <c r="FV25" s="196"/>
      <c r="FW25" s="196"/>
      <c r="FX25" s="196"/>
      <c r="FY25" s="196"/>
      <c r="FZ25" s="196"/>
      <c r="GA25" s="196"/>
      <c r="GB25" s="196"/>
      <c r="GC25" s="196"/>
      <c r="GD25" s="196"/>
      <c r="GE25" s="196"/>
      <c r="GF25" s="196"/>
      <c r="GG25" s="196"/>
      <c r="GH25" s="196"/>
      <c r="GI25" s="196"/>
      <c r="GJ25" s="196"/>
      <c r="GK25" s="196"/>
      <c r="GL25" s="196"/>
      <c r="GM25" s="196"/>
      <c r="GN25" s="196"/>
      <c r="GO25" s="196"/>
      <c r="GP25" s="196"/>
      <c r="GQ25" s="196"/>
      <c r="GR25" s="196"/>
      <c r="GS25" s="196"/>
      <c r="GT25" s="196"/>
      <c r="GU25" s="196"/>
      <c r="GV25" s="196"/>
      <c r="GW25" s="196"/>
      <c r="GX25" s="196"/>
      <c r="GY25" s="196"/>
      <c r="GZ25" s="196"/>
      <c r="HA25" s="196"/>
      <c r="HB25" s="196"/>
      <c r="HC25" s="196"/>
      <c r="HD25" s="196"/>
      <c r="HE25" s="196"/>
      <c r="HF25" s="196"/>
      <c r="HG25" s="196"/>
      <c r="HH25" s="196"/>
      <c r="HI25" s="196"/>
      <c r="HJ25" s="196"/>
      <c r="HK25" s="196"/>
      <c r="HL25" s="196"/>
      <c r="HM25" s="196"/>
      <c r="HN25" s="196"/>
      <c r="HO25" s="196"/>
      <c r="HP25" s="196"/>
      <c r="HQ25" s="196"/>
      <c r="HR25" s="196"/>
      <c r="HS25" s="196"/>
      <c r="HT25" s="196"/>
      <c r="HU25" s="196"/>
      <c r="HV25" s="196"/>
      <c r="HW25" s="196"/>
      <c r="HX25" s="196"/>
      <c r="HY25" s="196"/>
      <c r="HZ25" s="196"/>
      <c r="IA25" s="196"/>
      <c r="IB25" s="196"/>
      <c r="IC25" s="196"/>
      <c r="ID25" s="196"/>
      <c r="IE25" s="196"/>
      <c r="IF25" s="196"/>
      <c r="IG25" s="196"/>
      <c r="IH25" s="196"/>
      <c r="II25" s="196"/>
      <c r="IJ25" s="196"/>
      <c r="IK25" s="196"/>
      <c r="IL25" s="196"/>
      <c r="IM25" s="196"/>
      <c r="IN25" s="196"/>
      <c r="IO25" s="196"/>
      <c r="IP25" s="196"/>
      <c r="IQ25" s="196"/>
      <c r="IR25" s="196"/>
      <c r="IS25" s="196"/>
      <c r="IT25" s="196"/>
      <c r="IU25" s="196"/>
      <c r="IV25" s="196"/>
      <c r="IW25" s="196"/>
      <c r="IX25" s="196"/>
      <c r="IY25" s="196"/>
      <c r="IZ25" s="196"/>
      <c r="JA25" s="196"/>
      <c r="JB25" s="196"/>
      <c r="JC25" s="196"/>
      <c r="JD25" s="196"/>
      <c r="JE25" s="196"/>
      <c r="JF25" s="196"/>
      <c r="JG25" s="196"/>
      <c r="JH25" s="196"/>
      <c r="JI25" s="196"/>
      <c r="JJ25" s="196"/>
      <c r="JK25" s="196"/>
      <c r="JL25" s="196"/>
      <c r="JM25" s="196"/>
      <c r="JN25" s="196"/>
      <c r="JO25" s="196"/>
      <c r="JP25" s="196"/>
      <c r="JQ25" s="196"/>
      <c r="JR25" s="196"/>
      <c r="JS25" s="196"/>
      <c r="JT25" s="196"/>
      <c r="JU25" s="196"/>
      <c r="JV25" s="196"/>
      <c r="JW25" s="196"/>
      <c r="JX25" s="196"/>
      <c r="JY25" s="196"/>
      <c r="JZ25" s="196"/>
      <c r="KA25" s="196"/>
      <c r="KB25" s="196"/>
      <c r="KC25" s="196"/>
      <c r="KD25" s="196"/>
      <c r="KE25" s="196"/>
      <c r="KF25" s="196"/>
      <c r="KG25" s="196"/>
      <c r="KH25" s="196"/>
      <c r="KI25" s="196"/>
      <c r="KJ25" s="196"/>
      <c r="KK25" s="196"/>
      <c r="KL25" s="196"/>
      <c r="KM25" s="196"/>
      <c r="KN25" s="196"/>
      <c r="KO25" s="196"/>
      <c r="KP25" s="196"/>
      <c r="KQ25" s="196"/>
      <c r="KR25" s="196"/>
      <c r="KS25" s="196"/>
      <c r="KT25" s="196"/>
      <c r="KU25" s="196"/>
      <c r="KV25" s="196"/>
      <c r="KW25" s="196"/>
      <c r="KX25" s="196"/>
      <c r="KY25" s="196"/>
      <c r="KZ25" s="196"/>
      <c r="LA25" s="196"/>
      <c r="LB25" s="196"/>
      <c r="LC25" s="196"/>
      <c r="LD25" s="196"/>
      <c r="LE25" s="196"/>
      <c r="LF25" s="196"/>
      <c r="LG25" s="196"/>
      <c r="LH25" s="196"/>
      <c r="LI25" s="196"/>
      <c r="LJ25" s="196"/>
      <c r="LK25" s="196"/>
      <c r="LL25" s="196"/>
      <c r="LM25" s="196"/>
      <c r="LN25" s="196"/>
      <c r="LO25" s="196"/>
      <c r="LP25" s="196"/>
      <c r="LQ25" s="196"/>
      <c r="LR25" s="196"/>
      <c r="LS25" s="196"/>
      <c r="LT25" s="196"/>
      <c r="LU25" s="196"/>
      <c r="LV25" s="196"/>
      <c r="LW25" s="196"/>
      <c r="LX25" s="196"/>
      <c r="LY25" s="196"/>
      <c r="LZ25" s="196"/>
      <c r="MA25" s="196"/>
      <c r="MB25" s="196"/>
      <c r="MC25" s="196"/>
      <c r="MD25" s="196"/>
      <c r="ME25" s="196"/>
      <c r="MF25" s="196"/>
      <c r="MG25" s="196"/>
    </row>
    <row r="26" spans="1:345">
      <c r="A26" s="290" t="s">
        <v>17</v>
      </c>
      <c r="B26" s="367">
        <f>IF(B$3&lt;=time, SUM(B27:B28), "")</f>
        <v>0</v>
      </c>
      <c r="C26" s="367">
        <f t="shared" ref="C26:Z26" si="5">IF(C$3&lt;=time, SUM(C27:C28), "")</f>
        <v>0</v>
      </c>
      <c r="D26" s="367">
        <f t="shared" si="5"/>
        <v>0</v>
      </c>
      <c r="E26" s="367">
        <f t="shared" si="5"/>
        <v>0</v>
      </c>
      <c r="F26" s="367">
        <f t="shared" si="5"/>
        <v>0</v>
      </c>
      <c r="G26" s="367" t="str">
        <f t="shared" si="5"/>
        <v/>
      </c>
      <c r="H26" s="367" t="str">
        <f t="shared" si="5"/>
        <v/>
      </c>
      <c r="I26" s="367" t="str">
        <f t="shared" si="5"/>
        <v/>
      </c>
      <c r="J26" s="367" t="str">
        <f t="shared" si="5"/>
        <v/>
      </c>
      <c r="K26" s="367" t="str">
        <f t="shared" si="5"/>
        <v/>
      </c>
      <c r="L26" s="367" t="str">
        <f t="shared" si="5"/>
        <v/>
      </c>
      <c r="M26" s="367" t="str">
        <f t="shared" si="5"/>
        <v/>
      </c>
      <c r="N26" s="367" t="str">
        <f t="shared" si="5"/>
        <v/>
      </c>
      <c r="O26" s="367" t="str">
        <f t="shared" si="5"/>
        <v/>
      </c>
      <c r="P26" s="367" t="str">
        <f t="shared" si="5"/>
        <v/>
      </c>
      <c r="Q26" s="367" t="str">
        <f t="shared" si="5"/>
        <v/>
      </c>
      <c r="R26" s="367" t="str">
        <f t="shared" si="5"/>
        <v/>
      </c>
      <c r="S26" s="367" t="str">
        <f t="shared" si="5"/>
        <v/>
      </c>
      <c r="T26" s="367" t="str">
        <f t="shared" si="5"/>
        <v/>
      </c>
      <c r="U26" s="367" t="str">
        <f t="shared" si="5"/>
        <v/>
      </c>
      <c r="V26" s="367" t="str">
        <f t="shared" si="5"/>
        <v/>
      </c>
      <c r="W26" s="367" t="str">
        <f t="shared" si="5"/>
        <v/>
      </c>
      <c r="X26" s="367" t="str">
        <f t="shared" si="5"/>
        <v/>
      </c>
      <c r="Y26" s="367" t="str">
        <f t="shared" si="5"/>
        <v/>
      </c>
      <c r="Z26" s="368" t="str">
        <f t="shared" si="5"/>
        <v/>
      </c>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c r="BB26" s="196"/>
      <c r="BC26" s="196"/>
      <c r="BD26" s="196"/>
      <c r="BE26" s="196"/>
      <c r="BF26" s="196"/>
      <c r="BG26" s="196"/>
      <c r="BH26" s="196"/>
      <c r="BI26" s="196"/>
      <c r="BJ26" s="196"/>
      <c r="BK26" s="196"/>
      <c r="BL26" s="196"/>
      <c r="BM26" s="196"/>
      <c r="BN26" s="196"/>
      <c r="BO26" s="196"/>
      <c r="BP26" s="196"/>
      <c r="BQ26" s="196"/>
      <c r="BR26" s="196"/>
      <c r="BS26" s="196"/>
      <c r="BT26" s="196"/>
      <c r="BU26" s="196"/>
      <c r="BV26" s="196"/>
      <c r="BW26" s="196"/>
      <c r="BX26" s="196"/>
      <c r="BY26" s="196"/>
      <c r="BZ26" s="196"/>
      <c r="CA26" s="196"/>
      <c r="CB26" s="196"/>
      <c r="CC26" s="196"/>
      <c r="CD26" s="196"/>
      <c r="CE26" s="196"/>
      <c r="CF26" s="196"/>
      <c r="CG26" s="196"/>
      <c r="CH26" s="196"/>
      <c r="CI26" s="196"/>
      <c r="CJ26" s="196"/>
      <c r="CK26" s="196"/>
      <c r="CL26" s="196"/>
      <c r="CM26" s="196"/>
      <c r="CN26" s="196"/>
      <c r="CO26" s="196"/>
      <c r="CP26" s="196"/>
      <c r="CQ26" s="196"/>
      <c r="CR26" s="196"/>
      <c r="CS26" s="196"/>
      <c r="CT26" s="196"/>
      <c r="CU26" s="196"/>
      <c r="CV26" s="196"/>
      <c r="CW26" s="196"/>
      <c r="CX26" s="196"/>
      <c r="CY26" s="196"/>
      <c r="CZ26" s="196"/>
      <c r="DA26" s="196"/>
      <c r="DB26" s="196"/>
      <c r="DC26" s="196"/>
      <c r="DD26" s="196"/>
      <c r="DE26" s="196"/>
      <c r="DF26" s="196"/>
      <c r="DG26" s="196"/>
      <c r="DH26" s="196"/>
      <c r="DI26" s="196"/>
      <c r="DJ26" s="196"/>
      <c r="DK26" s="196"/>
      <c r="DL26" s="196"/>
      <c r="DM26" s="196"/>
      <c r="DN26" s="196"/>
      <c r="DO26" s="196"/>
      <c r="DP26" s="196"/>
      <c r="DQ26" s="196"/>
      <c r="DR26" s="196"/>
      <c r="DS26" s="196"/>
      <c r="DT26" s="196"/>
      <c r="DU26" s="196"/>
      <c r="DV26" s="196"/>
      <c r="DW26" s="196"/>
      <c r="DX26" s="196"/>
      <c r="DY26" s="196"/>
      <c r="DZ26" s="196"/>
      <c r="EA26" s="196"/>
      <c r="EB26" s="196"/>
      <c r="EC26" s="196"/>
      <c r="ED26" s="196"/>
      <c r="EE26" s="196"/>
      <c r="EF26" s="196"/>
      <c r="EG26" s="196"/>
      <c r="EH26" s="196"/>
      <c r="EI26" s="196"/>
      <c r="EJ26" s="196"/>
      <c r="EK26" s="196"/>
      <c r="EL26" s="196"/>
      <c r="EM26" s="196"/>
      <c r="EN26" s="196"/>
      <c r="EO26" s="196"/>
      <c r="EP26" s="196"/>
      <c r="EQ26" s="196"/>
      <c r="ER26" s="196"/>
      <c r="ES26" s="196"/>
      <c r="ET26" s="196"/>
      <c r="EU26" s="196"/>
      <c r="EV26" s="196"/>
      <c r="EW26" s="196"/>
      <c r="EX26" s="196"/>
      <c r="EY26" s="196"/>
      <c r="EZ26" s="196"/>
      <c r="FA26" s="196"/>
      <c r="FB26" s="196"/>
      <c r="FC26" s="196"/>
      <c r="FD26" s="196"/>
      <c r="FE26" s="196"/>
      <c r="FF26" s="196"/>
      <c r="FG26" s="196"/>
      <c r="FH26" s="196"/>
      <c r="FI26" s="196"/>
      <c r="FJ26" s="196"/>
      <c r="FK26" s="196"/>
      <c r="FL26" s="196"/>
      <c r="FM26" s="196"/>
      <c r="FN26" s="196"/>
      <c r="FO26" s="196"/>
      <c r="FP26" s="196"/>
      <c r="FQ26" s="196"/>
      <c r="FR26" s="196"/>
      <c r="FS26" s="196"/>
      <c r="FT26" s="196"/>
      <c r="FU26" s="196"/>
      <c r="FV26" s="196"/>
      <c r="FW26" s="196"/>
      <c r="FX26" s="196"/>
      <c r="FY26" s="196"/>
      <c r="FZ26" s="196"/>
      <c r="GA26" s="196"/>
      <c r="GB26" s="196"/>
      <c r="GC26" s="196"/>
      <c r="GD26" s="196"/>
      <c r="GE26" s="196"/>
      <c r="GF26" s="196"/>
      <c r="GG26" s="196"/>
      <c r="GH26" s="196"/>
      <c r="GI26" s="196"/>
      <c r="GJ26" s="196"/>
      <c r="GK26" s="196"/>
      <c r="GL26" s="196"/>
      <c r="GM26" s="196"/>
      <c r="GN26" s="196"/>
      <c r="GO26" s="196"/>
      <c r="GP26" s="196"/>
      <c r="GQ26" s="196"/>
      <c r="GR26" s="196"/>
      <c r="GS26" s="196"/>
      <c r="GT26" s="196"/>
      <c r="GU26" s="196"/>
      <c r="GV26" s="196"/>
      <c r="GW26" s="196"/>
      <c r="GX26" s="196"/>
      <c r="GY26" s="196"/>
      <c r="GZ26" s="196"/>
      <c r="HA26" s="196"/>
      <c r="HB26" s="196"/>
      <c r="HC26" s="196"/>
      <c r="HD26" s="196"/>
      <c r="HE26" s="196"/>
      <c r="HF26" s="196"/>
      <c r="HG26" s="196"/>
      <c r="HH26" s="196"/>
      <c r="HI26" s="196"/>
      <c r="HJ26" s="196"/>
      <c r="HK26" s="196"/>
      <c r="HL26" s="196"/>
      <c r="HM26" s="196"/>
      <c r="HN26" s="196"/>
      <c r="HO26" s="196"/>
      <c r="HP26" s="196"/>
      <c r="HQ26" s="196"/>
      <c r="HR26" s="196"/>
      <c r="HS26" s="196"/>
      <c r="HT26" s="196"/>
      <c r="HU26" s="196"/>
      <c r="HV26" s="196"/>
      <c r="HW26" s="196"/>
      <c r="HX26" s="196"/>
      <c r="HY26" s="196"/>
      <c r="HZ26" s="196"/>
      <c r="IA26" s="196"/>
      <c r="IB26" s="196"/>
      <c r="IC26" s="196"/>
      <c r="ID26" s="196"/>
      <c r="IE26" s="196"/>
      <c r="IF26" s="196"/>
      <c r="IG26" s="196"/>
      <c r="IH26" s="196"/>
      <c r="II26" s="196"/>
      <c r="IJ26" s="196"/>
      <c r="IK26" s="196"/>
      <c r="IL26" s="196"/>
      <c r="IM26" s="196"/>
      <c r="IN26" s="196"/>
      <c r="IO26" s="196"/>
      <c r="IP26" s="196"/>
      <c r="IQ26" s="196"/>
      <c r="IR26" s="196"/>
      <c r="IS26" s="196"/>
      <c r="IT26" s="196"/>
      <c r="IU26" s="196"/>
      <c r="IV26" s="196"/>
      <c r="IW26" s="196"/>
      <c r="IX26" s="196"/>
      <c r="IY26" s="196"/>
      <c r="IZ26" s="196"/>
      <c r="JA26" s="196"/>
      <c r="JB26" s="196"/>
      <c r="JC26" s="196"/>
      <c r="JD26" s="196"/>
      <c r="JE26" s="196"/>
      <c r="JF26" s="196"/>
      <c r="JG26" s="196"/>
      <c r="JH26" s="196"/>
      <c r="JI26" s="196"/>
      <c r="JJ26" s="196"/>
      <c r="JK26" s="196"/>
      <c r="JL26" s="196"/>
      <c r="JM26" s="196"/>
      <c r="JN26" s="196"/>
      <c r="JO26" s="196"/>
      <c r="JP26" s="196"/>
      <c r="JQ26" s="196"/>
      <c r="JR26" s="196"/>
      <c r="JS26" s="196"/>
      <c r="JT26" s="196"/>
      <c r="JU26" s="196"/>
      <c r="JV26" s="196"/>
      <c r="JW26" s="196"/>
      <c r="JX26" s="196"/>
      <c r="JY26" s="196"/>
      <c r="JZ26" s="196"/>
      <c r="KA26" s="196"/>
      <c r="KB26" s="196"/>
      <c r="KC26" s="196"/>
      <c r="KD26" s="196"/>
      <c r="KE26" s="196"/>
      <c r="KF26" s="196"/>
      <c r="KG26" s="196"/>
      <c r="KH26" s="196"/>
      <c r="KI26" s="196"/>
      <c r="KJ26" s="196"/>
      <c r="KK26" s="196"/>
      <c r="KL26" s="196"/>
      <c r="KM26" s="196"/>
      <c r="KN26" s="196"/>
      <c r="KO26" s="196"/>
      <c r="KP26" s="196"/>
      <c r="KQ26" s="196"/>
      <c r="KR26" s="196"/>
      <c r="KS26" s="196"/>
      <c r="KT26" s="196"/>
      <c r="KU26" s="196"/>
      <c r="KV26" s="196"/>
      <c r="KW26" s="196"/>
      <c r="KX26" s="196"/>
      <c r="KY26" s="196"/>
      <c r="KZ26" s="196"/>
      <c r="LA26" s="196"/>
      <c r="LB26" s="196"/>
      <c r="LC26" s="196"/>
      <c r="LD26" s="196"/>
      <c r="LE26" s="196"/>
      <c r="LF26" s="196"/>
      <c r="LG26" s="196"/>
      <c r="LH26" s="196"/>
      <c r="LI26" s="196"/>
      <c r="LJ26" s="196"/>
      <c r="LK26" s="196"/>
      <c r="LL26" s="196"/>
      <c r="LM26" s="196"/>
      <c r="LN26" s="196"/>
      <c r="LO26" s="196"/>
      <c r="LP26" s="196"/>
      <c r="LQ26" s="196"/>
      <c r="LR26" s="196"/>
      <c r="LS26" s="196"/>
      <c r="LT26" s="196"/>
      <c r="LU26" s="196"/>
      <c r="LV26" s="196"/>
      <c r="LW26" s="196"/>
      <c r="LX26" s="196"/>
      <c r="LY26" s="196"/>
      <c r="LZ26" s="196"/>
      <c r="MA26" s="196"/>
      <c r="MB26" s="196"/>
      <c r="MC26" s="196"/>
      <c r="MD26" s="196"/>
      <c r="ME26" s="196"/>
      <c r="MF26" s="196"/>
      <c r="MG26" s="196"/>
    </row>
    <row r="27" spans="1:345">
      <c r="A27" s="302" t="s">
        <v>180</v>
      </c>
      <c r="B27" s="367">
        <f>IF(B$3&lt;=time, SUM('Attributable fraction'!AA157:AA166), "")</f>
        <v>0</v>
      </c>
      <c r="C27" s="367">
        <f>IF(C$3&lt;=time, SUM('Attributable fraction'!AB157:AB166), "")</f>
        <v>0</v>
      </c>
      <c r="D27" s="367">
        <f>IF(D$3&lt;=time, SUM('Attributable fraction'!AC157:AC166), "")</f>
        <v>0</v>
      </c>
      <c r="E27" s="367">
        <f>IF(E$3&lt;=time, SUM('Attributable fraction'!AD157:AD166), "")</f>
        <v>0</v>
      </c>
      <c r="F27" s="367">
        <f>IF(F$3&lt;=time, SUM('Attributable fraction'!AE157:AE166), "")</f>
        <v>0</v>
      </c>
      <c r="G27" s="367" t="str">
        <f>IF(G$3&lt;=time, SUM('Attributable fraction'!AF157:AF166), "")</f>
        <v/>
      </c>
      <c r="H27" s="367" t="str">
        <f>IF(H$3&lt;=time, SUM('Attributable fraction'!AG157:AG166), "")</f>
        <v/>
      </c>
      <c r="I27" s="367" t="str">
        <f>IF(I$3&lt;=time, SUM('Attributable fraction'!AH157:AH166), "")</f>
        <v/>
      </c>
      <c r="J27" s="367" t="str">
        <f>IF(J$3&lt;=time, SUM('Attributable fraction'!AI157:AI166), "")</f>
        <v/>
      </c>
      <c r="K27" s="367" t="str">
        <f>IF(K$3&lt;=time, SUM('Attributable fraction'!AJ157:AJ166), "")</f>
        <v/>
      </c>
      <c r="L27" s="367" t="str">
        <f>IF(L$3&lt;=time, SUM('Attributable fraction'!AK157:AK166), "")</f>
        <v/>
      </c>
      <c r="M27" s="367" t="str">
        <f>IF(M$3&lt;=time, SUM('Attributable fraction'!AL157:AL166), "")</f>
        <v/>
      </c>
      <c r="N27" s="367" t="str">
        <f>IF(N$3&lt;=time, SUM('Attributable fraction'!AM157:AM166), "")</f>
        <v/>
      </c>
      <c r="O27" s="367" t="str">
        <f>IF(O$3&lt;=time, SUM('Attributable fraction'!AN157:AN166), "")</f>
        <v/>
      </c>
      <c r="P27" s="367" t="str">
        <f>IF(P$3&lt;=time, SUM('Attributable fraction'!AO157:AO166), "")</f>
        <v/>
      </c>
      <c r="Q27" s="367" t="str">
        <f>IF(Q$3&lt;=time, SUM('Attributable fraction'!AP157:AP166), "")</f>
        <v/>
      </c>
      <c r="R27" s="367" t="str">
        <f>IF(R$3&lt;=time, SUM('Attributable fraction'!AQ157:AQ166), "")</f>
        <v/>
      </c>
      <c r="S27" s="367" t="str">
        <f>IF(S$3&lt;=time, SUM('Attributable fraction'!AR157:AR166), "")</f>
        <v/>
      </c>
      <c r="T27" s="367" t="str">
        <f>IF(T$3&lt;=time, SUM('Attributable fraction'!AS157:AS166), "")</f>
        <v/>
      </c>
      <c r="U27" s="367" t="str">
        <f>IF(U$3&lt;=time, SUM('Attributable fraction'!AT157:AT166), "")</f>
        <v/>
      </c>
      <c r="V27" s="367" t="str">
        <f>IF(V$3&lt;=time, SUM('Attributable fraction'!AU157:AU166), "")</f>
        <v/>
      </c>
      <c r="W27" s="367" t="str">
        <f>IF(W$3&lt;=time, SUM('Attributable fraction'!AV157:AV166), "")</f>
        <v/>
      </c>
      <c r="X27" s="367" t="str">
        <f>IF(X$3&lt;=time, SUM('Attributable fraction'!AW157:AW166), "")</f>
        <v/>
      </c>
      <c r="Y27" s="367" t="str">
        <f>IF(Y$3&lt;=time, SUM('Attributable fraction'!AX157:AX166), "")</f>
        <v/>
      </c>
      <c r="Z27" s="368" t="str">
        <f>IF(Z$3&lt;=time, SUM('Attributable fraction'!AY157:AY166), "")</f>
        <v/>
      </c>
      <c r="AA27" s="196"/>
      <c r="AB27" s="196"/>
      <c r="AC27" s="196"/>
      <c r="AD27" s="196"/>
      <c r="AE27" s="196"/>
      <c r="AF27" s="196"/>
      <c r="AG27" s="196"/>
      <c r="AH27" s="196"/>
      <c r="AI27" s="196"/>
      <c r="AJ27" s="196"/>
      <c r="AK27" s="196"/>
      <c r="AL27" s="196"/>
      <c r="AM27" s="196"/>
      <c r="AN27" s="196"/>
      <c r="AO27" s="196"/>
      <c r="AP27" s="196"/>
      <c r="AQ27" s="196"/>
      <c r="AR27" s="196"/>
      <c r="AS27" s="196"/>
      <c r="AT27" s="196"/>
      <c r="AU27" s="196"/>
      <c r="AV27" s="196"/>
      <c r="AW27" s="196"/>
      <c r="AX27" s="196"/>
      <c r="AY27" s="196"/>
      <c r="AZ27" s="196"/>
      <c r="BA27" s="196"/>
      <c r="BB27" s="196"/>
      <c r="BC27" s="196"/>
      <c r="BD27" s="196"/>
      <c r="BE27" s="196"/>
      <c r="BF27" s="196"/>
      <c r="BG27" s="196"/>
      <c r="BH27" s="196"/>
      <c r="BI27" s="196"/>
      <c r="BJ27" s="196"/>
      <c r="BK27" s="196"/>
      <c r="BL27" s="196"/>
      <c r="BM27" s="196"/>
      <c r="BN27" s="196"/>
      <c r="BO27" s="196"/>
      <c r="BP27" s="196"/>
      <c r="BQ27" s="196"/>
      <c r="BR27" s="196"/>
      <c r="BS27" s="196"/>
      <c r="BT27" s="196"/>
      <c r="BU27" s="196"/>
      <c r="BV27" s="196"/>
      <c r="BW27" s="196"/>
      <c r="BX27" s="196"/>
      <c r="BY27" s="196"/>
      <c r="BZ27" s="196"/>
      <c r="CA27" s="196"/>
      <c r="CB27" s="196"/>
      <c r="CC27" s="196"/>
      <c r="CD27" s="196"/>
      <c r="CE27" s="196"/>
      <c r="CF27" s="196"/>
      <c r="CG27" s="196"/>
      <c r="CH27" s="196"/>
      <c r="CI27" s="196"/>
      <c r="CJ27" s="196"/>
      <c r="CK27" s="196"/>
      <c r="CL27" s="196"/>
      <c r="CM27" s="196"/>
      <c r="CN27" s="196"/>
      <c r="CO27" s="196"/>
      <c r="CP27" s="196"/>
      <c r="CQ27" s="196"/>
      <c r="CR27" s="196"/>
      <c r="CS27" s="196"/>
      <c r="CT27" s="196"/>
      <c r="CU27" s="196"/>
      <c r="CV27" s="196"/>
      <c r="CW27" s="196"/>
      <c r="CX27" s="196"/>
      <c r="CY27" s="196"/>
      <c r="CZ27" s="196"/>
      <c r="DA27" s="196"/>
      <c r="DB27" s="196"/>
      <c r="DC27" s="196"/>
      <c r="DD27" s="196"/>
      <c r="DE27" s="196"/>
      <c r="DF27" s="196"/>
      <c r="DG27" s="196"/>
      <c r="DH27" s="196"/>
      <c r="DI27" s="196"/>
      <c r="DJ27" s="196"/>
      <c r="DK27" s="196"/>
      <c r="DL27" s="196"/>
      <c r="DM27" s="196"/>
      <c r="DN27" s="196"/>
      <c r="DO27" s="196"/>
      <c r="DP27" s="196"/>
      <c r="DQ27" s="196"/>
      <c r="DR27" s="196"/>
      <c r="DS27" s="196"/>
      <c r="DT27" s="196"/>
      <c r="DU27" s="196"/>
      <c r="DV27" s="196"/>
      <c r="DW27" s="196"/>
      <c r="DX27" s="196"/>
      <c r="DY27" s="196"/>
      <c r="DZ27" s="196"/>
      <c r="EA27" s="196"/>
      <c r="EB27" s="196"/>
      <c r="EC27" s="196"/>
      <c r="ED27" s="196"/>
      <c r="EE27" s="196"/>
      <c r="EF27" s="196"/>
      <c r="EG27" s="196"/>
      <c r="EH27" s="196"/>
      <c r="EI27" s="196"/>
      <c r="EJ27" s="196"/>
      <c r="EK27" s="196"/>
      <c r="EL27" s="196"/>
      <c r="EM27" s="196"/>
      <c r="EN27" s="196"/>
      <c r="EO27" s="196"/>
      <c r="EP27" s="196"/>
      <c r="EQ27" s="196"/>
      <c r="ER27" s="196"/>
      <c r="ES27" s="196"/>
      <c r="ET27" s="196"/>
      <c r="EU27" s="196"/>
      <c r="EV27" s="196"/>
      <c r="EW27" s="196"/>
      <c r="EX27" s="196"/>
      <c r="EY27" s="196"/>
      <c r="EZ27" s="196"/>
      <c r="FA27" s="196"/>
      <c r="FB27" s="196"/>
      <c r="FC27" s="196"/>
      <c r="FD27" s="196"/>
      <c r="FE27" s="196"/>
      <c r="FF27" s="196"/>
      <c r="FG27" s="196"/>
      <c r="FH27" s="196"/>
      <c r="FI27" s="196"/>
      <c r="FJ27" s="196"/>
      <c r="FK27" s="196"/>
      <c r="FL27" s="196"/>
      <c r="FM27" s="196"/>
      <c r="FN27" s="196"/>
      <c r="FO27" s="196"/>
      <c r="FP27" s="196"/>
      <c r="FQ27" s="196"/>
      <c r="FR27" s="196"/>
      <c r="FS27" s="196"/>
      <c r="FT27" s="196"/>
      <c r="FU27" s="196"/>
      <c r="FV27" s="196"/>
      <c r="FW27" s="196"/>
      <c r="FX27" s="196"/>
      <c r="FY27" s="196"/>
      <c r="FZ27" s="196"/>
      <c r="GA27" s="196"/>
      <c r="GB27" s="196"/>
      <c r="GC27" s="196"/>
      <c r="GD27" s="196"/>
      <c r="GE27" s="196"/>
      <c r="GF27" s="196"/>
      <c r="GG27" s="196"/>
      <c r="GH27" s="196"/>
      <c r="GI27" s="196"/>
      <c r="GJ27" s="196"/>
      <c r="GK27" s="196"/>
      <c r="GL27" s="196"/>
      <c r="GM27" s="196"/>
      <c r="GN27" s="196"/>
      <c r="GO27" s="196"/>
      <c r="GP27" s="196"/>
      <c r="GQ27" s="196"/>
      <c r="GR27" s="196"/>
      <c r="GS27" s="196"/>
      <c r="GT27" s="196"/>
      <c r="GU27" s="196"/>
      <c r="GV27" s="196"/>
      <c r="GW27" s="196"/>
      <c r="GX27" s="196"/>
      <c r="GY27" s="196"/>
      <c r="GZ27" s="196"/>
      <c r="HA27" s="196"/>
      <c r="HB27" s="196"/>
      <c r="HC27" s="196"/>
      <c r="HD27" s="196"/>
      <c r="HE27" s="196"/>
      <c r="HF27" s="196"/>
      <c r="HG27" s="196"/>
      <c r="HH27" s="196"/>
      <c r="HI27" s="196"/>
      <c r="HJ27" s="196"/>
      <c r="HK27" s="196"/>
      <c r="HL27" s="196"/>
      <c r="HM27" s="196"/>
      <c r="HN27" s="196"/>
      <c r="HO27" s="196"/>
      <c r="HP27" s="196"/>
      <c r="HQ27" s="196"/>
      <c r="HR27" s="196"/>
      <c r="HS27" s="196"/>
      <c r="HT27" s="196"/>
      <c r="HU27" s="196"/>
      <c r="HV27" s="196"/>
      <c r="HW27" s="196"/>
      <c r="HX27" s="196"/>
      <c r="HY27" s="196"/>
      <c r="HZ27" s="196"/>
      <c r="IA27" s="196"/>
      <c r="IB27" s="196"/>
      <c r="IC27" s="196"/>
      <c r="ID27" s="196"/>
      <c r="IE27" s="196"/>
      <c r="IF27" s="196"/>
      <c r="IG27" s="196"/>
      <c r="IH27" s="196"/>
      <c r="II27" s="196"/>
      <c r="IJ27" s="196"/>
      <c r="IK27" s="196"/>
      <c r="IL27" s="196"/>
      <c r="IM27" s="196"/>
      <c r="IN27" s="196"/>
      <c r="IO27" s="196"/>
      <c r="IP27" s="196"/>
      <c r="IQ27" s="196"/>
      <c r="IR27" s="196"/>
      <c r="IS27" s="196"/>
      <c r="IT27" s="196"/>
      <c r="IU27" s="196"/>
      <c r="IV27" s="196"/>
      <c r="IW27" s="196"/>
      <c r="IX27" s="196"/>
      <c r="IY27" s="196"/>
      <c r="IZ27" s="196"/>
      <c r="JA27" s="196"/>
      <c r="JB27" s="196"/>
      <c r="JC27" s="196"/>
      <c r="JD27" s="196"/>
      <c r="JE27" s="196"/>
      <c r="JF27" s="196"/>
      <c r="JG27" s="196"/>
      <c r="JH27" s="196"/>
      <c r="JI27" s="196"/>
      <c r="JJ27" s="196"/>
      <c r="JK27" s="196"/>
      <c r="JL27" s="196"/>
      <c r="JM27" s="196"/>
      <c r="JN27" s="196"/>
      <c r="JO27" s="196"/>
      <c r="JP27" s="196"/>
      <c r="JQ27" s="196"/>
      <c r="JR27" s="196"/>
      <c r="JS27" s="196"/>
      <c r="JT27" s="196"/>
      <c r="JU27" s="196"/>
      <c r="JV27" s="196"/>
      <c r="JW27" s="196"/>
      <c r="JX27" s="196"/>
      <c r="JY27" s="196"/>
      <c r="JZ27" s="196"/>
      <c r="KA27" s="196"/>
      <c r="KB27" s="196"/>
      <c r="KC27" s="196"/>
      <c r="KD27" s="196"/>
      <c r="KE27" s="196"/>
      <c r="KF27" s="196"/>
      <c r="KG27" s="196"/>
      <c r="KH27" s="196"/>
      <c r="KI27" s="196"/>
      <c r="KJ27" s="196"/>
      <c r="KK27" s="196"/>
      <c r="KL27" s="196"/>
      <c r="KM27" s="196"/>
      <c r="KN27" s="196"/>
      <c r="KO27" s="196"/>
      <c r="KP27" s="196"/>
      <c r="KQ27" s="196"/>
      <c r="KR27" s="196"/>
      <c r="KS27" s="196"/>
      <c r="KT27" s="196"/>
      <c r="KU27" s="196"/>
      <c r="KV27" s="196"/>
      <c r="KW27" s="196"/>
      <c r="KX27" s="196"/>
      <c r="KY27" s="196"/>
      <c r="KZ27" s="196"/>
      <c r="LA27" s="196"/>
      <c r="LB27" s="196"/>
      <c r="LC27" s="196"/>
      <c r="LD27" s="196"/>
      <c r="LE27" s="196"/>
      <c r="LF27" s="196"/>
      <c r="LG27" s="196"/>
      <c r="LH27" s="196"/>
      <c r="LI27" s="196"/>
      <c r="LJ27" s="196"/>
      <c r="LK27" s="196"/>
      <c r="LL27" s="196"/>
      <c r="LM27" s="196"/>
      <c r="LN27" s="196"/>
      <c r="LO27" s="196"/>
      <c r="LP27" s="196"/>
      <c r="LQ27" s="196"/>
      <c r="LR27" s="196"/>
      <c r="LS27" s="196"/>
      <c r="LT27" s="196"/>
      <c r="LU27" s="196"/>
      <c r="LV27" s="196"/>
      <c r="LW27" s="196"/>
      <c r="LX27" s="196"/>
      <c r="LY27" s="196"/>
      <c r="LZ27" s="196"/>
      <c r="MA27" s="196"/>
      <c r="MB27" s="196"/>
      <c r="MC27" s="196"/>
      <c r="MD27" s="196"/>
      <c r="ME27" s="196"/>
      <c r="MF27" s="196"/>
      <c r="MG27" s="196"/>
    </row>
    <row r="28" spans="1:345">
      <c r="A28" s="302" t="s">
        <v>18</v>
      </c>
      <c r="B28" s="367">
        <f>IF(B$3&lt;=time, SUM('Attributable fraction'!AA168:AA177), "")</f>
        <v>0</v>
      </c>
      <c r="C28" s="367">
        <f>IF(C$3&lt;=time, SUM('Attributable fraction'!AB168:AB177), "")</f>
        <v>0</v>
      </c>
      <c r="D28" s="367">
        <f>IF(D$3&lt;=time, SUM('Attributable fraction'!AC168:AC177), "")</f>
        <v>0</v>
      </c>
      <c r="E28" s="367">
        <f>IF(E$3&lt;=time, SUM('Attributable fraction'!AD168:AD177), "")</f>
        <v>0</v>
      </c>
      <c r="F28" s="367">
        <f>IF(F$3&lt;=time, SUM('Attributable fraction'!AE168:AE177), "")</f>
        <v>0</v>
      </c>
      <c r="G28" s="367" t="str">
        <f>IF(G$3&lt;=time, SUM('Attributable fraction'!AF168:AF177), "")</f>
        <v/>
      </c>
      <c r="H28" s="367" t="str">
        <f>IF(H$3&lt;=time, SUM('Attributable fraction'!AG168:AG177), "")</f>
        <v/>
      </c>
      <c r="I28" s="367" t="str">
        <f>IF(I$3&lt;=time, SUM('Attributable fraction'!AH168:AH177), "")</f>
        <v/>
      </c>
      <c r="J28" s="367" t="str">
        <f>IF(J$3&lt;=time, SUM('Attributable fraction'!AI168:AI177), "")</f>
        <v/>
      </c>
      <c r="K28" s="367" t="str">
        <f>IF(K$3&lt;=time, SUM('Attributable fraction'!AJ168:AJ177), "")</f>
        <v/>
      </c>
      <c r="L28" s="367" t="str">
        <f>IF(L$3&lt;=time, SUM('Attributable fraction'!AK168:AK177), "")</f>
        <v/>
      </c>
      <c r="M28" s="367" t="str">
        <f>IF(M$3&lt;=time, SUM('Attributable fraction'!AL168:AL177), "")</f>
        <v/>
      </c>
      <c r="N28" s="367" t="str">
        <f>IF(N$3&lt;=time, SUM('Attributable fraction'!AM168:AM177), "")</f>
        <v/>
      </c>
      <c r="O28" s="367" t="str">
        <f>IF(O$3&lt;=time, SUM('Attributable fraction'!AN168:AN177), "")</f>
        <v/>
      </c>
      <c r="P28" s="367" t="str">
        <f>IF(P$3&lt;=time, SUM('Attributable fraction'!AO168:AO177), "")</f>
        <v/>
      </c>
      <c r="Q28" s="367" t="str">
        <f>IF(Q$3&lt;=time, SUM('Attributable fraction'!AP168:AP177), "")</f>
        <v/>
      </c>
      <c r="R28" s="367" t="str">
        <f>IF(R$3&lt;=time, SUM('Attributable fraction'!AQ168:AQ177), "")</f>
        <v/>
      </c>
      <c r="S28" s="367" t="str">
        <f>IF(S$3&lt;=time, SUM('Attributable fraction'!AR168:AR177), "")</f>
        <v/>
      </c>
      <c r="T28" s="367" t="str">
        <f>IF(T$3&lt;=time, SUM('Attributable fraction'!AS168:AS177), "")</f>
        <v/>
      </c>
      <c r="U28" s="367" t="str">
        <f>IF(U$3&lt;=time, SUM('Attributable fraction'!AT168:AT177), "")</f>
        <v/>
      </c>
      <c r="V28" s="367" t="str">
        <f>IF(V$3&lt;=time, SUM('Attributable fraction'!AU168:AU177), "")</f>
        <v/>
      </c>
      <c r="W28" s="367" t="str">
        <f>IF(W$3&lt;=time, SUM('Attributable fraction'!AV168:AV177), "")</f>
        <v/>
      </c>
      <c r="X28" s="367" t="str">
        <f>IF(X$3&lt;=time, SUM('Attributable fraction'!AW168:AW177), "")</f>
        <v/>
      </c>
      <c r="Y28" s="367" t="str">
        <f>IF(Y$3&lt;=time, SUM('Attributable fraction'!AX168:AX177), "")</f>
        <v/>
      </c>
      <c r="Z28" s="368" t="str">
        <f>IF(Z$3&lt;=time, SUM('Attributable fraction'!AY168:AY177), "")</f>
        <v/>
      </c>
      <c r="AA28" s="196"/>
      <c r="AB28" s="196"/>
      <c r="AC28" s="196"/>
      <c r="AD28" s="196"/>
      <c r="AE28" s="196"/>
      <c r="AF28" s="196"/>
      <c r="AG28" s="196"/>
      <c r="AH28" s="196"/>
      <c r="AI28" s="196"/>
      <c r="AJ28" s="196"/>
      <c r="AK28" s="196"/>
      <c r="AL28" s="196"/>
      <c r="AM28" s="196"/>
      <c r="AN28" s="196"/>
      <c r="AO28" s="196"/>
      <c r="AP28" s="196"/>
      <c r="AQ28" s="196"/>
      <c r="AR28" s="196"/>
      <c r="AS28" s="196"/>
      <c r="AT28" s="196"/>
      <c r="AU28" s="196"/>
      <c r="AV28" s="196"/>
      <c r="AW28" s="196"/>
      <c r="AX28" s="196"/>
      <c r="AY28" s="196"/>
      <c r="AZ28" s="196"/>
      <c r="BA28" s="196"/>
      <c r="BB28" s="196"/>
      <c r="BC28" s="196"/>
      <c r="BD28" s="196"/>
      <c r="BE28" s="196"/>
      <c r="BF28" s="196"/>
      <c r="BG28" s="196"/>
      <c r="BH28" s="196"/>
      <c r="BI28" s="196"/>
      <c r="BJ28" s="196"/>
      <c r="BK28" s="196"/>
      <c r="BL28" s="196"/>
      <c r="BM28" s="196"/>
      <c r="BN28" s="196"/>
      <c r="BO28" s="196"/>
      <c r="BP28" s="196"/>
      <c r="BQ28" s="196"/>
      <c r="BR28" s="196"/>
      <c r="BS28" s="196"/>
      <c r="BT28" s="196"/>
      <c r="BU28" s="196"/>
      <c r="BV28" s="196"/>
      <c r="BW28" s="196"/>
      <c r="BX28" s="196"/>
      <c r="BY28" s="196"/>
      <c r="BZ28" s="196"/>
      <c r="CA28" s="196"/>
      <c r="CB28" s="196"/>
      <c r="CC28" s="196"/>
      <c r="CD28" s="196"/>
      <c r="CE28" s="196"/>
      <c r="CF28" s="196"/>
      <c r="CG28" s="196"/>
      <c r="CH28" s="196"/>
      <c r="CI28" s="196"/>
      <c r="CJ28" s="196"/>
      <c r="CK28" s="196"/>
      <c r="CL28" s="196"/>
      <c r="CM28" s="196"/>
      <c r="CN28" s="196"/>
      <c r="CO28" s="196"/>
      <c r="CP28" s="196"/>
      <c r="CQ28" s="196"/>
      <c r="CR28" s="196"/>
      <c r="CS28" s="196"/>
      <c r="CT28" s="196"/>
      <c r="CU28" s="196"/>
      <c r="CV28" s="196"/>
      <c r="CW28" s="196"/>
      <c r="CX28" s="196"/>
      <c r="CY28" s="196"/>
      <c r="CZ28" s="196"/>
      <c r="DA28" s="196"/>
      <c r="DB28" s="196"/>
      <c r="DC28" s="196"/>
      <c r="DD28" s="196"/>
      <c r="DE28" s="196"/>
      <c r="DF28" s="196"/>
      <c r="DG28" s="196"/>
      <c r="DH28" s="196"/>
      <c r="DI28" s="196"/>
      <c r="DJ28" s="196"/>
      <c r="DK28" s="196"/>
      <c r="DL28" s="196"/>
      <c r="DM28" s="196"/>
      <c r="DN28" s="196"/>
      <c r="DO28" s="196"/>
      <c r="DP28" s="196"/>
      <c r="DQ28" s="196"/>
      <c r="DR28" s="196"/>
      <c r="DS28" s="196"/>
      <c r="DT28" s="196"/>
      <c r="DU28" s="196"/>
      <c r="DV28" s="196"/>
      <c r="DW28" s="196"/>
      <c r="DX28" s="196"/>
      <c r="DY28" s="196"/>
      <c r="DZ28" s="196"/>
      <c r="EA28" s="196"/>
      <c r="EB28" s="196"/>
      <c r="EC28" s="196"/>
      <c r="ED28" s="196"/>
      <c r="EE28" s="196"/>
      <c r="EF28" s="196"/>
      <c r="EG28" s="196"/>
      <c r="EH28" s="196"/>
      <c r="EI28" s="196"/>
      <c r="EJ28" s="196"/>
      <c r="EK28" s="196"/>
      <c r="EL28" s="196"/>
      <c r="EM28" s="196"/>
      <c r="EN28" s="196"/>
      <c r="EO28" s="196"/>
      <c r="EP28" s="196"/>
      <c r="EQ28" s="196"/>
      <c r="ER28" s="196"/>
      <c r="ES28" s="196"/>
      <c r="ET28" s="196"/>
      <c r="EU28" s="196"/>
      <c r="EV28" s="196"/>
      <c r="EW28" s="196"/>
      <c r="EX28" s="196"/>
      <c r="EY28" s="196"/>
      <c r="EZ28" s="196"/>
      <c r="FA28" s="196"/>
      <c r="FB28" s="196"/>
      <c r="FC28" s="196"/>
      <c r="FD28" s="196"/>
      <c r="FE28" s="196"/>
      <c r="FF28" s="196"/>
      <c r="FG28" s="196"/>
      <c r="FH28" s="196"/>
      <c r="FI28" s="196"/>
      <c r="FJ28" s="196"/>
      <c r="FK28" s="196"/>
      <c r="FL28" s="196"/>
      <c r="FM28" s="196"/>
      <c r="FN28" s="196"/>
      <c r="FO28" s="196"/>
      <c r="FP28" s="196"/>
      <c r="FQ28" s="196"/>
      <c r="FR28" s="196"/>
      <c r="FS28" s="196"/>
      <c r="FT28" s="196"/>
      <c r="FU28" s="196"/>
      <c r="FV28" s="196"/>
      <c r="FW28" s="196"/>
      <c r="FX28" s="196"/>
      <c r="FY28" s="196"/>
      <c r="FZ28" s="196"/>
      <c r="GA28" s="196"/>
      <c r="GB28" s="196"/>
      <c r="GC28" s="196"/>
      <c r="GD28" s="196"/>
      <c r="GE28" s="196"/>
      <c r="GF28" s="196"/>
      <c r="GG28" s="196"/>
      <c r="GH28" s="196"/>
      <c r="GI28" s="196"/>
      <c r="GJ28" s="196"/>
      <c r="GK28" s="196"/>
      <c r="GL28" s="196"/>
      <c r="GM28" s="196"/>
      <c r="GN28" s="196"/>
      <c r="GO28" s="196"/>
      <c r="GP28" s="196"/>
      <c r="GQ28" s="196"/>
      <c r="GR28" s="196"/>
      <c r="GS28" s="196"/>
      <c r="GT28" s="196"/>
      <c r="GU28" s="196"/>
      <c r="GV28" s="196"/>
      <c r="GW28" s="196"/>
      <c r="GX28" s="196"/>
      <c r="GY28" s="196"/>
      <c r="GZ28" s="196"/>
      <c r="HA28" s="196"/>
      <c r="HB28" s="196"/>
      <c r="HC28" s="196"/>
      <c r="HD28" s="196"/>
      <c r="HE28" s="196"/>
      <c r="HF28" s="196"/>
      <c r="HG28" s="196"/>
      <c r="HH28" s="196"/>
      <c r="HI28" s="196"/>
      <c r="HJ28" s="196"/>
      <c r="HK28" s="196"/>
      <c r="HL28" s="196"/>
      <c r="HM28" s="196"/>
      <c r="HN28" s="196"/>
      <c r="HO28" s="196"/>
      <c r="HP28" s="196"/>
      <c r="HQ28" s="196"/>
      <c r="HR28" s="196"/>
      <c r="HS28" s="196"/>
      <c r="HT28" s="196"/>
      <c r="HU28" s="196"/>
      <c r="HV28" s="196"/>
      <c r="HW28" s="196"/>
      <c r="HX28" s="196"/>
      <c r="HY28" s="196"/>
      <c r="HZ28" s="196"/>
      <c r="IA28" s="196"/>
      <c r="IB28" s="196"/>
      <c r="IC28" s="196"/>
      <c r="ID28" s="196"/>
      <c r="IE28" s="196"/>
      <c r="IF28" s="196"/>
      <c r="IG28" s="196"/>
      <c r="IH28" s="196"/>
      <c r="II28" s="196"/>
      <c r="IJ28" s="196"/>
      <c r="IK28" s="196"/>
      <c r="IL28" s="196"/>
      <c r="IM28" s="196"/>
      <c r="IN28" s="196"/>
      <c r="IO28" s="196"/>
      <c r="IP28" s="196"/>
      <c r="IQ28" s="196"/>
      <c r="IR28" s="196"/>
      <c r="IS28" s="196"/>
      <c r="IT28" s="196"/>
      <c r="IU28" s="196"/>
      <c r="IV28" s="196"/>
      <c r="IW28" s="196"/>
      <c r="IX28" s="196"/>
      <c r="IY28" s="196"/>
      <c r="IZ28" s="196"/>
      <c r="JA28" s="196"/>
      <c r="JB28" s="196"/>
      <c r="JC28" s="196"/>
      <c r="JD28" s="196"/>
      <c r="JE28" s="196"/>
      <c r="JF28" s="196"/>
      <c r="JG28" s="196"/>
      <c r="JH28" s="196"/>
      <c r="JI28" s="196"/>
      <c r="JJ28" s="196"/>
      <c r="JK28" s="196"/>
      <c r="JL28" s="196"/>
      <c r="JM28" s="196"/>
      <c r="JN28" s="196"/>
      <c r="JO28" s="196"/>
      <c r="JP28" s="196"/>
      <c r="JQ28" s="196"/>
      <c r="JR28" s="196"/>
      <c r="JS28" s="196"/>
      <c r="JT28" s="196"/>
      <c r="JU28" s="196"/>
      <c r="JV28" s="196"/>
      <c r="JW28" s="196"/>
      <c r="JX28" s="196"/>
      <c r="JY28" s="196"/>
      <c r="JZ28" s="196"/>
      <c r="KA28" s="196"/>
      <c r="KB28" s="196"/>
      <c r="KC28" s="196"/>
      <c r="KD28" s="196"/>
      <c r="KE28" s="196"/>
      <c r="KF28" s="196"/>
      <c r="KG28" s="196"/>
      <c r="KH28" s="196"/>
      <c r="KI28" s="196"/>
      <c r="KJ28" s="196"/>
      <c r="KK28" s="196"/>
      <c r="KL28" s="196"/>
      <c r="KM28" s="196"/>
      <c r="KN28" s="196"/>
      <c r="KO28" s="196"/>
      <c r="KP28" s="196"/>
      <c r="KQ28" s="196"/>
      <c r="KR28" s="196"/>
      <c r="KS28" s="196"/>
      <c r="KT28" s="196"/>
      <c r="KU28" s="196"/>
      <c r="KV28" s="196"/>
      <c r="KW28" s="196"/>
      <c r="KX28" s="196"/>
      <c r="KY28" s="196"/>
      <c r="KZ28" s="196"/>
      <c r="LA28" s="196"/>
      <c r="LB28" s="196"/>
      <c r="LC28" s="196"/>
      <c r="LD28" s="196"/>
      <c r="LE28" s="196"/>
      <c r="LF28" s="196"/>
      <c r="LG28" s="196"/>
      <c r="LH28" s="196"/>
      <c r="LI28" s="196"/>
      <c r="LJ28" s="196"/>
      <c r="LK28" s="196"/>
      <c r="LL28" s="196"/>
      <c r="LM28" s="196"/>
      <c r="LN28" s="196"/>
      <c r="LO28" s="196"/>
      <c r="LP28" s="196"/>
      <c r="LQ28" s="196"/>
      <c r="LR28" s="196"/>
      <c r="LS28" s="196"/>
      <c r="LT28" s="196"/>
      <c r="LU28" s="196"/>
      <c r="LV28" s="196"/>
      <c r="LW28" s="196"/>
      <c r="LX28" s="196"/>
      <c r="LY28" s="196"/>
      <c r="LZ28" s="196"/>
      <c r="MA28" s="196"/>
      <c r="MB28" s="196"/>
      <c r="MC28" s="196"/>
      <c r="MD28" s="196"/>
      <c r="ME28" s="196"/>
      <c r="MF28" s="196"/>
      <c r="MG28" s="196"/>
    </row>
    <row r="29" spans="1:345">
      <c r="A29" s="290" t="s">
        <v>9</v>
      </c>
      <c r="B29" s="367">
        <f>IF(B$3&lt;=time, SUM('Attributable fraction'!AA179:AA188), "")</f>
        <v>0</v>
      </c>
      <c r="C29" s="367">
        <f>IF(C$3&lt;=time, SUM('Attributable fraction'!AB179:AB188), "")</f>
        <v>0</v>
      </c>
      <c r="D29" s="367">
        <f>IF(D$3&lt;=time, SUM('Attributable fraction'!AC179:AC188), "")</f>
        <v>0</v>
      </c>
      <c r="E29" s="367">
        <f>IF(E$3&lt;=time, SUM('Attributable fraction'!AD179:AD188), "")</f>
        <v>0</v>
      </c>
      <c r="F29" s="367">
        <f>IF(F$3&lt;=time, SUM('Attributable fraction'!AE179:AE188), "")</f>
        <v>0</v>
      </c>
      <c r="G29" s="367" t="str">
        <f>IF(G$3&lt;=time, SUM('Attributable fraction'!AF179:AF188), "")</f>
        <v/>
      </c>
      <c r="H29" s="367" t="str">
        <f>IF(H$3&lt;=time, SUM('Attributable fraction'!AG179:AG188), "")</f>
        <v/>
      </c>
      <c r="I29" s="367" t="str">
        <f>IF(I$3&lt;=time, SUM('Attributable fraction'!AH179:AH188), "")</f>
        <v/>
      </c>
      <c r="J29" s="367" t="str">
        <f>IF(J$3&lt;=time, SUM('Attributable fraction'!AI179:AI188), "")</f>
        <v/>
      </c>
      <c r="K29" s="367" t="str">
        <f>IF(K$3&lt;=time, SUM('Attributable fraction'!AJ179:AJ188), "")</f>
        <v/>
      </c>
      <c r="L29" s="367" t="str">
        <f>IF(L$3&lt;=time, SUM('Attributable fraction'!AK179:AK188), "")</f>
        <v/>
      </c>
      <c r="M29" s="367" t="str">
        <f>IF(M$3&lt;=time, SUM('Attributable fraction'!AL179:AL188), "")</f>
        <v/>
      </c>
      <c r="N29" s="367" t="str">
        <f>IF(N$3&lt;=time, SUM('Attributable fraction'!AM179:AM188), "")</f>
        <v/>
      </c>
      <c r="O29" s="367" t="str">
        <f>IF(O$3&lt;=time, SUM('Attributable fraction'!AN179:AN188), "")</f>
        <v/>
      </c>
      <c r="P29" s="367" t="str">
        <f>IF(P$3&lt;=time, SUM('Attributable fraction'!AO179:AO188), "")</f>
        <v/>
      </c>
      <c r="Q29" s="367" t="str">
        <f>IF(Q$3&lt;=time, SUM('Attributable fraction'!AP179:AP188), "")</f>
        <v/>
      </c>
      <c r="R29" s="367" t="str">
        <f>IF(R$3&lt;=time, SUM('Attributable fraction'!AQ179:AQ188), "")</f>
        <v/>
      </c>
      <c r="S29" s="367" t="str">
        <f>IF(S$3&lt;=time, SUM('Attributable fraction'!AR179:AR188), "")</f>
        <v/>
      </c>
      <c r="T29" s="367" t="str">
        <f>IF(T$3&lt;=time, SUM('Attributable fraction'!AS179:AS188), "")</f>
        <v/>
      </c>
      <c r="U29" s="367" t="str">
        <f>IF(U$3&lt;=time, SUM('Attributable fraction'!AT179:AT188), "")</f>
        <v/>
      </c>
      <c r="V29" s="367" t="str">
        <f>IF(V$3&lt;=time, SUM('Attributable fraction'!AU179:AU188), "")</f>
        <v/>
      </c>
      <c r="W29" s="367" t="str">
        <f>IF(W$3&lt;=time, SUM('Attributable fraction'!AV179:AV188), "")</f>
        <v/>
      </c>
      <c r="X29" s="367" t="str">
        <f>IF(X$3&lt;=time, SUM('Attributable fraction'!AW179:AW188), "")</f>
        <v/>
      </c>
      <c r="Y29" s="367" t="str">
        <f>IF(Y$3&lt;=time, SUM('Attributable fraction'!AX179:AX188), "")</f>
        <v/>
      </c>
      <c r="Z29" s="368" t="str">
        <f>IF(Z$3&lt;=time, SUM('Attributable fraction'!AY179:AY188), "")</f>
        <v/>
      </c>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c r="BB29" s="196"/>
      <c r="BC29" s="196"/>
      <c r="BD29" s="196"/>
      <c r="BE29" s="196"/>
      <c r="BF29" s="196"/>
      <c r="BG29" s="196"/>
      <c r="BH29" s="196"/>
      <c r="BI29" s="196"/>
      <c r="BJ29" s="196"/>
      <c r="BK29" s="196"/>
      <c r="BL29" s="196"/>
      <c r="BM29" s="196"/>
      <c r="BN29" s="196"/>
      <c r="BO29" s="196"/>
      <c r="BP29" s="196"/>
      <c r="BQ29" s="196"/>
      <c r="BR29" s="196"/>
      <c r="BS29" s="196"/>
      <c r="BT29" s="196"/>
      <c r="BU29" s="196"/>
      <c r="BV29" s="196"/>
      <c r="BW29" s="196"/>
      <c r="BX29" s="196"/>
      <c r="BY29" s="196"/>
      <c r="BZ29" s="196"/>
      <c r="CA29" s="196"/>
      <c r="CB29" s="196"/>
      <c r="CC29" s="196"/>
      <c r="CD29" s="196"/>
      <c r="CE29" s="196"/>
      <c r="CF29" s="196"/>
      <c r="CG29" s="196"/>
      <c r="CH29" s="196"/>
      <c r="CI29" s="196"/>
      <c r="CJ29" s="196"/>
      <c r="CK29" s="196"/>
      <c r="CL29" s="196"/>
      <c r="CM29" s="196"/>
      <c r="CN29" s="196"/>
      <c r="CO29" s="196"/>
      <c r="CP29" s="196"/>
      <c r="CQ29" s="196"/>
      <c r="CR29" s="196"/>
      <c r="CS29" s="196"/>
      <c r="CT29" s="196"/>
      <c r="CU29" s="196"/>
      <c r="CV29" s="196"/>
      <c r="CW29" s="196"/>
      <c r="CX29" s="196"/>
      <c r="CY29" s="196"/>
      <c r="CZ29" s="196"/>
      <c r="DA29" s="196"/>
      <c r="DB29" s="196"/>
      <c r="DC29" s="196"/>
      <c r="DD29" s="196"/>
      <c r="DE29" s="196"/>
      <c r="DF29" s="196"/>
      <c r="DG29" s="196"/>
      <c r="DH29" s="196"/>
      <c r="DI29" s="196"/>
      <c r="DJ29" s="196"/>
      <c r="DK29" s="196"/>
      <c r="DL29" s="196"/>
      <c r="DM29" s="196"/>
      <c r="DN29" s="196"/>
      <c r="DO29" s="196"/>
      <c r="DP29" s="196"/>
      <c r="DQ29" s="196"/>
      <c r="DR29" s="196"/>
      <c r="DS29" s="196"/>
      <c r="DT29" s="196"/>
      <c r="DU29" s="196"/>
      <c r="DV29" s="196"/>
      <c r="DW29" s="196"/>
      <c r="DX29" s="196"/>
      <c r="DY29" s="196"/>
      <c r="DZ29" s="196"/>
      <c r="EA29" s="196"/>
      <c r="EB29" s="196"/>
      <c r="EC29" s="196"/>
      <c r="ED29" s="196"/>
      <c r="EE29" s="196"/>
      <c r="EF29" s="196"/>
      <c r="EG29" s="196"/>
      <c r="EH29" s="196"/>
      <c r="EI29" s="196"/>
      <c r="EJ29" s="196"/>
      <c r="EK29" s="196"/>
      <c r="EL29" s="196"/>
      <c r="EM29" s="196"/>
      <c r="EN29" s="196"/>
      <c r="EO29" s="196"/>
      <c r="EP29" s="196"/>
      <c r="EQ29" s="196"/>
      <c r="ER29" s="196"/>
      <c r="ES29" s="196"/>
      <c r="ET29" s="196"/>
      <c r="EU29" s="196"/>
      <c r="EV29" s="196"/>
      <c r="EW29" s="196"/>
      <c r="EX29" s="196"/>
      <c r="EY29" s="196"/>
      <c r="EZ29" s="196"/>
      <c r="FA29" s="196"/>
      <c r="FB29" s="196"/>
      <c r="FC29" s="196"/>
      <c r="FD29" s="196"/>
      <c r="FE29" s="196"/>
      <c r="FF29" s="196"/>
      <c r="FG29" s="196"/>
      <c r="FH29" s="196"/>
      <c r="FI29" s="196"/>
      <c r="FJ29" s="196"/>
      <c r="FK29" s="196"/>
      <c r="FL29" s="196"/>
      <c r="FM29" s="196"/>
      <c r="FN29" s="196"/>
      <c r="FO29" s="196"/>
      <c r="FP29" s="196"/>
      <c r="FQ29" s="196"/>
      <c r="FR29" s="196"/>
      <c r="FS29" s="196"/>
      <c r="FT29" s="196"/>
      <c r="FU29" s="196"/>
      <c r="FV29" s="196"/>
      <c r="FW29" s="196"/>
      <c r="FX29" s="196"/>
      <c r="FY29" s="196"/>
      <c r="FZ29" s="196"/>
      <c r="GA29" s="196"/>
      <c r="GB29" s="196"/>
      <c r="GC29" s="196"/>
      <c r="GD29" s="196"/>
      <c r="GE29" s="196"/>
      <c r="GF29" s="196"/>
      <c r="GG29" s="196"/>
      <c r="GH29" s="196"/>
      <c r="GI29" s="196"/>
      <c r="GJ29" s="196"/>
      <c r="GK29" s="196"/>
      <c r="GL29" s="196"/>
      <c r="GM29" s="196"/>
      <c r="GN29" s="196"/>
      <c r="GO29" s="196"/>
      <c r="GP29" s="196"/>
      <c r="GQ29" s="196"/>
      <c r="GR29" s="196"/>
      <c r="GS29" s="196"/>
      <c r="GT29" s="196"/>
      <c r="GU29" s="196"/>
      <c r="GV29" s="196"/>
      <c r="GW29" s="196"/>
      <c r="GX29" s="196"/>
      <c r="GY29" s="196"/>
      <c r="GZ29" s="196"/>
      <c r="HA29" s="196"/>
      <c r="HB29" s="196"/>
      <c r="HC29" s="196"/>
      <c r="HD29" s="196"/>
      <c r="HE29" s="196"/>
      <c r="HF29" s="196"/>
      <c r="HG29" s="196"/>
      <c r="HH29" s="196"/>
      <c r="HI29" s="196"/>
      <c r="HJ29" s="196"/>
      <c r="HK29" s="196"/>
      <c r="HL29" s="196"/>
      <c r="HM29" s="196"/>
      <c r="HN29" s="196"/>
      <c r="HO29" s="196"/>
      <c r="HP29" s="196"/>
      <c r="HQ29" s="196"/>
      <c r="HR29" s="196"/>
      <c r="HS29" s="196"/>
      <c r="HT29" s="196"/>
      <c r="HU29" s="196"/>
      <c r="HV29" s="196"/>
      <c r="HW29" s="196"/>
      <c r="HX29" s="196"/>
      <c r="HY29" s="196"/>
      <c r="HZ29" s="196"/>
      <c r="IA29" s="196"/>
      <c r="IB29" s="196"/>
      <c r="IC29" s="196"/>
      <c r="ID29" s="196"/>
      <c r="IE29" s="196"/>
      <c r="IF29" s="196"/>
      <c r="IG29" s="196"/>
      <c r="IH29" s="196"/>
      <c r="II29" s="196"/>
      <c r="IJ29" s="196"/>
      <c r="IK29" s="196"/>
      <c r="IL29" s="196"/>
      <c r="IM29" s="196"/>
      <c r="IN29" s="196"/>
      <c r="IO29" s="196"/>
      <c r="IP29" s="196"/>
      <c r="IQ29" s="196"/>
      <c r="IR29" s="196"/>
      <c r="IS29" s="196"/>
      <c r="IT29" s="196"/>
      <c r="IU29" s="196"/>
      <c r="IV29" s="196"/>
      <c r="IW29" s="196"/>
      <c r="IX29" s="196"/>
      <c r="IY29" s="196"/>
      <c r="IZ29" s="196"/>
      <c r="JA29" s="196"/>
      <c r="JB29" s="196"/>
      <c r="JC29" s="196"/>
      <c r="JD29" s="196"/>
      <c r="JE29" s="196"/>
      <c r="JF29" s="196"/>
      <c r="JG29" s="196"/>
      <c r="JH29" s="196"/>
      <c r="JI29" s="196"/>
      <c r="JJ29" s="196"/>
      <c r="JK29" s="196"/>
      <c r="JL29" s="196"/>
      <c r="JM29" s="196"/>
      <c r="JN29" s="196"/>
      <c r="JO29" s="196"/>
      <c r="JP29" s="196"/>
      <c r="JQ29" s="196"/>
      <c r="JR29" s="196"/>
      <c r="JS29" s="196"/>
      <c r="JT29" s="196"/>
      <c r="JU29" s="196"/>
      <c r="JV29" s="196"/>
      <c r="JW29" s="196"/>
      <c r="JX29" s="196"/>
      <c r="JY29" s="196"/>
      <c r="JZ29" s="196"/>
      <c r="KA29" s="196"/>
      <c r="KB29" s="196"/>
      <c r="KC29" s="196"/>
      <c r="KD29" s="196"/>
      <c r="KE29" s="196"/>
      <c r="KF29" s="196"/>
      <c r="KG29" s="196"/>
      <c r="KH29" s="196"/>
      <c r="KI29" s="196"/>
      <c r="KJ29" s="196"/>
      <c r="KK29" s="196"/>
      <c r="KL29" s="196"/>
      <c r="KM29" s="196"/>
      <c r="KN29" s="196"/>
      <c r="KO29" s="196"/>
      <c r="KP29" s="196"/>
      <c r="KQ29" s="196"/>
      <c r="KR29" s="196"/>
      <c r="KS29" s="196"/>
      <c r="KT29" s="196"/>
      <c r="KU29" s="196"/>
      <c r="KV29" s="196"/>
      <c r="KW29" s="196"/>
      <c r="KX29" s="196"/>
      <c r="KY29" s="196"/>
      <c r="KZ29" s="196"/>
      <c r="LA29" s="196"/>
      <c r="LB29" s="196"/>
      <c r="LC29" s="196"/>
      <c r="LD29" s="196"/>
      <c r="LE29" s="196"/>
      <c r="LF29" s="196"/>
      <c r="LG29" s="196"/>
      <c r="LH29" s="196"/>
      <c r="LI29" s="196"/>
      <c r="LJ29" s="196"/>
      <c r="LK29" s="196"/>
      <c r="LL29" s="196"/>
      <c r="LM29" s="196"/>
      <c r="LN29" s="196"/>
      <c r="LO29" s="196"/>
      <c r="LP29" s="196"/>
      <c r="LQ29" s="196"/>
      <c r="LR29" s="196"/>
      <c r="LS29" s="196"/>
      <c r="LT29" s="196"/>
      <c r="LU29" s="196"/>
      <c r="LV29" s="196"/>
      <c r="LW29" s="196"/>
      <c r="LX29" s="196"/>
      <c r="LY29" s="196"/>
      <c r="LZ29" s="196"/>
      <c r="MA29" s="196"/>
      <c r="MB29" s="196"/>
      <c r="MC29" s="196"/>
      <c r="MD29" s="196"/>
      <c r="ME29" s="196"/>
      <c r="MF29" s="196"/>
      <c r="MG29" s="196"/>
    </row>
    <row r="30" spans="1:345">
      <c r="A30" s="290" t="s">
        <v>10</v>
      </c>
      <c r="B30" s="367">
        <f>IF(B$3&lt;=time, SUM('Attributable fraction'!AA190:AA199), "")</f>
        <v>0</v>
      </c>
      <c r="C30" s="367">
        <f>IF(C$3&lt;=time, SUM('Attributable fraction'!AB190:AB199), "")</f>
        <v>0</v>
      </c>
      <c r="D30" s="367">
        <f>IF(D$3&lt;=time, SUM('Attributable fraction'!AC190:AC199), "")</f>
        <v>0</v>
      </c>
      <c r="E30" s="367">
        <f>IF(E$3&lt;=time, SUM('Attributable fraction'!AD190:AD199), "")</f>
        <v>0</v>
      </c>
      <c r="F30" s="367">
        <f>IF(F$3&lt;=time, SUM('Attributable fraction'!AE190:AE199), "")</f>
        <v>0</v>
      </c>
      <c r="G30" s="367" t="str">
        <f>IF(G$3&lt;=time, SUM('Attributable fraction'!AF190:AF199), "")</f>
        <v/>
      </c>
      <c r="H30" s="367" t="str">
        <f>IF(H$3&lt;=time, SUM('Attributable fraction'!AG190:AG199), "")</f>
        <v/>
      </c>
      <c r="I30" s="367" t="str">
        <f>IF(I$3&lt;=time, SUM('Attributable fraction'!AH190:AH199), "")</f>
        <v/>
      </c>
      <c r="J30" s="367" t="str">
        <f>IF(J$3&lt;=time, SUM('Attributable fraction'!AI190:AI199), "")</f>
        <v/>
      </c>
      <c r="K30" s="367" t="str">
        <f>IF(K$3&lt;=time, SUM('Attributable fraction'!AJ190:AJ199), "")</f>
        <v/>
      </c>
      <c r="L30" s="367" t="str">
        <f>IF(L$3&lt;=time, SUM('Attributable fraction'!AK190:AK199), "")</f>
        <v/>
      </c>
      <c r="M30" s="367" t="str">
        <f>IF(M$3&lt;=time, SUM('Attributable fraction'!AL190:AL199), "")</f>
        <v/>
      </c>
      <c r="N30" s="367" t="str">
        <f>IF(N$3&lt;=time, SUM('Attributable fraction'!AM190:AM199), "")</f>
        <v/>
      </c>
      <c r="O30" s="367" t="str">
        <f>IF(O$3&lt;=time, SUM('Attributable fraction'!AN190:AN199), "")</f>
        <v/>
      </c>
      <c r="P30" s="367" t="str">
        <f>IF(P$3&lt;=time, SUM('Attributable fraction'!AO190:AO199), "")</f>
        <v/>
      </c>
      <c r="Q30" s="367" t="str">
        <f>IF(Q$3&lt;=time, SUM('Attributable fraction'!AP190:AP199), "")</f>
        <v/>
      </c>
      <c r="R30" s="367" t="str">
        <f>IF(R$3&lt;=time, SUM('Attributable fraction'!AQ190:AQ199), "")</f>
        <v/>
      </c>
      <c r="S30" s="367" t="str">
        <f>IF(S$3&lt;=time, SUM('Attributable fraction'!AR190:AR199), "")</f>
        <v/>
      </c>
      <c r="T30" s="367" t="str">
        <f>IF(T$3&lt;=time, SUM('Attributable fraction'!AS190:AS199), "")</f>
        <v/>
      </c>
      <c r="U30" s="367" t="str">
        <f>IF(U$3&lt;=time, SUM('Attributable fraction'!AT190:AT199), "")</f>
        <v/>
      </c>
      <c r="V30" s="367" t="str">
        <f>IF(V$3&lt;=time, SUM('Attributable fraction'!AU190:AU199), "")</f>
        <v/>
      </c>
      <c r="W30" s="367" t="str">
        <f>IF(W$3&lt;=time, SUM('Attributable fraction'!AV190:AV199), "")</f>
        <v/>
      </c>
      <c r="X30" s="367" t="str">
        <f>IF(X$3&lt;=time, SUM('Attributable fraction'!AW190:AW199), "")</f>
        <v/>
      </c>
      <c r="Y30" s="367" t="str">
        <f>IF(Y$3&lt;=time, SUM('Attributable fraction'!AX190:AX199), "")</f>
        <v/>
      </c>
      <c r="Z30" s="368" t="str">
        <f>IF(Z$3&lt;=time, SUM('Attributable fraction'!AY190:AY199), "")</f>
        <v/>
      </c>
      <c r="AA30" s="196"/>
      <c r="AB30" s="196"/>
      <c r="AC30" s="196"/>
      <c r="AD30" s="196"/>
      <c r="AE30" s="196"/>
      <c r="AF30" s="196"/>
      <c r="AG30" s="196"/>
      <c r="AH30" s="196"/>
      <c r="AI30" s="196"/>
      <c r="AJ30" s="196"/>
      <c r="AK30" s="196"/>
      <c r="AL30" s="196"/>
      <c r="AM30" s="196"/>
      <c r="AN30" s="196"/>
      <c r="AO30" s="196"/>
      <c r="AP30" s="196"/>
      <c r="AQ30" s="196"/>
      <c r="AR30" s="196"/>
      <c r="AS30" s="196"/>
      <c r="AT30" s="196"/>
      <c r="AU30" s="196"/>
      <c r="AV30" s="196"/>
      <c r="AW30" s="196"/>
      <c r="AX30" s="196"/>
      <c r="AY30" s="196"/>
      <c r="AZ30" s="196"/>
      <c r="BA30" s="196"/>
      <c r="BB30" s="196"/>
      <c r="BC30" s="196"/>
      <c r="BD30" s="196"/>
      <c r="BE30" s="196"/>
      <c r="BF30" s="196"/>
      <c r="BG30" s="196"/>
      <c r="BH30" s="196"/>
      <c r="BI30" s="196"/>
      <c r="BJ30" s="196"/>
      <c r="BK30" s="196"/>
      <c r="BL30" s="196"/>
      <c r="BM30" s="196"/>
      <c r="BN30" s="196"/>
      <c r="BO30" s="196"/>
      <c r="BP30" s="196"/>
      <c r="BQ30" s="196"/>
      <c r="BR30" s="196"/>
      <c r="BS30" s="196"/>
      <c r="BT30" s="196"/>
      <c r="BU30" s="196"/>
      <c r="BV30" s="196"/>
      <c r="BW30" s="196"/>
      <c r="BX30" s="196"/>
      <c r="BY30" s="196"/>
      <c r="BZ30" s="196"/>
      <c r="CA30" s="196"/>
      <c r="CB30" s="196"/>
      <c r="CC30" s="196"/>
      <c r="CD30" s="196"/>
      <c r="CE30" s="196"/>
      <c r="CF30" s="196"/>
      <c r="CG30" s="196"/>
      <c r="CH30" s="196"/>
      <c r="CI30" s="196"/>
      <c r="CJ30" s="196"/>
      <c r="CK30" s="196"/>
      <c r="CL30" s="196"/>
      <c r="CM30" s="196"/>
      <c r="CN30" s="196"/>
      <c r="CO30" s="196"/>
      <c r="CP30" s="196"/>
      <c r="CQ30" s="196"/>
      <c r="CR30" s="196"/>
      <c r="CS30" s="196"/>
      <c r="CT30" s="196"/>
      <c r="CU30" s="196"/>
      <c r="CV30" s="196"/>
      <c r="CW30" s="196"/>
      <c r="CX30" s="196"/>
      <c r="CY30" s="196"/>
      <c r="CZ30" s="196"/>
      <c r="DA30" s="196"/>
      <c r="DB30" s="196"/>
      <c r="DC30" s="196"/>
      <c r="DD30" s="196"/>
      <c r="DE30" s="196"/>
      <c r="DF30" s="196"/>
      <c r="DG30" s="196"/>
      <c r="DH30" s="196"/>
      <c r="DI30" s="196"/>
      <c r="DJ30" s="196"/>
      <c r="DK30" s="196"/>
      <c r="DL30" s="196"/>
      <c r="DM30" s="196"/>
      <c r="DN30" s="196"/>
      <c r="DO30" s="196"/>
      <c r="DP30" s="196"/>
      <c r="DQ30" s="196"/>
      <c r="DR30" s="196"/>
      <c r="DS30" s="196"/>
      <c r="DT30" s="196"/>
      <c r="DU30" s="196"/>
      <c r="DV30" s="196"/>
      <c r="DW30" s="196"/>
      <c r="DX30" s="196"/>
      <c r="DY30" s="196"/>
      <c r="DZ30" s="196"/>
      <c r="EA30" s="196"/>
      <c r="EB30" s="196"/>
      <c r="EC30" s="196"/>
      <c r="ED30" s="196"/>
      <c r="EE30" s="196"/>
      <c r="EF30" s="196"/>
      <c r="EG30" s="196"/>
      <c r="EH30" s="196"/>
      <c r="EI30" s="196"/>
      <c r="EJ30" s="196"/>
      <c r="EK30" s="196"/>
      <c r="EL30" s="196"/>
      <c r="EM30" s="196"/>
      <c r="EN30" s="196"/>
      <c r="EO30" s="196"/>
      <c r="EP30" s="196"/>
      <c r="EQ30" s="196"/>
      <c r="ER30" s="196"/>
      <c r="ES30" s="196"/>
      <c r="ET30" s="196"/>
      <c r="EU30" s="196"/>
      <c r="EV30" s="196"/>
      <c r="EW30" s="196"/>
      <c r="EX30" s="196"/>
      <c r="EY30" s="196"/>
      <c r="EZ30" s="196"/>
      <c r="FA30" s="196"/>
      <c r="FB30" s="196"/>
      <c r="FC30" s="196"/>
      <c r="FD30" s="196"/>
      <c r="FE30" s="196"/>
      <c r="FF30" s="196"/>
      <c r="FG30" s="196"/>
      <c r="FH30" s="196"/>
      <c r="FI30" s="196"/>
      <c r="FJ30" s="196"/>
      <c r="FK30" s="196"/>
      <c r="FL30" s="196"/>
      <c r="FM30" s="196"/>
      <c r="FN30" s="196"/>
      <c r="FO30" s="196"/>
      <c r="FP30" s="196"/>
      <c r="FQ30" s="196"/>
      <c r="FR30" s="196"/>
      <c r="FS30" s="196"/>
      <c r="FT30" s="196"/>
      <c r="FU30" s="196"/>
      <c r="FV30" s="196"/>
      <c r="FW30" s="196"/>
      <c r="FX30" s="196"/>
      <c r="FY30" s="196"/>
      <c r="FZ30" s="196"/>
      <c r="GA30" s="196"/>
      <c r="GB30" s="196"/>
      <c r="GC30" s="196"/>
      <c r="GD30" s="196"/>
      <c r="GE30" s="196"/>
      <c r="GF30" s="196"/>
      <c r="GG30" s="196"/>
      <c r="GH30" s="196"/>
      <c r="GI30" s="196"/>
      <c r="GJ30" s="196"/>
      <c r="GK30" s="196"/>
      <c r="GL30" s="196"/>
      <c r="GM30" s="196"/>
      <c r="GN30" s="196"/>
      <c r="GO30" s="196"/>
      <c r="GP30" s="196"/>
      <c r="GQ30" s="196"/>
      <c r="GR30" s="196"/>
      <c r="GS30" s="196"/>
      <c r="GT30" s="196"/>
      <c r="GU30" s="196"/>
      <c r="GV30" s="196"/>
      <c r="GW30" s="196"/>
      <c r="GX30" s="196"/>
      <c r="GY30" s="196"/>
      <c r="GZ30" s="196"/>
      <c r="HA30" s="196"/>
      <c r="HB30" s="196"/>
      <c r="HC30" s="196"/>
      <c r="HD30" s="196"/>
      <c r="HE30" s="196"/>
      <c r="HF30" s="196"/>
      <c r="HG30" s="196"/>
      <c r="HH30" s="196"/>
      <c r="HI30" s="196"/>
      <c r="HJ30" s="196"/>
      <c r="HK30" s="196"/>
      <c r="HL30" s="196"/>
      <c r="HM30" s="196"/>
      <c r="HN30" s="196"/>
      <c r="HO30" s="196"/>
      <c r="HP30" s="196"/>
      <c r="HQ30" s="196"/>
      <c r="HR30" s="196"/>
      <c r="HS30" s="196"/>
      <c r="HT30" s="196"/>
      <c r="HU30" s="196"/>
      <c r="HV30" s="196"/>
      <c r="HW30" s="196"/>
      <c r="HX30" s="196"/>
      <c r="HY30" s="196"/>
      <c r="HZ30" s="196"/>
      <c r="IA30" s="196"/>
      <c r="IB30" s="196"/>
      <c r="IC30" s="196"/>
      <c r="ID30" s="196"/>
      <c r="IE30" s="196"/>
      <c r="IF30" s="196"/>
      <c r="IG30" s="196"/>
      <c r="IH30" s="196"/>
      <c r="II30" s="196"/>
      <c r="IJ30" s="196"/>
      <c r="IK30" s="196"/>
      <c r="IL30" s="196"/>
      <c r="IM30" s="196"/>
      <c r="IN30" s="196"/>
      <c r="IO30" s="196"/>
      <c r="IP30" s="196"/>
      <c r="IQ30" s="196"/>
      <c r="IR30" s="196"/>
      <c r="IS30" s="196"/>
      <c r="IT30" s="196"/>
      <c r="IU30" s="196"/>
      <c r="IV30" s="196"/>
      <c r="IW30" s="196"/>
      <c r="IX30" s="196"/>
      <c r="IY30" s="196"/>
      <c r="IZ30" s="196"/>
      <c r="JA30" s="196"/>
      <c r="JB30" s="196"/>
      <c r="JC30" s="196"/>
      <c r="JD30" s="196"/>
      <c r="JE30" s="196"/>
      <c r="JF30" s="196"/>
      <c r="JG30" s="196"/>
      <c r="JH30" s="196"/>
      <c r="JI30" s="196"/>
      <c r="JJ30" s="196"/>
      <c r="JK30" s="196"/>
      <c r="JL30" s="196"/>
      <c r="JM30" s="196"/>
      <c r="JN30" s="196"/>
      <c r="JO30" s="196"/>
      <c r="JP30" s="196"/>
      <c r="JQ30" s="196"/>
      <c r="JR30" s="196"/>
      <c r="JS30" s="196"/>
      <c r="JT30" s="196"/>
      <c r="JU30" s="196"/>
      <c r="JV30" s="196"/>
      <c r="JW30" s="196"/>
      <c r="JX30" s="196"/>
      <c r="JY30" s="196"/>
      <c r="JZ30" s="196"/>
      <c r="KA30" s="196"/>
      <c r="KB30" s="196"/>
      <c r="KC30" s="196"/>
      <c r="KD30" s="196"/>
      <c r="KE30" s="196"/>
      <c r="KF30" s="196"/>
      <c r="KG30" s="196"/>
      <c r="KH30" s="196"/>
      <c r="KI30" s="196"/>
      <c r="KJ30" s="196"/>
      <c r="KK30" s="196"/>
      <c r="KL30" s="196"/>
      <c r="KM30" s="196"/>
      <c r="KN30" s="196"/>
      <c r="KO30" s="196"/>
      <c r="KP30" s="196"/>
      <c r="KQ30" s="196"/>
      <c r="KR30" s="196"/>
      <c r="KS30" s="196"/>
      <c r="KT30" s="196"/>
      <c r="KU30" s="196"/>
      <c r="KV30" s="196"/>
      <c r="KW30" s="196"/>
      <c r="KX30" s="196"/>
      <c r="KY30" s="196"/>
      <c r="KZ30" s="196"/>
      <c r="LA30" s="196"/>
      <c r="LB30" s="196"/>
      <c r="LC30" s="196"/>
      <c r="LD30" s="196"/>
      <c r="LE30" s="196"/>
      <c r="LF30" s="196"/>
      <c r="LG30" s="196"/>
      <c r="LH30" s="196"/>
      <c r="LI30" s="196"/>
      <c r="LJ30" s="196"/>
      <c r="LK30" s="196"/>
      <c r="LL30" s="196"/>
      <c r="LM30" s="196"/>
      <c r="LN30" s="196"/>
      <c r="LO30" s="196"/>
      <c r="LP30" s="196"/>
      <c r="LQ30" s="196"/>
      <c r="LR30" s="196"/>
      <c r="LS30" s="196"/>
      <c r="LT30" s="196"/>
      <c r="LU30" s="196"/>
      <c r="LV30" s="196"/>
      <c r="LW30" s="196"/>
      <c r="LX30" s="196"/>
      <c r="LY30" s="196"/>
      <c r="LZ30" s="196"/>
      <c r="MA30" s="196"/>
      <c r="MB30" s="196"/>
      <c r="MC30" s="196"/>
      <c r="MD30" s="196"/>
      <c r="ME30" s="196"/>
      <c r="MF30" s="196"/>
      <c r="MG30" s="196"/>
    </row>
    <row r="31" spans="1:345" s="306" customFormat="1">
      <c r="A31" s="803" t="s">
        <v>19</v>
      </c>
      <c r="B31" s="808">
        <f>IF(B$3&lt;=time, B14+B18+B19+B20+B24+B25+B26+B29+B30, "")</f>
        <v>284.73002251534706</v>
      </c>
      <c r="C31" s="804">
        <f t="shared" ref="C31:Z31" si="6">IF(C$3&lt;=time, C14+C18+C19+C20+C24+C25+C26+C29+C30, "")</f>
        <v>0</v>
      </c>
      <c r="D31" s="804">
        <f t="shared" si="6"/>
        <v>0</v>
      </c>
      <c r="E31" s="804">
        <f t="shared" si="6"/>
        <v>0</v>
      </c>
      <c r="F31" s="804">
        <f t="shared" si="6"/>
        <v>0</v>
      </c>
      <c r="G31" s="369" t="str">
        <f t="shared" si="6"/>
        <v/>
      </c>
      <c r="H31" s="369" t="str">
        <f t="shared" si="6"/>
        <v/>
      </c>
      <c r="I31" s="369" t="str">
        <f t="shared" si="6"/>
        <v/>
      </c>
      <c r="J31" s="369" t="str">
        <f t="shared" si="6"/>
        <v/>
      </c>
      <c r="K31" s="369" t="str">
        <f t="shared" si="6"/>
        <v/>
      </c>
      <c r="L31" s="369" t="str">
        <f t="shared" si="6"/>
        <v/>
      </c>
      <c r="M31" s="369" t="str">
        <f t="shared" si="6"/>
        <v/>
      </c>
      <c r="N31" s="369" t="str">
        <f t="shared" si="6"/>
        <v/>
      </c>
      <c r="O31" s="369" t="str">
        <f t="shared" si="6"/>
        <v/>
      </c>
      <c r="P31" s="369" t="str">
        <f t="shared" si="6"/>
        <v/>
      </c>
      <c r="Q31" s="369" t="str">
        <f t="shared" si="6"/>
        <v/>
      </c>
      <c r="R31" s="369" t="str">
        <f t="shared" si="6"/>
        <v/>
      </c>
      <c r="S31" s="369" t="str">
        <f t="shared" si="6"/>
        <v/>
      </c>
      <c r="T31" s="369" t="str">
        <f t="shared" si="6"/>
        <v/>
      </c>
      <c r="U31" s="369" t="str">
        <f t="shared" si="6"/>
        <v/>
      </c>
      <c r="V31" s="369" t="str">
        <f t="shared" si="6"/>
        <v/>
      </c>
      <c r="W31" s="369" t="str">
        <f t="shared" si="6"/>
        <v/>
      </c>
      <c r="X31" s="369" t="str">
        <f t="shared" si="6"/>
        <v/>
      </c>
      <c r="Y31" s="369" t="str">
        <f t="shared" si="6"/>
        <v/>
      </c>
      <c r="Z31" s="370" t="str">
        <f t="shared" si="6"/>
        <v/>
      </c>
      <c r="AA31" s="196"/>
      <c r="AB31" s="196"/>
      <c r="AC31" s="196"/>
      <c r="AD31" s="196"/>
      <c r="AE31" s="196"/>
      <c r="AF31" s="196"/>
      <c r="AG31" s="196"/>
      <c r="AH31" s="196"/>
      <c r="AI31" s="196"/>
      <c r="AJ31" s="196"/>
      <c r="AK31" s="196"/>
      <c r="AL31" s="196"/>
      <c r="AM31" s="196"/>
      <c r="AN31" s="196"/>
      <c r="AO31" s="196"/>
      <c r="AP31" s="196"/>
      <c r="AQ31" s="196"/>
      <c r="AR31" s="196"/>
      <c r="AS31" s="196"/>
      <c r="AT31" s="196"/>
      <c r="AU31" s="196"/>
      <c r="AV31" s="196"/>
      <c r="AW31" s="196"/>
      <c r="AX31" s="196"/>
      <c r="AY31" s="196"/>
      <c r="AZ31" s="196"/>
      <c r="BA31" s="196"/>
      <c r="BB31" s="196"/>
      <c r="BC31" s="196"/>
      <c r="BD31" s="196"/>
      <c r="BE31" s="196"/>
      <c r="BF31" s="196"/>
      <c r="BG31" s="196"/>
      <c r="BH31" s="196"/>
      <c r="BI31" s="196"/>
      <c r="BJ31" s="196"/>
      <c r="BK31" s="196"/>
      <c r="BL31" s="196"/>
      <c r="BM31" s="196"/>
      <c r="BN31" s="196"/>
      <c r="BO31" s="196"/>
      <c r="BP31" s="196"/>
      <c r="BQ31" s="196"/>
      <c r="BR31" s="196"/>
      <c r="BS31" s="196"/>
      <c r="BT31" s="196"/>
      <c r="BU31" s="196"/>
      <c r="BV31" s="196"/>
      <c r="BW31" s="196"/>
      <c r="BX31" s="196"/>
      <c r="BY31" s="196"/>
      <c r="BZ31" s="196"/>
      <c r="CA31" s="196"/>
      <c r="CB31" s="196"/>
      <c r="CC31" s="196"/>
      <c r="CD31" s="196"/>
      <c r="CE31" s="196"/>
      <c r="CF31" s="196"/>
      <c r="CG31" s="196"/>
      <c r="CH31" s="196"/>
      <c r="CI31" s="196"/>
      <c r="CJ31" s="196"/>
      <c r="CK31" s="196"/>
      <c r="CL31" s="196"/>
      <c r="CM31" s="196"/>
      <c r="CN31" s="196"/>
      <c r="CO31" s="196"/>
      <c r="CP31" s="196"/>
      <c r="CQ31" s="196"/>
      <c r="CR31" s="196"/>
      <c r="CS31" s="196"/>
      <c r="CT31" s="196"/>
      <c r="CU31" s="196"/>
      <c r="CV31" s="196"/>
      <c r="CW31" s="196"/>
      <c r="CX31" s="196"/>
      <c r="CY31" s="196"/>
      <c r="CZ31" s="196"/>
      <c r="DA31" s="196"/>
      <c r="DB31" s="196"/>
      <c r="DC31" s="196"/>
      <c r="DD31" s="196"/>
      <c r="DE31" s="196"/>
      <c r="DF31" s="196"/>
      <c r="DG31" s="196"/>
      <c r="DH31" s="196"/>
      <c r="DI31" s="196"/>
      <c r="DJ31" s="196"/>
      <c r="DK31" s="196"/>
      <c r="DL31" s="196"/>
      <c r="DM31" s="196"/>
      <c r="DN31" s="196"/>
      <c r="DO31" s="196"/>
      <c r="DP31" s="196"/>
      <c r="DQ31" s="196"/>
      <c r="DR31" s="196"/>
      <c r="DS31" s="196"/>
      <c r="DT31" s="196"/>
      <c r="DU31" s="196"/>
      <c r="DV31" s="196"/>
      <c r="DW31" s="196"/>
      <c r="DX31" s="196"/>
      <c r="DY31" s="196"/>
      <c r="DZ31" s="196"/>
      <c r="EA31" s="196"/>
      <c r="EB31" s="196"/>
      <c r="EC31" s="196"/>
      <c r="ED31" s="196"/>
      <c r="EE31" s="196"/>
      <c r="EF31" s="196"/>
      <c r="EG31" s="196"/>
      <c r="EH31" s="196"/>
      <c r="EI31" s="196"/>
      <c r="EJ31" s="196"/>
      <c r="EK31" s="196"/>
      <c r="EL31" s="196"/>
      <c r="EM31" s="196"/>
      <c r="EN31" s="196"/>
      <c r="EO31" s="196"/>
      <c r="EP31" s="196"/>
      <c r="EQ31" s="196"/>
      <c r="ER31" s="196"/>
      <c r="ES31" s="196"/>
      <c r="ET31" s="196"/>
      <c r="EU31" s="196"/>
      <c r="EV31" s="196"/>
      <c r="EW31" s="196"/>
      <c r="EX31" s="196"/>
      <c r="EY31" s="196"/>
      <c r="EZ31" s="196"/>
      <c r="FA31" s="196"/>
      <c r="FB31" s="196"/>
      <c r="FC31" s="196"/>
      <c r="FD31" s="196"/>
      <c r="FE31" s="196"/>
      <c r="FF31" s="196"/>
      <c r="FG31" s="196"/>
      <c r="FH31" s="196"/>
      <c r="FI31" s="196"/>
      <c r="FJ31" s="196"/>
      <c r="FK31" s="196"/>
      <c r="FL31" s="196"/>
      <c r="FM31" s="196"/>
      <c r="FN31" s="196"/>
      <c r="FO31" s="196"/>
      <c r="FP31" s="196"/>
      <c r="FQ31" s="196"/>
      <c r="FR31" s="196"/>
      <c r="FS31" s="196"/>
      <c r="FT31" s="196"/>
      <c r="FU31" s="196"/>
      <c r="FV31" s="196"/>
      <c r="FW31" s="196"/>
      <c r="FX31" s="196"/>
      <c r="FY31" s="196"/>
      <c r="FZ31" s="196"/>
      <c r="GA31" s="196"/>
      <c r="GB31" s="196"/>
      <c r="GC31" s="196"/>
      <c r="GD31" s="196"/>
      <c r="GE31" s="196"/>
      <c r="GF31" s="196"/>
      <c r="GG31" s="196"/>
      <c r="GH31" s="196"/>
      <c r="GI31" s="196"/>
      <c r="GJ31" s="196"/>
      <c r="GK31" s="196"/>
      <c r="GL31" s="196"/>
      <c r="GM31" s="196"/>
      <c r="GN31" s="196"/>
      <c r="GO31" s="196"/>
      <c r="GP31" s="196"/>
      <c r="GQ31" s="196"/>
      <c r="GR31" s="196"/>
      <c r="GS31" s="196"/>
      <c r="GT31" s="196"/>
      <c r="GU31" s="196"/>
      <c r="GV31" s="196"/>
      <c r="GW31" s="196"/>
      <c r="GX31" s="196"/>
      <c r="GY31" s="196"/>
      <c r="GZ31" s="196"/>
      <c r="HA31" s="196"/>
      <c r="HB31" s="196"/>
      <c r="HC31" s="196"/>
      <c r="HD31" s="196"/>
      <c r="HE31" s="196"/>
      <c r="HF31" s="196"/>
      <c r="HG31" s="196"/>
      <c r="HH31" s="196"/>
      <c r="HI31" s="196"/>
      <c r="HJ31" s="196"/>
      <c r="HK31" s="196"/>
      <c r="HL31" s="196"/>
      <c r="HM31" s="196"/>
      <c r="HN31" s="196"/>
      <c r="HO31" s="196"/>
      <c r="HP31" s="196"/>
      <c r="HQ31" s="196"/>
      <c r="HR31" s="196"/>
      <c r="HS31" s="196"/>
      <c r="HT31" s="196"/>
      <c r="HU31" s="196"/>
      <c r="HV31" s="196"/>
      <c r="HW31" s="196"/>
      <c r="HX31" s="196"/>
      <c r="HY31" s="196"/>
      <c r="HZ31" s="196"/>
      <c r="IA31" s="196"/>
      <c r="IB31" s="196"/>
      <c r="IC31" s="196"/>
      <c r="ID31" s="196"/>
      <c r="IE31" s="196"/>
      <c r="IF31" s="196"/>
      <c r="IG31" s="196"/>
      <c r="IH31" s="196"/>
      <c r="II31" s="196"/>
      <c r="IJ31" s="196"/>
      <c r="IK31" s="196"/>
      <c r="IL31" s="196"/>
      <c r="IM31" s="196"/>
      <c r="IN31" s="196"/>
      <c r="IO31" s="196"/>
      <c r="IP31" s="196"/>
      <c r="IQ31" s="196"/>
      <c r="IR31" s="196"/>
      <c r="IS31" s="196"/>
      <c r="IT31" s="196"/>
      <c r="IU31" s="196"/>
      <c r="IV31" s="196"/>
      <c r="IW31" s="196"/>
      <c r="IX31" s="196"/>
      <c r="IY31" s="196"/>
      <c r="IZ31" s="196"/>
      <c r="JA31" s="196"/>
      <c r="JB31" s="196"/>
      <c r="JC31" s="196"/>
      <c r="JD31" s="196"/>
      <c r="JE31" s="196"/>
      <c r="JF31" s="196"/>
      <c r="JG31" s="196"/>
      <c r="JH31" s="196"/>
      <c r="JI31" s="196"/>
      <c r="JJ31" s="196"/>
      <c r="JK31" s="196"/>
      <c r="JL31" s="196"/>
      <c r="JM31" s="196"/>
      <c r="JN31" s="196"/>
      <c r="JO31" s="196"/>
      <c r="JP31" s="196"/>
      <c r="JQ31" s="196"/>
      <c r="JR31" s="196"/>
      <c r="JS31" s="196"/>
      <c r="JT31" s="196"/>
      <c r="JU31" s="196"/>
      <c r="JV31" s="196"/>
      <c r="JW31" s="196"/>
      <c r="JX31" s="196"/>
      <c r="JY31" s="196"/>
      <c r="JZ31" s="196"/>
      <c r="KA31" s="196"/>
      <c r="KB31" s="196"/>
      <c r="KC31" s="196"/>
      <c r="KD31" s="196"/>
      <c r="KE31" s="196"/>
      <c r="KF31" s="196"/>
      <c r="KG31" s="196"/>
      <c r="KH31" s="196"/>
      <c r="KI31" s="196"/>
      <c r="KJ31" s="196"/>
      <c r="KK31" s="196"/>
      <c r="KL31" s="196"/>
      <c r="KM31" s="196"/>
      <c r="KN31" s="196"/>
      <c r="KO31" s="196"/>
      <c r="KP31" s="196"/>
      <c r="KQ31" s="196"/>
      <c r="KR31" s="196"/>
      <c r="KS31" s="196"/>
      <c r="KT31" s="196"/>
      <c r="KU31" s="196"/>
      <c r="KV31" s="196"/>
      <c r="KW31" s="196"/>
      <c r="KX31" s="196"/>
      <c r="KY31" s="196"/>
      <c r="KZ31" s="196"/>
      <c r="LA31" s="196"/>
      <c r="LB31" s="196"/>
      <c r="LC31" s="196"/>
      <c r="LD31" s="196"/>
      <c r="LE31" s="196"/>
      <c r="LF31" s="196"/>
      <c r="LG31" s="196"/>
      <c r="LH31" s="196"/>
      <c r="LI31" s="196"/>
      <c r="LJ31" s="196"/>
      <c r="LK31" s="196"/>
      <c r="LL31" s="196"/>
      <c r="LM31" s="196"/>
      <c r="LN31" s="196"/>
      <c r="LO31" s="196"/>
      <c r="LP31" s="196"/>
      <c r="LQ31" s="196"/>
      <c r="LR31" s="196"/>
      <c r="LS31" s="196"/>
      <c r="LT31" s="196"/>
      <c r="LU31" s="196"/>
      <c r="LV31" s="196"/>
      <c r="LW31" s="196"/>
      <c r="LX31" s="196"/>
      <c r="LY31" s="196"/>
      <c r="LZ31" s="196"/>
      <c r="MA31" s="196"/>
      <c r="MB31" s="196"/>
      <c r="MC31" s="196"/>
      <c r="MD31" s="196"/>
      <c r="ME31" s="196"/>
      <c r="MF31" s="196"/>
      <c r="MG31" s="196"/>
    </row>
    <row r="32" spans="1:345" s="306" customFormat="1">
      <c r="A32" s="805" t="s">
        <v>241</v>
      </c>
      <c r="B32" s="809">
        <f t="shared" ref="B32:Z32" si="7">IF(B$3&lt;=time, B31+B12, "")</f>
        <v>284.73002251534706</v>
      </c>
      <c r="C32" s="802">
        <f t="shared" si="7"/>
        <v>0</v>
      </c>
      <c r="D32" s="802">
        <f t="shared" si="7"/>
        <v>0</v>
      </c>
      <c r="E32" s="802">
        <f t="shared" si="7"/>
        <v>0</v>
      </c>
      <c r="F32" s="802">
        <f t="shared" si="7"/>
        <v>0</v>
      </c>
      <c r="G32" s="306" t="str">
        <f t="shared" si="7"/>
        <v/>
      </c>
      <c r="H32" s="306" t="str">
        <f t="shared" si="7"/>
        <v/>
      </c>
      <c r="I32" s="306" t="str">
        <f t="shared" si="7"/>
        <v/>
      </c>
      <c r="J32" s="306" t="str">
        <f t="shared" si="7"/>
        <v/>
      </c>
      <c r="K32" s="306" t="str">
        <f t="shared" si="7"/>
        <v/>
      </c>
      <c r="L32" s="306" t="str">
        <f t="shared" si="7"/>
        <v/>
      </c>
      <c r="M32" s="306" t="str">
        <f t="shared" si="7"/>
        <v/>
      </c>
      <c r="N32" s="306" t="str">
        <f t="shared" si="7"/>
        <v/>
      </c>
      <c r="O32" s="306" t="str">
        <f t="shared" si="7"/>
        <v/>
      </c>
      <c r="P32" s="306" t="str">
        <f t="shared" si="7"/>
        <v/>
      </c>
      <c r="Q32" s="306" t="str">
        <f t="shared" si="7"/>
        <v/>
      </c>
      <c r="R32" s="306" t="str">
        <f t="shared" si="7"/>
        <v/>
      </c>
      <c r="S32" s="306" t="str">
        <f t="shared" si="7"/>
        <v/>
      </c>
      <c r="T32" s="306" t="str">
        <f t="shared" si="7"/>
        <v/>
      </c>
      <c r="U32" s="306" t="str">
        <f t="shared" si="7"/>
        <v/>
      </c>
      <c r="V32" s="306" t="str">
        <f t="shared" si="7"/>
        <v/>
      </c>
      <c r="W32" s="306" t="str">
        <f t="shared" si="7"/>
        <v/>
      </c>
      <c r="X32" s="306" t="str">
        <f t="shared" si="7"/>
        <v/>
      </c>
      <c r="Y32" s="306" t="str">
        <f t="shared" si="7"/>
        <v/>
      </c>
      <c r="Z32" s="371" t="str">
        <f t="shared" si="7"/>
        <v/>
      </c>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6"/>
      <c r="BP32" s="196"/>
      <c r="BQ32" s="196"/>
      <c r="BR32" s="196"/>
      <c r="BS32" s="196"/>
      <c r="BT32" s="196"/>
      <c r="BU32" s="196"/>
      <c r="BV32" s="196"/>
      <c r="BW32" s="196"/>
      <c r="BX32" s="196"/>
      <c r="BY32" s="196"/>
      <c r="BZ32" s="196"/>
      <c r="CA32" s="196"/>
      <c r="CB32" s="196"/>
      <c r="CC32" s="196"/>
      <c r="CD32" s="196"/>
      <c r="CE32" s="196"/>
      <c r="CF32" s="196"/>
      <c r="CG32" s="196"/>
      <c r="CH32" s="196"/>
      <c r="CI32" s="196"/>
      <c r="CJ32" s="196"/>
      <c r="CK32" s="196"/>
      <c r="CL32" s="196"/>
      <c r="CM32" s="196"/>
      <c r="CN32" s="196"/>
      <c r="CO32" s="196"/>
      <c r="CP32" s="196"/>
      <c r="CQ32" s="196"/>
      <c r="CR32" s="196"/>
      <c r="CS32" s="196"/>
      <c r="CT32" s="196"/>
      <c r="CU32" s="196"/>
      <c r="CV32" s="196"/>
      <c r="CW32" s="196"/>
      <c r="CX32" s="196"/>
      <c r="CY32" s="196"/>
      <c r="CZ32" s="196"/>
      <c r="DA32" s="196"/>
      <c r="DB32" s="196"/>
      <c r="DC32" s="196"/>
      <c r="DD32" s="196"/>
      <c r="DE32" s="196"/>
      <c r="DF32" s="196"/>
      <c r="DG32" s="196"/>
      <c r="DH32" s="196"/>
      <c r="DI32" s="196"/>
      <c r="DJ32" s="196"/>
      <c r="DK32" s="196"/>
      <c r="DL32" s="196"/>
      <c r="DM32" s="196"/>
      <c r="DN32" s="196"/>
      <c r="DO32" s="196"/>
      <c r="DP32" s="196"/>
      <c r="DQ32" s="196"/>
      <c r="DR32" s="196"/>
      <c r="DS32" s="196"/>
      <c r="DT32" s="196"/>
      <c r="DU32" s="196"/>
      <c r="DV32" s="196"/>
      <c r="DW32" s="196"/>
      <c r="DX32" s="196"/>
      <c r="DY32" s="196"/>
      <c r="DZ32" s="196"/>
      <c r="EA32" s="196"/>
      <c r="EB32" s="196"/>
      <c r="EC32" s="196"/>
      <c r="ED32" s="196"/>
      <c r="EE32" s="196"/>
      <c r="EF32" s="196"/>
      <c r="EG32" s="196"/>
      <c r="EH32" s="196"/>
      <c r="EI32" s="196"/>
      <c r="EJ32" s="196"/>
      <c r="EK32" s="196"/>
      <c r="EL32" s="196"/>
      <c r="EM32" s="196"/>
      <c r="EN32" s="196"/>
      <c r="EO32" s="196"/>
      <c r="EP32" s="196"/>
      <c r="EQ32" s="196"/>
      <c r="ER32" s="196"/>
      <c r="ES32" s="196"/>
      <c r="ET32" s="196"/>
      <c r="EU32" s="196"/>
      <c r="EV32" s="196"/>
      <c r="EW32" s="196"/>
      <c r="EX32" s="196"/>
      <c r="EY32" s="196"/>
      <c r="EZ32" s="196"/>
      <c r="FA32" s="196"/>
      <c r="FB32" s="196"/>
      <c r="FC32" s="196"/>
      <c r="FD32" s="196"/>
      <c r="FE32" s="196"/>
      <c r="FF32" s="196"/>
      <c r="FG32" s="196"/>
      <c r="FH32" s="196"/>
      <c r="FI32" s="196"/>
      <c r="FJ32" s="196"/>
      <c r="FK32" s="196"/>
      <c r="FL32" s="196"/>
      <c r="FM32" s="196"/>
      <c r="FN32" s="196"/>
      <c r="FO32" s="196"/>
      <c r="FP32" s="196"/>
      <c r="FQ32" s="196"/>
      <c r="FR32" s="196"/>
      <c r="FS32" s="196"/>
      <c r="FT32" s="196"/>
      <c r="FU32" s="196"/>
      <c r="FV32" s="196"/>
      <c r="FW32" s="196"/>
      <c r="FX32" s="196"/>
      <c r="FY32" s="196"/>
      <c r="FZ32" s="196"/>
      <c r="GA32" s="196"/>
      <c r="GB32" s="196"/>
      <c r="GC32" s="196"/>
      <c r="GD32" s="196"/>
      <c r="GE32" s="196"/>
      <c r="GF32" s="196"/>
      <c r="GG32" s="196"/>
      <c r="GH32" s="196"/>
      <c r="GI32" s="196"/>
      <c r="GJ32" s="196"/>
      <c r="GK32" s="196"/>
      <c r="GL32" s="196"/>
      <c r="GM32" s="196"/>
      <c r="GN32" s="196"/>
      <c r="GO32" s="196"/>
      <c r="GP32" s="196"/>
      <c r="GQ32" s="196"/>
      <c r="GR32" s="196"/>
      <c r="GS32" s="196"/>
      <c r="GT32" s="196"/>
      <c r="GU32" s="196"/>
      <c r="GV32" s="196"/>
      <c r="GW32" s="196"/>
      <c r="GX32" s="196"/>
      <c r="GY32" s="196"/>
      <c r="GZ32" s="196"/>
      <c r="HA32" s="196"/>
      <c r="HB32" s="196"/>
      <c r="HC32" s="196"/>
      <c r="HD32" s="196"/>
      <c r="HE32" s="196"/>
      <c r="HF32" s="196"/>
      <c r="HG32" s="196"/>
      <c r="HH32" s="196"/>
      <c r="HI32" s="196"/>
      <c r="HJ32" s="196"/>
      <c r="HK32" s="196"/>
      <c r="HL32" s="196"/>
      <c r="HM32" s="196"/>
      <c r="HN32" s="196"/>
      <c r="HO32" s="196"/>
      <c r="HP32" s="196"/>
      <c r="HQ32" s="196"/>
      <c r="HR32" s="196"/>
      <c r="HS32" s="196"/>
      <c r="HT32" s="196"/>
      <c r="HU32" s="196"/>
      <c r="HV32" s="196"/>
      <c r="HW32" s="196"/>
      <c r="HX32" s="196"/>
      <c r="HY32" s="196"/>
      <c r="HZ32" s="196"/>
      <c r="IA32" s="196"/>
      <c r="IB32" s="196"/>
      <c r="IC32" s="196"/>
      <c r="ID32" s="196"/>
      <c r="IE32" s="196"/>
      <c r="IF32" s="196"/>
      <c r="IG32" s="196"/>
      <c r="IH32" s="196"/>
      <c r="II32" s="196"/>
      <c r="IJ32" s="196"/>
      <c r="IK32" s="196"/>
      <c r="IL32" s="196"/>
      <c r="IM32" s="196"/>
      <c r="IN32" s="196"/>
      <c r="IO32" s="196"/>
      <c r="IP32" s="196"/>
      <c r="IQ32" s="196"/>
      <c r="IR32" s="196"/>
      <c r="IS32" s="196"/>
      <c r="IT32" s="196"/>
      <c r="IU32" s="196"/>
      <c r="IV32" s="196"/>
      <c r="IW32" s="196"/>
      <c r="IX32" s="196"/>
      <c r="IY32" s="196"/>
      <c r="IZ32" s="196"/>
      <c r="JA32" s="196"/>
      <c r="JB32" s="196"/>
      <c r="JC32" s="196"/>
      <c r="JD32" s="196"/>
      <c r="JE32" s="196"/>
      <c r="JF32" s="196"/>
      <c r="JG32" s="196"/>
      <c r="JH32" s="196"/>
      <c r="JI32" s="196"/>
      <c r="JJ32" s="196"/>
      <c r="JK32" s="196"/>
      <c r="JL32" s="196"/>
      <c r="JM32" s="196"/>
      <c r="JN32" s="196"/>
      <c r="JO32" s="196"/>
      <c r="JP32" s="196"/>
      <c r="JQ32" s="196"/>
      <c r="JR32" s="196"/>
      <c r="JS32" s="196"/>
      <c r="JT32" s="196"/>
      <c r="JU32" s="196"/>
      <c r="JV32" s="196"/>
      <c r="JW32" s="196"/>
      <c r="JX32" s="196"/>
      <c r="JY32" s="196"/>
      <c r="JZ32" s="196"/>
      <c r="KA32" s="196"/>
      <c r="KB32" s="196"/>
      <c r="KC32" s="196"/>
      <c r="KD32" s="196"/>
      <c r="KE32" s="196"/>
      <c r="KF32" s="196"/>
      <c r="KG32" s="196"/>
      <c r="KH32" s="196"/>
      <c r="KI32" s="196"/>
      <c r="KJ32" s="196"/>
      <c r="KK32" s="196"/>
      <c r="KL32" s="196"/>
      <c r="KM32" s="196"/>
      <c r="KN32" s="196"/>
      <c r="KO32" s="196"/>
      <c r="KP32" s="196"/>
      <c r="KQ32" s="196"/>
      <c r="KR32" s="196"/>
      <c r="KS32" s="196"/>
      <c r="KT32" s="196"/>
      <c r="KU32" s="196"/>
      <c r="KV32" s="196"/>
      <c r="KW32" s="196"/>
      <c r="KX32" s="196"/>
      <c r="KY32" s="196"/>
      <c r="KZ32" s="196"/>
      <c r="LA32" s="196"/>
      <c r="LB32" s="196"/>
      <c r="LC32" s="196"/>
      <c r="LD32" s="196"/>
      <c r="LE32" s="196"/>
      <c r="LF32" s="196"/>
      <c r="LG32" s="196"/>
      <c r="LH32" s="196"/>
      <c r="LI32" s="196"/>
      <c r="LJ32" s="196"/>
      <c r="LK32" s="196"/>
      <c r="LL32" s="196"/>
      <c r="LM32" s="196"/>
      <c r="LN32" s="196"/>
      <c r="LO32" s="196"/>
      <c r="LP32" s="196"/>
      <c r="LQ32" s="196"/>
      <c r="LR32" s="196"/>
      <c r="LS32" s="196"/>
      <c r="LT32" s="196"/>
      <c r="LU32" s="196"/>
      <c r="LV32" s="196"/>
      <c r="LW32" s="196"/>
      <c r="LX32" s="196"/>
      <c r="LY32" s="196"/>
      <c r="LZ32" s="196"/>
      <c r="MA32" s="196"/>
      <c r="MB32" s="196"/>
      <c r="MC32" s="196"/>
      <c r="MD32" s="196"/>
      <c r="ME32" s="196"/>
      <c r="MF32" s="196"/>
      <c r="MG32" s="196"/>
    </row>
    <row r="33" spans="1:391" s="306" customFormat="1">
      <c r="A33" s="805" t="s">
        <v>137</v>
      </c>
      <c r="B33" s="809">
        <f>IF(B$3&lt;=time, SUM('Attributable fraction'!AA203:AA212), "")</f>
        <v>0</v>
      </c>
      <c r="C33" s="802">
        <f>IF(C$3&lt;=time, SUM('Attributable fraction'!AB203:AB212), "")</f>
        <v>0</v>
      </c>
      <c r="D33" s="802">
        <f>IF(D$3&lt;=time, SUM('Attributable fraction'!AC203:AC212), "")</f>
        <v>0</v>
      </c>
      <c r="E33" s="802">
        <f>IF(E$3&lt;=time, SUM('Attributable fraction'!AD203:AD212), "")</f>
        <v>0</v>
      </c>
      <c r="F33" s="802">
        <f>IF(F$3&lt;=time, SUM('Attributable fraction'!AE203:AE212), "")</f>
        <v>0</v>
      </c>
      <c r="G33" s="306" t="str">
        <f>IF(G$3&lt;=time, SUM('Attributable fraction'!AF203:AF212), "")</f>
        <v/>
      </c>
      <c r="H33" s="306" t="str">
        <f>IF(H$3&lt;=time, SUM('Attributable fraction'!AG203:AG212), "")</f>
        <v/>
      </c>
      <c r="I33" s="306" t="str">
        <f>IF(I$3&lt;=time, SUM('Attributable fraction'!AH203:AH212), "")</f>
        <v/>
      </c>
      <c r="J33" s="306" t="str">
        <f>IF(J$3&lt;=time, SUM('Attributable fraction'!AI203:AI212), "")</f>
        <v/>
      </c>
      <c r="K33" s="306" t="str">
        <f>IF(K$3&lt;=time, SUM('Attributable fraction'!AJ203:AJ212), "")</f>
        <v/>
      </c>
      <c r="L33" s="306" t="str">
        <f>IF(L$3&lt;=time, SUM('Attributable fraction'!AK203:AK212), "")</f>
        <v/>
      </c>
      <c r="M33" s="306" t="str">
        <f>IF(M$3&lt;=time, SUM('Attributable fraction'!AL203:AL212), "")</f>
        <v/>
      </c>
      <c r="N33" s="306" t="str">
        <f>IF(N$3&lt;=time, SUM('Attributable fraction'!AM203:AM212), "")</f>
        <v/>
      </c>
      <c r="O33" s="306" t="str">
        <f>IF(O$3&lt;=time, SUM('Attributable fraction'!AN203:AN212), "")</f>
        <v/>
      </c>
      <c r="P33" s="306" t="str">
        <f>IF(P$3&lt;=time, SUM('Attributable fraction'!AO203:AO212), "")</f>
        <v/>
      </c>
      <c r="Q33" s="306" t="str">
        <f>IF(Q$3&lt;=time, SUM('Attributable fraction'!AP203:AP212), "")</f>
        <v/>
      </c>
      <c r="R33" s="306" t="str">
        <f>IF(R$3&lt;=time, SUM('Attributable fraction'!AQ203:AQ212), "")</f>
        <v/>
      </c>
      <c r="S33" s="306" t="str">
        <f>IF(S$3&lt;=time, SUM('Attributable fraction'!AR203:AR212), "")</f>
        <v/>
      </c>
      <c r="T33" s="306" t="str">
        <f>IF(T$3&lt;=time, SUM('Attributable fraction'!AS203:AS212), "")</f>
        <v/>
      </c>
      <c r="U33" s="306" t="str">
        <f>IF(U$3&lt;=time, SUM('Attributable fraction'!AT203:AT212), "")</f>
        <v/>
      </c>
      <c r="V33" s="306" t="str">
        <f>IF(V$3&lt;=time, SUM('Attributable fraction'!AU203:AU212), "")</f>
        <v/>
      </c>
      <c r="W33" s="306" t="str">
        <f>IF(W$3&lt;=time, SUM('Attributable fraction'!AV203:AV212), "")</f>
        <v/>
      </c>
      <c r="X33" s="306" t="str">
        <f>IF(X$3&lt;=time, SUM('Attributable fraction'!AW203:AW212), "")</f>
        <v/>
      </c>
      <c r="Y33" s="306" t="str">
        <f>IF(Y$3&lt;=time, SUM('Attributable fraction'!AX203:AX212), "")</f>
        <v/>
      </c>
      <c r="Z33" s="371" t="str">
        <f>IF(Z$3&lt;=time, SUM('Attributable fraction'!AY203:AY212), "")</f>
        <v/>
      </c>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c r="BA33" s="196"/>
      <c r="BB33" s="196"/>
      <c r="BC33" s="196"/>
      <c r="BD33" s="196"/>
      <c r="BE33" s="196"/>
      <c r="BF33" s="196"/>
      <c r="BG33" s="196"/>
      <c r="BH33" s="196"/>
      <c r="BI33" s="196"/>
      <c r="BJ33" s="196"/>
      <c r="BK33" s="196"/>
      <c r="BL33" s="196"/>
      <c r="BM33" s="196"/>
      <c r="BN33" s="196"/>
      <c r="BO33" s="196"/>
      <c r="BP33" s="196"/>
      <c r="BQ33" s="196"/>
      <c r="BR33" s="196"/>
      <c r="BS33" s="196"/>
      <c r="BT33" s="196"/>
      <c r="BU33" s="196"/>
      <c r="BV33" s="196"/>
      <c r="BW33" s="196"/>
      <c r="BX33" s="196"/>
      <c r="BY33" s="196"/>
      <c r="BZ33" s="196"/>
      <c r="CA33" s="196"/>
      <c r="CB33" s="196"/>
      <c r="CC33" s="196"/>
      <c r="CD33" s="196"/>
      <c r="CE33" s="196"/>
      <c r="CF33" s="196"/>
      <c r="CG33" s="196"/>
      <c r="CH33" s="196"/>
      <c r="CI33" s="196"/>
      <c r="CJ33" s="196"/>
      <c r="CK33" s="196"/>
      <c r="CL33" s="196"/>
      <c r="CM33" s="196"/>
      <c r="CN33" s="196"/>
      <c r="CO33" s="196"/>
      <c r="CP33" s="196"/>
      <c r="CQ33" s="196"/>
      <c r="CR33" s="196"/>
      <c r="CS33" s="196"/>
      <c r="CT33" s="196"/>
      <c r="CU33" s="196"/>
      <c r="CV33" s="196"/>
      <c r="CW33" s="196"/>
      <c r="CX33" s="196"/>
      <c r="CY33" s="196"/>
      <c r="CZ33" s="196"/>
      <c r="DA33" s="196"/>
      <c r="DB33" s="196"/>
      <c r="DC33" s="196"/>
      <c r="DD33" s="196"/>
      <c r="DE33" s="196"/>
      <c r="DF33" s="196"/>
      <c r="DG33" s="196"/>
      <c r="DH33" s="196"/>
      <c r="DI33" s="196"/>
      <c r="DJ33" s="196"/>
      <c r="DK33" s="196"/>
      <c r="DL33" s="196"/>
      <c r="DM33" s="196"/>
      <c r="DN33" s="196"/>
      <c r="DO33" s="196"/>
      <c r="DP33" s="196"/>
      <c r="DQ33" s="196"/>
      <c r="DR33" s="196"/>
      <c r="DS33" s="196"/>
      <c r="DT33" s="196"/>
      <c r="DU33" s="196"/>
      <c r="DV33" s="196"/>
      <c r="DW33" s="196"/>
      <c r="DX33" s="196"/>
      <c r="DY33" s="196"/>
      <c r="DZ33" s="196"/>
      <c r="EA33" s="196"/>
      <c r="EB33" s="196"/>
      <c r="EC33" s="196"/>
      <c r="ED33" s="196"/>
      <c r="EE33" s="196"/>
      <c r="EF33" s="196"/>
      <c r="EG33" s="196"/>
      <c r="EH33" s="196"/>
      <c r="EI33" s="196"/>
      <c r="EJ33" s="196"/>
      <c r="EK33" s="196"/>
      <c r="EL33" s="196"/>
      <c r="EM33" s="196"/>
      <c r="EN33" s="196"/>
      <c r="EO33" s="196"/>
      <c r="EP33" s="196"/>
      <c r="EQ33" s="196"/>
      <c r="ER33" s="196"/>
      <c r="ES33" s="196"/>
      <c r="ET33" s="196"/>
      <c r="EU33" s="196"/>
      <c r="EV33" s="196"/>
      <c r="EW33" s="196"/>
      <c r="EX33" s="196"/>
      <c r="EY33" s="196"/>
      <c r="EZ33" s="196"/>
      <c r="FA33" s="196"/>
      <c r="FB33" s="196"/>
      <c r="FC33" s="196"/>
      <c r="FD33" s="196"/>
      <c r="FE33" s="196"/>
      <c r="FF33" s="196"/>
      <c r="FG33" s="196"/>
      <c r="FH33" s="196"/>
      <c r="FI33" s="196"/>
      <c r="FJ33" s="196"/>
      <c r="FK33" s="196"/>
      <c r="FL33" s="196"/>
      <c r="FM33" s="196"/>
      <c r="FN33" s="196"/>
      <c r="FO33" s="196"/>
      <c r="FP33" s="196"/>
      <c r="FQ33" s="196"/>
      <c r="FR33" s="196"/>
      <c r="FS33" s="196"/>
      <c r="FT33" s="196"/>
      <c r="FU33" s="196"/>
      <c r="FV33" s="196"/>
      <c r="FW33" s="196"/>
      <c r="FX33" s="196"/>
      <c r="FY33" s="196"/>
      <c r="FZ33" s="196"/>
      <c r="GA33" s="196"/>
      <c r="GB33" s="196"/>
      <c r="GC33" s="196"/>
      <c r="GD33" s="196"/>
      <c r="GE33" s="196"/>
      <c r="GF33" s="196"/>
      <c r="GG33" s="196"/>
      <c r="GH33" s="196"/>
      <c r="GI33" s="196"/>
      <c r="GJ33" s="196"/>
      <c r="GK33" s="196"/>
      <c r="GL33" s="196"/>
      <c r="GM33" s="196"/>
      <c r="GN33" s="196"/>
      <c r="GO33" s="196"/>
      <c r="GP33" s="196"/>
      <c r="GQ33" s="196"/>
      <c r="GR33" s="196"/>
      <c r="GS33" s="196"/>
      <c r="GT33" s="196"/>
      <c r="GU33" s="196"/>
      <c r="GV33" s="196"/>
      <c r="GW33" s="196"/>
      <c r="GX33" s="196"/>
      <c r="GY33" s="196"/>
      <c r="GZ33" s="196"/>
      <c r="HA33" s="196"/>
      <c r="HB33" s="196"/>
      <c r="HC33" s="196"/>
      <c r="HD33" s="196"/>
      <c r="HE33" s="196"/>
      <c r="HF33" s="196"/>
      <c r="HG33" s="196"/>
      <c r="HH33" s="196"/>
      <c r="HI33" s="196"/>
      <c r="HJ33" s="196"/>
      <c r="HK33" s="196"/>
      <c r="HL33" s="196"/>
      <c r="HM33" s="196"/>
      <c r="HN33" s="196"/>
      <c r="HO33" s="196"/>
      <c r="HP33" s="196"/>
      <c r="HQ33" s="196"/>
      <c r="HR33" s="196"/>
      <c r="HS33" s="196"/>
      <c r="HT33" s="196"/>
      <c r="HU33" s="196"/>
      <c r="HV33" s="196"/>
      <c r="HW33" s="196"/>
      <c r="HX33" s="196"/>
      <c r="HY33" s="196"/>
      <c r="HZ33" s="196"/>
      <c r="IA33" s="196"/>
      <c r="IB33" s="196"/>
      <c r="IC33" s="196"/>
      <c r="ID33" s="196"/>
      <c r="IE33" s="196"/>
      <c r="IF33" s="196"/>
      <c r="IG33" s="196"/>
      <c r="IH33" s="196"/>
      <c r="II33" s="196"/>
      <c r="IJ33" s="196"/>
      <c r="IK33" s="196"/>
      <c r="IL33" s="196"/>
      <c r="IM33" s="196"/>
      <c r="IN33" s="196"/>
      <c r="IO33" s="196"/>
      <c r="IP33" s="196"/>
      <c r="IQ33" s="196"/>
      <c r="IR33" s="196"/>
      <c r="IS33" s="196"/>
      <c r="IT33" s="196"/>
      <c r="IU33" s="196"/>
      <c r="IV33" s="196"/>
      <c r="IW33" s="196"/>
      <c r="IX33" s="196"/>
      <c r="IY33" s="196"/>
      <c r="IZ33" s="196"/>
      <c r="JA33" s="196"/>
      <c r="JB33" s="196"/>
      <c r="JC33" s="196"/>
      <c r="JD33" s="196"/>
      <c r="JE33" s="196"/>
      <c r="JF33" s="196"/>
      <c r="JG33" s="196"/>
      <c r="JH33" s="196"/>
      <c r="JI33" s="196"/>
      <c r="JJ33" s="196"/>
      <c r="JK33" s="196"/>
      <c r="JL33" s="196"/>
      <c r="JM33" s="196"/>
      <c r="JN33" s="196"/>
      <c r="JO33" s="196"/>
      <c r="JP33" s="196"/>
      <c r="JQ33" s="196"/>
      <c r="JR33" s="196"/>
      <c r="JS33" s="196"/>
      <c r="JT33" s="196"/>
      <c r="JU33" s="196"/>
      <c r="JV33" s="196"/>
      <c r="JW33" s="196"/>
      <c r="JX33" s="196"/>
      <c r="JY33" s="196"/>
      <c r="JZ33" s="196"/>
      <c r="KA33" s="196"/>
      <c r="KB33" s="196"/>
      <c r="KC33" s="196"/>
      <c r="KD33" s="196"/>
      <c r="KE33" s="196"/>
      <c r="KF33" s="196"/>
      <c r="KG33" s="196"/>
      <c r="KH33" s="196"/>
      <c r="KI33" s="196"/>
      <c r="KJ33" s="196"/>
      <c r="KK33" s="196"/>
      <c r="KL33" s="196"/>
      <c r="KM33" s="196"/>
      <c r="KN33" s="196"/>
      <c r="KO33" s="196"/>
      <c r="KP33" s="196"/>
      <c r="KQ33" s="196"/>
      <c r="KR33" s="196"/>
      <c r="KS33" s="196"/>
      <c r="KT33" s="196"/>
      <c r="KU33" s="196"/>
      <c r="KV33" s="196"/>
      <c r="KW33" s="196"/>
      <c r="KX33" s="196"/>
      <c r="KY33" s="196"/>
      <c r="KZ33" s="196"/>
      <c r="LA33" s="196"/>
      <c r="LB33" s="196"/>
      <c r="LC33" s="196"/>
      <c r="LD33" s="196"/>
      <c r="LE33" s="196"/>
      <c r="LF33" s="196"/>
      <c r="LG33" s="196"/>
      <c r="LH33" s="196"/>
      <c r="LI33" s="196"/>
      <c r="LJ33" s="196"/>
      <c r="LK33" s="196"/>
      <c r="LL33" s="196"/>
      <c r="LM33" s="196"/>
      <c r="LN33" s="196"/>
      <c r="LO33" s="196"/>
      <c r="LP33" s="196"/>
      <c r="LQ33" s="196"/>
      <c r="LR33" s="196"/>
      <c r="LS33" s="196"/>
      <c r="LT33" s="196"/>
      <c r="LU33" s="196"/>
      <c r="LV33" s="196"/>
      <c r="LW33" s="196"/>
      <c r="LX33" s="196"/>
      <c r="LY33" s="196"/>
      <c r="LZ33" s="196"/>
      <c r="MA33" s="196"/>
      <c r="MB33" s="196"/>
      <c r="MC33" s="196"/>
      <c r="MD33" s="196"/>
      <c r="ME33" s="196"/>
      <c r="MF33" s="196"/>
      <c r="MG33" s="196"/>
    </row>
    <row r="34" spans="1:391" s="306" customFormat="1">
      <c r="A34" s="805" t="s">
        <v>240</v>
      </c>
      <c r="B34" s="809">
        <f>IF(B$3&lt;=time, SUM('Attributable fraction'!AA214:AA223), "")</f>
        <v>0</v>
      </c>
      <c r="C34" s="802">
        <f>IF(C$3&lt;=time, SUM('Attributable fraction'!AB214:AB223), "")</f>
        <v>0</v>
      </c>
      <c r="D34" s="802">
        <f>IF(D$3&lt;=time, SUM('Attributable fraction'!AC214:AC223), "")</f>
        <v>0</v>
      </c>
      <c r="E34" s="802">
        <f>IF(E$3&lt;=time, SUM('Attributable fraction'!AD214:AD223), "")</f>
        <v>0</v>
      </c>
      <c r="F34" s="802">
        <f>IF(F$3&lt;=time, SUM('Attributable fraction'!AE214:AE223), "")</f>
        <v>0</v>
      </c>
      <c r="G34" s="306" t="str">
        <f>IF(G$3&lt;=time, SUM('Attributable fraction'!AF214:AF223), "")</f>
        <v/>
      </c>
      <c r="H34" s="306" t="str">
        <f>IF(H$3&lt;=time, SUM('Attributable fraction'!AG214:AG223), "")</f>
        <v/>
      </c>
      <c r="I34" s="306" t="str">
        <f>IF(I$3&lt;=time, SUM('Attributable fraction'!AH214:AH223), "")</f>
        <v/>
      </c>
      <c r="J34" s="306" t="str">
        <f>IF(J$3&lt;=time, SUM('Attributable fraction'!AI214:AI223), "")</f>
        <v/>
      </c>
      <c r="K34" s="306" t="str">
        <f>IF(K$3&lt;=time, SUM('Attributable fraction'!AJ214:AJ223), "")</f>
        <v/>
      </c>
      <c r="L34" s="306" t="str">
        <f>IF(L$3&lt;=time, SUM('Attributable fraction'!AK214:AK223), "")</f>
        <v/>
      </c>
      <c r="M34" s="306" t="str">
        <f>IF(M$3&lt;=time, SUM('Attributable fraction'!AL214:AL223), "")</f>
        <v/>
      </c>
      <c r="N34" s="306" t="str">
        <f>IF(N$3&lt;=time, SUM('Attributable fraction'!AM214:AM223), "")</f>
        <v/>
      </c>
      <c r="O34" s="306" t="str">
        <f>IF(O$3&lt;=time, SUM('Attributable fraction'!AN214:AN223), "")</f>
        <v/>
      </c>
      <c r="P34" s="306" t="str">
        <f>IF(P$3&lt;=time, SUM('Attributable fraction'!AO214:AO223), "")</f>
        <v/>
      </c>
      <c r="Q34" s="306" t="str">
        <f>IF(Q$3&lt;=time, SUM('Attributable fraction'!AP214:AP223), "")</f>
        <v/>
      </c>
      <c r="R34" s="306" t="str">
        <f>IF(R$3&lt;=time, SUM('Attributable fraction'!AQ214:AQ223), "")</f>
        <v/>
      </c>
      <c r="S34" s="306" t="str">
        <f>IF(S$3&lt;=time, SUM('Attributable fraction'!AR214:AR223), "")</f>
        <v/>
      </c>
      <c r="T34" s="306" t="str">
        <f>IF(T$3&lt;=time, SUM('Attributable fraction'!AS214:AS223), "")</f>
        <v/>
      </c>
      <c r="U34" s="306" t="str">
        <f>IF(U$3&lt;=time, SUM('Attributable fraction'!AT214:AT223), "")</f>
        <v/>
      </c>
      <c r="V34" s="306" t="str">
        <f>IF(V$3&lt;=time, SUM('Attributable fraction'!AU214:AU223), "")</f>
        <v/>
      </c>
      <c r="W34" s="306" t="str">
        <f>IF(W$3&lt;=time, SUM('Attributable fraction'!AV214:AV223), "")</f>
        <v/>
      </c>
      <c r="X34" s="306" t="str">
        <f>IF(X$3&lt;=time, SUM('Attributable fraction'!AW214:AW223), "")</f>
        <v/>
      </c>
      <c r="Y34" s="306" t="str">
        <f>IF(Y$3&lt;=time, SUM('Attributable fraction'!AX214:AX223), "")</f>
        <v/>
      </c>
      <c r="Z34" s="371" t="str">
        <f>IF(Z$3&lt;=time, SUM('Attributable fraction'!AY214:AY223), "")</f>
        <v/>
      </c>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96"/>
      <c r="AW34" s="196"/>
      <c r="AX34" s="196"/>
      <c r="AY34" s="196"/>
      <c r="AZ34" s="196"/>
      <c r="BA34" s="196"/>
      <c r="BB34" s="196"/>
      <c r="BC34" s="196"/>
      <c r="BD34" s="196"/>
      <c r="BE34" s="196"/>
      <c r="BF34" s="196"/>
      <c r="BG34" s="196"/>
      <c r="BH34" s="196"/>
      <c r="BI34" s="196"/>
      <c r="BJ34" s="196"/>
      <c r="BK34" s="196"/>
      <c r="BL34" s="196"/>
      <c r="BM34" s="196"/>
      <c r="BN34" s="196"/>
      <c r="BO34" s="196"/>
      <c r="BP34" s="196"/>
      <c r="BQ34" s="196"/>
      <c r="BR34" s="196"/>
      <c r="BS34" s="196"/>
      <c r="BT34" s="196"/>
      <c r="BU34" s="196"/>
      <c r="BV34" s="196"/>
      <c r="BW34" s="196"/>
      <c r="BX34" s="196"/>
      <c r="BY34" s="196"/>
      <c r="BZ34" s="196"/>
      <c r="CA34" s="196"/>
      <c r="CB34" s="196"/>
      <c r="CC34" s="196"/>
      <c r="CD34" s="196"/>
      <c r="CE34" s="196"/>
      <c r="CF34" s="196"/>
      <c r="CG34" s="196"/>
      <c r="CH34" s="196"/>
      <c r="CI34" s="196"/>
      <c r="CJ34" s="196"/>
      <c r="CK34" s="196"/>
      <c r="CL34" s="196"/>
      <c r="CM34" s="196"/>
      <c r="CN34" s="196"/>
      <c r="CO34" s="196"/>
      <c r="CP34" s="196"/>
      <c r="CQ34" s="196"/>
      <c r="CR34" s="196"/>
      <c r="CS34" s="196"/>
      <c r="CT34" s="196"/>
      <c r="CU34" s="196"/>
      <c r="CV34" s="196"/>
      <c r="CW34" s="196"/>
      <c r="CX34" s="196"/>
      <c r="CY34" s="196"/>
      <c r="CZ34" s="196"/>
      <c r="DA34" s="196"/>
      <c r="DB34" s="196"/>
      <c r="DC34" s="196"/>
      <c r="DD34" s="196"/>
      <c r="DE34" s="196"/>
      <c r="DF34" s="196"/>
      <c r="DG34" s="196"/>
      <c r="DH34" s="196"/>
      <c r="DI34" s="196"/>
      <c r="DJ34" s="196"/>
      <c r="DK34" s="196"/>
      <c r="DL34" s="196"/>
      <c r="DM34" s="196"/>
      <c r="DN34" s="196"/>
      <c r="DO34" s="196"/>
      <c r="DP34" s="196"/>
      <c r="DQ34" s="196"/>
      <c r="DR34" s="196"/>
      <c r="DS34" s="196"/>
      <c r="DT34" s="196"/>
      <c r="DU34" s="196"/>
      <c r="DV34" s="196"/>
      <c r="DW34" s="196"/>
      <c r="DX34" s="196"/>
      <c r="DY34" s="196"/>
      <c r="DZ34" s="196"/>
      <c r="EA34" s="196"/>
      <c r="EB34" s="196"/>
      <c r="EC34" s="196"/>
      <c r="ED34" s="196"/>
      <c r="EE34" s="196"/>
      <c r="EF34" s="196"/>
      <c r="EG34" s="196"/>
      <c r="EH34" s="196"/>
      <c r="EI34" s="196"/>
      <c r="EJ34" s="196"/>
      <c r="EK34" s="196"/>
      <c r="EL34" s="196"/>
      <c r="EM34" s="196"/>
      <c r="EN34" s="196"/>
      <c r="EO34" s="196"/>
      <c r="EP34" s="196"/>
      <c r="EQ34" s="196"/>
      <c r="ER34" s="196"/>
      <c r="ES34" s="196"/>
      <c r="ET34" s="196"/>
      <c r="EU34" s="196"/>
      <c r="EV34" s="196"/>
      <c r="EW34" s="196"/>
      <c r="EX34" s="196"/>
      <c r="EY34" s="196"/>
      <c r="EZ34" s="196"/>
      <c r="FA34" s="196"/>
      <c r="FB34" s="196"/>
      <c r="FC34" s="196"/>
      <c r="FD34" s="196"/>
      <c r="FE34" s="196"/>
      <c r="FF34" s="196"/>
      <c r="FG34" s="196"/>
      <c r="FH34" s="196"/>
      <c r="FI34" s="196"/>
      <c r="FJ34" s="196"/>
      <c r="FK34" s="196"/>
      <c r="FL34" s="196"/>
      <c r="FM34" s="196"/>
      <c r="FN34" s="196"/>
      <c r="FO34" s="196"/>
      <c r="FP34" s="196"/>
      <c r="FQ34" s="196"/>
      <c r="FR34" s="196"/>
      <c r="FS34" s="196"/>
      <c r="FT34" s="196"/>
      <c r="FU34" s="196"/>
      <c r="FV34" s="196"/>
      <c r="FW34" s="196"/>
      <c r="FX34" s="196"/>
      <c r="FY34" s="196"/>
      <c r="FZ34" s="196"/>
      <c r="GA34" s="196"/>
      <c r="GB34" s="196"/>
      <c r="GC34" s="196"/>
      <c r="GD34" s="196"/>
      <c r="GE34" s="196"/>
      <c r="GF34" s="196"/>
      <c r="GG34" s="196"/>
      <c r="GH34" s="196"/>
      <c r="GI34" s="196"/>
      <c r="GJ34" s="196"/>
      <c r="GK34" s="196"/>
      <c r="GL34" s="196"/>
      <c r="GM34" s="196"/>
      <c r="GN34" s="196"/>
      <c r="GO34" s="196"/>
      <c r="GP34" s="196"/>
      <c r="GQ34" s="196"/>
      <c r="GR34" s="196"/>
      <c r="GS34" s="196"/>
      <c r="GT34" s="196"/>
      <c r="GU34" s="196"/>
      <c r="GV34" s="196"/>
      <c r="GW34" s="196"/>
      <c r="GX34" s="196"/>
      <c r="GY34" s="196"/>
      <c r="GZ34" s="196"/>
      <c r="HA34" s="196"/>
      <c r="HB34" s="196"/>
      <c r="HC34" s="196"/>
      <c r="HD34" s="196"/>
      <c r="HE34" s="196"/>
      <c r="HF34" s="196"/>
      <c r="HG34" s="196"/>
      <c r="HH34" s="196"/>
      <c r="HI34" s="196"/>
      <c r="HJ34" s="196"/>
      <c r="HK34" s="196"/>
      <c r="HL34" s="196"/>
      <c r="HM34" s="196"/>
      <c r="HN34" s="196"/>
      <c r="HO34" s="196"/>
      <c r="HP34" s="196"/>
      <c r="HQ34" s="196"/>
      <c r="HR34" s="196"/>
      <c r="HS34" s="196"/>
      <c r="HT34" s="196"/>
      <c r="HU34" s="196"/>
      <c r="HV34" s="196"/>
      <c r="HW34" s="196"/>
      <c r="HX34" s="196"/>
      <c r="HY34" s="196"/>
      <c r="HZ34" s="196"/>
      <c r="IA34" s="196"/>
      <c r="IB34" s="196"/>
      <c r="IC34" s="196"/>
      <c r="ID34" s="196"/>
      <c r="IE34" s="196"/>
      <c r="IF34" s="196"/>
      <c r="IG34" s="196"/>
      <c r="IH34" s="196"/>
      <c r="II34" s="196"/>
      <c r="IJ34" s="196"/>
      <c r="IK34" s="196"/>
      <c r="IL34" s="196"/>
      <c r="IM34" s="196"/>
      <c r="IN34" s="196"/>
      <c r="IO34" s="196"/>
      <c r="IP34" s="196"/>
      <c r="IQ34" s="196"/>
      <c r="IR34" s="196"/>
      <c r="IS34" s="196"/>
      <c r="IT34" s="196"/>
      <c r="IU34" s="196"/>
      <c r="IV34" s="196"/>
      <c r="IW34" s="196"/>
      <c r="IX34" s="196"/>
      <c r="IY34" s="196"/>
      <c r="IZ34" s="196"/>
      <c r="JA34" s="196"/>
      <c r="JB34" s="196"/>
      <c r="JC34" s="196"/>
      <c r="JD34" s="196"/>
      <c r="JE34" s="196"/>
      <c r="JF34" s="196"/>
      <c r="JG34" s="196"/>
      <c r="JH34" s="196"/>
      <c r="JI34" s="196"/>
      <c r="JJ34" s="196"/>
      <c r="JK34" s="196"/>
      <c r="JL34" s="196"/>
      <c r="JM34" s="196"/>
      <c r="JN34" s="196"/>
      <c r="JO34" s="196"/>
      <c r="JP34" s="196"/>
      <c r="JQ34" s="196"/>
      <c r="JR34" s="196"/>
      <c r="JS34" s="196"/>
      <c r="JT34" s="196"/>
      <c r="JU34" s="196"/>
      <c r="JV34" s="196"/>
      <c r="JW34" s="196"/>
      <c r="JX34" s="196"/>
      <c r="JY34" s="196"/>
      <c r="JZ34" s="196"/>
      <c r="KA34" s="196"/>
      <c r="KB34" s="196"/>
      <c r="KC34" s="196"/>
      <c r="KD34" s="196"/>
      <c r="KE34" s="196"/>
      <c r="KF34" s="196"/>
      <c r="KG34" s="196"/>
      <c r="KH34" s="196"/>
      <c r="KI34" s="196"/>
      <c r="KJ34" s="196"/>
      <c r="KK34" s="196"/>
      <c r="KL34" s="196"/>
      <c r="KM34" s="196"/>
      <c r="KN34" s="196"/>
      <c r="KO34" s="196"/>
      <c r="KP34" s="196"/>
      <c r="KQ34" s="196"/>
      <c r="KR34" s="196"/>
      <c r="KS34" s="196"/>
      <c r="KT34" s="196"/>
      <c r="KU34" s="196"/>
      <c r="KV34" s="196"/>
      <c r="KW34" s="196"/>
      <c r="KX34" s="196"/>
      <c r="KY34" s="196"/>
      <c r="KZ34" s="196"/>
      <c r="LA34" s="196"/>
      <c r="LB34" s="196"/>
      <c r="LC34" s="196"/>
      <c r="LD34" s="196"/>
      <c r="LE34" s="196"/>
      <c r="LF34" s="196"/>
      <c r="LG34" s="196"/>
      <c r="LH34" s="196"/>
      <c r="LI34" s="196"/>
      <c r="LJ34" s="196"/>
      <c r="LK34" s="196"/>
      <c r="LL34" s="196"/>
      <c r="LM34" s="196"/>
      <c r="LN34" s="196"/>
      <c r="LO34" s="196"/>
      <c r="LP34" s="196"/>
      <c r="LQ34" s="196"/>
      <c r="LR34" s="196"/>
      <c r="LS34" s="196"/>
      <c r="LT34" s="196"/>
      <c r="LU34" s="196"/>
      <c r="LV34" s="196"/>
      <c r="LW34" s="196"/>
      <c r="LX34" s="196"/>
      <c r="LY34" s="196"/>
      <c r="LZ34" s="196"/>
      <c r="MA34" s="196"/>
      <c r="MB34" s="196"/>
      <c r="MC34" s="196"/>
      <c r="MD34" s="196"/>
      <c r="ME34" s="196"/>
      <c r="MF34" s="196"/>
      <c r="MG34" s="196"/>
    </row>
    <row r="35" spans="1:391" s="306" customFormat="1" ht="16" thickBot="1">
      <c r="A35" s="806" t="s">
        <v>11</v>
      </c>
      <c r="B35" s="810">
        <f t="shared" ref="B35:Z35" si="8">IF(B$3&lt;=time, B34+B33+B32, "")</f>
        <v>284.73002251534706</v>
      </c>
      <c r="C35" s="807">
        <f t="shared" si="8"/>
        <v>0</v>
      </c>
      <c r="D35" s="807">
        <f t="shared" si="8"/>
        <v>0</v>
      </c>
      <c r="E35" s="807">
        <f t="shared" si="8"/>
        <v>0</v>
      </c>
      <c r="F35" s="807">
        <f t="shared" si="8"/>
        <v>0</v>
      </c>
      <c r="G35" s="345" t="str">
        <f t="shared" si="8"/>
        <v/>
      </c>
      <c r="H35" s="345" t="str">
        <f t="shared" si="8"/>
        <v/>
      </c>
      <c r="I35" s="345" t="str">
        <f t="shared" si="8"/>
        <v/>
      </c>
      <c r="J35" s="345" t="str">
        <f t="shared" si="8"/>
        <v/>
      </c>
      <c r="K35" s="345" t="str">
        <f t="shared" si="8"/>
        <v/>
      </c>
      <c r="L35" s="345" t="str">
        <f t="shared" si="8"/>
        <v/>
      </c>
      <c r="M35" s="345" t="str">
        <f t="shared" si="8"/>
        <v/>
      </c>
      <c r="N35" s="345" t="str">
        <f t="shared" si="8"/>
        <v/>
      </c>
      <c r="O35" s="345" t="str">
        <f t="shared" si="8"/>
        <v/>
      </c>
      <c r="P35" s="345" t="str">
        <f t="shared" si="8"/>
        <v/>
      </c>
      <c r="Q35" s="345" t="str">
        <f t="shared" si="8"/>
        <v/>
      </c>
      <c r="R35" s="345" t="str">
        <f t="shared" si="8"/>
        <v/>
      </c>
      <c r="S35" s="345" t="str">
        <f t="shared" si="8"/>
        <v/>
      </c>
      <c r="T35" s="345" t="str">
        <f t="shared" si="8"/>
        <v/>
      </c>
      <c r="U35" s="345" t="str">
        <f t="shared" si="8"/>
        <v/>
      </c>
      <c r="V35" s="345" t="str">
        <f t="shared" si="8"/>
        <v/>
      </c>
      <c r="W35" s="345" t="str">
        <f t="shared" si="8"/>
        <v/>
      </c>
      <c r="X35" s="345" t="str">
        <f t="shared" si="8"/>
        <v/>
      </c>
      <c r="Y35" s="345" t="str">
        <f t="shared" si="8"/>
        <v/>
      </c>
      <c r="Z35" s="346" t="str">
        <f t="shared" si="8"/>
        <v/>
      </c>
      <c r="AA35" s="196"/>
      <c r="AB35" s="196"/>
      <c r="AC35" s="196"/>
      <c r="AD35" s="196"/>
      <c r="AE35" s="196"/>
      <c r="AF35" s="196"/>
      <c r="AG35" s="196"/>
      <c r="AH35" s="196"/>
      <c r="AI35" s="196"/>
      <c r="AJ35" s="196"/>
      <c r="AK35" s="196"/>
      <c r="AL35" s="196"/>
      <c r="AM35" s="196"/>
      <c r="AN35" s="196"/>
      <c r="AO35" s="196"/>
      <c r="AP35" s="196"/>
      <c r="AQ35" s="196"/>
      <c r="AR35" s="196"/>
      <c r="AS35" s="196"/>
      <c r="AT35" s="196"/>
      <c r="AU35" s="196"/>
      <c r="AV35" s="196"/>
      <c r="AW35" s="196"/>
      <c r="AX35" s="196"/>
      <c r="AY35" s="196"/>
      <c r="AZ35" s="196"/>
      <c r="BA35" s="196"/>
      <c r="BB35" s="196"/>
      <c r="BC35" s="196"/>
      <c r="BD35" s="196"/>
      <c r="BE35" s="196"/>
      <c r="BF35" s="196"/>
      <c r="BG35" s="196"/>
      <c r="BH35" s="196"/>
      <c r="BI35" s="196"/>
      <c r="BJ35" s="196"/>
      <c r="BK35" s="196"/>
      <c r="BL35" s="196"/>
      <c r="BM35" s="196"/>
      <c r="BN35" s="196"/>
      <c r="BO35" s="196"/>
      <c r="BP35" s="196"/>
      <c r="BQ35" s="196"/>
      <c r="BR35" s="196"/>
      <c r="BS35" s="196"/>
      <c r="BT35" s="196"/>
      <c r="BU35" s="196"/>
      <c r="BV35" s="196"/>
      <c r="BW35" s="196"/>
      <c r="BX35" s="196"/>
      <c r="BY35" s="196"/>
      <c r="BZ35" s="196"/>
      <c r="CA35" s="196"/>
      <c r="CB35" s="196"/>
      <c r="CC35" s="196"/>
      <c r="CD35" s="196"/>
      <c r="CE35" s="196"/>
      <c r="CF35" s="196"/>
      <c r="CG35" s="196"/>
      <c r="CH35" s="196"/>
      <c r="CI35" s="196"/>
      <c r="CJ35" s="196"/>
      <c r="CK35" s="196"/>
      <c r="CL35" s="196"/>
      <c r="CM35" s="196"/>
      <c r="CN35" s="196"/>
      <c r="CO35" s="196"/>
      <c r="CP35" s="196"/>
      <c r="CQ35" s="196"/>
      <c r="CR35" s="196"/>
      <c r="CS35" s="196"/>
      <c r="CT35" s="196"/>
      <c r="CU35" s="196"/>
      <c r="CV35" s="196"/>
      <c r="CW35" s="196"/>
      <c r="CX35" s="196"/>
      <c r="CY35" s="196"/>
      <c r="CZ35" s="196"/>
      <c r="DA35" s="196"/>
      <c r="DB35" s="196"/>
      <c r="DC35" s="196"/>
      <c r="DD35" s="196"/>
      <c r="DE35" s="196"/>
      <c r="DF35" s="196"/>
      <c r="DG35" s="196"/>
      <c r="DH35" s="196"/>
      <c r="DI35" s="196"/>
      <c r="DJ35" s="196"/>
      <c r="DK35" s="196"/>
      <c r="DL35" s="196"/>
      <c r="DM35" s="196"/>
      <c r="DN35" s="196"/>
      <c r="DO35" s="196"/>
      <c r="DP35" s="196"/>
      <c r="DQ35" s="196"/>
      <c r="DR35" s="196"/>
      <c r="DS35" s="196"/>
      <c r="DT35" s="196"/>
      <c r="DU35" s="196"/>
      <c r="DV35" s="196"/>
      <c r="DW35" s="196"/>
      <c r="DX35" s="196"/>
      <c r="DY35" s="196"/>
      <c r="DZ35" s="196"/>
      <c r="EA35" s="196"/>
      <c r="EB35" s="196"/>
      <c r="EC35" s="196"/>
      <c r="ED35" s="196"/>
      <c r="EE35" s="196"/>
      <c r="EF35" s="196"/>
      <c r="EG35" s="196"/>
      <c r="EH35" s="196"/>
      <c r="EI35" s="196"/>
      <c r="EJ35" s="196"/>
      <c r="EK35" s="196"/>
      <c r="EL35" s="196"/>
      <c r="EM35" s="196"/>
      <c r="EN35" s="196"/>
      <c r="EO35" s="196"/>
      <c r="EP35" s="196"/>
      <c r="EQ35" s="196"/>
      <c r="ER35" s="196"/>
      <c r="ES35" s="196"/>
      <c r="ET35" s="196"/>
      <c r="EU35" s="196"/>
      <c r="EV35" s="196"/>
      <c r="EW35" s="196"/>
      <c r="EX35" s="196"/>
      <c r="EY35" s="196"/>
      <c r="EZ35" s="196"/>
      <c r="FA35" s="196"/>
      <c r="FB35" s="196"/>
      <c r="FC35" s="196"/>
      <c r="FD35" s="196"/>
      <c r="FE35" s="196"/>
      <c r="FF35" s="196"/>
      <c r="FG35" s="196"/>
      <c r="FH35" s="196"/>
      <c r="FI35" s="196"/>
      <c r="FJ35" s="196"/>
      <c r="FK35" s="196"/>
      <c r="FL35" s="196"/>
      <c r="FM35" s="196"/>
      <c r="FN35" s="196"/>
      <c r="FO35" s="196"/>
      <c r="FP35" s="196"/>
      <c r="FQ35" s="196"/>
      <c r="FR35" s="196"/>
      <c r="FS35" s="196"/>
      <c r="FT35" s="196"/>
      <c r="FU35" s="196"/>
      <c r="FV35" s="196"/>
      <c r="FW35" s="196"/>
      <c r="FX35" s="196"/>
      <c r="FY35" s="196"/>
      <c r="FZ35" s="196"/>
      <c r="GA35" s="196"/>
      <c r="GB35" s="196"/>
      <c r="GC35" s="196"/>
      <c r="GD35" s="196"/>
      <c r="GE35" s="196"/>
      <c r="GF35" s="196"/>
      <c r="GG35" s="196"/>
      <c r="GH35" s="196"/>
      <c r="GI35" s="196"/>
      <c r="GJ35" s="196"/>
      <c r="GK35" s="196"/>
      <c r="GL35" s="196"/>
      <c r="GM35" s="196"/>
      <c r="GN35" s="196"/>
      <c r="GO35" s="196"/>
      <c r="GP35" s="196"/>
      <c r="GQ35" s="196"/>
      <c r="GR35" s="196"/>
      <c r="GS35" s="196"/>
      <c r="GT35" s="196"/>
      <c r="GU35" s="196"/>
      <c r="GV35" s="196"/>
      <c r="GW35" s="196"/>
      <c r="GX35" s="196"/>
      <c r="GY35" s="196"/>
      <c r="GZ35" s="196"/>
      <c r="HA35" s="196"/>
      <c r="HB35" s="196"/>
      <c r="HC35" s="196"/>
      <c r="HD35" s="196"/>
      <c r="HE35" s="196"/>
      <c r="HF35" s="196"/>
      <c r="HG35" s="196"/>
      <c r="HH35" s="196"/>
      <c r="HI35" s="196"/>
      <c r="HJ35" s="196"/>
      <c r="HK35" s="196"/>
      <c r="HL35" s="196"/>
      <c r="HM35" s="196"/>
      <c r="HN35" s="196"/>
      <c r="HO35" s="196"/>
      <c r="HP35" s="196"/>
      <c r="HQ35" s="196"/>
      <c r="HR35" s="196"/>
      <c r="HS35" s="196"/>
      <c r="HT35" s="196"/>
      <c r="HU35" s="196"/>
      <c r="HV35" s="196"/>
      <c r="HW35" s="196"/>
      <c r="HX35" s="196"/>
      <c r="HY35" s="196"/>
      <c r="HZ35" s="196"/>
      <c r="IA35" s="196"/>
      <c r="IB35" s="196"/>
      <c r="IC35" s="196"/>
      <c r="ID35" s="196"/>
      <c r="IE35" s="196"/>
      <c r="IF35" s="196"/>
      <c r="IG35" s="196"/>
      <c r="IH35" s="196"/>
      <c r="II35" s="196"/>
      <c r="IJ35" s="196"/>
      <c r="IK35" s="196"/>
      <c r="IL35" s="196"/>
      <c r="IM35" s="196"/>
      <c r="IN35" s="196"/>
      <c r="IO35" s="196"/>
      <c r="IP35" s="196"/>
      <c r="IQ35" s="196"/>
      <c r="IR35" s="196"/>
      <c r="IS35" s="196"/>
      <c r="IT35" s="196"/>
      <c r="IU35" s="196"/>
      <c r="IV35" s="196"/>
      <c r="IW35" s="196"/>
      <c r="IX35" s="196"/>
      <c r="IY35" s="196"/>
      <c r="IZ35" s="196"/>
      <c r="JA35" s="196"/>
      <c r="JB35" s="196"/>
      <c r="JC35" s="196"/>
      <c r="JD35" s="196"/>
      <c r="JE35" s="196"/>
      <c r="JF35" s="196"/>
      <c r="JG35" s="196"/>
      <c r="JH35" s="196"/>
      <c r="JI35" s="196"/>
      <c r="JJ35" s="196"/>
      <c r="JK35" s="196"/>
      <c r="JL35" s="196"/>
      <c r="JM35" s="196"/>
      <c r="JN35" s="196"/>
      <c r="JO35" s="196"/>
      <c r="JP35" s="196"/>
      <c r="JQ35" s="196"/>
      <c r="JR35" s="196"/>
      <c r="JS35" s="196"/>
      <c r="JT35" s="196"/>
      <c r="JU35" s="196"/>
      <c r="JV35" s="196"/>
      <c r="JW35" s="196"/>
      <c r="JX35" s="196"/>
      <c r="JY35" s="196"/>
      <c r="JZ35" s="196"/>
      <c r="KA35" s="196"/>
      <c r="KB35" s="196"/>
      <c r="KC35" s="196"/>
      <c r="KD35" s="196"/>
      <c r="KE35" s="196"/>
      <c r="KF35" s="196"/>
      <c r="KG35" s="196"/>
      <c r="KH35" s="196"/>
      <c r="KI35" s="196"/>
      <c r="KJ35" s="196"/>
      <c r="KK35" s="196"/>
      <c r="KL35" s="196"/>
      <c r="KM35" s="196"/>
      <c r="KN35" s="196"/>
      <c r="KO35" s="196"/>
      <c r="KP35" s="196"/>
      <c r="KQ35" s="196"/>
      <c r="KR35" s="196"/>
      <c r="KS35" s="196"/>
      <c r="KT35" s="196"/>
      <c r="KU35" s="196"/>
      <c r="KV35" s="196"/>
      <c r="KW35" s="196"/>
      <c r="KX35" s="196"/>
      <c r="KY35" s="196"/>
      <c r="KZ35" s="196"/>
      <c r="LA35" s="196"/>
      <c r="LB35" s="196"/>
      <c r="LC35" s="196"/>
      <c r="LD35" s="196"/>
      <c r="LE35" s="196"/>
      <c r="LF35" s="196"/>
      <c r="LG35" s="196"/>
      <c r="LH35" s="196"/>
      <c r="LI35" s="196"/>
      <c r="LJ35" s="196"/>
      <c r="LK35" s="196"/>
      <c r="LL35" s="196"/>
      <c r="LM35" s="196"/>
      <c r="LN35" s="196"/>
      <c r="LO35" s="196"/>
      <c r="LP35" s="196"/>
      <c r="LQ35" s="196"/>
      <c r="LR35" s="196"/>
      <c r="LS35" s="196"/>
      <c r="LT35" s="196"/>
      <c r="LU35" s="196"/>
      <c r="LV35" s="196"/>
      <c r="LW35" s="196"/>
      <c r="LX35" s="196"/>
      <c r="LY35" s="196"/>
      <c r="LZ35" s="196"/>
      <c r="MA35" s="196"/>
      <c r="MB35" s="196"/>
      <c r="MC35" s="196"/>
      <c r="MD35" s="196"/>
      <c r="ME35" s="196"/>
      <c r="MF35" s="196"/>
      <c r="MG35" s="196"/>
    </row>
    <row r="36" spans="1:391">
      <c r="A36" s="347"/>
    </row>
    <row r="37" spans="1:391" ht="16" hidden="1" thickBot="1"/>
    <row r="38" spans="1:391" s="306" customFormat="1" ht="47" hidden="1" thickBot="1">
      <c r="A38" s="348" t="s">
        <v>214</v>
      </c>
      <c r="B38" s="240" t="str">
        <f>CONCATENATE("Costs Yr1"," ", "(",'Proposition Summary'!$B$76,")")</f>
        <v>Costs Yr1 (GBP (£))</v>
      </c>
      <c r="C38" s="336" t="str">
        <f>CONCATENATE("Costs Yr2"," ", "(",'Proposition Summary'!$B$76,")")</f>
        <v>Costs Yr2 (GBP (£))</v>
      </c>
      <c r="D38" s="337" t="str">
        <f>CONCATENATE("Costs Yr3"," ", "(",'Proposition Summary'!$B$76,")")</f>
        <v>Costs Yr3 (GBP (£))</v>
      </c>
      <c r="E38" s="337" t="str">
        <f>CONCATENATE("Costs Yr4"," ", "(",'Proposition Summary'!$B$76,")")</f>
        <v>Costs Yr4 (GBP (£))</v>
      </c>
      <c r="F38" s="337" t="str">
        <f>CONCATENATE("Costs Yr5"," ", "(",'Proposition Summary'!$B$76,")")</f>
        <v>Costs Yr5 (GBP (£))</v>
      </c>
      <c r="G38" s="337" t="str">
        <f>CONCATENATE("Costs Yr6"," ", "(",'Proposition Summary'!$B$76,")")</f>
        <v>Costs Yr6 (GBP (£))</v>
      </c>
      <c r="H38" s="337" t="str">
        <f>CONCATENATE("Costs Yr7"," ", "(",'Proposition Summary'!$B$76,")")</f>
        <v>Costs Yr7 (GBP (£))</v>
      </c>
      <c r="I38" s="337" t="str">
        <f>CONCATENATE("Costs Yr8"," ", "(",'Proposition Summary'!$B$76,")")</f>
        <v>Costs Yr8 (GBP (£))</v>
      </c>
      <c r="J38" s="337" t="str">
        <f>CONCATENATE("Costs Yr9"," ", "(",'Proposition Summary'!$B$76,")")</f>
        <v>Costs Yr9 (GBP (£))</v>
      </c>
      <c r="K38" s="337" t="str">
        <f>CONCATENATE("Costs Yr10"," ", "(",'Proposition Summary'!$B$76,")")</f>
        <v>Costs Yr10 (GBP (£))</v>
      </c>
      <c r="L38" s="337" t="str">
        <f>CONCATENATE("Costs Yr11"," ", "(",'Proposition Summary'!$B$76,")")</f>
        <v>Costs Yr11 (GBP (£))</v>
      </c>
      <c r="M38" s="337" t="str">
        <f>CONCATENATE("Costs Yr12"," ", "(",'Proposition Summary'!$B$76,")")</f>
        <v>Costs Yr12 (GBP (£))</v>
      </c>
      <c r="N38" s="337" t="str">
        <f>CONCATENATE("Costs Yr13"," ", "(",'Proposition Summary'!$B$76,")")</f>
        <v>Costs Yr13 (GBP (£))</v>
      </c>
      <c r="O38" s="337" t="str">
        <f>CONCATENATE("Costs Yr14"," ", "(",'Proposition Summary'!$B$76,")")</f>
        <v>Costs Yr14 (GBP (£))</v>
      </c>
      <c r="P38" s="337" t="str">
        <f>CONCATENATE("Costs Yr15"," ", "(",'Proposition Summary'!$B$76,")")</f>
        <v>Costs Yr15 (GBP (£))</v>
      </c>
      <c r="Q38" s="337" t="str">
        <f>CONCATENATE("Costs Yr16"," ", "(",'Proposition Summary'!$B$76,")")</f>
        <v>Costs Yr16 (GBP (£))</v>
      </c>
      <c r="R38" s="337" t="str">
        <f>CONCATENATE("Costs Yr17"," ", "(",'Proposition Summary'!$B$76,")")</f>
        <v>Costs Yr17 (GBP (£))</v>
      </c>
      <c r="S38" s="337" t="str">
        <f>CONCATENATE("Costs Yr18"," ", "(",'Proposition Summary'!$B$76,")")</f>
        <v>Costs Yr18 (GBP (£))</v>
      </c>
      <c r="T38" s="337" t="str">
        <f>CONCATENATE("Costs Yr19"," ", "(",'Proposition Summary'!$B$76,")")</f>
        <v>Costs Yr19 (GBP (£))</v>
      </c>
      <c r="U38" s="337" t="str">
        <f>CONCATENATE("Costs Yr20"," ", "(",'Proposition Summary'!$B$76,")")</f>
        <v>Costs Yr20 (GBP (£))</v>
      </c>
      <c r="V38" s="337" t="str">
        <f>CONCATENATE("Costs Yr21"," ", "(",'Proposition Summary'!$B$76,")")</f>
        <v>Costs Yr21 (GBP (£))</v>
      </c>
      <c r="W38" s="337" t="str">
        <f>CONCATENATE("Costs Yr22"," ", "(",'Proposition Summary'!$B$76,")")</f>
        <v>Costs Yr22 (GBP (£))</v>
      </c>
      <c r="X38" s="337" t="str">
        <f>CONCATENATE("Costs Yr23"," ", "(",'Proposition Summary'!$B$76,")")</f>
        <v>Costs Yr23 (GBP (£))</v>
      </c>
      <c r="Y38" s="337" t="str">
        <f>CONCATENATE("Costs Yr24"," ", "(",'Proposition Summary'!$B$76,")")</f>
        <v>Costs Yr24 (GBP (£))</v>
      </c>
      <c r="Z38" s="337" t="str">
        <f>CONCATENATE("Costs Yr25"," ", "(",'Proposition Summary'!$B$76,")")</f>
        <v>Costs Yr25 (GBP (£))</v>
      </c>
      <c r="AA38" s="349" t="str">
        <f>CONCATENATE("Total"," ", "(",'Proposition Summary'!$B$76,")")</f>
        <v>Total (GBP (£))</v>
      </c>
      <c r="AB38" s="327" t="str">
        <f>CONCATENATE("Annual Costs"," ", "(",'Proposition Summary'!$B$76,")")</f>
        <v>Annual Costs (GBP (£))</v>
      </c>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c r="BR38" s="196"/>
      <c r="BS38" s="196"/>
      <c r="BT38" s="196"/>
      <c r="BU38" s="196"/>
      <c r="BV38" s="196"/>
      <c r="BW38" s="196"/>
      <c r="BX38" s="196"/>
      <c r="BY38" s="196"/>
      <c r="BZ38" s="196"/>
      <c r="CA38" s="196"/>
      <c r="CB38" s="196"/>
      <c r="CC38" s="196"/>
      <c r="CD38" s="196"/>
      <c r="CE38" s="196"/>
      <c r="CF38" s="196"/>
      <c r="CG38" s="196"/>
      <c r="CH38" s="196"/>
      <c r="CI38" s="196"/>
      <c r="CJ38" s="196"/>
      <c r="CK38" s="196"/>
      <c r="CL38" s="196"/>
      <c r="CM38" s="196"/>
      <c r="CN38" s="196"/>
      <c r="CO38" s="196"/>
      <c r="CP38" s="196"/>
      <c r="CQ38" s="196"/>
      <c r="CR38" s="196"/>
      <c r="CS38" s="196"/>
      <c r="CT38" s="196"/>
      <c r="CU38" s="196"/>
      <c r="CV38" s="196"/>
      <c r="CW38" s="196"/>
      <c r="CX38" s="196"/>
      <c r="CY38" s="196"/>
      <c r="CZ38" s="196"/>
      <c r="DA38" s="196"/>
      <c r="DB38" s="196"/>
      <c r="DC38" s="196"/>
      <c r="DD38" s="196"/>
      <c r="DE38" s="196"/>
      <c r="DF38" s="196"/>
      <c r="DG38" s="196"/>
      <c r="DH38" s="196"/>
      <c r="DI38" s="196"/>
      <c r="DJ38" s="196"/>
      <c r="DK38" s="196"/>
      <c r="DL38" s="196"/>
      <c r="DM38" s="196"/>
      <c r="DN38" s="196"/>
      <c r="DO38" s="196"/>
      <c r="DP38" s="196"/>
      <c r="DQ38" s="196"/>
      <c r="DR38" s="196"/>
      <c r="DS38" s="196"/>
      <c r="DT38" s="196"/>
      <c r="DU38" s="196"/>
      <c r="DV38" s="196"/>
      <c r="DW38" s="196"/>
      <c r="DX38" s="196"/>
      <c r="DY38" s="196"/>
      <c r="DZ38" s="196"/>
      <c r="EA38" s="196"/>
      <c r="EB38" s="196"/>
      <c r="EC38" s="196"/>
      <c r="ED38" s="196"/>
      <c r="EE38" s="196"/>
      <c r="EF38" s="196"/>
      <c r="EG38" s="196"/>
      <c r="EH38" s="196"/>
      <c r="EI38" s="196"/>
      <c r="EJ38" s="196"/>
      <c r="EK38" s="196"/>
      <c r="EL38" s="196"/>
      <c r="EM38" s="196"/>
      <c r="EN38" s="196"/>
      <c r="EO38" s="196"/>
      <c r="EP38" s="196"/>
      <c r="EQ38" s="196"/>
      <c r="ER38" s="196"/>
      <c r="ES38" s="196"/>
      <c r="ET38" s="196"/>
      <c r="EU38" s="196"/>
      <c r="EV38" s="196"/>
      <c r="EW38" s="196"/>
      <c r="EX38" s="196"/>
      <c r="EY38" s="196"/>
      <c r="EZ38" s="196"/>
      <c r="FA38" s="196"/>
      <c r="FB38" s="196"/>
      <c r="FC38" s="196"/>
      <c r="FD38" s="196"/>
      <c r="FE38" s="196"/>
      <c r="FF38" s="196"/>
      <c r="FG38" s="196"/>
      <c r="FH38" s="196"/>
      <c r="FI38" s="196"/>
      <c r="FJ38" s="196"/>
      <c r="FK38" s="196"/>
      <c r="FL38" s="196"/>
      <c r="FM38" s="196"/>
      <c r="FN38" s="196"/>
      <c r="FO38" s="196"/>
      <c r="FP38" s="196"/>
      <c r="FQ38" s="196"/>
      <c r="FR38" s="196"/>
      <c r="FS38" s="196"/>
      <c r="FT38" s="196"/>
      <c r="FU38" s="196"/>
      <c r="FV38" s="196"/>
      <c r="FW38" s="196"/>
      <c r="FX38" s="196"/>
      <c r="FY38" s="196"/>
      <c r="FZ38" s="196"/>
      <c r="GA38" s="196"/>
      <c r="GB38" s="196"/>
      <c r="GC38" s="196"/>
      <c r="GD38" s="196"/>
      <c r="GE38" s="196"/>
      <c r="GF38" s="196"/>
      <c r="GG38" s="196"/>
      <c r="GH38" s="196"/>
      <c r="GI38" s="196"/>
      <c r="GJ38" s="196"/>
      <c r="GK38" s="196"/>
      <c r="GL38" s="196"/>
      <c r="GM38" s="196"/>
      <c r="GN38" s="196"/>
      <c r="GO38" s="196"/>
      <c r="GP38" s="196"/>
      <c r="GQ38" s="196"/>
      <c r="GR38" s="196"/>
      <c r="GS38" s="196"/>
      <c r="GT38" s="196"/>
      <c r="GU38" s="196"/>
      <c r="GV38" s="196"/>
      <c r="GW38" s="196"/>
      <c r="GX38" s="196"/>
      <c r="GY38" s="196"/>
      <c r="GZ38" s="196"/>
      <c r="HA38" s="196"/>
      <c r="HB38" s="196"/>
      <c r="HC38" s="196"/>
      <c r="HD38" s="196"/>
      <c r="HE38" s="196"/>
      <c r="HF38" s="196"/>
      <c r="HG38" s="196"/>
      <c r="HH38" s="196"/>
      <c r="HI38" s="196"/>
      <c r="HJ38" s="196"/>
      <c r="HK38" s="196"/>
      <c r="HL38" s="196"/>
      <c r="HM38" s="196"/>
      <c r="HN38" s="196"/>
      <c r="HO38" s="196"/>
      <c r="HP38" s="196"/>
      <c r="HQ38" s="196"/>
      <c r="HR38" s="196"/>
      <c r="HS38" s="196"/>
      <c r="HT38" s="196"/>
      <c r="HU38" s="196"/>
      <c r="HV38" s="196"/>
      <c r="HW38" s="196"/>
      <c r="HX38" s="196"/>
      <c r="HY38" s="196"/>
      <c r="HZ38" s="196"/>
      <c r="IA38" s="196"/>
      <c r="IB38" s="196"/>
      <c r="IC38" s="196"/>
      <c r="ID38" s="196"/>
      <c r="IE38" s="196"/>
      <c r="IF38" s="196"/>
      <c r="IG38" s="196"/>
      <c r="IH38" s="196"/>
      <c r="II38" s="196"/>
      <c r="IJ38" s="196"/>
      <c r="IK38" s="196"/>
      <c r="IL38" s="196"/>
      <c r="IM38" s="196"/>
      <c r="IN38" s="196"/>
      <c r="IO38" s="196"/>
      <c r="IP38" s="196"/>
      <c r="IQ38" s="196"/>
      <c r="IR38" s="196"/>
      <c r="IS38" s="196"/>
      <c r="IT38" s="196"/>
      <c r="IU38" s="196"/>
      <c r="IV38" s="196"/>
      <c r="IW38" s="196"/>
      <c r="IX38" s="196"/>
      <c r="IY38" s="196"/>
      <c r="IZ38" s="196"/>
      <c r="JA38" s="196"/>
      <c r="JB38" s="196"/>
      <c r="JC38" s="196"/>
      <c r="JD38" s="196"/>
      <c r="JE38" s="196"/>
      <c r="JF38" s="196"/>
      <c r="JG38" s="196"/>
      <c r="JH38" s="196"/>
      <c r="JI38" s="196"/>
      <c r="JJ38" s="196"/>
      <c r="JK38" s="196"/>
      <c r="JL38" s="196"/>
      <c r="JM38" s="196"/>
      <c r="JN38" s="196"/>
      <c r="JO38" s="196"/>
      <c r="JP38" s="196"/>
      <c r="JQ38" s="196"/>
      <c r="JR38" s="196"/>
      <c r="JS38" s="196"/>
      <c r="JT38" s="196"/>
      <c r="JU38" s="196"/>
      <c r="JV38" s="196"/>
      <c r="JW38" s="196"/>
      <c r="JX38" s="196"/>
      <c r="JY38" s="196"/>
      <c r="JZ38" s="196"/>
      <c r="KA38" s="196"/>
      <c r="KB38" s="196"/>
      <c r="KC38" s="196"/>
      <c r="KD38" s="196"/>
      <c r="KE38" s="196"/>
      <c r="KF38" s="196"/>
      <c r="KG38" s="196"/>
      <c r="KH38" s="196"/>
      <c r="KI38" s="196"/>
      <c r="KJ38" s="196"/>
      <c r="KK38" s="196"/>
      <c r="KL38" s="196"/>
      <c r="KM38" s="196"/>
      <c r="KN38" s="196"/>
      <c r="KO38" s="196"/>
      <c r="KP38" s="196"/>
      <c r="KQ38" s="196"/>
      <c r="KR38" s="196"/>
      <c r="KS38" s="196"/>
      <c r="KT38" s="196"/>
      <c r="KU38" s="196"/>
      <c r="KV38" s="196"/>
      <c r="KW38" s="196"/>
      <c r="KX38" s="196"/>
      <c r="KY38" s="196"/>
      <c r="KZ38" s="196"/>
      <c r="LA38" s="196"/>
      <c r="LB38" s="196"/>
      <c r="LC38" s="196"/>
      <c r="LD38" s="196"/>
      <c r="LE38" s="196"/>
      <c r="LF38" s="196"/>
      <c r="LG38" s="196"/>
      <c r="LH38" s="196"/>
      <c r="LI38" s="196"/>
      <c r="LJ38" s="196"/>
      <c r="LK38" s="196"/>
      <c r="LL38" s="196"/>
      <c r="LM38" s="196"/>
      <c r="LN38" s="196"/>
      <c r="LO38" s="196"/>
      <c r="LP38" s="196"/>
      <c r="LQ38" s="196"/>
      <c r="LR38" s="196"/>
      <c r="LS38" s="196"/>
      <c r="LT38" s="196"/>
      <c r="LU38" s="196"/>
      <c r="LV38" s="196"/>
      <c r="LW38" s="196"/>
      <c r="LX38" s="196"/>
      <c r="LY38" s="196"/>
      <c r="LZ38" s="196"/>
      <c r="MA38" s="196"/>
      <c r="MB38" s="196"/>
      <c r="MC38" s="196"/>
      <c r="MD38" s="196"/>
      <c r="ME38" s="196"/>
      <c r="MF38" s="196"/>
      <c r="MG38" s="196"/>
      <c r="MH38" s="196"/>
      <c r="MI38" s="196"/>
      <c r="MJ38" s="196"/>
      <c r="MK38" s="196"/>
      <c r="ML38" s="196"/>
      <c r="MM38" s="196"/>
      <c r="MN38" s="196"/>
      <c r="MO38" s="196"/>
      <c r="MP38" s="196"/>
      <c r="MQ38" s="196"/>
      <c r="MR38" s="196"/>
      <c r="MS38" s="196"/>
      <c r="MT38" s="196"/>
      <c r="MU38" s="196"/>
      <c r="MV38" s="196"/>
      <c r="MW38" s="196"/>
      <c r="MX38" s="196"/>
      <c r="MY38" s="196"/>
      <c r="MZ38" s="196"/>
      <c r="NA38" s="196"/>
      <c r="NB38" s="196"/>
      <c r="NC38" s="196"/>
      <c r="ND38" s="196"/>
      <c r="NE38" s="196"/>
      <c r="NF38" s="196"/>
      <c r="NG38" s="196"/>
      <c r="NH38" s="196"/>
      <c r="NI38" s="196"/>
      <c r="NJ38" s="196"/>
      <c r="NK38" s="196"/>
      <c r="NL38" s="196"/>
      <c r="NM38" s="196"/>
      <c r="NN38" s="196"/>
      <c r="NO38" s="196"/>
      <c r="NP38" s="196"/>
      <c r="NQ38" s="196"/>
      <c r="NR38" s="196"/>
      <c r="NS38" s="196"/>
      <c r="NT38" s="196"/>
      <c r="NU38" s="196"/>
      <c r="NV38" s="196"/>
      <c r="NW38" s="196"/>
      <c r="NX38" s="196"/>
      <c r="NY38" s="196"/>
      <c r="NZ38" s="196"/>
      <c r="OA38" s="196"/>
    </row>
    <row r="39" spans="1:391" s="196" customFormat="1" ht="16" hidden="1" thickTop="1">
      <c r="A39" s="297" t="s">
        <v>5</v>
      </c>
      <c r="B39" s="246"/>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B39" s="366"/>
      <c r="AG39" s="267"/>
    </row>
    <row r="40" spans="1:391" hidden="1">
      <c r="A40" s="372" t="s">
        <v>6</v>
      </c>
      <c r="B40" s="367">
        <f>IF(B$3&lt;=time,B7*(1+Economics!$B$4)^(B$3-$B$3)/((1+Economics!$B$3)^(B$3-$B$3)),"")</f>
        <v>0</v>
      </c>
      <c r="C40" s="367">
        <f>IF(C$3&lt;=time,C7*(1+Economics!$B$4)^(C$3-$B$3)/((1+Economics!$B$3)^(C$3-$B$3)),"")</f>
        <v>0</v>
      </c>
      <c r="D40" s="367">
        <f>IF(D$3&lt;=time,D7*(1+Economics!$B$4)^(D$3-$B$3)/((1+Economics!$B$3)^(D$3-$B$3)),"")</f>
        <v>0</v>
      </c>
      <c r="E40" s="367">
        <f>IF(E$3&lt;=time,E7*(1+Economics!$B$4)^(E$3-$B$3)/((1+Economics!$B$3)^(E$3-$B$3)),"")</f>
        <v>0</v>
      </c>
      <c r="F40" s="367">
        <f>IF(F$3&lt;=time,F7*(1+Economics!$B$4)^(F$3-$B$3)/((1+Economics!$B$3)^(F$3-$B$3)),"")</f>
        <v>0</v>
      </c>
      <c r="G40" s="367" t="str">
        <f>IF(G$3&lt;=time,G7*(1+Economics!$B$4)^(G$3-$B$3)/((1+Economics!$B$3)^(G$3-$B$3)),"")</f>
        <v/>
      </c>
      <c r="H40" s="367" t="str">
        <f>IF(H$3&lt;=time,H7*(1+Economics!$B$4)^(H$3-$B$3)/((1+Economics!$B$3)^(H$3-$B$3)),"")</f>
        <v/>
      </c>
      <c r="I40" s="367" t="str">
        <f>IF(I$3&lt;=time,I7*(1+Economics!$B$4)^(I$3-$B$3)/((1+Economics!$B$3)^(I$3-$B$3)),"")</f>
        <v/>
      </c>
      <c r="J40" s="367" t="str">
        <f>IF(J$3&lt;=time,J7*(1+Economics!$B$4)^(J$3-$B$3)/((1+Economics!$B$3)^(J$3-$B$3)),"")</f>
        <v/>
      </c>
      <c r="K40" s="367" t="str">
        <f>IF(K$3&lt;=time,K7*(1+Economics!$B$4)^(K$3-$B$3)/((1+Economics!$B$3)^(K$3-$B$3)),"")</f>
        <v/>
      </c>
      <c r="L40" s="367" t="str">
        <f>IF(L$3&lt;=time,L7*(1+Economics!$B$4)^(L$3-$B$3)/((1+Economics!$B$3)^(L$3-$B$3)),"")</f>
        <v/>
      </c>
      <c r="M40" s="367" t="str">
        <f>IF(M$3&lt;=time,M7*(1+Economics!$B$4)^(M$3-$B$3)/((1+Economics!$B$3)^(M$3-$B$3)),"")</f>
        <v/>
      </c>
      <c r="N40" s="367" t="str">
        <f>IF(N$3&lt;=time,N7*(1+Economics!$B$4)^(N$3-$B$3)/((1+Economics!$B$3)^(N$3-$B$3)),"")</f>
        <v/>
      </c>
      <c r="O40" s="367" t="str">
        <f>IF(O$3&lt;=time,O7*(1+Economics!$B$4)^(O$3-$B$3)/((1+Economics!$B$3)^(O$3-$B$3)),"")</f>
        <v/>
      </c>
      <c r="P40" s="367" t="str">
        <f>IF(P$3&lt;=time,P7*(1+Economics!$B$4)^(P$3-$B$3)/((1+Economics!$B$3)^(P$3-$B$3)),"")</f>
        <v/>
      </c>
      <c r="Q40" s="367" t="str">
        <f>IF(Q$3&lt;=time,Q7*(1+Economics!$B$4)^(Q$3-$B$3)/((1+Economics!$B$3)^(Q$3-$B$3)),"")</f>
        <v/>
      </c>
      <c r="R40" s="367" t="str">
        <f>IF(R$3&lt;=time,R7*(1+Economics!$B$4)^(R$3-$B$3)/((1+Economics!$B$3)^(R$3-$B$3)),"")</f>
        <v/>
      </c>
      <c r="S40" s="367" t="str">
        <f>IF(S$3&lt;=time,S7*(1+Economics!$B$4)^(S$3-$B$3)/((1+Economics!$B$3)^(S$3-$B$3)),"")</f>
        <v/>
      </c>
      <c r="T40" s="367" t="str">
        <f>IF(T$3&lt;=time,T7*(1+Economics!$B$4)^(T$3-$B$3)/((1+Economics!$B$3)^(T$3-$B$3)),"")</f>
        <v/>
      </c>
      <c r="U40" s="367" t="str">
        <f>IF(U$3&lt;=time,U7*(1+Economics!$B$4)^(U$3-$B$3)/((1+Economics!$B$3)^(U$3-$B$3)),"")</f>
        <v/>
      </c>
      <c r="V40" s="367" t="str">
        <f>IF(V$3&lt;=time,V7*(1+Economics!$B$4)^(V$3-$B$3)/((1+Economics!$B$3)^(V$3-$B$3)),"")</f>
        <v/>
      </c>
      <c r="W40" s="367" t="str">
        <f>IF(W$3&lt;=time,W7*(1+Economics!$B$4)^(W$3-$B$3)/((1+Economics!$B$3)^(W$3-$B$3)),"")</f>
        <v/>
      </c>
      <c r="X40" s="367" t="str">
        <f>IF(X$3&lt;=time,X7*(1+Economics!$B$4)^(X$3-$B$3)/((1+Economics!$B$3)^(X$3-$B$3)),"")</f>
        <v/>
      </c>
      <c r="Y40" s="367" t="str">
        <f>IF(Y$3&lt;=time,Y7*(1+Economics!$B$4)^(Y$3-$B$3)/((1+Economics!$B$3)^(Y$3-$B$3)),"")</f>
        <v/>
      </c>
      <c r="Z40" s="367" t="str">
        <f>IF(Z$3&lt;=time,Z7*(1+Economics!$B$4)^(Z$3-$B$3)/((1+Economics!$B$3)^(Z$3-$B$3)),"")</f>
        <v/>
      </c>
      <c r="AA40" s="367">
        <f>SUM(B40:Z40)</f>
        <v>0</v>
      </c>
      <c r="AB40" s="368">
        <f>AA40/time</f>
        <v>0</v>
      </c>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196"/>
      <c r="CB40" s="196"/>
      <c r="CC40" s="196"/>
      <c r="CD40" s="196"/>
      <c r="CE40" s="196"/>
      <c r="CF40" s="196"/>
      <c r="CG40" s="196"/>
      <c r="CH40" s="196"/>
      <c r="CI40" s="196"/>
      <c r="CJ40" s="196"/>
      <c r="CK40" s="196"/>
      <c r="CL40" s="196"/>
      <c r="CM40" s="196"/>
      <c r="CN40" s="196"/>
      <c r="CO40" s="196"/>
      <c r="CP40" s="196"/>
      <c r="CQ40" s="196"/>
      <c r="CR40" s="196"/>
      <c r="CS40" s="196"/>
      <c r="CT40" s="196"/>
      <c r="CU40" s="196"/>
      <c r="CV40" s="196"/>
      <c r="CW40" s="196"/>
      <c r="CX40" s="196"/>
      <c r="CY40" s="196"/>
      <c r="CZ40" s="196"/>
      <c r="DA40" s="196"/>
      <c r="DB40" s="196"/>
      <c r="DC40" s="196"/>
      <c r="DD40" s="196"/>
      <c r="DE40" s="196"/>
      <c r="DF40" s="196"/>
      <c r="DG40" s="196"/>
      <c r="DH40" s="196"/>
      <c r="DI40" s="196"/>
      <c r="DJ40" s="196"/>
      <c r="DK40" s="196"/>
      <c r="DL40" s="196"/>
      <c r="DM40" s="196"/>
      <c r="DN40" s="196"/>
      <c r="DO40" s="196"/>
      <c r="DP40" s="196"/>
      <c r="DQ40" s="196"/>
      <c r="DR40" s="196"/>
      <c r="DS40" s="196"/>
      <c r="DT40" s="196"/>
      <c r="DU40" s="196"/>
      <c r="DV40" s="196"/>
      <c r="DW40" s="196"/>
      <c r="DX40" s="196"/>
      <c r="DY40" s="196"/>
      <c r="DZ40" s="196"/>
      <c r="EA40" s="196"/>
      <c r="EB40" s="196"/>
      <c r="EC40" s="196"/>
      <c r="ED40" s="196"/>
      <c r="EE40" s="196"/>
      <c r="EF40" s="196"/>
      <c r="EG40" s="196"/>
      <c r="EH40" s="196"/>
      <c r="EI40" s="196"/>
      <c r="EJ40" s="196"/>
      <c r="EK40" s="196"/>
      <c r="EL40" s="196"/>
      <c r="EM40" s="196"/>
      <c r="EN40" s="196"/>
      <c r="EO40" s="196"/>
      <c r="EP40" s="196"/>
      <c r="EQ40" s="196"/>
      <c r="ER40" s="196"/>
      <c r="ES40" s="196"/>
      <c r="ET40" s="196"/>
      <c r="EU40" s="196"/>
      <c r="EV40" s="196"/>
      <c r="EW40" s="196"/>
      <c r="EX40" s="196"/>
      <c r="EY40" s="196"/>
      <c r="EZ40" s="196"/>
      <c r="FA40" s="196"/>
      <c r="FB40" s="196"/>
      <c r="FC40" s="196"/>
      <c r="FD40" s="196"/>
      <c r="FE40" s="196"/>
      <c r="FF40" s="196"/>
      <c r="FG40" s="196"/>
      <c r="FH40" s="196"/>
      <c r="FI40" s="196"/>
      <c r="FJ40" s="196"/>
      <c r="FK40" s="196"/>
      <c r="FL40" s="196"/>
      <c r="FM40" s="196"/>
      <c r="FN40" s="196"/>
      <c r="FO40" s="196"/>
      <c r="FP40" s="196"/>
      <c r="FQ40" s="196"/>
      <c r="FR40" s="196"/>
      <c r="FS40" s="196"/>
      <c r="FT40" s="196"/>
      <c r="FU40" s="196"/>
      <c r="FV40" s="196"/>
      <c r="FW40" s="196"/>
      <c r="FX40" s="196"/>
      <c r="FY40" s="196"/>
      <c r="FZ40" s="196"/>
      <c r="GA40" s="196"/>
      <c r="GB40" s="196"/>
      <c r="GC40" s="196"/>
      <c r="GD40" s="196"/>
      <c r="GE40" s="196"/>
      <c r="GF40" s="196"/>
      <c r="GG40" s="196"/>
      <c r="GH40" s="196"/>
      <c r="GI40" s="196"/>
      <c r="GJ40" s="196"/>
      <c r="GK40" s="196"/>
      <c r="GL40" s="196"/>
      <c r="GM40" s="196"/>
      <c r="GN40" s="196"/>
      <c r="GO40" s="196"/>
      <c r="GP40" s="196"/>
      <c r="GQ40" s="196"/>
      <c r="GR40" s="196"/>
      <c r="GS40" s="196"/>
      <c r="GT40" s="196"/>
      <c r="GU40" s="196"/>
      <c r="GV40" s="196"/>
      <c r="GW40" s="196"/>
      <c r="GX40" s="196"/>
      <c r="GY40" s="196"/>
      <c r="GZ40" s="196"/>
      <c r="HA40" s="196"/>
      <c r="HB40" s="196"/>
      <c r="HC40" s="196"/>
      <c r="HD40" s="196"/>
      <c r="HE40" s="196"/>
      <c r="HF40" s="196"/>
      <c r="HG40" s="196"/>
      <c r="HH40" s="196"/>
      <c r="HI40" s="196"/>
      <c r="HJ40" s="196"/>
      <c r="HK40" s="196"/>
      <c r="HL40" s="196"/>
      <c r="HM40" s="196"/>
      <c r="HN40" s="196"/>
      <c r="HO40" s="196"/>
      <c r="HP40" s="196"/>
      <c r="HQ40" s="196"/>
      <c r="HR40" s="196"/>
      <c r="HS40" s="196"/>
      <c r="HT40" s="196"/>
      <c r="HU40" s="196"/>
      <c r="HV40" s="196"/>
      <c r="HW40" s="196"/>
      <c r="HX40" s="196"/>
      <c r="HY40" s="196"/>
      <c r="HZ40" s="196"/>
      <c r="IA40" s="196"/>
      <c r="IB40" s="196"/>
      <c r="IC40" s="196"/>
      <c r="ID40" s="196"/>
      <c r="IE40" s="196"/>
      <c r="IF40" s="196"/>
      <c r="IG40" s="196"/>
      <c r="IH40" s="196"/>
      <c r="II40" s="196"/>
      <c r="IJ40" s="196"/>
      <c r="IK40" s="196"/>
      <c r="IL40" s="196"/>
      <c r="IM40" s="196"/>
      <c r="IN40" s="196"/>
      <c r="IO40" s="196"/>
      <c r="IP40" s="196"/>
      <c r="IQ40" s="196"/>
      <c r="IR40" s="196"/>
      <c r="IS40" s="196"/>
      <c r="IT40" s="196"/>
      <c r="IU40" s="196"/>
      <c r="IV40" s="196"/>
      <c r="IW40" s="196"/>
      <c r="IX40" s="196"/>
      <c r="IY40" s="196"/>
      <c r="IZ40" s="196"/>
      <c r="JA40" s="196"/>
      <c r="JB40" s="196"/>
      <c r="JC40" s="196"/>
      <c r="JD40" s="196"/>
      <c r="JE40" s="196"/>
      <c r="JF40" s="196"/>
      <c r="JG40" s="196"/>
      <c r="JH40" s="196"/>
      <c r="JI40" s="196"/>
      <c r="JJ40" s="196"/>
      <c r="JK40" s="196"/>
      <c r="JL40" s="196"/>
      <c r="JM40" s="196"/>
      <c r="JN40" s="196"/>
      <c r="JO40" s="196"/>
      <c r="JP40" s="196"/>
      <c r="JQ40" s="196"/>
      <c r="JR40" s="196"/>
      <c r="JS40" s="196"/>
      <c r="JT40" s="196"/>
      <c r="JU40" s="196"/>
      <c r="JV40" s="196"/>
      <c r="JW40" s="196"/>
      <c r="JX40" s="196"/>
      <c r="JY40" s="196"/>
      <c r="JZ40" s="196"/>
      <c r="KA40" s="196"/>
      <c r="KB40" s="196"/>
      <c r="KC40" s="196"/>
      <c r="KD40" s="196"/>
      <c r="KE40" s="196"/>
      <c r="KF40" s="196"/>
      <c r="KG40" s="196"/>
      <c r="KH40" s="196"/>
      <c r="KI40" s="196"/>
      <c r="KJ40" s="196"/>
      <c r="KK40" s="196"/>
      <c r="KL40" s="196"/>
      <c r="KM40" s="196"/>
      <c r="KN40" s="196"/>
      <c r="KO40" s="196"/>
      <c r="KP40" s="196"/>
      <c r="KQ40" s="196"/>
      <c r="KR40" s="196"/>
      <c r="KS40" s="196"/>
      <c r="KT40" s="196"/>
      <c r="KU40" s="196"/>
      <c r="KV40" s="196"/>
      <c r="KW40" s="196"/>
      <c r="KX40" s="196"/>
      <c r="KY40" s="196"/>
      <c r="KZ40" s="196"/>
      <c r="LA40" s="196"/>
      <c r="LB40" s="196"/>
      <c r="LC40" s="196"/>
      <c r="LD40" s="196"/>
      <c r="LE40" s="196"/>
      <c r="LF40" s="196"/>
      <c r="LG40" s="196"/>
      <c r="LH40" s="196"/>
      <c r="LI40" s="196"/>
      <c r="LJ40" s="196"/>
      <c r="LK40" s="196"/>
      <c r="LL40" s="196"/>
      <c r="LM40" s="196"/>
      <c r="LN40" s="196"/>
      <c r="LO40" s="196"/>
      <c r="LP40" s="196"/>
      <c r="LQ40" s="196"/>
      <c r="LR40" s="196"/>
      <c r="LS40" s="196"/>
      <c r="LT40" s="196"/>
      <c r="LU40" s="196"/>
      <c r="LV40" s="196"/>
      <c r="LW40" s="196"/>
      <c r="LX40" s="196"/>
      <c r="LY40" s="196"/>
      <c r="LZ40" s="196"/>
      <c r="MA40" s="196"/>
      <c r="MB40" s="196"/>
      <c r="MC40" s="196"/>
      <c r="MD40" s="196"/>
      <c r="ME40" s="196"/>
      <c r="MF40" s="196"/>
      <c r="MG40" s="196"/>
      <c r="MH40" s="196"/>
      <c r="MI40" s="196"/>
      <c r="MJ40" s="196"/>
      <c r="MK40" s="196"/>
      <c r="ML40" s="196"/>
      <c r="MM40" s="196"/>
      <c r="MN40" s="196"/>
      <c r="MO40" s="196"/>
      <c r="MP40" s="196"/>
      <c r="MQ40" s="196"/>
      <c r="MR40" s="196"/>
      <c r="MS40" s="196"/>
      <c r="MT40" s="196"/>
      <c r="MU40" s="196"/>
      <c r="MV40" s="196"/>
      <c r="MW40" s="196"/>
      <c r="MX40" s="196"/>
      <c r="MY40" s="196"/>
      <c r="MZ40" s="196"/>
      <c r="NA40" s="196"/>
      <c r="NB40" s="196"/>
      <c r="NC40" s="196"/>
      <c r="ND40" s="196"/>
      <c r="NE40" s="196"/>
      <c r="NF40" s="196"/>
      <c r="NG40" s="196"/>
      <c r="NH40" s="196"/>
      <c r="NI40" s="196"/>
      <c r="NJ40" s="196"/>
      <c r="NK40" s="196"/>
      <c r="NL40" s="196"/>
      <c r="NM40" s="196"/>
      <c r="NN40" s="196"/>
      <c r="NO40" s="196"/>
      <c r="NP40" s="196"/>
      <c r="NQ40" s="196"/>
      <c r="NR40" s="196"/>
      <c r="NS40" s="196"/>
      <c r="NT40" s="196"/>
      <c r="NU40" s="196"/>
      <c r="NV40" s="196"/>
      <c r="NW40" s="196"/>
      <c r="NX40" s="196"/>
      <c r="NY40" s="196"/>
      <c r="NZ40" s="196"/>
      <c r="OA40" s="196"/>
    </row>
    <row r="41" spans="1:391" hidden="1">
      <c r="A41" s="372" t="s">
        <v>7</v>
      </c>
      <c r="B41" s="367">
        <f>IF(B$3&lt;=time,B10*(1+Economics!$B$4)^(B$3-$B$3)/((1+Economics!$B$3)^(B$3-$B$3)),"")</f>
        <v>0</v>
      </c>
      <c r="C41" s="367">
        <f>IF(C$3&lt;=time,C10*(1+Economics!$B$4)^(C$3-$B$3)/((1+Economics!$B$3)^(C$3-$B$3)),"")</f>
        <v>0</v>
      </c>
      <c r="D41" s="367">
        <f>IF(D$3&lt;=time,D10*(1+Economics!$B$4)^(D$3-$B$3)/((1+Economics!$B$3)^(D$3-$B$3)),"")</f>
        <v>0</v>
      </c>
      <c r="E41" s="367">
        <f>IF(E$3&lt;=time,E10*(1+Economics!$B$4)^(E$3-$B$3)/((1+Economics!$B$3)^(E$3-$B$3)),"")</f>
        <v>0</v>
      </c>
      <c r="F41" s="367">
        <f>IF(F$3&lt;=time,F10*(1+Economics!$B$4)^(F$3-$B$3)/((1+Economics!$B$3)^(F$3-$B$3)),"")</f>
        <v>0</v>
      </c>
      <c r="G41" s="367" t="str">
        <f>IF(G$3&lt;=time,G10*(1+Economics!$B$4)^(G$3-$B$3)/((1+Economics!$B$3)^(G$3-$B$3)),"")</f>
        <v/>
      </c>
      <c r="H41" s="367" t="str">
        <f>IF(H$3&lt;=time,H10*(1+Economics!$B$4)^(H$3-$B$3)/((1+Economics!$B$3)^(H$3-$B$3)),"")</f>
        <v/>
      </c>
      <c r="I41" s="367" t="str">
        <f>IF(I$3&lt;=time,I10*(1+Economics!$B$4)^(I$3-$B$3)/((1+Economics!$B$3)^(I$3-$B$3)),"")</f>
        <v/>
      </c>
      <c r="J41" s="367" t="str">
        <f>IF(J$3&lt;=time,J10*(1+Economics!$B$4)^(J$3-$B$3)/((1+Economics!$B$3)^(J$3-$B$3)),"")</f>
        <v/>
      </c>
      <c r="K41" s="367" t="str">
        <f>IF(K$3&lt;=time,K10*(1+Economics!$B$4)^(K$3-$B$3)/((1+Economics!$B$3)^(K$3-$B$3)),"")</f>
        <v/>
      </c>
      <c r="L41" s="367" t="str">
        <f>IF(L$3&lt;=time,L10*(1+Economics!$B$4)^(L$3-$B$3)/((1+Economics!$B$3)^(L$3-$B$3)),"")</f>
        <v/>
      </c>
      <c r="M41" s="367" t="str">
        <f>IF(M$3&lt;=time,M10*(1+Economics!$B$4)^(M$3-$B$3)/((1+Economics!$B$3)^(M$3-$B$3)),"")</f>
        <v/>
      </c>
      <c r="N41" s="367" t="str">
        <f>IF(N$3&lt;=time,N10*(1+Economics!$B$4)^(N$3-$B$3)/((1+Economics!$B$3)^(N$3-$B$3)),"")</f>
        <v/>
      </c>
      <c r="O41" s="367" t="str">
        <f>IF(O$3&lt;=time,O10*(1+Economics!$B$4)^(O$3-$B$3)/((1+Economics!$B$3)^(O$3-$B$3)),"")</f>
        <v/>
      </c>
      <c r="P41" s="367" t="str">
        <f>IF(P$3&lt;=time,P10*(1+Economics!$B$4)^(P$3-$B$3)/((1+Economics!$B$3)^(P$3-$B$3)),"")</f>
        <v/>
      </c>
      <c r="Q41" s="367" t="str">
        <f>IF(Q$3&lt;=time,Q10*(1+Economics!$B$4)^(Q$3-$B$3)/((1+Economics!$B$3)^(Q$3-$B$3)),"")</f>
        <v/>
      </c>
      <c r="R41" s="367" t="str">
        <f>IF(R$3&lt;=time,R10*(1+Economics!$B$4)^(R$3-$B$3)/((1+Economics!$B$3)^(R$3-$B$3)),"")</f>
        <v/>
      </c>
      <c r="S41" s="367" t="str">
        <f>IF(S$3&lt;=time,S10*(1+Economics!$B$4)^(S$3-$B$3)/((1+Economics!$B$3)^(S$3-$B$3)),"")</f>
        <v/>
      </c>
      <c r="T41" s="367" t="str">
        <f>IF(T$3&lt;=time,T10*(1+Economics!$B$4)^(T$3-$B$3)/((1+Economics!$B$3)^(T$3-$B$3)),"")</f>
        <v/>
      </c>
      <c r="U41" s="367" t="str">
        <f>IF(U$3&lt;=time,U10*(1+Economics!$B$4)^(U$3-$B$3)/((1+Economics!$B$3)^(U$3-$B$3)),"")</f>
        <v/>
      </c>
      <c r="V41" s="367" t="str">
        <f>IF(V$3&lt;=time,V10*(1+Economics!$B$4)^(V$3-$B$3)/((1+Economics!$B$3)^(V$3-$B$3)),"")</f>
        <v/>
      </c>
      <c r="W41" s="367" t="str">
        <f>IF(W$3&lt;=time,W10*(1+Economics!$B$4)^(W$3-$B$3)/((1+Economics!$B$3)^(W$3-$B$3)),"")</f>
        <v/>
      </c>
      <c r="X41" s="367" t="str">
        <f>IF(X$3&lt;=time,X10*(1+Economics!$B$4)^(X$3-$B$3)/((1+Economics!$B$3)^(X$3-$B$3)),"")</f>
        <v/>
      </c>
      <c r="Y41" s="367" t="str">
        <f>IF(Y$3&lt;=time,Y10*(1+Economics!$B$4)^(Y$3-$B$3)/((1+Economics!$B$3)^(Y$3-$B$3)),"")</f>
        <v/>
      </c>
      <c r="Z41" s="367" t="str">
        <f>IF(Z$3&lt;=time,Z10*(1+Economics!$B$4)^(Z$3-$B$3)/((1+Economics!$B$3)^(Z$3-$B$3)),"")</f>
        <v/>
      </c>
      <c r="AA41" s="367">
        <f t="shared" ref="AA41:AA57" si="9">SUM(B41:Z41)</f>
        <v>0</v>
      </c>
      <c r="AB41" s="368">
        <f>AA41/time</f>
        <v>0</v>
      </c>
      <c r="AC41" s="196"/>
      <c r="AD41" s="196"/>
      <c r="AE41" s="196"/>
      <c r="AF41" s="196"/>
      <c r="AG41" s="196"/>
      <c r="AH41" s="196"/>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196"/>
      <c r="BN41" s="196"/>
      <c r="BO41" s="196"/>
      <c r="BP41" s="196"/>
      <c r="BQ41" s="196"/>
      <c r="BR41" s="196"/>
      <c r="BS41" s="196"/>
      <c r="BT41" s="196"/>
      <c r="BU41" s="196"/>
      <c r="BV41" s="196"/>
      <c r="BW41" s="196"/>
      <c r="BX41" s="196"/>
      <c r="BY41" s="196"/>
      <c r="BZ41" s="196"/>
      <c r="CA41" s="196"/>
      <c r="CB41" s="196"/>
      <c r="CC41" s="196"/>
      <c r="CD41" s="196"/>
      <c r="CE41" s="196"/>
      <c r="CF41" s="196"/>
      <c r="CG41" s="196"/>
      <c r="CH41" s="196"/>
      <c r="CI41" s="196"/>
      <c r="CJ41" s="196"/>
      <c r="CK41" s="196"/>
      <c r="CL41" s="196"/>
      <c r="CM41" s="196"/>
      <c r="CN41" s="196"/>
      <c r="CO41" s="196"/>
      <c r="CP41" s="196"/>
      <c r="CQ41" s="196"/>
      <c r="CR41" s="196"/>
      <c r="CS41" s="196"/>
      <c r="CT41" s="196"/>
      <c r="CU41" s="196"/>
      <c r="CV41" s="196"/>
      <c r="CW41" s="196"/>
      <c r="CX41" s="196"/>
      <c r="CY41" s="196"/>
      <c r="CZ41" s="196"/>
      <c r="DA41" s="196"/>
      <c r="DB41" s="196"/>
      <c r="DC41" s="196"/>
      <c r="DD41" s="196"/>
      <c r="DE41" s="196"/>
      <c r="DF41" s="196"/>
      <c r="DG41" s="196"/>
      <c r="DH41" s="196"/>
      <c r="DI41" s="196"/>
      <c r="DJ41" s="196"/>
      <c r="DK41" s="196"/>
      <c r="DL41" s="196"/>
      <c r="DM41" s="196"/>
      <c r="DN41" s="196"/>
      <c r="DO41" s="196"/>
      <c r="DP41" s="196"/>
      <c r="DQ41" s="196"/>
      <c r="DR41" s="196"/>
      <c r="DS41" s="196"/>
      <c r="DT41" s="196"/>
      <c r="DU41" s="196"/>
      <c r="DV41" s="196"/>
      <c r="DW41" s="196"/>
      <c r="DX41" s="196"/>
      <c r="DY41" s="196"/>
      <c r="DZ41" s="196"/>
      <c r="EA41" s="196"/>
      <c r="EB41" s="196"/>
      <c r="EC41" s="196"/>
      <c r="ED41" s="196"/>
      <c r="EE41" s="196"/>
      <c r="EF41" s="196"/>
      <c r="EG41" s="196"/>
      <c r="EH41" s="196"/>
      <c r="EI41" s="196"/>
      <c r="EJ41" s="196"/>
      <c r="EK41" s="196"/>
      <c r="EL41" s="196"/>
      <c r="EM41" s="196"/>
      <c r="EN41" s="196"/>
      <c r="EO41" s="196"/>
      <c r="EP41" s="196"/>
      <c r="EQ41" s="196"/>
      <c r="ER41" s="196"/>
      <c r="ES41" s="196"/>
      <c r="ET41" s="196"/>
      <c r="EU41" s="196"/>
      <c r="EV41" s="196"/>
      <c r="EW41" s="196"/>
      <c r="EX41" s="196"/>
      <c r="EY41" s="196"/>
      <c r="EZ41" s="196"/>
      <c r="FA41" s="196"/>
      <c r="FB41" s="196"/>
      <c r="FC41" s="196"/>
      <c r="FD41" s="196"/>
      <c r="FE41" s="196"/>
      <c r="FF41" s="196"/>
      <c r="FG41" s="196"/>
      <c r="FH41" s="196"/>
      <c r="FI41" s="196"/>
      <c r="FJ41" s="196"/>
      <c r="FK41" s="196"/>
      <c r="FL41" s="196"/>
      <c r="FM41" s="196"/>
      <c r="FN41" s="196"/>
      <c r="FO41" s="196"/>
      <c r="FP41" s="196"/>
      <c r="FQ41" s="196"/>
      <c r="FR41" s="196"/>
      <c r="FS41" s="196"/>
      <c r="FT41" s="196"/>
      <c r="FU41" s="196"/>
      <c r="FV41" s="196"/>
      <c r="FW41" s="196"/>
      <c r="FX41" s="196"/>
      <c r="FY41" s="196"/>
      <c r="FZ41" s="196"/>
      <c r="GA41" s="196"/>
      <c r="GB41" s="196"/>
      <c r="GC41" s="196"/>
      <c r="GD41" s="196"/>
      <c r="GE41" s="196"/>
      <c r="GF41" s="196"/>
      <c r="GG41" s="196"/>
      <c r="GH41" s="196"/>
      <c r="GI41" s="196"/>
      <c r="GJ41" s="196"/>
      <c r="GK41" s="196"/>
      <c r="GL41" s="196"/>
      <c r="GM41" s="196"/>
      <c r="GN41" s="196"/>
      <c r="GO41" s="196"/>
      <c r="GP41" s="196"/>
      <c r="GQ41" s="196"/>
      <c r="GR41" s="196"/>
      <c r="GS41" s="196"/>
      <c r="GT41" s="196"/>
      <c r="GU41" s="196"/>
      <c r="GV41" s="196"/>
      <c r="GW41" s="196"/>
      <c r="GX41" s="196"/>
      <c r="GY41" s="196"/>
      <c r="GZ41" s="196"/>
      <c r="HA41" s="196"/>
      <c r="HB41" s="196"/>
      <c r="HC41" s="196"/>
      <c r="HD41" s="196"/>
      <c r="HE41" s="196"/>
      <c r="HF41" s="196"/>
      <c r="HG41" s="196"/>
      <c r="HH41" s="196"/>
      <c r="HI41" s="196"/>
      <c r="HJ41" s="196"/>
      <c r="HK41" s="196"/>
      <c r="HL41" s="196"/>
      <c r="HM41" s="196"/>
      <c r="HN41" s="196"/>
      <c r="HO41" s="196"/>
      <c r="HP41" s="196"/>
      <c r="HQ41" s="196"/>
      <c r="HR41" s="196"/>
      <c r="HS41" s="196"/>
      <c r="HT41" s="196"/>
      <c r="HU41" s="196"/>
      <c r="HV41" s="196"/>
      <c r="HW41" s="196"/>
      <c r="HX41" s="196"/>
      <c r="HY41" s="196"/>
      <c r="HZ41" s="196"/>
      <c r="IA41" s="196"/>
      <c r="IB41" s="196"/>
      <c r="IC41" s="196"/>
      <c r="ID41" s="196"/>
      <c r="IE41" s="196"/>
      <c r="IF41" s="196"/>
      <c r="IG41" s="196"/>
      <c r="IH41" s="196"/>
      <c r="II41" s="196"/>
      <c r="IJ41" s="196"/>
      <c r="IK41" s="196"/>
      <c r="IL41" s="196"/>
      <c r="IM41" s="196"/>
      <c r="IN41" s="196"/>
      <c r="IO41" s="196"/>
      <c r="IP41" s="196"/>
      <c r="IQ41" s="196"/>
      <c r="IR41" s="196"/>
      <c r="IS41" s="196"/>
      <c r="IT41" s="196"/>
      <c r="IU41" s="196"/>
      <c r="IV41" s="196"/>
      <c r="IW41" s="196"/>
      <c r="IX41" s="196"/>
      <c r="IY41" s="196"/>
      <c r="IZ41" s="196"/>
      <c r="JA41" s="196"/>
      <c r="JB41" s="196"/>
      <c r="JC41" s="196"/>
      <c r="JD41" s="196"/>
      <c r="JE41" s="196"/>
      <c r="JF41" s="196"/>
      <c r="JG41" s="196"/>
      <c r="JH41" s="196"/>
      <c r="JI41" s="196"/>
      <c r="JJ41" s="196"/>
      <c r="JK41" s="196"/>
      <c r="JL41" s="196"/>
      <c r="JM41" s="196"/>
      <c r="JN41" s="196"/>
      <c r="JO41" s="196"/>
      <c r="JP41" s="196"/>
      <c r="JQ41" s="196"/>
      <c r="JR41" s="196"/>
      <c r="JS41" s="196"/>
      <c r="JT41" s="196"/>
      <c r="JU41" s="196"/>
      <c r="JV41" s="196"/>
      <c r="JW41" s="196"/>
      <c r="JX41" s="196"/>
      <c r="JY41" s="196"/>
      <c r="JZ41" s="196"/>
      <c r="KA41" s="196"/>
      <c r="KB41" s="196"/>
      <c r="KC41" s="196"/>
      <c r="KD41" s="196"/>
      <c r="KE41" s="196"/>
      <c r="KF41" s="196"/>
      <c r="KG41" s="196"/>
      <c r="KH41" s="196"/>
      <c r="KI41" s="196"/>
      <c r="KJ41" s="196"/>
      <c r="KK41" s="196"/>
      <c r="KL41" s="196"/>
      <c r="KM41" s="196"/>
      <c r="KN41" s="196"/>
      <c r="KO41" s="196"/>
      <c r="KP41" s="196"/>
      <c r="KQ41" s="196"/>
      <c r="KR41" s="196"/>
      <c r="KS41" s="196"/>
      <c r="KT41" s="196"/>
      <c r="KU41" s="196"/>
      <c r="KV41" s="196"/>
      <c r="KW41" s="196"/>
      <c r="KX41" s="196"/>
      <c r="KY41" s="196"/>
      <c r="KZ41" s="196"/>
      <c r="LA41" s="196"/>
      <c r="LB41" s="196"/>
      <c r="LC41" s="196"/>
      <c r="LD41" s="196"/>
      <c r="LE41" s="196"/>
      <c r="LF41" s="196"/>
      <c r="LG41" s="196"/>
      <c r="LH41" s="196"/>
      <c r="LI41" s="196"/>
      <c r="LJ41" s="196"/>
      <c r="LK41" s="196"/>
      <c r="LL41" s="196"/>
      <c r="LM41" s="196"/>
      <c r="LN41" s="196"/>
      <c r="LO41" s="196"/>
      <c r="LP41" s="196"/>
      <c r="LQ41" s="196"/>
      <c r="LR41" s="196"/>
      <c r="LS41" s="196"/>
      <c r="LT41" s="196"/>
      <c r="LU41" s="196"/>
      <c r="LV41" s="196"/>
      <c r="LW41" s="196"/>
      <c r="LX41" s="196"/>
      <c r="LY41" s="196"/>
      <c r="LZ41" s="196"/>
      <c r="MA41" s="196"/>
      <c r="MB41" s="196"/>
      <c r="MC41" s="196"/>
      <c r="MD41" s="196"/>
      <c r="ME41" s="196"/>
      <c r="MF41" s="196"/>
      <c r="MG41" s="196"/>
      <c r="MH41" s="196"/>
      <c r="MI41" s="196"/>
      <c r="MJ41" s="196"/>
      <c r="MK41" s="196"/>
      <c r="ML41" s="196"/>
      <c r="MM41" s="196"/>
      <c r="MN41" s="196"/>
      <c r="MO41" s="196"/>
      <c r="MP41" s="196"/>
      <c r="MQ41" s="196"/>
      <c r="MR41" s="196"/>
      <c r="MS41" s="196"/>
      <c r="MT41" s="196"/>
      <c r="MU41" s="196"/>
      <c r="MV41" s="196"/>
      <c r="MW41" s="196"/>
      <c r="MX41" s="196"/>
      <c r="MY41" s="196"/>
      <c r="MZ41" s="196"/>
      <c r="NA41" s="196"/>
      <c r="NB41" s="196"/>
      <c r="NC41" s="196"/>
      <c r="ND41" s="196"/>
      <c r="NE41" s="196"/>
      <c r="NF41" s="196"/>
      <c r="NG41" s="196"/>
      <c r="NH41" s="196"/>
      <c r="NI41" s="196"/>
      <c r="NJ41" s="196"/>
      <c r="NK41" s="196"/>
      <c r="NL41" s="196"/>
      <c r="NM41" s="196"/>
      <c r="NN41" s="196"/>
      <c r="NO41" s="196"/>
      <c r="NP41" s="196"/>
      <c r="NQ41" s="196"/>
      <c r="NR41" s="196"/>
      <c r="NS41" s="196"/>
      <c r="NT41" s="196"/>
      <c r="NU41" s="196"/>
      <c r="NV41" s="196"/>
      <c r="NW41" s="196"/>
      <c r="NX41" s="196"/>
      <c r="NY41" s="196"/>
      <c r="NZ41" s="196"/>
      <c r="OA41" s="196"/>
    </row>
    <row r="42" spans="1:391" s="306" customFormat="1" hidden="1">
      <c r="A42" s="342" t="s">
        <v>12</v>
      </c>
      <c r="B42" s="369">
        <f>IF(B$3&lt;=time,B12*(1+Economics!$B$4)^(B$3-$B$3)/((1+Economics!$B$3)^(B$3-$B$3)),"")</f>
        <v>0</v>
      </c>
      <c r="C42" s="369">
        <f>IF(C$3&lt;=time,C12*(1+Economics!$B$4)^(C$3-$B$3)/((1+Economics!$B$3)^(C$3-$B$3)),"")</f>
        <v>0</v>
      </c>
      <c r="D42" s="369">
        <f>IF(D$3&lt;=time,D12*(1+Economics!$B$4)^(D$3-$B$3)/((1+Economics!$B$3)^(D$3-$B$3)),"")</f>
        <v>0</v>
      </c>
      <c r="E42" s="369">
        <f>IF(E$3&lt;=time,E12*(1+Economics!$B$4)^(E$3-$B$3)/((1+Economics!$B$3)^(E$3-$B$3)),"")</f>
        <v>0</v>
      </c>
      <c r="F42" s="369">
        <f>IF(F$3&lt;=time,F12*(1+Economics!$B$4)^(F$3-$B$3)/((1+Economics!$B$3)^(F$3-$B$3)),"")</f>
        <v>0</v>
      </c>
      <c r="G42" s="369" t="str">
        <f>IF(G$3&lt;=time,G12*(1+Economics!$B$4)^(G$3-$B$3)/((1+Economics!$B$3)^(G$3-$B$3)),"")</f>
        <v/>
      </c>
      <c r="H42" s="369" t="str">
        <f>IF(H$3&lt;=time,H12*(1+Economics!$B$4)^(H$3-$B$3)/((1+Economics!$B$3)^(H$3-$B$3)),"")</f>
        <v/>
      </c>
      <c r="I42" s="369" t="str">
        <f>IF(I$3&lt;=time,I12*(1+Economics!$B$4)^(I$3-$B$3)/((1+Economics!$B$3)^(I$3-$B$3)),"")</f>
        <v/>
      </c>
      <c r="J42" s="369" t="str">
        <f>IF(J$3&lt;=time,J12*(1+Economics!$B$4)^(J$3-$B$3)/((1+Economics!$B$3)^(J$3-$B$3)),"")</f>
        <v/>
      </c>
      <c r="K42" s="369" t="str">
        <f>IF(K$3&lt;=time,K12*(1+Economics!$B$4)^(K$3-$B$3)/((1+Economics!$B$3)^(K$3-$B$3)),"")</f>
        <v/>
      </c>
      <c r="L42" s="369" t="str">
        <f>IF(L$3&lt;=time,L12*(1+Economics!$B$4)^(L$3-$B$3)/((1+Economics!$B$3)^(L$3-$B$3)),"")</f>
        <v/>
      </c>
      <c r="M42" s="369" t="str">
        <f>IF(M$3&lt;=time,M12*(1+Economics!$B$4)^(M$3-$B$3)/((1+Economics!$B$3)^(M$3-$B$3)),"")</f>
        <v/>
      </c>
      <c r="N42" s="369" t="str">
        <f>IF(N$3&lt;=time,N12*(1+Economics!$B$4)^(N$3-$B$3)/((1+Economics!$B$3)^(N$3-$B$3)),"")</f>
        <v/>
      </c>
      <c r="O42" s="369" t="str">
        <f>IF(O$3&lt;=time,O12*(1+Economics!$B$4)^(O$3-$B$3)/((1+Economics!$B$3)^(O$3-$B$3)),"")</f>
        <v/>
      </c>
      <c r="P42" s="369" t="str">
        <f>IF(P$3&lt;=time,P12*(1+Economics!$B$4)^(P$3-$B$3)/((1+Economics!$B$3)^(P$3-$B$3)),"")</f>
        <v/>
      </c>
      <c r="Q42" s="369" t="str">
        <f>IF(Q$3&lt;=time,Q12*(1+Economics!$B$4)^(Q$3-$B$3)/((1+Economics!$B$3)^(Q$3-$B$3)),"")</f>
        <v/>
      </c>
      <c r="R42" s="369" t="str">
        <f>IF(R$3&lt;=time,R12*(1+Economics!$B$4)^(R$3-$B$3)/((1+Economics!$B$3)^(R$3-$B$3)),"")</f>
        <v/>
      </c>
      <c r="S42" s="369" t="str">
        <f>IF(S$3&lt;=time,S12*(1+Economics!$B$4)^(S$3-$B$3)/((1+Economics!$B$3)^(S$3-$B$3)),"")</f>
        <v/>
      </c>
      <c r="T42" s="369" t="str">
        <f>IF(T$3&lt;=time,T12*(1+Economics!$B$4)^(T$3-$B$3)/((1+Economics!$B$3)^(T$3-$B$3)),"")</f>
        <v/>
      </c>
      <c r="U42" s="369" t="str">
        <f>IF(U$3&lt;=time,U12*(1+Economics!$B$4)^(U$3-$B$3)/((1+Economics!$B$3)^(U$3-$B$3)),"")</f>
        <v/>
      </c>
      <c r="V42" s="369" t="str">
        <f>IF(V$3&lt;=time,V12*(1+Economics!$B$4)^(V$3-$B$3)/((1+Economics!$B$3)^(V$3-$B$3)),"")</f>
        <v/>
      </c>
      <c r="W42" s="369" t="str">
        <f>IF(W$3&lt;=time,W12*(1+Economics!$B$4)^(W$3-$B$3)/((1+Economics!$B$3)^(W$3-$B$3)),"")</f>
        <v/>
      </c>
      <c r="X42" s="369" t="str">
        <f>IF(X$3&lt;=time,X12*(1+Economics!$B$4)^(X$3-$B$3)/((1+Economics!$B$3)^(X$3-$B$3)),"")</f>
        <v/>
      </c>
      <c r="Y42" s="369" t="str">
        <f>IF(Y$3&lt;=time,Y12*(1+Economics!$B$4)^(Y$3-$B$3)/((1+Economics!$B$3)^(Y$3-$B$3)),"")</f>
        <v/>
      </c>
      <c r="Z42" s="369" t="str">
        <f>IF(Z$3&lt;=time,Z12*(1+Economics!$B$4)^(Z$3-$B$3)/((1+Economics!$B$3)^(Z$3-$B$3)),"")</f>
        <v/>
      </c>
      <c r="AA42" s="369">
        <f>SUM(B42:Z42)</f>
        <v>0</v>
      </c>
      <c r="AB42" s="370">
        <f>AA42/time</f>
        <v>0</v>
      </c>
      <c r="AC42" s="196"/>
      <c r="AD42" s="196"/>
      <c r="AE42" s="196"/>
      <c r="AF42" s="196"/>
      <c r="AG42" s="196"/>
      <c r="AH42" s="196"/>
      <c r="AI42" s="196"/>
      <c r="AJ42" s="196"/>
      <c r="AK42" s="196"/>
      <c r="AL42" s="196"/>
      <c r="AM42" s="196"/>
      <c r="AN42" s="196"/>
      <c r="AO42" s="196"/>
      <c r="AP42" s="196"/>
      <c r="AQ42" s="196"/>
      <c r="AR42" s="196"/>
      <c r="AS42" s="196"/>
      <c r="AT42" s="196"/>
      <c r="AU42" s="196"/>
      <c r="AV42" s="196"/>
      <c r="AW42" s="196"/>
      <c r="AX42" s="196"/>
      <c r="AY42" s="196"/>
      <c r="AZ42" s="196"/>
      <c r="BA42" s="196"/>
      <c r="BB42" s="196"/>
      <c r="BC42" s="196"/>
      <c r="BD42" s="196"/>
      <c r="BE42" s="196"/>
      <c r="BF42" s="196"/>
      <c r="BG42" s="196"/>
      <c r="BH42" s="196"/>
      <c r="BI42" s="196"/>
      <c r="BJ42" s="196"/>
      <c r="BK42" s="196"/>
      <c r="BL42" s="196"/>
      <c r="BM42" s="196"/>
      <c r="BN42" s="196"/>
      <c r="BO42" s="196"/>
      <c r="BP42" s="196"/>
      <c r="BQ42" s="196"/>
      <c r="BR42" s="196"/>
      <c r="BS42" s="196"/>
      <c r="BT42" s="196"/>
      <c r="BU42" s="196"/>
      <c r="BV42" s="196"/>
      <c r="BW42" s="196"/>
      <c r="BX42" s="196"/>
      <c r="BY42" s="196"/>
      <c r="BZ42" s="196"/>
      <c r="CA42" s="196"/>
      <c r="CB42" s="196"/>
      <c r="CC42" s="196"/>
      <c r="CD42" s="196"/>
      <c r="CE42" s="196"/>
      <c r="CF42" s="196"/>
      <c r="CG42" s="196"/>
      <c r="CH42" s="196"/>
      <c r="CI42" s="196"/>
      <c r="CJ42" s="196"/>
      <c r="CK42" s="196"/>
      <c r="CL42" s="196"/>
      <c r="CM42" s="196"/>
      <c r="CN42" s="196"/>
      <c r="CO42" s="196"/>
      <c r="CP42" s="196"/>
      <c r="CQ42" s="196"/>
      <c r="CR42" s="196"/>
      <c r="CS42" s="196"/>
      <c r="CT42" s="196"/>
      <c r="CU42" s="196"/>
      <c r="CV42" s="196"/>
      <c r="CW42" s="196"/>
      <c r="CX42" s="196"/>
      <c r="CY42" s="196"/>
      <c r="CZ42" s="196"/>
      <c r="DA42" s="196"/>
      <c r="DB42" s="196"/>
      <c r="DC42" s="196"/>
      <c r="DD42" s="196"/>
      <c r="DE42" s="196"/>
      <c r="DF42" s="196"/>
      <c r="DG42" s="196"/>
      <c r="DH42" s="196"/>
      <c r="DI42" s="196"/>
      <c r="DJ42" s="196"/>
      <c r="DK42" s="196"/>
      <c r="DL42" s="196"/>
      <c r="DM42" s="196"/>
      <c r="DN42" s="196"/>
      <c r="DO42" s="196"/>
      <c r="DP42" s="196"/>
      <c r="DQ42" s="196"/>
      <c r="DR42" s="196"/>
      <c r="DS42" s="196"/>
      <c r="DT42" s="196"/>
      <c r="DU42" s="196"/>
      <c r="DV42" s="196"/>
      <c r="DW42" s="196"/>
      <c r="DX42" s="196"/>
      <c r="DY42" s="196"/>
      <c r="DZ42" s="196"/>
      <c r="EA42" s="196"/>
      <c r="EB42" s="196"/>
      <c r="EC42" s="196"/>
      <c r="ED42" s="196"/>
      <c r="EE42" s="196"/>
      <c r="EF42" s="196"/>
      <c r="EG42" s="196"/>
      <c r="EH42" s="196"/>
      <c r="EI42" s="196"/>
      <c r="EJ42" s="196"/>
      <c r="EK42" s="196"/>
      <c r="EL42" s="196"/>
      <c r="EM42" s="196"/>
      <c r="EN42" s="196"/>
      <c r="EO42" s="196"/>
      <c r="EP42" s="196"/>
      <c r="EQ42" s="196"/>
      <c r="ER42" s="196"/>
      <c r="ES42" s="196"/>
      <c r="ET42" s="196"/>
      <c r="EU42" s="196"/>
      <c r="EV42" s="196"/>
      <c r="EW42" s="196"/>
      <c r="EX42" s="196"/>
      <c r="EY42" s="196"/>
      <c r="EZ42" s="196"/>
      <c r="FA42" s="196"/>
      <c r="FB42" s="196"/>
      <c r="FC42" s="196"/>
      <c r="FD42" s="196"/>
      <c r="FE42" s="196"/>
      <c r="FF42" s="196"/>
      <c r="FG42" s="196"/>
      <c r="FH42" s="196"/>
      <c r="FI42" s="196"/>
      <c r="FJ42" s="196"/>
      <c r="FK42" s="196"/>
      <c r="FL42" s="196"/>
      <c r="FM42" s="196"/>
      <c r="FN42" s="196"/>
      <c r="FO42" s="196"/>
      <c r="FP42" s="196"/>
      <c r="FQ42" s="196"/>
      <c r="FR42" s="196"/>
      <c r="FS42" s="196"/>
      <c r="FT42" s="196"/>
      <c r="FU42" s="196"/>
      <c r="FV42" s="196"/>
      <c r="FW42" s="196"/>
      <c r="FX42" s="196"/>
      <c r="FY42" s="196"/>
      <c r="FZ42" s="196"/>
      <c r="GA42" s="196"/>
      <c r="GB42" s="196"/>
      <c r="GC42" s="196"/>
      <c r="GD42" s="196"/>
      <c r="GE42" s="196"/>
      <c r="GF42" s="196"/>
      <c r="GG42" s="196"/>
      <c r="GH42" s="196"/>
      <c r="GI42" s="196"/>
      <c r="GJ42" s="196"/>
      <c r="GK42" s="196"/>
      <c r="GL42" s="196"/>
      <c r="GM42" s="196"/>
      <c r="GN42" s="196"/>
      <c r="GO42" s="196"/>
      <c r="GP42" s="196"/>
      <c r="GQ42" s="196"/>
      <c r="GR42" s="196"/>
      <c r="GS42" s="196"/>
      <c r="GT42" s="196"/>
      <c r="GU42" s="196"/>
      <c r="GV42" s="196"/>
      <c r="GW42" s="196"/>
      <c r="GX42" s="196"/>
      <c r="GY42" s="196"/>
      <c r="GZ42" s="196"/>
      <c r="HA42" s="196"/>
      <c r="HB42" s="196"/>
      <c r="HC42" s="196"/>
      <c r="HD42" s="196"/>
      <c r="HE42" s="196"/>
      <c r="HF42" s="196"/>
      <c r="HG42" s="196"/>
      <c r="HH42" s="196"/>
      <c r="HI42" s="196"/>
      <c r="HJ42" s="196"/>
      <c r="HK42" s="196"/>
      <c r="HL42" s="196"/>
      <c r="HM42" s="196"/>
      <c r="HN42" s="196"/>
      <c r="HO42" s="196"/>
      <c r="HP42" s="196"/>
      <c r="HQ42" s="196"/>
      <c r="HR42" s="196"/>
      <c r="HS42" s="196"/>
      <c r="HT42" s="196"/>
      <c r="HU42" s="196"/>
      <c r="HV42" s="196"/>
      <c r="HW42" s="196"/>
      <c r="HX42" s="196"/>
      <c r="HY42" s="196"/>
      <c r="HZ42" s="196"/>
      <c r="IA42" s="196"/>
      <c r="IB42" s="196"/>
      <c r="IC42" s="196"/>
      <c r="ID42" s="196"/>
      <c r="IE42" s="196"/>
      <c r="IF42" s="196"/>
      <c r="IG42" s="196"/>
      <c r="IH42" s="196"/>
      <c r="II42" s="196"/>
      <c r="IJ42" s="196"/>
      <c r="IK42" s="196"/>
      <c r="IL42" s="196"/>
      <c r="IM42" s="196"/>
      <c r="IN42" s="196"/>
      <c r="IO42" s="196"/>
      <c r="IP42" s="196"/>
      <c r="IQ42" s="196"/>
      <c r="IR42" s="196"/>
      <c r="IS42" s="196"/>
      <c r="IT42" s="196"/>
      <c r="IU42" s="196"/>
      <c r="IV42" s="196"/>
      <c r="IW42" s="196"/>
      <c r="IX42" s="196"/>
      <c r="IY42" s="196"/>
      <c r="IZ42" s="196"/>
      <c r="JA42" s="196"/>
      <c r="JB42" s="196"/>
      <c r="JC42" s="196"/>
      <c r="JD42" s="196"/>
      <c r="JE42" s="196"/>
      <c r="JF42" s="196"/>
      <c r="JG42" s="196"/>
      <c r="JH42" s="196"/>
      <c r="JI42" s="196"/>
      <c r="JJ42" s="196"/>
      <c r="JK42" s="196"/>
      <c r="JL42" s="196"/>
      <c r="JM42" s="196"/>
      <c r="JN42" s="196"/>
      <c r="JO42" s="196"/>
      <c r="JP42" s="196"/>
      <c r="JQ42" s="196"/>
      <c r="JR42" s="196"/>
      <c r="JS42" s="196"/>
      <c r="JT42" s="196"/>
      <c r="JU42" s="196"/>
      <c r="JV42" s="196"/>
      <c r="JW42" s="196"/>
      <c r="JX42" s="196"/>
      <c r="JY42" s="196"/>
      <c r="JZ42" s="196"/>
      <c r="KA42" s="196"/>
      <c r="KB42" s="196"/>
      <c r="KC42" s="196"/>
      <c r="KD42" s="196"/>
      <c r="KE42" s="196"/>
      <c r="KF42" s="196"/>
      <c r="KG42" s="196"/>
      <c r="KH42" s="196"/>
      <c r="KI42" s="196"/>
      <c r="KJ42" s="196"/>
      <c r="KK42" s="196"/>
      <c r="KL42" s="196"/>
      <c r="KM42" s="196"/>
      <c r="KN42" s="196"/>
      <c r="KO42" s="196"/>
      <c r="KP42" s="196"/>
      <c r="KQ42" s="196"/>
      <c r="KR42" s="196"/>
      <c r="KS42" s="196"/>
      <c r="KT42" s="196"/>
      <c r="KU42" s="196"/>
      <c r="KV42" s="196"/>
      <c r="KW42" s="196"/>
      <c r="KX42" s="196"/>
      <c r="KY42" s="196"/>
      <c r="KZ42" s="196"/>
      <c r="LA42" s="196"/>
      <c r="LB42" s="196"/>
      <c r="LC42" s="196"/>
      <c r="LD42" s="196"/>
      <c r="LE42" s="196"/>
      <c r="LF42" s="196"/>
      <c r="LG42" s="196"/>
      <c r="LH42" s="196"/>
      <c r="LI42" s="196"/>
      <c r="LJ42" s="196"/>
      <c r="LK42" s="196"/>
      <c r="LL42" s="196"/>
      <c r="LM42" s="196"/>
      <c r="LN42" s="196"/>
      <c r="LO42" s="196"/>
      <c r="LP42" s="196"/>
      <c r="LQ42" s="196"/>
      <c r="LR42" s="196"/>
      <c r="LS42" s="196"/>
      <c r="LT42" s="196"/>
      <c r="LU42" s="196"/>
      <c r="LV42" s="196"/>
      <c r="LW42" s="196"/>
      <c r="LX42" s="196"/>
      <c r="LY42" s="196"/>
      <c r="LZ42" s="196"/>
      <c r="MA42" s="196"/>
      <c r="MB42" s="196"/>
      <c r="MC42" s="196"/>
      <c r="MD42" s="196"/>
      <c r="ME42" s="196"/>
      <c r="MF42" s="196"/>
      <c r="MG42" s="196"/>
      <c r="MH42" s="196"/>
      <c r="MI42" s="196"/>
      <c r="MJ42" s="196"/>
      <c r="MK42" s="196"/>
      <c r="ML42" s="196"/>
      <c r="MM42" s="196"/>
      <c r="MN42" s="196"/>
      <c r="MO42" s="196"/>
      <c r="MP42" s="196"/>
      <c r="MQ42" s="196"/>
      <c r="MR42" s="196"/>
      <c r="MS42" s="196"/>
      <c r="MT42" s="196"/>
      <c r="MU42" s="196"/>
      <c r="MV42" s="196"/>
      <c r="MW42" s="196"/>
      <c r="MX42" s="196"/>
      <c r="MY42" s="196"/>
      <c r="MZ42" s="196"/>
      <c r="NA42" s="196"/>
      <c r="NB42" s="196"/>
      <c r="NC42" s="196"/>
      <c r="ND42" s="196"/>
      <c r="NE42" s="196"/>
      <c r="NF42" s="196"/>
      <c r="NG42" s="196"/>
      <c r="NH42" s="196"/>
      <c r="NI42" s="196"/>
      <c r="NJ42" s="196"/>
      <c r="NK42" s="196"/>
      <c r="NL42" s="196"/>
      <c r="NM42" s="196"/>
      <c r="NN42" s="196"/>
      <c r="NO42" s="196"/>
      <c r="NP42" s="196"/>
      <c r="NQ42" s="196"/>
      <c r="NR42" s="196"/>
      <c r="NS42" s="196"/>
      <c r="NT42" s="196"/>
      <c r="NU42" s="196"/>
      <c r="NV42" s="196"/>
      <c r="NW42" s="196"/>
      <c r="NX42" s="196"/>
      <c r="NY42" s="196"/>
      <c r="NZ42" s="196"/>
      <c r="OA42" s="196"/>
    </row>
    <row r="43" spans="1:391" s="196" customFormat="1" hidden="1">
      <c r="A43" s="297" t="s">
        <v>8</v>
      </c>
      <c r="AB43" s="203"/>
    </row>
    <row r="44" spans="1:391" hidden="1">
      <c r="A44" s="372" t="s">
        <v>280</v>
      </c>
      <c r="B44" s="367">
        <f>IF(B$3&lt;=time,B14*(1+Economics!$B$4)^(B$3-$B$3)/((1+Economics!$B$3)^(B$3-$B$3)),"")</f>
        <v>284.73002251534706</v>
      </c>
      <c r="C44" s="367">
        <f>IF(C$3&lt;=time,C14*(1+Economics!$B$4)^(C$3-$B$3)/((1+Economics!$B$3)^(C$3-$B$3)),"")</f>
        <v>0</v>
      </c>
      <c r="D44" s="367">
        <f>IF(D$3&lt;=time,D14*(1+Economics!$B$4)^(D$3-$B$3)/((1+Economics!$B$3)^(D$3-$B$3)),"")</f>
        <v>0</v>
      </c>
      <c r="E44" s="367">
        <f>IF(E$3&lt;=time,E14*(1+Economics!$B$4)^(E$3-$B$3)/((1+Economics!$B$3)^(E$3-$B$3)),"")</f>
        <v>0</v>
      </c>
      <c r="F44" s="367">
        <f>IF(F$3&lt;=time,F14*(1+Economics!$B$4)^(F$3-$B$3)/((1+Economics!$B$3)^(F$3-$B$3)),"")</f>
        <v>0</v>
      </c>
      <c r="G44" s="367" t="str">
        <f>IF(G$3&lt;=time,G14*(1+Economics!$B$4)^(G$3-$B$3)/((1+Economics!$B$3)^(G$3-$B$3)),"")</f>
        <v/>
      </c>
      <c r="H44" s="367" t="str">
        <f>IF(H$3&lt;=time,H14*(1+Economics!$B$4)^(H$3-$B$3)/((1+Economics!$B$3)^(H$3-$B$3)),"")</f>
        <v/>
      </c>
      <c r="I44" s="367" t="str">
        <f>IF(I$3&lt;=time,I14*(1+Economics!$B$4)^(I$3-$B$3)/((1+Economics!$B$3)^(I$3-$B$3)),"")</f>
        <v/>
      </c>
      <c r="J44" s="367" t="str">
        <f>IF(J$3&lt;=time,J14*(1+Economics!$B$4)^(J$3-$B$3)/((1+Economics!$B$3)^(J$3-$B$3)),"")</f>
        <v/>
      </c>
      <c r="K44" s="367" t="str">
        <f>IF(K$3&lt;=time,K14*(1+Economics!$B$4)^(K$3-$B$3)/((1+Economics!$B$3)^(K$3-$B$3)),"")</f>
        <v/>
      </c>
      <c r="L44" s="367" t="str">
        <f>IF(L$3&lt;=time,L14*(1+Economics!$B$4)^(L$3-$B$3)/((1+Economics!$B$3)^(L$3-$B$3)),"")</f>
        <v/>
      </c>
      <c r="M44" s="367" t="str">
        <f>IF(M$3&lt;=time,M14*(1+Economics!$B$4)^(M$3-$B$3)/((1+Economics!$B$3)^(M$3-$B$3)),"")</f>
        <v/>
      </c>
      <c r="N44" s="367" t="str">
        <f>IF(N$3&lt;=time,N14*(1+Economics!$B$4)^(N$3-$B$3)/((1+Economics!$B$3)^(N$3-$B$3)),"")</f>
        <v/>
      </c>
      <c r="O44" s="367" t="str">
        <f>IF(O$3&lt;=time,O14*(1+Economics!$B$4)^(O$3-$B$3)/((1+Economics!$B$3)^(O$3-$B$3)),"")</f>
        <v/>
      </c>
      <c r="P44" s="367" t="str">
        <f>IF(P$3&lt;=time,P14*(1+Economics!$B$4)^(P$3-$B$3)/((1+Economics!$B$3)^(P$3-$B$3)),"")</f>
        <v/>
      </c>
      <c r="Q44" s="367" t="str">
        <f>IF(Q$3&lt;=time,Q14*(1+Economics!$B$4)^(Q$3-$B$3)/((1+Economics!$B$3)^(Q$3-$B$3)),"")</f>
        <v/>
      </c>
      <c r="R44" s="367" t="str">
        <f>IF(R$3&lt;=time,R14*(1+Economics!$B$4)^(R$3-$B$3)/((1+Economics!$B$3)^(R$3-$B$3)),"")</f>
        <v/>
      </c>
      <c r="S44" s="367" t="str">
        <f>IF(S$3&lt;=time,S14*(1+Economics!$B$4)^(S$3-$B$3)/((1+Economics!$B$3)^(S$3-$B$3)),"")</f>
        <v/>
      </c>
      <c r="T44" s="367" t="str">
        <f>IF(T$3&lt;=time,T14*(1+Economics!$B$4)^(T$3-$B$3)/((1+Economics!$B$3)^(T$3-$B$3)),"")</f>
        <v/>
      </c>
      <c r="U44" s="367" t="str">
        <f>IF(U$3&lt;=time,U14*(1+Economics!$B$4)^(U$3-$B$3)/((1+Economics!$B$3)^(U$3-$B$3)),"")</f>
        <v/>
      </c>
      <c r="V44" s="367" t="str">
        <f>IF(V$3&lt;=time,V14*(1+Economics!$B$4)^(V$3-$B$3)/((1+Economics!$B$3)^(V$3-$B$3)),"")</f>
        <v/>
      </c>
      <c r="W44" s="367" t="str">
        <f>IF(W$3&lt;=time,W14*(1+Economics!$B$4)^(W$3-$B$3)/((1+Economics!$B$3)^(W$3-$B$3)),"")</f>
        <v/>
      </c>
      <c r="X44" s="367" t="str">
        <f>IF(X$3&lt;=time,X14*(1+Economics!$B$4)^(X$3-$B$3)/((1+Economics!$B$3)^(X$3-$B$3)),"")</f>
        <v/>
      </c>
      <c r="Y44" s="367" t="str">
        <f>IF(Y$3&lt;=time,Y14*(1+Economics!$B$4)^(Y$3-$B$3)/((1+Economics!$B$3)^(Y$3-$B$3)),"")</f>
        <v/>
      </c>
      <c r="Z44" s="367" t="str">
        <f>IF(Z$3&lt;=time,Z14*(1+Economics!$B$4)^(Z$3-$B$3)/((1+Economics!$B$3)^(Z$3-$B$3)),"")</f>
        <v/>
      </c>
      <c r="AA44" s="367">
        <f t="shared" si="9"/>
        <v>284.73002251534706</v>
      </c>
      <c r="AB44" s="368">
        <f t="shared" ref="AB44:AB57" si="10">AA44/time</f>
        <v>56.94600450306941</v>
      </c>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c r="BW44" s="196"/>
      <c r="BX44" s="196"/>
      <c r="BY44" s="196"/>
      <c r="BZ44" s="196"/>
      <c r="CA44" s="196"/>
      <c r="CB44" s="196"/>
      <c r="CC44" s="196"/>
      <c r="CD44" s="196"/>
      <c r="CE44" s="196"/>
      <c r="CF44" s="196"/>
      <c r="CG44" s="196"/>
      <c r="CH44" s="196"/>
      <c r="CI44" s="196"/>
      <c r="CJ44" s="196"/>
      <c r="CK44" s="196"/>
      <c r="CL44" s="196"/>
      <c r="CM44" s="196"/>
      <c r="CN44" s="196"/>
      <c r="CO44" s="196"/>
      <c r="CP44" s="196"/>
      <c r="CQ44" s="196"/>
      <c r="CR44" s="196"/>
      <c r="CS44" s="196"/>
      <c r="CT44" s="196"/>
      <c r="CU44" s="196"/>
      <c r="CV44" s="196"/>
      <c r="CW44" s="196"/>
      <c r="CX44" s="196"/>
      <c r="CY44" s="196"/>
      <c r="CZ44" s="196"/>
      <c r="DA44" s="196"/>
      <c r="DB44" s="196"/>
      <c r="DC44" s="196"/>
      <c r="DD44" s="196"/>
      <c r="DE44" s="196"/>
      <c r="DF44" s="196"/>
      <c r="DG44" s="196"/>
      <c r="DH44" s="196"/>
      <c r="DI44" s="196"/>
      <c r="DJ44" s="196"/>
      <c r="DK44" s="196"/>
      <c r="DL44" s="196"/>
      <c r="DM44" s="196"/>
      <c r="DN44" s="196"/>
      <c r="DO44" s="196"/>
      <c r="DP44" s="196"/>
      <c r="DQ44" s="196"/>
      <c r="DR44" s="196"/>
      <c r="DS44" s="196"/>
      <c r="DT44" s="196"/>
      <c r="DU44" s="196"/>
      <c r="DV44" s="196"/>
      <c r="DW44" s="196"/>
      <c r="DX44" s="196"/>
      <c r="DY44" s="196"/>
      <c r="DZ44" s="196"/>
      <c r="EA44" s="196"/>
      <c r="EB44" s="196"/>
      <c r="EC44" s="196"/>
      <c r="ED44" s="196"/>
      <c r="EE44" s="196"/>
      <c r="EF44" s="196"/>
      <c r="EG44" s="196"/>
      <c r="EH44" s="196"/>
      <c r="EI44" s="196"/>
      <c r="EJ44" s="196"/>
      <c r="EK44" s="196"/>
      <c r="EL44" s="196"/>
      <c r="EM44" s="196"/>
      <c r="EN44" s="196"/>
      <c r="EO44" s="196"/>
      <c r="EP44" s="196"/>
      <c r="EQ44" s="196"/>
      <c r="ER44" s="196"/>
      <c r="ES44" s="196"/>
      <c r="ET44" s="196"/>
      <c r="EU44" s="196"/>
      <c r="EV44" s="196"/>
      <c r="EW44" s="196"/>
      <c r="EX44" s="196"/>
      <c r="EY44" s="196"/>
      <c r="EZ44" s="196"/>
      <c r="FA44" s="196"/>
      <c r="FB44" s="196"/>
      <c r="FC44" s="196"/>
      <c r="FD44" s="196"/>
      <c r="FE44" s="196"/>
      <c r="FF44" s="196"/>
      <c r="FG44" s="196"/>
      <c r="FH44" s="196"/>
      <c r="FI44" s="196"/>
      <c r="FJ44" s="196"/>
      <c r="FK44" s="196"/>
      <c r="FL44" s="196"/>
      <c r="FM44" s="196"/>
      <c r="FN44" s="196"/>
      <c r="FO44" s="196"/>
      <c r="FP44" s="196"/>
      <c r="FQ44" s="196"/>
      <c r="FR44" s="196"/>
      <c r="FS44" s="196"/>
      <c r="FT44" s="196"/>
      <c r="FU44" s="196"/>
      <c r="FV44" s="196"/>
      <c r="FW44" s="196"/>
      <c r="FX44" s="196"/>
      <c r="FY44" s="196"/>
      <c r="FZ44" s="196"/>
      <c r="GA44" s="196"/>
      <c r="GB44" s="196"/>
      <c r="GC44" s="196"/>
      <c r="GD44" s="196"/>
      <c r="GE44" s="196"/>
      <c r="GF44" s="196"/>
      <c r="GG44" s="196"/>
      <c r="GH44" s="196"/>
      <c r="GI44" s="196"/>
      <c r="GJ44" s="196"/>
      <c r="GK44" s="196"/>
      <c r="GL44" s="196"/>
      <c r="GM44" s="196"/>
      <c r="GN44" s="196"/>
      <c r="GO44" s="196"/>
      <c r="GP44" s="196"/>
      <c r="GQ44" s="196"/>
      <c r="GR44" s="196"/>
      <c r="GS44" s="196"/>
      <c r="GT44" s="196"/>
      <c r="GU44" s="196"/>
      <c r="GV44" s="196"/>
      <c r="GW44" s="196"/>
      <c r="GX44" s="196"/>
      <c r="GY44" s="196"/>
      <c r="GZ44" s="196"/>
      <c r="HA44" s="196"/>
      <c r="HB44" s="196"/>
      <c r="HC44" s="196"/>
      <c r="HD44" s="196"/>
      <c r="HE44" s="196"/>
      <c r="HF44" s="196"/>
      <c r="HG44" s="196"/>
      <c r="HH44" s="196"/>
      <c r="HI44" s="196"/>
      <c r="HJ44" s="196"/>
      <c r="HK44" s="196"/>
      <c r="HL44" s="196"/>
      <c r="HM44" s="196"/>
      <c r="HN44" s="196"/>
      <c r="HO44" s="196"/>
      <c r="HP44" s="196"/>
      <c r="HQ44" s="196"/>
      <c r="HR44" s="196"/>
      <c r="HS44" s="196"/>
      <c r="HT44" s="196"/>
      <c r="HU44" s="196"/>
      <c r="HV44" s="196"/>
      <c r="HW44" s="196"/>
      <c r="HX44" s="196"/>
      <c r="HY44" s="196"/>
      <c r="HZ44" s="196"/>
      <c r="IA44" s="196"/>
      <c r="IB44" s="196"/>
      <c r="IC44" s="196"/>
      <c r="ID44" s="196"/>
      <c r="IE44" s="196"/>
      <c r="IF44" s="196"/>
      <c r="IG44" s="196"/>
      <c r="IH44" s="196"/>
      <c r="II44" s="196"/>
      <c r="IJ44" s="196"/>
      <c r="IK44" s="196"/>
      <c r="IL44" s="196"/>
      <c r="IM44" s="196"/>
      <c r="IN44" s="196"/>
      <c r="IO44" s="196"/>
      <c r="IP44" s="196"/>
      <c r="IQ44" s="196"/>
      <c r="IR44" s="196"/>
      <c r="IS44" s="196"/>
      <c r="IT44" s="196"/>
      <c r="IU44" s="196"/>
      <c r="IV44" s="196"/>
      <c r="IW44" s="196"/>
      <c r="IX44" s="196"/>
      <c r="IY44" s="196"/>
      <c r="IZ44" s="196"/>
      <c r="JA44" s="196"/>
      <c r="JB44" s="196"/>
      <c r="JC44" s="196"/>
      <c r="JD44" s="196"/>
      <c r="JE44" s="196"/>
      <c r="JF44" s="196"/>
      <c r="JG44" s="196"/>
      <c r="JH44" s="196"/>
      <c r="JI44" s="196"/>
      <c r="JJ44" s="196"/>
      <c r="JK44" s="196"/>
      <c r="JL44" s="196"/>
      <c r="JM44" s="196"/>
      <c r="JN44" s="196"/>
      <c r="JO44" s="196"/>
      <c r="JP44" s="196"/>
      <c r="JQ44" s="196"/>
      <c r="JR44" s="196"/>
      <c r="JS44" s="196"/>
      <c r="JT44" s="196"/>
      <c r="JU44" s="196"/>
      <c r="JV44" s="196"/>
      <c r="JW44" s="196"/>
      <c r="JX44" s="196"/>
      <c r="JY44" s="196"/>
      <c r="JZ44" s="196"/>
      <c r="KA44" s="196"/>
      <c r="KB44" s="196"/>
      <c r="KC44" s="196"/>
      <c r="KD44" s="196"/>
      <c r="KE44" s="196"/>
      <c r="KF44" s="196"/>
      <c r="KG44" s="196"/>
      <c r="KH44" s="196"/>
      <c r="KI44" s="196"/>
      <c r="KJ44" s="196"/>
      <c r="KK44" s="196"/>
      <c r="KL44" s="196"/>
      <c r="KM44" s="196"/>
      <c r="KN44" s="196"/>
      <c r="KO44" s="196"/>
      <c r="KP44" s="196"/>
      <c r="KQ44" s="196"/>
      <c r="KR44" s="196"/>
      <c r="KS44" s="196"/>
      <c r="KT44" s="196"/>
      <c r="KU44" s="196"/>
      <c r="KV44" s="196"/>
      <c r="KW44" s="196"/>
      <c r="KX44" s="196"/>
      <c r="KY44" s="196"/>
      <c r="KZ44" s="196"/>
      <c r="LA44" s="196"/>
      <c r="LB44" s="196"/>
      <c r="LC44" s="196"/>
      <c r="LD44" s="196"/>
      <c r="LE44" s="196"/>
      <c r="LF44" s="196"/>
      <c r="LG44" s="196"/>
      <c r="LH44" s="196"/>
      <c r="LI44" s="196"/>
      <c r="LJ44" s="196"/>
      <c r="LK44" s="196"/>
      <c r="LL44" s="196"/>
      <c r="LM44" s="196"/>
      <c r="LN44" s="196"/>
      <c r="LO44" s="196"/>
      <c r="LP44" s="196"/>
      <c r="LQ44" s="196"/>
      <c r="LR44" s="196"/>
      <c r="LS44" s="196"/>
      <c r="LT44" s="196"/>
      <c r="LU44" s="196"/>
      <c r="LV44" s="196"/>
      <c r="LW44" s="196"/>
      <c r="LX44" s="196"/>
      <c r="LY44" s="196"/>
      <c r="LZ44" s="196"/>
      <c r="MA44" s="196"/>
      <c r="MB44" s="196"/>
      <c r="MC44" s="196"/>
      <c r="MD44" s="196"/>
      <c r="ME44" s="196"/>
      <c r="MF44" s="196"/>
      <c r="MG44" s="196"/>
      <c r="MH44" s="196"/>
      <c r="MI44" s="196"/>
      <c r="MJ44" s="196"/>
      <c r="MK44" s="196"/>
      <c r="ML44" s="196"/>
      <c r="MM44" s="196"/>
      <c r="MN44" s="196"/>
      <c r="MO44" s="196"/>
      <c r="MP44" s="196"/>
      <c r="MQ44" s="196"/>
      <c r="MR44" s="196"/>
      <c r="MS44" s="196"/>
      <c r="MT44" s="196"/>
      <c r="MU44" s="196"/>
      <c r="MV44" s="196"/>
      <c r="MW44" s="196"/>
      <c r="MX44" s="196"/>
      <c r="MY44" s="196"/>
      <c r="MZ44" s="196"/>
      <c r="NA44" s="196"/>
      <c r="NB44" s="196"/>
      <c r="NC44" s="196"/>
      <c r="ND44" s="196"/>
      <c r="NE44" s="196"/>
      <c r="NF44" s="196"/>
      <c r="NG44" s="196"/>
      <c r="NH44" s="196"/>
      <c r="NI44" s="196"/>
      <c r="NJ44" s="196"/>
      <c r="NK44" s="196"/>
      <c r="NL44" s="196"/>
      <c r="NM44" s="196"/>
      <c r="NN44" s="196"/>
      <c r="NO44" s="196"/>
      <c r="NP44" s="196"/>
      <c r="NQ44" s="196"/>
      <c r="NR44" s="196"/>
      <c r="NS44" s="196"/>
      <c r="NT44" s="196"/>
      <c r="NU44" s="196"/>
      <c r="NV44" s="196"/>
      <c r="NW44" s="196"/>
      <c r="NX44" s="196"/>
      <c r="NY44" s="196"/>
      <c r="NZ44" s="196"/>
      <c r="OA44" s="196"/>
    </row>
    <row r="45" spans="1:391" hidden="1">
      <c r="A45" s="372" t="s">
        <v>282</v>
      </c>
      <c r="B45" s="367">
        <f>IF(B$3&lt;=time,B18*(1+Economics!$B$4)^(B$3-$B$3)/((1+Economics!$B$3)^(B$3-$B$3)),"")</f>
        <v>0</v>
      </c>
      <c r="C45" s="367">
        <f>IF(C$3&lt;=time,C18*(1+Economics!$B$4)^(C$3-$B$3)/((1+Economics!$B$3)^(C$3-$B$3)),"")</f>
        <v>0</v>
      </c>
      <c r="D45" s="367">
        <f>IF(D$3&lt;=time,D18*(1+Economics!$B$4)^(D$3-$B$3)/((1+Economics!$B$3)^(D$3-$B$3)),"")</f>
        <v>0</v>
      </c>
      <c r="E45" s="367">
        <f>IF(E$3&lt;=time,E18*(1+Economics!$B$4)^(E$3-$B$3)/((1+Economics!$B$3)^(E$3-$B$3)),"")</f>
        <v>0</v>
      </c>
      <c r="F45" s="367">
        <f>IF(F$3&lt;=time,F18*(1+Economics!$B$4)^(F$3-$B$3)/((1+Economics!$B$3)^(F$3-$B$3)),"")</f>
        <v>0</v>
      </c>
      <c r="G45" s="367" t="str">
        <f>IF(G$3&lt;=time,G18*(1+Economics!$B$4)^(G$3-$B$3)/((1+Economics!$B$3)^(G$3-$B$3)),"")</f>
        <v/>
      </c>
      <c r="H45" s="367" t="str">
        <f>IF(H$3&lt;=time,H18*(1+Economics!$B$4)^(H$3-$B$3)/((1+Economics!$B$3)^(H$3-$B$3)),"")</f>
        <v/>
      </c>
      <c r="I45" s="367" t="str">
        <f>IF(I$3&lt;=time,I18*(1+Economics!$B$4)^(I$3-$B$3)/((1+Economics!$B$3)^(I$3-$B$3)),"")</f>
        <v/>
      </c>
      <c r="J45" s="367" t="str">
        <f>IF(J$3&lt;=time,J18*(1+Economics!$B$4)^(J$3-$B$3)/((1+Economics!$B$3)^(J$3-$B$3)),"")</f>
        <v/>
      </c>
      <c r="K45" s="367" t="str">
        <f>IF(K$3&lt;=time,K18*(1+Economics!$B$4)^(K$3-$B$3)/((1+Economics!$B$3)^(K$3-$B$3)),"")</f>
        <v/>
      </c>
      <c r="L45" s="367" t="str">
        <f>IF(L$3&lt;=time,L18*(1+Economics!$B$4)^(L$3-$B$3)/((1+Economics!$B$3)^(L$3-$B$3)),"")</f>
        <v/>
      </c>
      <c r="M45" s="367" t="str">
        <f>IF(M$3&lt;=time,M18*(1+Economics!$B$4)^(M$3-$B$3)/((1+Economics!$B$3)^(M$3-$B$3)),"")</f>
        <v/>
      </c>
      <c r="N45" s="367" t="str">
        <f>IF(N$3&lt;=time,N18*(1+Economics!$B$4)^(N$3-$B$3)/((1+Economics!$B$3)^(N$3-$B$3)),"")</f>
        <v/>
      </c>
      <c r="O45" s="367" t="str">
        <f>IF(O$3&lt;=time,O18*(1+Economics!$B$4)^(O$3-$B$3)/((1+Economics!$B$3)^(O$3-$B$3)),"")</f>
        <v/>
      </c>
      <c r="P45" s="367" t="str">
        <f>IF(P$3&lt;=time,P18*(1+Economics!$B$4)^(P$3-$B$3)/((1+Economics!$B$3)^(P$3-$B$3)),"")</f>
        <v/>
      </c>
      <c r="Q45" s="367" t="str">
        <f>IF(Q$3&lt;=time,Q18*(1+Economics!$B$4)^(Q$3-$B$3)/((1+Economics!$B$3)^(Q$3-$B$3)),"")</f>
        <v/>
      </c>
      <c r="R45" s="367" t="str">
        <f>IF(R$3&lt;=time,R18*(1+Economics!$B$4)^(R$3-$B$3)/((1+Economics!$B$3)^(R$3-$B$3)),"")</f>
        <v/>
      </c>
      <c r="S45" s="367" t="str">
        <f>IF(S$3&lt;=time,S18*(1+Economics!$B$4)^(S$3-$B$3)/((1+Economics!$B$3)^(S$3-$B$3)),"")</f>
        <v/>
      </c>
      <c r="T45" s="367" t="str">
        <f>IF(T$3&lt;=time,T18*(1+Economics!$B$4)^(T$3-$B$3)/((1+Economics!$B$3)^(T$3-$B$3)),"")</f>
        <v/>
      </c>
      <c r="U45" s="367" t="str">
        <f>IF(U$3&lt;=time,U18*(1+Economics!$B$4)^(U$3-$B$3)/((1+Economics!$B$3)^(U$3-$B$3)),"")</f>
        <v/>
      </c>
      <c r="V45" s="367" t="str">
        <f>IF(V$3&lt;=time,V18*(1+Economics!$B$4)^(V$3-$B$3)/((1+Economics!$B$3)^(V$3-$B$3)),"")</f>
        <v/>
      </c>
      <c r="W45" s="367" t="str">
        <f>IF(W$3&lt;=time,W18*(1+Economics!$B$4)^(W$3-$B$3)/((1+Economics!$B$3)^(W$3-$B$3)),"")</f>
        <v/>
      </c>
      <c r="X45" s="367" t="str">
        <f>IF(X$3&lt;=time,X18*(1+Economics!$B$4)^(X$3-$B$3)/((1+Economics!$B$3)^(X$3-$B$3)),"")</f>
        <v/>
      </c>
      <c r="Y45" s="367" t="str">
        <f>IF(Y$3&lt;=time,Y18*(1+Economics!$B$4)^(Y$3-$B$3)/((1+Economics!$B$3)^(Y$3-$B$3)),"")</f>
        <v/>
      </c>
      <c r="Z45" s="367" t="str">
        <f>IF(Z$3&lt;=time,Z18*(1+Economics!$B$4)^(Z$3-$B$3)/((1+Economics!$B$3)^(Z$3-$B$3)),"")</f>
        <v/>
      </c>
      <c r="AA45" s="367">
        <f t="shared" si="9"/>
        <v>0</v>
      </c>
      <c r="AB45" s="368">
        <f t="shared" si="10"/>
        <v>0</v>
      </c>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196"/>
      <c r="BQ45" s="196"/>
      <c r="BR45" s="196"/>
      <c r="BS45" s="196"/>
      <c r="BT45" s="196"/>
      <c r="BU45" s="196"/>
      <c r="BV45" s="196"/>
      <c r="BW45" s="196"/>
      <c r="BX45" s="196"/>
      <c r="BY45" s="196"/>
      <c r="BZ45" s="196"/>
      <c r="CA45" s="196"/>
      <c r="CB45" s="196"/>
      <c r="CC45" s="196"/>
      <c r="CD45" s="196"/>
      <c r="CE45" s="196"/>
      <c r="CF45" s="196"/>
      <c r="CG45" s="196"/>
      <c r="CH45" s="196"/>
      <c r="CI45" s="196"/>
      <c r="CJ45" s="196"/>
      <c r="CK45" s="196"/>
      <c r="CL45" s="196"/>
      <c r="CM45" s="196"/>
      <c r="CN45" s="196"/>
      <c r="CO45" s="196"/>
      <c r="CP45" s="196"/>
      <c r="CQ45" s="196"/>
      <c r="CR45" s="196"/>
      <c r="CS45" s="196"/>
      <c r="CT45" s="196"/>
      <c r="CU45" s="196"/>
      <c r="CV45" s="196"/>
      <c r="CW45" s="196"/>
      <c r="CX45" s="196"/>
      <c r="CY45" s="196"/>
      <c r="CZ45" s="196"/>
      <c r="DA45" s="196"/>
      <c r="DB45" s="196"/>
      <c r="DC45" s="196"/>
      <c r="DD45" s="196"/>
      <c r="DE45" s="196"/>
      <c r="DF45" s="196"/>
      <c r="DG45" s="196"/>
      <c r="DH45" s="196"/>
      <c r="DI45" s="196"/>
      <c r="DJ45" s="196"/>
      <c r="DK45" s="196"/>
      <c r="DL45" s="196"/>
      <c r="DM45" s="196"/>
      <c r="DN45" s="196"/>
      <c r="DO45" s="196"/>
      <c r="DP45" s="196"/>
      <c r="DQ45" s="196"/>
      <c r="DR45" s="196"/>
      <c r="DS45" s="196"/>
      <c r="DT45" s="196"/>
      <c r="DU45" s="196"/>
      <c r="DV45" s="196"/>
      <c r="DW45" s="196"/>
      <c r="DX45" s="196"/>
      <c r="DY45" s="196"/>
      <c r="DZ45" s="196"/>
      <c r="EA45" s="196"/>
      <c r="EB45" s="196"/>
      <c r="EC45" s="196"/>
      <c r="ED45" s="196"/>
      <c r="EE45" s="196"/>
      <c r="EF45" s="196"/>
      <c r="EG45" s="196"/>
      <c r="EH45" s="196"/>
      <c r="EI45" s="196"/>
      <c r="EJ45" s="196"/>
      <c r="EK45" s="196"/>
      <c r="EL45" s="196"/>
      <c r="EM45" s="196"/>
      <c r="EN45" s="196"/>
      <c r="EO45" s="196"/>
      <c r="EP45" s="196"/>
      <c r="EQ45" s="196"/>
      <c r="ER45" s="196"/>
      <c r="ES45" s="196"/>
      <c r="ET45" s="196"/>
      <c r="EU45" s="196"/>
      <c r="EV45" s="196"/>
      <c r="EW45" s="196"/>
      <c r="EX45" s="196"/>
      <c r="EY45" s="196"/>
      <c r="EZ45" s="196"/>
      <c r="FA45" s="196"/>
      <c r="FB45" s="196"/>
      <c r="FC45" s="196"/>
      <c r="FD45" s="196"/>
      <c r="FE45" s="196"/>
      <c r="FF45" s="196"/>
      <c r="FG45" s="196"/>
      <c r="FH45" s="196"/>
      <c r="FI45" s="196"/>
      <c r="FJ45" s="196"/>
      <c r="FK45" s="196"/>
      <c r="FL45" s="196"/>
      <c r="FM45" s="196"/>
      <c r="FN45" s="196"/>
      <c r="FO45" s="196"/>
      <c r="FP45" s="196"/>
      <c r="FQ45" s="196"/>
      <c r="FR45" s="196"/>
      <c r="FS45" s="196"/>
      <c r="FT45" s="196"/>
      <c r="FU45" s="196"/>
      <c r="FV45" s="196"/>
      <c r="FW45" s="196"/>
      <c r="FX45" s="196"/>
      <c r="FY45" s="196"/>
      <c r="FZ45" s="196"/>
      <c r="GA45" s="196"/>
      <c r="GB45" s="196"/>
      <c r="GC45" s="196"/>
      <c r="GD45" s="196"/>
      <c r="GE45" s="196"/>
      <c r="GF45" s="196"/>
      <c r="GG45" s="196"/>
      <c r="GH45" s="196"/>
      <c r="GI45" s="196"/>
      <c r="GJ45" s="196"/>
      <c r="GK45" s="196"/>
      <c r="GL45" s="196"/>
      <c r="GM45" s="196"/>
      <c r="GN45" s="196"/>
      <c r="GO45" s="196"/>
      <c r="GP45" s="196"/>
      <c r="GQ45" s="196"/>
      <c r="GR45" s="196"/>
      <c r="GS45" s="196"/>
      <c r="GT45" s="196"/>
      <c r="GU45" s="196"/>
      <c r="GV45" s="196"/>
      <c r="GW45" s="196"/>
      <c r="GX45" s="196"/>
      <c r="GY45" s="196"/>
      <c r="GZ45" s="196"/>
      <c r="HA45" s="196"/>
      <c r="HB45" s="196"/>
      <c r="HC45" s="196"/>
      <c r="HD45" s="196"/>
      <c r="HE45" s="196"/>
      <c r="HF45" s="196"/>
      <c r="HG45" s="196"/>
      <c r="HH45" s="196"/>
      <c r="HI45" s="196"/>
      <c r="HJ45" s="196"/>
      <c r="HK45" s="196"/>
      <c r="HL45" s="196"/>
      <c r="HM45" s="196"/>
      <c r="HN45" s="196"/>
      <c r="HO45" s="196"/>
      <c r="HP45" s="196"/>
      <c r="HQ45" s="196"/>
      <c r="HR45" s="196"/>
      <c r="HS45" s="196"/>
      <c r="HT45" s="196"/>
      <c r="HU45" s="196"/>
      <c r="HV45" s="196"/>
      <c r="HW45" s="196"/>
      <c r="HX45" s="196"/>
      <c r="HY45" s="196"/>
      <c r="HZ45" s="196"/>
      <c r="IA45" s="196"/>
      <c r="IB45" s="196"/>
      <c r="IC45" s="196"/>
      <c r="ID45" s="196"/>
      <c r="IE45" s="196"/>
      <c r="IF45" s="196"/>
      <c r="IG45" s="196"/>
      <c r="IH45" s="196"/>
      <c r="II45" s="196"/>
      <c r="IJ45" s="196"/>
      <c r="IK45" s="196"/>
      <c r="IL45" s="196"/>
      <c r="IM45" s="196"/>
      <c r="IN45" s="196"/>
      <c r="IO45" s="196"/>
      <c r="IP45" s="196"/>
      <c r="IQ45" s="196"/>
      <c r="IR45" s="196"/>
      <c r="IS45" s="196"/>
      <c r="IT45" s="196"/>
      <c r="IU45" s="196"/>
      <c r="IV45" s="196"/>
      <c r="IW45" s="196"/>
      <c r="IX45" s="196"/>
      <c r="IY45" s="196"/>
      <c r="IZ45" s="196"/>
      <c r="JA45" s="196"/>
      <c r="JB45" s="196"/>
      <c r="JC45" s="196"/>
      <c r="JD45" s="196"/>
      <c r="JE45" s="196"/>
      <c r="JF45" s="196"/>
      <c r="JG45" s="196"/>
      <c r="JH45" s="196"/>
      <c r="JI45" s="196"/>
      <c r="JJ45" s="196"/>
      <c r="JK45" s="196"/>
      <c r="JL45" s="196"/>
      <c r="JM45" s="196"/>
      <c r="JN45" s="196"/>
      <c r="JO45" s="196"/>
      <c r="JP45" s="196"/>
      <c r="JQ45" s="196"/>
      <c r="JR45" s="196"/>
      <c r="JS45" s="196"/>
      <c r="JT45" s="196"/>
      <c r="JU45" s="196"/>
      <c r="JV45" s="196"/>
      <c r="JW45" s="196"/>
      <c r="JX45" s="196"/>
      <c r="JY45" s="196"/>
      <c r="JZ45" s="196"/>
      <c r="KA45" s="196"/>
      <c r="KB45" s="196"/>
      <c r="KC45" s="196"/>
      <c r="KD45" s="196"/>
      <c r="KE45" s="196"/>
      <c r="KF45" s="196"/>
      <c r="KG45" s="196"/>
      <c r="KH45" s="196"/>
      <c r="KI45" s="196"/>
      <c r="KJ45" s="196"/>
      <c r="KK45" s="196"/>
      <c r="KL45" s="196"/>
      <c r="KM45" s="196"/>
      <c r="KN45" s="196"/>
      <c r="KO45" s="196"/>
      <c r="KP45" s="196"/>
      <c r="KQ45" s="196"/>
      <c r="KR45" s="196"/>
      <c r="KS45" s="196"/>
      <c r="KT45" s="196"/>
      <c r="KU45" s="196"/>
      <c r="KV45" s="196"/>
      <c r="KW45" s="196"/>
      <c r="KX45" s="196"/>
      <c r="KY45" s="196"/>
      <c r="KZ45" s="196"/>
      <c r="LA45" s="196"/>
      <c r="LB45" s="196"/>
      <c r="LC45" s="196"/>
      <c r="LD45" s="196"/>
      <c r="LE45" s="196"/>
      <c r="LF45" s="196"/>
      <c r="LG45" s="196"/>
      <c r="LH45" s="196"/>
      <c r="LI45" s="196"/>
      <c r="LJ45" s="196"/>
      <c r="LK45" s="196"/>
      <c r="LL45" s="196"/>
      <c r="LM45" s="196"/>
      <c r="LN45" s="196"/>
      <c r="LO45" s="196"/>
      <c r="LP45" s="196"/>
      <c r="LQ45" s="196"/>
      <c r="LR45" s="196"/>
      <c r="LS45" s="196"/>
      <c r="LT45" s="196"/>
      <c r="LU45" s="196"/>
      <c r="LV45" s="196"/>
      <c r="LW45" s="196"/>
      <c r="LX45" s="196"/>
      <c r="LY45" s="196"/>
      <c r="LZ45" s="196"/>
      <c r="MA45" s="196"/>
      <c r="MB45" s="196"/>
      <c r="MC45" s="196"/>
      <c r="MD45" s="196"/>
      <c r="ME45" s="196"/>
      <c r="MF45" s="196"/>
      <c r="MG45" s="196"/>
      <c r="MH45" s="196"/>
      <c r="MI45" s="196"/>
      <c r="MJ45" s="196"/>
      <c r="MK45" s="196"/>
      <c r="ML45" s="196"/>
      <c r="MM45" s="196"/>
      <c r="MN45" s="196"/>
      <c r="MO45" s="196"/>
      <c r="MP45" s="196"/>
      <c r="MQ45" s="196"/>
      <c r="MR45" s="196"/>
      <c r="MS45" s="196"/>
      <c r="MT45" s="196"/>
      <c r="MU45" s="196"/>
      <c r="MV45" s="196"/>
      <c r="MW45" s="196"/>
      <c r="MX45" s="196"/>
      <c r="MY45" s="196"/>
      <c r="MZ45" s="196"/>
      <c r="NA45" s="196"/>
      <c r="NB45" s="196"/>
      <c r="NC45" s="196"/>
      <c r="ND45" s="196"/>
      <c r="NE45" s="196"/>
      <c r="NF45" s="196"/>
      <c r="NG45" s="196"/>
      <c r="NH45" s="196"/>
      <c r="NI45" s="196"/>
      <c r="NJ45" s="196"/>
      <c r="NK45" s="196"/>
      <c r="NL45" s="196"/>
      <c r="NM45" s="196"/>
      <c r="NN45" s="196"/>
      <c r="NO45" s="196"/>
      <c r="NP45" s="196"/>
      <c r="NQ45" s="196"/>
      <c r="NR45" s="196"/>
      <c r="NS45" s="196"/>
      <c r="NT45" s="196"/>
      <c r="NU45" s="196"/>
      <c r="NV45" s="196"/>
      <c r="NW45" s="196"/>
      <c r="NX45" s="196"/>
      <c r="NY45" s="196"/>
      <c r="NZ45" s="196"/>
      <c r="OA45" s="196"/>
    </row>
    <row r="46" spans="1:391" hidden="1">
      <c r="A46" s="372" t="s">
        <v>283</v>
      </c>
      <c r="B46" s="367">
        <f>IF(B$3&lt;=time,B19*(1+Economics!$B$4)^(B$3-$B$3)/((1+Economics!$B$3)^(B$3-$B$3)),"")</f>
        <v>0</v>
      </c>
      <c r="C46" s="367">
        <f>IF(C$3&lt;=time,C19*(1+Economics!$B$4)^(C$3-$B$3)/((1+Economics!$B$3)^(C$3-$B$3)),"")</f>
        <v>0</v>
      </c>
      <c r="D46" s="367">
        <f>IF(D$3&lt;=time,D19*(1+Economics!$B$4)^(D$3-$B$3)/((1+Economics!$B$3)^(D$3-$B$3)),"")</f>
        <v>0</v>
      </c>
      <c r="E46" s="367">
        <f>IF(E$3&lt;=time,E19*(1+Economics!$B$4)^(E$3-$B$3)/((1+Economics!$B$3)^(E$3-$B$3)),"")</f>
        <v>0</v>
      </c>
      <c r="F46" s="367">
        <f>IF(F$3&lt;=time,F19*(1+Economics!$B$4)^(F$3-$B$3)/((1+Economics!$B$3)^(F$3-$B$3)),"")</f>
        <v>0</v>
      </c>
      <c r="G46" s="367" t="str">
        <f>IF(G$3&lt;=time,G19*(1+Economics!$B$4)^(G$3-$B$3)/((1+Economics!$B$3)^(G$3-$B$3)),"")</f>
        <v/>
      </c>
      <c r="H46" s="367" t="str">
        <f>IF(H$3&lt;=time,H19*(1+Economics!$B$4)^(H$3-$B$3)/((1+Economics!$B$3)^(H$3-$B$3)),"")</f>
        <v/>
      </c>
      <c r="I46" s="367" t="str">
        <f>IF(I$3&lt;=time,I19*(1+Economics!$B$4)^(I$3-$B$3)/((1+Economics!$B$3)^(I$3-$B$3)),"")</f>
        <v/>
      </c>
      <c r="J46" s="367" t="str">
        <f>IF(J$3&lt;=time,J19*(1+Economics!$B$4)^(J$3-$B$3)/((1+Economics!$B$3)^(J$3-$B$3)),"")</f>
        <v/>
      </c>
      <c r="K46" s="367" t="str">
        <f>IF(K$3&lt;=time,K19*(1+Economics!$B$4)^(K$3-$B$3)/((1+Economics!$B$3)^(K$3-$B$3)),"")</f>
        <v/>
      </c>
      <c r="L46" s="367" t="str">
        <f>IF(L$3&lt;=time,L19*(1+Economics!$B$4)^(L$3-$B$3)/((1+Economics!$B$3)^(L$3-$B$3)),"")</f>
        <v/>
      </c>
      <c r="M46" s="367" t="str">
        <f>IF(M$3&lt;=time,M19*(1+Economics!$B$4)^(M$3-$B$3)/((1+Economics!$B$3)^(M$3-$B$3)),"")</f>
        <v/>
      </c>
      <c r="N46" s="367" t="str">
        <f>IF(N$3&lt;=time,N19*(1+Economics!$B$4)^(N$3-$B$3)/((1+Economics!$B$3)^(N$3-$B$3)),"")</f>
        <v/>
      </c>
      <c r="O46" s="367" t="str">
        <f>IF(O$3&lt;=time,O19*(1+Economics!$B$4)^(O$3-$B$3)/((1+Economics!$B$3)^(O$3-$B$3)),"")</f>
        <v/>
      </c>
      <c r="P46" s="367" t="str">
        <f>IF(P$3&lt;=time,P19*(1+Economics!$B$4)^(P$3-$B$3)/((1+Economics!$B$3)^(P$3-$B$3)),"")</f>
        <v/>
      </c>
      <c r="Q46" s="367" t="str">
        <f>IF(Q$3&lt;=time,Q19*(1+Economics!$B$4)^(Q$3-$B$3)/((1+Economics!$B$3)^(Q$3-$B$3)),"")</f>
        <v/>
      </c>
      <c r="R46" s="367" t="str">
        <f>IF(R$3&lt;=time,R19*(1+Economics!$B$4)^(R$3-$B$3)/((1+Economics!$B$3)^(R$3-$B$3)),"")</f>
        <v/>
      </c>
      <c r="S46" s="367" t="str">
        <f>IF(S$3&lt;=time,S19*(1+Economics!$B$4)^(S$3-$B$3)/((1+Economics!$B$3)^(S$3-$B$3)),"")</f>
        <v/>
      </c>
      <c r="T46" s="367" t="str">
        <f>IF(T$3&lt;=time,T19*(1+Economics!$B$4)^(T$3-$B$3)/((1+Economics!$B$3)^(T$3-$B$3)),"")</f>
        <v/>
      </c>
      <c r="U46" s="367" t="str">
        <f>IF(U$3&lt;=time,U19*(1+Economics!$B$4)^(U$3-$B$3)/((1+Economics!$B$3)^(U$3-$B$3)),"")</f>
        <v/>
      </c>
      <c r="V46" s="367" t="str">
        <f>IF(V$3&lt;=time,V19*(1+Economics!$B$4)^(V$3-$B$3)/((1+Economics!$B$3)^(V$3-$B$3)),"")</f>
        <v/>
      </c>
      <c r="W46" s="367" t="str">
        <f>IF(W$3&lt;=time,W19*(1+Economics!$B$4)^(W$3-$B$3)/((1+Economics!$B$3)^(W$3-$B$3)),"")</f>
        <v/>
      </c>
      <c r="X46" s="367" t="str">
        <f>IF(X$3&lt;=time,X19*(1+Economics!$B$4)^(X$3-$B$3)/((1+Economics!$B$3)^(X$3-$B$3)),"")</f>
        <v/>
      </c>
      <c r="Y46" s="367" t="str">
        <f>IF(Y$3&lt;=time,Y19*(1+Economics!$B$4)^(Y$3-$B$3)/((1+Economics!$B$3)^(Y$3-$B$3)),"")</f>
        <v/>
      </c>
      <c r="Z46" s="367" t="str">
        <f>IF(Z$3&lt;=time,Z19*(1+Economics!$B$4)^(Z$3-$B$3)/((1+Economics!$B$3)^(Z$3-$B$3)),"")</f>
        <v/>
      </c>
      <c r="AA46" s="367">
        <f t="shared" si="9"/>
        <v>0</v>
      </c>
      <c r="AB46" s="368">
        <f t="shared" si="10"/>
        <v>0</v>
      </c>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196"/>
      <c r="BQ46" s="196"/>
      <c r="BR46" s="196"/>
      <c r="BS46" s="196"/>
      <c r="BT46" s="196"/>
      <c r="BU46" s="196"/>
      <c r="BV46" s="196"/>
      <c r="BW46" s="196"/>
      <c r="BX46" s="196"/>
      <c r="BY46" s="196"/>
      <c r="BZ46" s="196"/>
      <c r="CA46" s="196"/>
      <c r="CB46" s="196"/>
      <c r="CC46" s="196"/>
      <c r="CD46" s="196"/>
      <c r="CE46" s="196"/>
      <c r="CF46" s="196"/>
      <c r="CG46" s="196"/>
      <c r="CH46" s="196"/>
      <c r="CI46" s="196"/>
      <c r="CJ46" s="196"/>
      <c r="CK46" s="196"/>
      <c r="CL46" s="196"/>
      <c r="CM46" s="196"/>
      <c r="CN46" s="196"/>
      <c r="CO46" s="196"/>
      <c r="CP46" s="196"/>
      <c r="CQ46" s="196"/>
      <c r="CR46" s="196"/>
      <c r="CS46" s="196"/>
      <c r="CT46" s="196"/>
      <c r="CU46" s="196"/>
      <c r="CV46" s="196"/>
      <c r="CW46" s="196"/>
      <c r="CX46" s="196"/>
      <c r="CY46" s="196"/>
      <c r="CZ46" s="196"/>
      <c r="DA46" s="196"/>
      <c r="DB46" s="196"/>
      <c r="DC46" s="196"/>
      <c r="DD46" s="196"/>
      <c r="DE46" s="196"/>
      <c r="DF46" s="196"/>
      <c r="DG46" s="196"/>
      <c r="DH46" s="196"/>
      <c r="DI46" s="196"/>
      <c r="DJ46" s="196"/>
      <c r="DK46" s="196"/>
      <c r="DL46" s="196"/>
      <c r="DM46" s="196"/>
      <c r="DN46" s="196"/>
      <c r="DO46" s="196"/>
      <c r="DP46" s="196"/>
      <c r="DQ46" s="196"/>
      <c r="DR46" s="196"/>
      <c r="DS46" s="196"/>
      <c r="DT46" s="196"/>
      <c r="DU46" s="196"/>
      <c r="DV46" s="196"/>
      <c r="DW46" s="196"/>
      <c r="DX46" s="196"/>
      <c r="DY46" s="196"/>
      <c r="DZ46" s="196"/>
      <c r="EA46" s="196"/>
      <c r="EB46" s="196"/>
      <c r="EC46" s="196"/>
      <c r="ED46" s="196"/>
      <c r="EE46" s="196"/>
      <c r="EF46" s="196"/>
      <c r="EG46" s="196"/>
      <c r="EH46" s="196"/>
      <c r="EI46" s="196"/>
      <c r="EJ46" s="196"/>
      <c r="EK46" s="196"/>
      <c r="EL46" s="196"/>
      <c r="EM46" s="196"/>
      <c r="EN46" s="196"/>
      <c r="EO46" s="196"/>
      <c r="EP46" s="196"/>
      <c r="EQ46" s="196"/>
      <c r="ER46" s="196"/>
      <c r="ES46" s="196"/>
      <c r="ET46" s="196"/>
      <c r="EU46" s="196"/>
      <c r="EV46" s="196"/>
      <c r="EW46" s="196"/>
      <c r="EX46" s="196"/>
      <c r="EY46" s="196"/>
      <c r="EZ46" s="196"/>
      <c r="FA46" s="196"/>
      <c r="FB46" s="196"/>
      <c r="FC46" s="196"/>
      <c r="FD46" s="196"/>
      <c r="FE46" s="196"/>
      <c r="FF46" s="196"/>
      <c r="FG46" s="196"/>
      <c r="FH46" s="196"/>
      <c r="FI46" s="196"/>
      <c r="FJ46" s="196"/>
      <c r="FK46" s="196"/>
      <c r="FL46" s="196"/>
      <c r="FM46" s="196"/>
      <c r="FN46" s="196"/>
      <c r="FO46" s="196"/>
      <c r="FP46" s="196"/>
      <c r="FQ46" s="196"/>
      <c r="FR46" s="196"/>
      <c r="FS46" s="196"/>
      <c r="FT46" s="196"/>
      <c r="FU46" s="196"/>
      <c r="FV46" s="196"/>
      <c r="FW46" s="196"/>
      <c r="FX46" s="196"/>
      <c r="FY46" s="196"/>
      <c r="FZ46" s="196"/>
      <c r="GA46" s="196"/>
      <c r="GB46" s="196"/>
      <c r="GC46" s="196"/>
      <c r="GD46" s="196"/>
      <c r="GE46" s="196"/>
      <c r="GF46" s="196"/>
      <c r="GG46" s="196"/>
      <c r="GH46" s="196"/>
      <c r="GI46" s="196"/>
      <c r="GJ46" s="196"/>
      <c r="GK46" s="196"/>
      <c r="GL46" s="196"/>
      <c r="GM46" s="196"/>
      <c r="GN46" s="196"/>
      <c r="GO46" s="196"/>
      <c r="GP46" s="196"/>
      <c r="GQ46" s="196"/>
      <c r="GR46" s="196"/>
      <c r="GS46" s="196"/>
      <c r="GT46" s="196"/>
      <c r="GU46" s="196"/>
      <c r="GV46" s="196"/>
      <c r="GW46" s="196"/>
      <c r="GX46" s="196"/>
      <c r="GY46" s="196"/>
      <c r="GZ46" s="196"/>
      <c r="HA46" s="196"/>
      <c r="HB46" s="196"/>
      <c r="HC46" s="196"/>
      <c r="HD46" s="196"/>
      <c r="HE46" s="196"/>
      <c r="HF46" s="196"/>
      <c r="HG46" s="196"/>
      <c r="HH46" s="196"/>
      <c r="HI46" s="196"/>
      <c r="HJ46" s="196"/>
      <c r="HK46" s="196"/>
      <c r="HL46" s="196"/>
      <c r="HM46" s="196"/>
      <c r="HN46" s="196"/>
      <c r="HO46" s="196"/>
      <c r="HP46" s="196"/>
      <c r="HQ46" s="196"/>
      <c r="HR46" s="196"/>
      <c r="HS46" s="196"/>
      <c r="HT46" s="196"/>
      <c r="HU46" s="196"/>
      <c r="HV46" s="196"/>
      <c r="HW46" s="196"/>
      <c r="HX46" s="196"/>
      <c r="HY46" s="196"/>
      <c r="HZ46" s="196"/>
      <c r="IA46" s="196"/>
      <c r="IB46" s="196"/>
      <c r="IC46" s="196"/>
      <c r="ID46" s="196"/>
      <c r="IE46" s="196"/>
      <c r="IF46" s="196"/>
      <c r="IG46" s="196"/>
      <c r="IH46" s="196"/>
      <c r="II46" s="196"/>
      <c r="IJ46" s="196"/>
      <c r="IK46" s="196"/>
      <c r="IL46" s="196"/>
      <c r="IM46" s="196"/>
      <c r="IN46" s="196"/>
      <c r="IO46" s="196"/>
      <c r="IP46" s="196"/>
      <c r="IQ46" s="196"/>
      <c r="IR46" s="196"/>
      <c r="IS46" s="196"/>
      <c r="IT46" s="196"/>
      <c r="IU46" s="196"/>
      <c r="IV46" s="196"/>
      <c r="IW46" s="196"/>
      <c r="IX46" s="196"/>
      <c r="IY46" s="196"/>
      <c r="IZ46" s="196"/>
      <c r="JA46" s="196"/>
      <c r="JB46" s="196"/>
      <c r="JC46" s="196"/>
      <c r="JD46" s="196"/>
      <c r="JE46" s="196"/>
      <c r="JF46" s="196"/>
      <c r="JG46" s="196"/>
      <c r="JH46" s="196"/>
      <c r="JI46" s="196"/>
      <c r="JJ46" s="196"/>
      <c r="JK46" s="196"/>
      <c r="JL46" s="196"/>
      <c r="JM46" s="196"/>
      <c r="JN46" s="196"/>
      <c r="JO46" s="196"/>
      <c r="JP46" s="196"/>
      <c r="JQ46" s="196"/>
      <c r="JR46" s="196"/>
      <c r="JS46" s="196"/>
      <c r="JT46" s="196"/>
      <c r="JU46" s="196"/>
      <c r="JV46" s="196"/>
      <c r="JW46" s="196"/>
      <c r="JX46" s="196"/>
      <c r="JY46" s="196"/>
      <c r="JZ46" s="196"/>
      <c r="KA46" s="196"/>
      <c r="KB46" s="196"/>
      <c r="KC46" s="196"/>
      <c r="KD46" s="196"/>
      <c r="KE46" s="196"/>
      <c r="KF46" s="196"/>
      <c r="KG46" s="196"/>
      <c r="KH46" s="196"/>
      <c r="KI46" s="196"/>
      <c r="KJ46" s="196"/>
      <c r="KK46" s="196"/>
      <c r="KL46" s="196"/>
      <c r="KM46" s="196"/>
      <c r="KN46" s="196"/>
      <c r="KO46" s="196"/>
      <c r="KP46" s="196"/>
      <c r="KQ46" s="196"/>
      <c r="KR46" s="196"/>
      <c r="KS46" s="196"/>
      <c r="KT46" s="196"/>
      <c r="KU46" s="196"/>
      <c r="KV46" s="196"/>
      <c r="KW46" s="196"/>
      <c r="KX46" s="196"/>
      <c r="KY46" s="196"/>
      <c r="KZ46" s="196"/>
      <c r="LA46" s="196"/>
      <c r="LB46" s="196"/>
      <c r="LC46" s="196"/>
      <c r="LD46" s="196"/>
      <c r="LE46" s="196"/>
      <c r="LF46" s="196"/>
      <c r="LG46" s="196"/>
      <c r="LH46" s="196"/>
      <c r="LI46" s="196"/>
      <c r="LJ46" s="196"/>
      <c r="LK46" s="196"/>
      <c r="LL46" s="196"/>
      <c r="LM46" s="196"/>
      <c r="LN46" s="196"/>
      <c r="LO46" s="196"/>
      <c r="LP46" s="196"/>
      <c r="LQ46" s="196"/>
      <c r="LR46" s="196"/>
      <c r="LS46" s="196"/>
      <c r="LT46" s="196"/>
      <c r="LU46" s="196"/>
      <c r="LV46" s="196"/>
      <c r="LW46" s="196"/>
      <c r="LX46" s="196"/>
      <c r="LY46" s="196"/>
      <c r="LZ46" s="196"/>
      <c r="MA46" s="196"/>
      <c r="MB46" s="196"/>
      <c r="MC46" s="196"/>
      <c r="MD46" s="196"/>
      <c r="ME46" s="196"/>
      <c r="MF46" s="196"/>
      <c r="MG46" s="196"/>
      <c r="MH46" s="196"/>
      <c r="MI46" s="196"/>
      <c r="MJ46" s="196"/>
      <c r="MK46" s="196"/>
      <c r="ML46" s="196"/>
      <c r="MM46" s="196"/>
      <c r="MN46" s="196"/>
      <c r="MO46" s="196"/>
      <c r="MP46" s="196"/>
      <c r="MQ46" s="196"/>
      <c r="MR46" s="196"/>
      <c r="MS46" s="196"/>
      <c r="MT46" s="196"/>
      <c r="MU46" s="196"/>
      <c r="MV46" s="196"/>
      <c r="MW46" s="196"/>
      <c r="MX46" s="196"/>
      <c r="MY46" s="196"/>
      <c r="MZ46" s="196"/>
      <c r="NA46" s="196"/>
      <c r="NB46" s="196"/>
      <c r="NC46" s="196"/>
      <c r="ND46" s="196"/>
      <c r="NE46" s="196"/>
      <c r="NF46" s="196"/>
      <c r="NG46" s="196"/>
      <c r="NH46" s="196"/>
      <c r="NI46" s="196"/>
      <c r="NJ46" s="196"/>
      <c r="NK46" s="196"/>
      <c r="NL46" s="196"/>
      <c r="NM46" s="196"/>
      <c r="NN46" s="196"/>
      <c r="NO46" s="196"/>
      <c r="NP46" s="196"/>
      <c r="NQ46" s="196"/>
      <c r="NR46" s="196"/>
      <c r="NS46" s="196"/>
      <c r="NT46" s="196"/>
      <c r="NU46" s="196"/>
      <c r="NV46" s="196"/>
      <c r="NW46" s="196"/>
      <c r="NX46" s="196"/>
      <c r="NY46" s="196"/>
      <c r="NZ46" s="196"/>
      <c r="OA46" s="196"/>
    </row>
    <row r="47" spans="1:391" hidden="1">
      <c r="A47" s="372" t="s">
        <v>192</v>
      </c>
      <c r="B47" s="367">
        <f>IF(B$3&lt;=time,B20*(1+Economics!$B$4)^(B$3-$B$3)/((1+Economics!$B$3)^(B$3-$B$3)),"")</f>
        <v>0</v>
      </c>
      <c r="C47" s="367">
        <f>IF(C$3&lt;=time,C20*(1+Economics!$B$4)^(C$3-$B$3)/((1+Economics!$B$3)^(C$3-$B$3)),"")</f>
        <v>0</v>
      </c>
      <c r="D47" s="367">
        <f>IF(D$3&lt;=time,D20*(1+Economics!$B$4)^(D$3-$B$3)/((1+Economics!$B$3)^(D$3-$B$3)),"")</f>
        <v>0</v>
      </c>
      <c r="E47" s="367">
        <f>IF(E$3&lt;=time,E20*(1+Economics!$B$4)^(E$3-$B$3)/((1+Economics!$B$3)^(E$3-$B$3)),"")</f>
        <v>0</v>
      </c>
      <c r="F47" s="367">
        <f>IF(F$3&lt;=time,F20*(1+Economics!$B$4)^(F$3-$B$3)/((1+Economics!$B$3)^(F$3-$B$3)),"")</f>
        <v>0</v>
      </c>
      <c r="G47" s="367" t="str">
        <f>IF(G$3&lt;=time,G20*(1+Economics!$B$4)^(G$3-$B$3)/((1+Economics!$B$3)^(G$3-$B$3)),"")</f>
        <v/>
      </c>
      <c r="H47" s="367" t="str">
        <f>IF(H$3&lt;=time,H20*(1+Economics!$B$4)^(H$3-$B$3)/((1+Economics!$B$3)^(H$3-$B$3)),"")</f>
        <v/>
      </c>
      <c r="I47" s="367" t="str">
        <f>IF(I$3&lt;=time,I20*(1+Economics!$B$4)^(I$3-$B$3)/((1+Economics!$B$3)^(I$3-$B$3)),"")</f>
        <v/>
      </c>
      <c r="J47" s="367" t="str">
        <f>IF(J$3&lt;=time,J20*(1+Economics!$B$4)^(J$3-$B$3)/((1+Economics!$B$3)^(J$3-$B$3)),"")</f>
        <v/>
      </c>
      <c r="K47" s="367" t="str">
        <f>IF(K$3&lt;=time,K20*(1+Economics!$B$4)^(K$3-$B$3)/((1+Economics!$B$3)^(K$3-$B$3)),"")</f>
        <v/>
      </c>
      <c r="L47" s="367" t="str">
        <f>IF(L$3&lt;=time,L20*(1+Economics!$B$4)^(L$3-$B$3)/((1+Economics!$B$3)^(L$3-$B$3)),"")</f>
        <v/>
      </c>
      <c r="M47" s="367" t="str">
        <f>IF(M$3&lt;=time,M20*(1+Economics!$B$4)^(M$3-$B$3)/((1+Economics!$B$3)^(M$3-$B$3)),"")</f>
        <v/>
      </c>
      <c r="N47" s="367" t="str">
        <f>IF(N$3&lt;=time,N20*(1+Economics!$B$4)^(N$3-$B$3)/((1+Economics!$B$3)^(N$3-$B$3)),"")</f>
        <v/>
      </c>
      <c r="O47" s="367" t="str">
        <f>IF(O$3&lt;=time,O20*(1+Economics!$B$4)^(O$3-$B$3)/((1+Economics!$B$3)^(O$3-$B$3)),"")</f>
        <v/>
      </c>
      <c r="P47" s="367" t="str">
        <f>IF(P$3&lt;=time,P20*(1+Economics!$B$4)^(P$3-$B$3)/((1+Economics!$B$3)^(P$3-$B$3)),"")</f>
        <v/>
      </c>
      <c r="Q47" s="367" t="str">
        <f>IF(Q$3&lt;=time,Q20*(1+Economics!$B$4)^(Q$3-$B$3)/((1+Economics!$B$3)^(Q$3-$B$3)),"")</f>
        <v/>
      </c>
      <c r="R47" s="367" t="str">
        <f>IF(R$3&lt;=time,R20*(1+Economics!$B$4)^(R$3-$B$3)/((1+Economics!$B$3)^(R$3-$B$3)),"")</f>
        <v/>
      </c>
      <c r="S47" s="367" t="str">
        <f>IF(S$3&lt;=time,S20*(1+Economics!$B$4)^(S$3-$B$3)/((1+Economics!$B$3)^(S$3-$B$3)),"")</f>
        <v/>
      </c>
      <c r="T47" s="367" t="str">
        <f>IF(T$3&lt;=time,T20*(1+Economics!$B$4)^(T$3-$B$3)/((1+Economics!$B$3)^(T$3-$B$3)),"")</f>
        <v/>
      </c>
      <c r="U47" s="367" t="str">
        <f>IF(U$3&lt;=time,U20*(1+Economics!$B$4)^(U$3-$B$3)/((1+Economics!$B$3)^(U$3-$B$3)),"")</f>
        <v/>
      </c>
      <c r="V47" s="367" t="str">
        <f>IF(V$3&lt;=time,V20*(1+Economics!$B$4)^(V$3-$B$3)/((1+Economics!$B$3)^(V$3-$B$3)),"")</f>
        <v/>
      </c>
      <c r="W47" s="367" t="str">
        <f>IF(W$3&lt;=time,W20*(1+Economics!$B$4)^(W$3-$B$3)/((1+Economics!$B$3)^(W$3-$B$3)),"")</f>
        <v/>
      </c>
      <c r="X47" s="367" t="str">
        <f>IF(X$3&lt;=time,X20*(1+Economics!$B$4)^(X$3-$B$3)/((1+Economics!$B$3)^(X$3-$B$3)),"")</f>
        <v/>
      </c>
      <c r="Y47" s="367" t="str">
        <f>IF(Y$3&lt;=time,Y20*(1+Economics!$B$4)^(Y$3-$B$3)/((1+Economics!$B$3)^(Y$3-$B$3)),"")</f>
        <v/>
      </c>
      <c r="Z47" s="367" t="str">
        <f>IF(Z$3&lt;=time,Z20*(1+Economics!$B$4)^(Z$3-$B$3)/((1+Economics!$B$3)^(Z$3-$B$3)),"")</f>
        <v/>
      </c>
      <c r="AA47" s="367">
        <f t="shared" si="9"/>
        <v>0</v>
      </c>
      <c r="AB47" s="368">
        <f t="shared" si="10"/>
        <v>0</v>
      </c>
      <c r="AC47" s="196"/>
      <c r="AD47" s="196"/>
      <c r="AE47" s="196"/>
      <c r="AF47" s="196"/>
      <c r="AG47" s="196"/>
      <c r="AH47" s="196"/>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196"/>
      <c r="BN47" s="196"/>
      <c r="BO47" s="196"/>
      <c r="BP47" s="196"/>
      <c r="BQ47" s="196"/>
      <c r="BR47" s="196"/>
      <c r="BS47" s="196"/>
      <c r="BT47" s="196"/>
      <c r="BU47" s="196"/>
      <c r="BV47" s="196"/>
      <c r="BW47" s="196"/>
      <c r="BX47" s="196"/>
      <c r="BY47" s="196"/>
      <c r="BZ47" s="196"/>
      <c r="CA47" s="196"/>
      <c r="CB47" s="196"/>
      <c r="CC47" s="196"/>
      <c r="CD47" s="196"/>
      <c r="CE47" s="196"/>
      <c r="CF47" s="196"/>
      <c r="CG47" s="196"/>
      <c r="CH47" s="196"/>
      <c r="CI47" s="196"/>
      <c r="CJ47" s="196"/>
      <c r="CK47" s="196"/>
      <c r="CL47" s="196"/>
      <c r="CM47" s="196"/>
      <c r="CN47" s="196"/>
      <c r="CO47" s="196"/>
      <c r="CP47" s="196"/>
      <c r="CQ47" s="196"/>
      <c r="CR47" s="196"/>
      <c r="CS47" s="196"/>
      <c r="CT47" s="196"/>
      <c r="CU47" s="196"/>
      <c r="CV47" s="196"/>
      <c r="CW47" s="196"/>
      <c r="CX47" s="196"/>
      <c r="CY47" s="196"/>
      <c r="CZ47" s="196"/>
      <c r="DA47" s="196"/>
      <c r="DB47" s="196"/>
      <c r="DC47" s="196"/>
      <c r="DD47" s="196"/>
      <c r="DE47" s="196"/>
      <c r="DF47" s="196"/>
      <c r="DG47" s="196"/>
      <c r="DH47" s="196"/>
      <c r="DI47" s="196"/>
      <c r="DJ47" s="196"/>
      <c r="DK47" s="196"/>
      <c r="DL47" s="196"/>
      <c r="DM47" s="196"/>
      <c r="DN47" s="196"/>
      <c r="DO47" s="196"/>
      <c r="DP47" s="196"/>
      <c r="DQ47" s="196"/>
      <c r="DR47" s="196"/>
      <c r="DS47" s="196"/>
      <c r="DT47" s="196"/>
      <c r="DU47" s="196"/>
      <c r="DV47" s="196"/>
      <c r="DW47" s="196"/>
      <c r="DX47" s="196"/>
      <c r="DY47" s="196"/>
      <c r="DZ47" s="196"/>
      <c r="EA47" s="196"/>
      <c r="EB47" s="196"/>
      <c r="EC47" s="196"/>
      <c r="ED47" s="196"/>
      <c r="EE47" s="196"/>
      <c r="EF47" s="196"/>
      <c r="EG47" s="196"/>
      <c r="EH47" s="196"/>
      <c r="EI47" s="196"/>
      <c r="EJ47" s="196"/>
      <c r="EK47" s="196"/>
      <c r="EL47" s="196"/>
      <c r="EM47" s="196"/>
      <c r="EN47" s="196"/>
      <c r="EO47" s="196"/>
      <c r="EP47" s="196"/>
      <c r="EQ47" s="196"/>
      <c r="ER47" s="196"/>
      <c r="ES47" s="196"/>
      <c r="ET47" s="196"/>
      <c r="EU47" s="196"/>
      <c r="EV47" s="196"/>
      <c r="EW47" s="196"/>
      <c r="EX47" s="196"/>
      <c r="EY47" s="196"/>
      <c r="EZ47" s="196"/>
      <c r="FA47" s="196"/>
      <c r="FB47" s="196"/>
      <c r="FC47" s="196"/>
      <c r="FD47" s="196"/>
      <c r="FE47" s="196"/>
      <c r="FF47" s="196"/>
      <c r="FG47" s="196"/>
      <c r="FH47" s="196"/>
      <c r="FI47" s="196"/>
      <c r="FJ47" s="196"/>
      <c r="FK47" s="196"/>
      <c r="FL47" s="196"/>
      <c r="FM47" s="196"/>
      <c r="FN47" s="196"/>
      <c r="FO47" s="196"/>
      <c r="FP47" s="196"/>
      <c r="FQ47" s="196"/>
      <c r="FR47" s="196"/>
      <c r="FS47" s="196"/>
      <c r="FT47" s="196"/>
      <c r="FU47" s="196"/>
      <c r="FV47" s="196"/>
      <c r="FW47" s="196"/>
      <c r="FX47" s="196"/>
      <c r="FY47" s="196"/>
      <c r="FZ47" s="196"/>
      <c r="GA47" s="196"/>
      <c r="GB47" s="196"/>
      <c r="GC47" s="196"/>
      <c r="GD47" s="196"/>
      <c r="GE47" s="196"/>
      <c r="GF47" s="196"/>
      <c r="GG47" s="196"/>
      <c r="GH47" s="196"/>
      <c r="GI47" s="196"/>
      <c r="GJ47" s="196"/>
      <c r="GK47" s="196"/>
      <c r="GL47" s="196"/>
      <c r="GM47" s="196"/>
      <c r="GN47" s="196"/>
      <c r="GO47" s="196"/>
      <c r="GP47" s="196"/>
      <c r="GQ47" s="196"/>
      <c r="GR47" s="196"/>
      <c r="GS47" s="196"/>
      <c r="GT47" s="196"/>
      <c r="GU47" s="196"/>
      <c r="GV47" s="196"/>
      <c r="GW47" s="196"/>
      <c r="GX47" s="196"/>
      <c r="GY47" s="196"/>
      <c r="GZ47" s="196"/>
      <c r="HA47" s="196"/>
      <c r="HB47" s="196"/>
      <c r="HC47" s="196"/>
      <c r="HD47" s="196"/>
      <c r="HE47" s="196"/>
      <c r="HF47" s="196"/>
      <c r="HG47" s="196"/>
      <c r="HH47" s="196"/>
      <c r="HI47" s="196"/>
      <c r="HJ47" s="196"/>
      <c r="HK47" s="196"/>
      <c r="HL47" s="196"/>
      <c r="HM47" s="196"/>
      <c r="HN47" s="196"/>
      <c r="HO47" s="196"/>
      <c r="HP47" s="196"/>
      <c r="HQ47" s="196"/>
      <c r="HR47" s="196"/>
      <c r="HS47" s="196"/>
      <c r="HT47" s="196"/>
      <c r="HU47" s="196"/>
      <c r="HV47" s="196"/>
      <c r="HW47" s="196"/>
      <c r="HX47" s="196"/>
      <c r="HY47" s="196"/>
      <c r="HZ47" s="196"/>
      <c r="IA47" s="196"/>
      <c r="IB47" s="196"/>
      <c r="IC47" s="196"/>
      <c r="ID47" s="196"/>
      <c r="IE47" s="196"/>
      <c r="IF47" s="196"/>
      <c r="IG47" s="196"/>
      <c r="IH47" s="196"/>
      <c r="II47" s="196"/>
      <c r="IJ47" s="196"/>
      <c r="IK47" s="196"/>
      <c r="IL47" s="196"/>
      <c r="IM47" s="196"/>
      <c r="IN47" s="196"/>
      <c r="IO47" s="196"/>
      <c r="IP47" s="196"/>
      <c r="IQ47" s="196"/>
      <c r="IR47" s="196"/>
      <c r="IS47" s="196"/>
      <c r="IT47" s="196"/>
      <c r="IU47" s="196"/>
      <c r="IV47" s="196"/>
      <c r="IW47" s="196"/>
      <c r="IX47" s="196"/>
      <c r="IY47" s="196"/>
      <c r="IZ47" s="196"/>
      <c r="JA47" s="196"/>
      <c r="JB47" s="196"/>
      <c r="JC47" s="196"/>
      <c r="JD47" s="196"/>
      <c r="JE47" s="196"/>
      <c r="JF47" s="196"/>
      <c r="JG47" s="196"/>
      <c r="JH47" s="196"/>
      <c r="JI47" s="196"/>
      <c r="JJ47" s="196"/>
      <c r="JK47" s="196"/>
      <c r="JL47" s="196"/>
      <c r="JM47" s="196"/>
      <c r="JN47" s="196"/>
      <c r="JO47" s="196"/>
      <c r="JP47" s="196"/>
      <c r="JQ47" s="196"/>
      <c r="JR47" s="196"/>
      <c r="JS47" s="196"/>
      <c r="JT47" s="196"/>
      <c r="JU47" s="196"/>
      <c r="JV47" s="196"/>
      <c r="JW47" s="196"/>
      <c r="JX47" s="196"/>
      <c r="JY47" s="196"/>
      <c r="JZ47" s="196"/>
      <c r="KA47" s="196"/>
      <c r="KB47" s="196"/>
      <c r="KC47" s="196"/>
      <c r="KD47" s="196"/>
      <c r="KE47" s="196"/>
      <c r="KF47" s="196"/>
      <c r="KG47" s="196"/>
      <c r="KH47" s="196"/>
      <c r="KI47" s="196"/>
      <c r="KJ47" s="196"/>
      <c r="KK47" s="196"/>
      <c r="KL47" s="196"/>
      <c r="KM47" s="196"/>
      <c r="KN47" s="196"/>
      <c r="KO47" s="196"/>
      <c r="KP47" s="196"/>
      <c r="KQ47" s="196"/>
      <c r="KR47" s="196"/>
      <c r="KS47" s="196"/>
      <c r="KT47" s="196"/>
      <c r="KU47" s="196"/>
      <c r="KV47" s="196"/>
      <c r="KW47" s="196"/>
      <c r="KX47" s="196"/>
      <c r="KY47" s="196"/>
      <c r="KZ47" s="196"/>
      <c r="LA47" s="196"/>
      <c r="LB47" s="196"/>
      <c r="LC47" s="196"/>
      <c r="LD47" s="196"/>
      <c r="LE47" s="196"/>
      <c r="LF47" s="196"/>
      <c r="LG47" s="196"/>
      <c r="LH47" s="196"/>
      <c r="LI47" s="196"/>
      <c r="LJ47" s="196"/>
      <c r="LK47" s="196"/>
      <c r="LL47" s="196"/>
      <c r="LM47" s="196"/>
      <c r="LN47" s="196"/>
      <c r="LO47" s="196"/>
      <c r="LP47" s="196"/>
      <c r="LQ47" s="196"/>
      <c r="LR47" s="196"/>
      <c r="LS47" s="196"/>
      <c r="LT47" s="196"/>
      <c r="LU47" s="196"/>
      <c r="LV47" s="196"/>
      <c r="LW47" s="196"/>
      <c r="LX47" s="196"/>
      <c r="LY47" s="196"/>
      <c r="LZ47" s="196"/>
      <c r="MA47" s="196"/>
      <c r="MB47" s="196"/>
      <c r="MC47" s="196"/>
      <c r="MD47" s="196"/>
      <c r="ME47" s="196"/>
      <c r="MF47" s="196"/>
      <c r="MG47" s="196"/>
      <c r="MH47" s="196"/>
      <c r="MI47" s="196"/>
      <c r="MJ47" s="196"/>
      <c r="MK47" s="196"/>
      <c r="ML47" s="196"/>
      <c r="MM47" s="196"/>
      <c r="MN47" s="196"/>
      <c r="MO47" s="196"/>
      <c r="MP47" s="196"/>
      <c r="MQ47" s="196"/>
      <c r="MR47" s="196"/>
      <c r="MS47" s="196"/>
      <c r="MT47" s="196"/>
      <c r="MU47" s="196"/>
      <c r="MV47" s="196"/>
      <c r="MW47" s="196"/>
      <c r="MX47" s="196"/>
      <c r="MY47" s="196"/>
      <c r="MZ47" s="196"/>
      <c r="NA47" s="196"/>
      <c r="NB47" s="196"/>
      <c r="NC47" s="196"/>
      <c r="ND47" s="196"/>
      <c r="NE47" s="196"/>
      <c r="NF47" s="196"/>
      <c r="NG47" s="196"/>
      <c r="NH47" s="196"/>
      <c r="NI47" s="196"/>
      <c r="NJ47" s="196"/>
      <c r="NK47" s="196"/>
      <c r="NL47" s="196"/>
      <c r="NM47" s="196"/>
      <c r="NN47" s="196"/>
      <c r="NO47" s="196"/>
      <c r="NP47" s="196"/>
      <c r="NQ47" s="196"/>
      <c r="NR47" s="196"/>
      <c r="NS47" s="196"/>
      <c r="NT47" s="196"/>
      <c r="NU47" s="196"/>
      <c r="NV47" s="196"/>
      <c r="NW47" s="196"/>
      <c r="NX47" s="196"/>
      <c r="NY47" s="196"/>
      <c r="NZ47" s="196"/>
      <c r="OA47" s="196"/>
    </row>
    <row r="48" spans="1:391" hidden="1">
      <c r="A48" s="372" t="s">
        <v>193</v>
      </c>
      <c r="B48" s="367">
        <f>IF(B$3&lt;=time,B24*(1+Economics!$B$4)^(B$3-$B$3)/((1+Economics!$B$3)^(B$3-$B$3)),"")</f>
        <v>0</v>
      </c>
      <c r="C48" s="367">
        <f>IF(C$3&lt;=time,C24*(1+Economics!$B$4)^(C$3-$B$3)/((1+Economics!$B$3)^(C$3-$B$3)),"")</f>
        <v>0</v>
      </c>
      <c r="D48" s="367">
        <f>IF(D$3&lt;=time,D24*(1+Economics!$B$4)^(D$3-$B$3)/((1+Economics!$B$3)^(D$3-$B$3)),"")</f>
        <v>0</v>
      </c>
      <c r="E48" s="367">
        <f>IF(E$3&lt;=time,E24*(1+Economics!$B$4)^(E$3-$B$3)/((1+Economics!$B$3)^(E$3-$B$3)),"")</f>
        <v>0</v>
      </c>
      <c r="F48" s="367">
        <f>IF(F$3&lt;=time,F24*(1+Economics!$B$4)^(F$3-$B$3)/((1+Economics!$B$3)^(F$3-$B$3)),"")</f>
        <v>0</v>
      </c>
      <c r="G48" s="367" t="str">
        <f>IF(G$3&lt;=time,G24*(1+Economics!$B$4)^(G$3-$B$3)/((1+Economics!$B$3)^(G$3-$B$3)),"")</f>
        <v/>
      </c>
      <c r="H48" s="367" t="str">
        <f>IF(H$3&lt;=time,H24*(1+Economics!$B$4)^(H$3-$B$3)/((1+Economics!$B$3)^(H$3-$B$3)),"")</f>
        <v/>
      </c>
      <c r="I48" s="367" t="str">
        <f>IF(I$3&lt;=time,I24*(1+Economics!$B$4)^(I$3-$B$3)/((1+Economics!$B$3)^(I$3-$B$3)),"")</f>
        <v/>
      </c>
      <c r="J48" s="367" t="str">
        <f>IF(J$3&lt;=time,J24*(1+Economics!$B$4)^(J$3-$B$3)/((1+Economics!$B$3)^(J$3-$B$3)),"")</f>
        <v/>
      </c>
      <c r="K48" s="367" t="str">
        <f>IF(K$3&lt;=time,K24*(1+Economics!$B$4)^(K$3-$B$3)/((1+Economics!$B$3)^(K$3-$B$3)),"")</f>
        <v/>
      </c>
      <c r="L48" s="367" t="str">
        <f>IF(L$3&lt;=time,L24*(1+Economics!$B$4)^(L$3-$B$3)/((1+Economics!$B$3)^(L$3-$B$3)),"")</f>
        <v/>
      </c>
      <c r="M48" s="367" t="str">
        <f>IF(M$3&lt;=time,M24*(1+Economics!$B$4)^(M$3-$B$3)/((1+Economics!$B$3)^(M$3-$B$3)),"")</f>
        <v/>
      </c>
      <c r="N48" s="367" t="str">
        <f>IF(N$3&lt;=time,N24*(1+Economics!$B$4)^(N$3-$B$3)/((1+Economics!$B$3)^(N$3-$B$3)),"")</f>
        <v/>
      </c>
      <c r="O48" s="367" t="str">
        <f>IF(O$3&lt;=time,O24*(1+Economics!$B$4)^(O$3-$B$3)/((1+Economics!$B$3)^(O$3-$B$3)),"")</f>
        <v/>
      </c>
      <c r="P48" s="367" t="str">
        <f>IF(P$3&lt;=time,P24*(1+Economics!$B$4)^(P$3-$B$3)/((1+Economics!$B$3)^(P$3-$B$3)),"")</f>
        <v/>
      </c>
      <c r="Q48" s="367" t="str">
        <f>IF(Q$3&lt;=time,Q24*(1+Economics!$B$4)^(Q$3-$B$3)/((1+Economics!$B$3)^(Q$3-$B$3)),"")</f>
        <v/>
      </c>
      <c r="R48" s="367" t="str">
        <f>IF(R$3&lt;=time,R24*(1+Economics!$B$4)^(R$3-$B$3)/((1+Economics!$B$3)^(R$3-$B$3)),"")</f>
        <v/>
      </c>
      <c r="S48" s="367" t="str">
        <f>IF(S$3&lt;=time,S24*(1+Economics!$B$4)^(S$3-$B$3)/((1+Economics!$B$3)^(S$3-$B$3)),"")</f>
        <v/>
      </c>
      <c r="T48" s="367" t="str">
        <f>IF(T$3&lt;=time,T24*(1+Economics!$B$4)^(T$3-$B$3)/((1+Economics!$B$3)^(T$3-$B$3)),"")</f>
        <v/>
      </c>
      <c r="U48" s="367" t="str">
        <f>IF(U$3&lt;=time,U24*(1+Economics!$B$4)^(U$3-$B$3)/((1+Economics!$B$3)^(U$3-$B$3)),"")</f>
        <v/>
      </c>
      <c r="V48" s="367" t="str">
        <f>IF(V$3&lt;=time,V24*(1+Economics!$B$4)^(V$3-$B$3)/((1+Economics!$B$3)^(V$3-$B$3)),"")</f>
        <v/>
      </c>
      <c r="W48" s="367" t="str">
        <f>IF(W$3&lt;=time,W24*(1+Economics!$B$4)^(W$3-$B$3)/((1+Economics!$B$3)^(W$3-$B$3)),"")</f>
        <v/>
      </c>
      <c r="X48" s="367" t="str">
        <f>IF(X$3&lt;=time,X24*(1+Economics!$B$4)^(X$3-$B$3)/((1+Economics!$B$3)^(X$3-$B$3)),"")</f>
        <v/>
      </c>
      <c r="Y48" s="367" t="str">
        <f>IF(Y$3&lt;=time,Y24*(1+Economics!$B$4)^(Y$3-$B$3)/((1+Economics!$B$3)^(Y$3-$B$3)),"")</f>
        <v/>
      </c>
      <c r="Z48" s="367" t="str">
        <f>IF(Z$3&lt;=time,Z24*(1+Economics!$B$4)^(Z$3-$B$3)/((1+Economics!$B$3)^(Z$3-$B$3)),"")</f>
        <v/>
      </c>
      <c r="AA48" s="367">
        <f t="shared" si="9"/>
        <v>0</v>
      </c>
      <c r="AB48" s="368">
        <f t="shared" si="10"/>
        <v>0</v>
      </c>
      <c r="AC48" s="196"/>
      <c r="AD48" s="196"/>
      <c r="AE48" s="196"/>
      <c r="AF48" s="196"/>
      <c r="AG48" s="196"/>
      <c r="AH48" s="196"/>
      <c r="AI48" s="196"/>
      <c r="AJ48" s="196"/>
      <c r="AK48" s="196"/>
      <c r="AL48" s="196"/>
      <c r="AM48" s="196"/>
      <c r="AN48" s="196"/>
      <c r="AO48" s="196"/>
      <c r="AP48" s="196"/>
      <c r="AQ48" s="196"/>
      <c r="AR48" s="196"/>
      <c r="AS48" s="196"/>
      <c r="AT48" s="196"/>
      <c r="AU48" s="196"/>
      <c r="AV48" s="196"/>
      <c r="AW48" s="196"/>
      <c r="AX48" s="196"/>
      <c r="AY48" s="196"/>
      <c r="AZ48" s="196"/>
      <c r="BA48" s="196"/>
      <c r="BB48" s="196"/>
      <c r="BC48" s="196"/>
      <c r="BD48" s="196"/>
      <c r="BE48" s="196"/>
      <c r="BF48" s="196"/>
      <c r="BG48" s="196"/>
      <c r="BH48" s="196"/>
      <c r="BI48" s="196"/>
      <c r="BJ48" s="196"/>
      <c r="BK48" s="196"/>
      <c r="BL48" s="196"/>
      <c r="BM48" s="196"/>
      <c r="BN48" s="196"/>
      <c r="BO48" s="196"/>
      <c r="BP48" s="196"/>
      <c r="BQ48" s="196"/>
      <c r="BR48" s="196"/>
      <c r="BS48" s="196"/>
      <c r="BT48" s="196"/>
      <c r="BU48" s="196"/>
      <c r="BV48" s="196"/>
      <c r="BW48" s="196"/>
      <c r="BX48" s="196"/>
      <c r="BY48" s="196"/>
      <c r="BZ48" s="196"/>
      <c r="CA48" s="196"/>
      <c r="CB48" s="196"/>
      <c r="CC48" s="196"/>
      <c r="CD48" s="196"/>
      <c r="CE48" s="196"/>
      <c r="CF48" s="196"/>
      <c r="CG48" s="196"/>
      <c r="CH48" s="196"/>
      <c r="CI48" s="196"/>
      <c r="CJ48" s="196"/>
      <c r="CK48" s="196"/>
      <c r="CL48" s="196"/>
      <c r="CM48" s="196"/>
      <c r="CN48" s="196"/>
      <c r="CO48" s="196"/>
      <c r="CP48" s="196"/>
      <c r="CQ48" s="196"/>
      <c r="CR48" s="196"/>
      <c r="CS48" s="196"/>
      <c r="CT48" s="196"/>
      <c r="CU48" s="196"/>
      <c r="CV48" s="196"/>
      <c r="CW48" s="196"/>
      <c r="CX48" s="196"/>
      <c r="CY48" s="196"/>
      <c r="CZ48" s="196"/>
      <c r="DA48" s="196"/>
      <c r="DB48" s="196"/>
      <c r="DC48" s="196"/>
      <c r="DD48" s="196"/>
      <c r="DE48" s="196"/>
      <c r="DF48" s="196"/>
      <c r="DG48" s="196"/>
      <c r="DH48" s="196"/>
      <c r="DI48" s="196"/>
      <c r="DJ48" s="196"/>
      <c r="DK48" s="196"/>
      <c r="DL48" s="196"/>
      <c r="DM48" s="196"/>
      <c r="DN48" s="196"/>
      <c r="DO48" s="196"/>
      <c r="DP48" s="196"/>
      <c r="DQ48" s="196"/>
      <c r="DR48" s="196"/>
      <c r="DS48" s="196"/>
      <c r="DT48" s="196"/>
      <c r="DU48" s="196"/>
      <c r="DV48" s="196"/>
      <c r="DW48" s="196"/>
      <c r="DX48" s="196"/>
      <c r="DY48" s="196"/>
      <c r="DZ48" s="196"/>
      <c r="EA48" s="196"/>
      <c r="EB48" s="196"/>
      <c r="EC48" s="196"/>
      <c r="ED48" s="196"/>
      <c r="EE48" s="196"/>
      <c r="EF48" s="196"/>
      <c r="EG48" s="196"/>
      <c r="EH48" s="196"/>
      <c r="EI48" s="196"/>
      <c r="EJ48" s="196"/>
      <c r="EK48" s="196"/>
      <c r="EL48" s="196"/>
      <c r="EM48" s="196"/>
      <c r="EN48" s="196"/>
      <c r="EO48" s="196"/>
      <c r="EP48" s="196"/>
      <c r="EQ48" s="196"/>
      <c r="ER48" s="196"/>
      <c r="ES48" s="196"/>
      <c r="ET48" s="196"/>
      <c r="EU48" s="196"/>
      <c r="EV48" s="196"/>
      <c r="EW48" s="196"/>
      <c r="EX48" s="196"/>
      <c r="EY48" s="196"/>
      <c r="EZ48" s="196"/>
      <c r="FA48" s="196"/>
      <c r="FB48" s="196"/>
      <c r="FC48" s="196"/>
      <c r="FD48" s="196"/>
      <c r="FE48" s="196"/>
      <c r="FF48" s="196"/>
      <c r="FG48" s="196"/>
      <c r="FH48" s="196"/>
      <c r="FI48" s="196"/>
      <c r="FJ48" s="196"/>
      <c r="FK48" s="196"/>
      <c r="FL48" s="196"/>
      <c r="FM48" s="196"/>
      <c r="FN48" s="196"/>
      <c r="FO48" s="196"/>
      <c r="FP48" s="196"/>
      <c r="FQ48" s="196"/>
      <c r="FR48" s="196"/>
      <c r="FS48" s="196"/>
      <c r="FT48" s="196"/>
      <c r="FU48" s="196"/>
      <c r="FV48" s="196"/>
      <c r="FW48" s="196"/>
      <c r="FX48" s="196"/>
      <c r="FY48" s="196"/>
      <c r="FZ48" s="196"/>
      <c r="GA48" s="196"/>
      <c r="GB48" s="196"/>
      <c r="GC48" s="196"/>
      <c r="GD48" s="196"/>
      <c r="GE48" s="196"/>
      <c r="GF48" s="196"/>
      <c r="GG48" s="196"/>
      <c r="GH48" s="196"/>
      <c r="GI48" s="196"/>
      <c r="GJ48" s="196"/>
      <c r="GK48" s="196"/>
      <c r="GL48" s="196"/>
      <c r="GM48" s="196"/>
      <c r="GN48" s="196"/>
      <c r="GO48" s="196"/>
      <c r="GP48" s="196"/>
      <c r="GQ48" s="196"/>
      <c r="GR48" s="196"/>
      <c r="GS48" s="196"/>
      <c r="GT48" s="196"/>
      <c r="GU48" s="196"/>
      <c r="GV48" s="196"/>
      <c r="GW48" s="196"/>
      <c r="GX48" s="196"/>
      <c r="GY48" s="196"/>
      <c r="GZ48" s="196"/>
      <c r="HA48" s="196"/>
      <c r="HB48" s="196"/>
      <c r="HC48" s="196"/>
      <c r="HD48" s="196"/>
      <c r="HE48" s="196"/>
      <c r="HF48" s="196"/>
      <c r="HG48" s="196"/>
      <c r="HH48" s="196"/>
      <c r="HI48" s="196"/>
      <c r="HJ48" s="196"/>
      <c r="HK48" s="196"/>
      <c r="HL48" s="196"/>
      <c r="HM48" s="196"/>
      <c r="HN48" s="196"/>
      <c r="HO48" s="196"/>
      <c r="HP48" s="196"/>
      <c r="HQ48" s="196"/>
      <c r="HR48" s="196"/>
      <c r="HS48" s="196"/>
      <c r="HT48" s="196"/>
      <c r="HU48" s="196"/>
      <c r="HV48" s="196"/>
      <c r="HW48" s="196"/>
      <c r="HX48" s="196"/>
      <c r="HY48" s="196"/>
      <c r="HZ48" s="196"/>
      <c r="IA48" s="196"/>
      <c r="IB48" s="196"/>
      <c r="IC48" s="196"/>
      <c r="ID48" s="196"/>
      <c r="IE48" s="196"/>
      <c r="IF48" s="196"/>
      <c r="IG48" s="196"/>
      <c r="IH48" s="196"/>
      <c r="II48" s="196"/>
      <c r="IJ48" s="196"/>
      <c r="IK48" s="196"/>
      <c r="IL48" s="196"/>
      <c r="IM48" s="196"/>
      <c r="IN48" s="196"/>
      <c r="IO48" s="196"/>
      <c r="IP48" s="196"/>
      <c r="IQ48" s="196"/>
      <c r="IR48" s="196"/>
      <c r="IS48" s="196"/>
      <c r="IT48" s="196"/>
      <c r="IU48" s="196"/>
      <c r="IV48" s="196"/>
      <c r="IW48" s="196"/>
      <c r="IX48" s="196"/>
      <c r="IY48" s="196"/>
      <c r="IZ48" s="196"/>
      <c r="JA48" s="196"/>
      <c r="JB48" s="196"/>
      <c r="JC48" s="196"/>
      <c r="JD48" s="196"/>
      <c r="JE48" s="196"/>
      <c r="JF48" s="196"/>
      <c r="JG48" s="196"/>
      <c r="JH48" s="196"/>
      <c r="JI48" s="196"/>
      <c r="JJ48" s="196"/>
      <c r="JK48" s="196"/>
      <c r="JL48" s="196"/>
      <c r="JM48" s="196"/>
      <c r="JN48" s="196"/>
      <c r="JO48" s="196"/>
      <c r="JP48" s="196"/>
      <c r="JQ48" s="196"/>
      <c r="JR48" s="196"/>
      <c r="JS48" s="196"/>
      <c r="JT48" s="196"/>
      <c r="JU48" s="196"/>
      <c r="JV48" s="196"/>
      <c r="JW48" s="196"/>
      <c r="JX48" s="196"/>
      <c r="JY48" s="196"/>
      <c r="JZ48" s="196"/>
      <c r="KA48" s="196"/>
      <c r="KB48" s="196"/>
      <c r="KC48" s="196"/>
      <c r="KD48" s="196"/>
      <c r="KE48" s="196"/>
      <c r="KF48" s="196"/>
      <c r="KG48" s="196"/>
      <c r="KH48" s="196"/>
      <c r="KI48" s="196"/>
      <c r="KJ48" s="196"/>
      <c r="KK48" s="196"/>
      <c r="KL48" s="196"/>
      <c r="KM48" s="196"/>
      <c r="KN48" s="196"/>
      <c r="KO48" s="196"/>
      <c r="KP48" s="196"/>
      <c r="KQ48" s="196"/>
      <c r="KR48" s="196"/>
      <c r="KS48" s="196"/>
      <c r="KT48" s="196"/>
      <c r="KU48" s="196"/>
      <c r="KV48" s="196"/>
      <c r="KW48" s="196"/>
      <c r="KX48" s="196"/>
      <c r="KY48" s="196"/>
      <c r="KZ48" s="196"/>
      <c r="LA48" s="196"/>
      <c r="LB48" s="196"/>
      <c r="LC48" s="196"/>
      <c r="LD48" s="196"/>
      <c r="LE48" s="196"/>
      <c r="LF48" s="196"/>
      <c r="LG48" s="196"/>
      <c r="LH48" s="196"/>
      <c r="LI48" s="196"/>
      <c r="LJ48" s="196"/>
      <c r="LK48" s="196"/>
      <c r="LL48" s="196"/>
      <c r="LM48" s="196"/>
      <c r="LN48" s="196"/>
      <c r="LO48" s="196"/>
      <c r="LP48" s="196"/>
      <c r="LQ48" s="196"/>
      <c r="LR48" s="196"/>
      <c r="LS48" s="196"/>
      <c r="LT48" s="196"/>
      <c r="LU48" s="196"/>
      <c r="LV48" s="196"/>
      <c r="LW48" s="196"/>
      <c r="LX48" s="196"/>
      <c r="LY48" s="196"/>
      <c r="LZ48" s="196"/>
      <c r="MA48" s="196"/>
      <c r="MB48" s="196"/>
      <c r="MC48" s="196"/>
      <c r="MD48" s="196"/>
      <c r="ME48" s="196"/>
      <c r="MF48" s="196"/>
      <c r="MG48" s="196"/>
      <c r="MH48" s="196"/>
      <c r="MI48" s="196"/>
      <c r="MJ48" s="196"/>
      <c r="MK48" s="196"/>
      <c r="ML48" s="196"/>
      <c r="MM48" s="196"/>
      <c r="MN48" s="196"/>
      <c r="MO48" s="196"/>
      <c r="MP48" s="196"/>
      <c r="MQ48" s="196"/>
      <c r="MR48" s="196"/>
      <c r="MS48" s="196"/>
      <c r="MT48" s="196"/>
      <c r="MU48" s="196"/>
      <c r="MV48" s="196"/>
      <c r="MW48" s="196"/>
      <c r="MX48" s="196"/>
      <c r="MY48" s="196"/>
      <c r="MZ48" s="196"/>
      <c r="NA48" s="196"/>
      <c r="NB48" s="196"/>
      <c r="NC48" s="196"/>
      <c r="ND48" s="196"/>
      <c r="NE48" s="196"/>
      <c r="NF48" s="196"/>
      <c r="NG48" s="196"/>
      <c r="NH48" s="196"/>
      <c r="NI48" s="196"/>
      <c r="NJ48" s="196"/>
      <c r="NK48" s="196"/>
      <c r="NL48" s="196"/>
      <c r="NM48" s="196"/>
      <c r="NN48" s="196"/>
      <c r="NO48" s="196"/>
      <c r="NP48" s="196"/>
      <c r="NQ48" s="196"/>
      <c r="NR48" s="196"/>
      <c r="NS48" s="196"/>
      <c r="NT48" s="196"/>
      <c r="NU48" s="196"/>
      <c r="NV48" s="196"/>
      <c r="NW48" s="196"/>
      <c r="NX48" s="196"/>
      <c r="NY48" s="196"/>
      <c r="NZ48" s="196"/>
      <c r="OA48" s="196"/>
    </row>
    <row r="49" spans="1:391" hidden="1">
      <c r="A49" s="372" t="s">
        <v>194</v>
      </c>
      <c r="B49" s="367">
        <f>IF(B$3&lt;=time,B25*(1+Economics!$B$4)^(B$3-$B$3)/((1+Economics!$B$3)^(B$3-$B$3)),"")</f>
        <v>0</v>
      </c>
      <c r="C49" s="367">
        <f>IF(C$3&lt;=time,C25*(1+Economics!$B$4)^(C$3-$B$3)/((1+Economics!$B$3)^(C$3-$B$3)),"")</f>
        <v>0</v>
      </c>
      <c r="D49" s="367">
        <f>IF(D$3&lt;=time,D25*(1+Economics!$B$4)^(D$3-$B$3)/((1+Economics!$B$3)^(D$3-$B$3)),"")</f>
        <v>0</v>
      </c>
      <c r="E49" s="367">
        <f>IF(E$3&lt;=time,E25*(1+Economics!$B$4)^(E$3-$B$3)/((1+Economics!$B$3)^(E$3-$B$3)),"")</f>
        <v>0</v>
      </c>
      <c r="F49" s="367">
        <f>IF(F$3&lt;=time,F25*(1+Economics!$B$4)^(F$3-$B$3)/((1+Economics!$B$3)^(F$3-$B$3)),"")</f>
        <v>0</v>
      </c>
      <c r="G49" s="367" t="str">
        <f>IF(G$3&lt;=time,G25*(1+Economics!$B$4)^(G$3-$B$3)/((1+Economics!$B$3)^(G$3-$B$3)),"")</f>
        <v/>
      </c>
      <c r="H49" s="367" t="str">
        <f>IF(H$3&lt;=time,H25*(1+Economics!$B$4)^(H$3-$B$3)/((1+Economics!$B$3)^(H$3-$B$3)),"")</f>
        <v/>
      </c>
      <c r="I49" s="367" t="str">
        <f>IF(I$3&lt;=time,I25*(1+Economics!$B$4)^(I$3-$B$3)/((1+Economics!$B$3)^(I$3-$B$3)),"")</f>
        <v/>
      </c>
      <c r="J49" s="367" t="str">
        <f>IF(J$3&lt;=time,J25*(1+Economics!$B$4)^(J$3-$B$3)/((1+Economics!$B$3)^(J$3-$B$3)),"")</f>
        <v/>
      </c>
      <c r="K49" s="367" t="str">
        <f>IF(K$3&lt;=time,K25*(1+Economics!$B$4)^(K$3-$B$3)/((1+Economics!$B$3)^(K$3-$B$3)),"")</f>
        <v/>
      </c>
      <c r="L49" s="367" t="str">
        <f>IF(L$3&lt;=time,L25*(1+Economics!$B$4)^(L$3-$B$3)/((1+Economics!$B$3)^(L$3-$B$3)),"")</f>
        <v/>
      </c>
      <c r="M49" s="367" t="str">
        <f>IF(M$3&lt;=time,M25*(1+Economics!$B$4)^(M$3-$B$3)/((1+Economics!$B$3)^(M$3-$B$3)),"")</f>
        <v/>
      </c>
      <c r="N49" s="367" t="str">
        <f>IF(N$3&lt;=time,N25*(1+Economics!$B$4)^(N$3-$B$3)/((1+Economics!$B$3)^(N$3-$B$3)),"")</f>
        <v/>
      </c>
      <c r="O49" s="367" t="str">
        <f>IF(O$3&lt;=time,O25*(1+Economics!$B$4)^(O$3-$B$3)/((1+Economics!$B$3)^(O$3-$B$3)),"")</f>
        <v/>
      </c>
      <c r="P49" s="367" t="str">
        <f>IF(P$3&lt;=time,P25*(1+Economics!$B$4)^(P$3-$B$3)/((1+Economics!$B$3)^(P$3-$B$3)),"")</f>
        <v/>
      </c>
      <c r="Q49" s="367" t="str">
        <f>IF(Q$3&lt;=time,Q25*(1+Economics!$B$4)^(Q$3-$B$3)/((1+Economics!$B$3)^(Q$3-$B$3)),"")</f>
        <v/>
      </c>
      <c r="R49" s="367" t="str">
        <f>IF(R$3&lt;=time,R25*(1+Economics!$B$4)^(R$3-$B$3)/((1+Economics!$B$3)^(R$3-$B$3)),"")</f>
        <v/>
      </c>
      <c r="S49" s="367" t="str">
        <f>IF(S$3&lt;=time,S25*(1+Economics!$B$4)^(S$3-$B$3)/((1+Economics!$B$3)^(S$3-$B$3)),"")</f>
        <v/>
      </c>
      <c r="T49" s="367" t="str">
        <f>IF(T$3&lt;=time,T25*(1+Economics!$B$4)^(T$3-$B$3)/((1+Economics!$B$3)^(T$3-$B$3)),"")</f>
        <v/>
      </c>
      <c r="U49" s="367" t="str">
        <f>IF(U$3&lt;=time,U25*(1+Economics!$B$4)^(U$3-$B$3)/((1+Economics!$B$3)^(U$3-$B$3)),"")</f>
        <v/>
      </c>
      <c r="V49" s="367" t="str">
        <f>IF(V$3&lt;=time,V25*(1+Economics!$B$4)^(V$3-$B$3)/((1+Economics!$B$3)^(V$3-$B$3)),"")</f>
        <v/>
      </c>
      <c r="W49" s="367" t="str">
        <f>IF(W$3&lt;=time,W25*(1+Economics!$B$4)^(W$3-$B$3)/((1+Economics!$B$3)^(W$3-$B$3)),"")</f>
        <v/>
      </c>
      <c r="X49" s="367" t="str">
        <f>IF(X$3&lt;=time,X25*(1+Economics!$B$4)^(X$3-$B$3)/((1+Economics!$B$3)^(X$3-$B$3)),"")</f>
        <v/>
      </c>
      <c r="Y49" s="367" t="str">
        <f>IF(Y$3&lt;=time,Y25*(1+Economics!$B$4)^(Y$3-$B$3)/((1+Economics!$B$3)^(Y$3-$B$3)),"")</f>
        <v/>
      </c>
      <c r="Z49" s="367" t="str">
        <f>IF(Z$3&lt;=time,Z25*(1+Economics!$B$4)^(Z$3-$B$3)/((1+Economics!$B$3)^(Z$3-$B$3)),"")</f>
        <v/>
      </c>
      <c r="AA49" s="367">
        <f t="shared" si="9"/>
        <v>0</v>
      </c>
      <c r="AB49" s="368">
        <f t="shared" si="10"/>
        <v>0</v>
      </c>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196"/>
      <c r="BQ49" s="196"/>
      <c r="BR49" s="196"/>
      <c r="BS49" s="196"/>
      <c r="BT49" s="196"/>
      <c r="BU49" s="196"/>
      <c r="BV49" s="196"/>
      <c r="BW49" s="196"/>
      <c r="BX49" s="196"/>
      <c r="BY49" s="196"/>
      <c r="BZ49" s="196"/>
      <c r="CA49" s="196"/>
      <c r="CB49" s="196"/>
      <c r="CC49" s="196"/>
      <c r="CD49" s="196"/>
      <c r="CE49" s="196"/>
      <c r="CF49" s="196"/>
      <c r="CG49" s="196"/>
      <c r="CH49" s="196"/>
      <c r="CI49" s="196"/>
      <c r="CJ49" s="196"/>
      <c r="CK49" s="196"/>
      <c r="CL49" s="196"/>
      <c r="CM49" s="196"/>
      <c r="CN49" s="196"/>
      <c r="CO49" s="196"/>
      <c r="CP49" s="196"/>
      <c r="CQ49" s="196"/>
      <c r="CR49" s="196"/>
      <c r="CS49" s="196"/>
      <c r="CT49" s="196"/>
      <c r="CU49" s="196"/>
      <c r="CV49" s="196"/>
      <c r="CW49" s="196"/>
      <c r="CX49" s="196"/>
      <c r="CY49" s="196"/>
      <c r="CZ49" s="196"/>
      <c r="DA49" s="196"/>
      <c r="DB49" s="196"/>
      <c r="DC49" s="196"/>
      <c r="DD49" s="196"/>
      <c r="DE49" s="196"/>
      <c r="DF49" s="196"/>
      <c r="DG49" s="196"/>
      <c r="DH49" s="196"/>
      <c r="DI49" s="196"/>
      <c r="DJ49" s="196"/>
      <c r="DK49" s="196"/>
      <c r="DL49" s="196"/>
      <c r="DM49" s="196"/>
      <c r="DN49" s="196"/>
      <c r="DO49" s="196"/>
      <c r="DP49" s="196"/>
      <c r="DQ49" s="196"/>
      <c r="DR49" s="196"/>
      <c r="DS49" s="196"/>
      <c r="DT49" s="196"/>
      <c r="DU49" s="196"/>
      <c r="DV49" s="196"/>
      <c r="DW49" s="196"/>
      <c r="DX49" s="196"/>
      <c r="DY49" s="196"/>
      <c r="DZ49" s="196"/>
      <c r="EA49" s="196"/>
      <c r="EB49" s="196"/>
      <c r="EC49" s="196"/>
      <c r="ED49" s="196"/>
      <c r="EE49" s="196"/>
      <c r="EF49" s="196"/>
      <c r="EG49" s="196"/>
      <c r="EH49" s="196"/>
      <c r="EI49" s="196"/>
      <c r="EJ49" s="196"/>
      <c r="EK49" s="196"/>
      <c r="EL49" s="196"/>
      <c r="EM49" s="196"/>
      <c r="EN49" s="196"/>
      <c r="EO49" s="196"/>
      <c r="EP49" s="196"/>
      <c r="EQ49" s="196"/>
      <c r="ER49" s="196"/>
      <c r="ES49" s="196"/>
      <c r="ET49" s="196"/>
      <c r="EU49" s="196"/>
      <c r="EV49" s="196"/>
      <c r="EW49" s="196"/>
      <c r="EX49" s="196"/>
      <c r="EY49" s="196"/>
      <c r="EZ49" s="196"/>
      <c r="FA49" s="196"/>
      <c r="FB49" s="196"/>
      <c r="FC49" s="196"/>
      <c r="FD49" s="196"/>
      <c r="FE49" s="196"/>
      <c r="FF49" s="196"/>
      <c r="FG49" s="196"/>
      <c r="FH49" s="196"/>
      <c r="FI49" s="196"/>
      <c r="FJ49" s="196"/>
      <c r="FK49" s="196"/>
      <c r="FL49" s="196"/>
      <c r="FM49" s="196"/>
      <c r="FN49" s="196"/>
      <c r="FO49" s="196"/>
      <c r="FP49" s="196"/>
      <c r="FQ49" s="196"/>
      <c r="FR49" s="196"/>
      <c r="FS49" s="196"/>
      <c r="FT49" s="196"/>
      <c r="FU49" s="196"/>
      <c r="FV49" s="196"/>
      <c r="FW49" s="196"/>
      <c r="FX49" s="196"/>
      <c r="FY49" s="196"/>
      <c r="FZ49" s="196"/>
      <c r="GA49" s="196"/>
      <c r="GB49" s="196"/>
      <c r="GC49" s="196"/>
      <c r="GD49" s="196"/>
      <c r="GE49" s="196"/>
      <c r="GF49" s="196"/>
      <c r="GG49" s="196"/>
      <c r="GH49" s="196"/>
      <c r="GI49" s="196"/>
      <c r="GJ49" s="196"/>
      <c r="GK49" s="196"/>
      <c r="GL49" s="196"/>
      <c r="GM49" s="196"/>
      <c r="GN49" s="196"/>
      <c r="GO49" s="196"/>
      <c r="GP49" s="196"/>
      <c r="GQ49" s="196"/>
      <c r="GR49" s="196"/>
      <c r="GS49" s="196"/>
      <c r="GT49" s="196"/>
      <c r="GU49" s="196"/>
      <c r="GV49" s="196"/>
      <c r="GW49" s="196"/>
      <c r="GX49" s="196"/>
      <c r="GY49" s="196"/>
      <c r="GZ49" s="196"/>
      <c r="HA49" s="196"/>
      <c r="HB49" s="196"/>
      <c r="HC49" s="196"/>
      <c r="HD49" s="196"/>
      <c r="HE49" s="196"/>
      <c r="HF49" s="196"/>
      <c r="HG49" s="196"/>
      <c r="HH49" s="196"/>
      <c r="HI49" s="196"/>
      <c r="HJ49" s="196"/>
      <c r="HK49" s="196"/>
      <c r="HL49" s="196"/>
      <c r="HM49" s="196"/>
      <c r="HN49" s="196"/>
      <c r="HO49" s="196"/>
      <c r="HP49" s="196"/>
      <c r="HQ49" s="196"/>
      <c r="HR49" s="196"/>
      <c r="HS49" s="196"/>
      <c r="HT49" s="196"/>
      <c r="HU49" s="196"/>
      <c r="HV49" s="196"/>
      <c r="HW49" s="196"/>
      <c r="HX49" s="196"/>
      <c r="HY49" s="196"/>
      <c r="HZ49" s="196"/>
      <c r="IA49" s="196"/>
      <c r="IB49" s="196"/>
      <c r="IC49" s="196"/>
      <c r="ID49" s="196"/>
      <c r="IE49" s="196"/>
      <c r="IF49" s="196"/>
      <c r="IG49" s="196"/>
      <c r="IH49" s="196"/>
      <c r="II49" s="196"/>
      <c r="IJ49" s="196"/>
      <c r="IK49" s="196"/>
      <c r="IL49" s="196"/>
      <c r="IM49" s="196"/>
      <c r="IN49" s="196"/>
      <c r="IO49" s="196"/>
      <c r="IP49" s="196"/>
      <c r="IQ49" s="196"/>
      <c r="IR49" s="196"/>
      <c r="IS49" s="196"/>
      <c r="IT49" s="196"/>
      <c r="IU49" s="196"/>
      <c r="IV49" s="196"/>
      <c r="IW49" s="196"/>
      <c r="IX49" s="196"/>
      <c r="IY49" s="196"/>
      <c r="IZ49" s="196"/>
      <c r="JA49" s="196"/>
      <c r="JB49" s="196"/>
      <c r="JC49" s="196"/>
      <c r="JD49" s="196"/>
      <c r="JE49" s="196"/>
      <c r="JF49" s="196"/>
      <c r="JG49" s="196"/>
      <c r="JH49" s="196"/>
      <c r="JI49" s="196"/>
      <c r="JJ49" s="196"/>
      <c r="JK49" s="196"/>
      <c r="JL49" s="196"/>
      <c r="JM49" s="196"/>
      <c r="JN49" s="196"/>
      <c r="JO49" s="196"/>
      <c r="JP49" s="196"/>
      <c r="JQ49" s="196"/>
      <c r="JR49" s="196"/>
      <c r="JS49" s="196"/>
      <c r="JT49" s="196"/>
      <c r="JU49" s="196"/>
      <c r="JV49" s="196"/>
      <c r="JW49" s="196"/>
      <c r="JX49" s="196"/>
      <c r="JY49" s="196"/>
      <c r="JZ49" s="196"/>
      <c r="KA49" s="196"/>
      <c r="KB49" s="196"/>
      <c r="KC49" s="196"/>
      <c r="KD49" s="196"/>
      <c r="KE49" s="196"/>
      <c r="KF49" s="196"/>
      <c r="KG49" s="196"/>
      <c r="KH49" s="196"/>
      <c r="KI49" s="196"/>
      <c r="KJ49" s="196"/>
      <c r="KK49" s="196"/>
      <c r="KL49" s="196"/>
      <c r="KM49" s="196"/>
      <c r="KN49" s="196"/>
      <c r="KO49" s="196"/>
      <c r="KP49" s="196"/>
      <c r="KQ49" s="196"/>
      <c r="KR49" s="196"/>
      <c r="KS49" s="196"/>
      <c r="KT49" s="196"/>
      <c r="KU49" s="196"/>
      <c r="KV49" s="196"/>
      <c r="KW49" s="196"/>
      <c r="KX49" s="196"/>
      <c r="KY49" s="196"/>
      <c r="KZ49" s="196"/>
      <c r="LA49" s="196"/>
      <c r="LB49" s="196"/>
      <c r="LC49" s="196"/>
      <c r="LD49" s="196"/>
      <c r="LE49" s="196"/>
      <c r="LF49" s="196"/>
      <c r="LG49" s="196"/>
      <c r="LH49" s="196"/>
      <c r="LI49" s="196"/>
      <c r="LJ49" s="196"/>
      <c r="LK49" s="196"/>
      <c r="LL49" s="196"/>
      <c r="LM49" s="196"/>
      <c r="LN49" s="196"/>
      <c r="LO49" s="196"/>
      <c r="LP49" s="196"/>
      <c r="LQ49" s="196"/>
      <c r="LR49" s="196"/>
      <c r="LS49" s="196"/>
      <c r="LT49" s="196"/>
      <c r="LU49" s="196"/>
      <c r="LV49" s="196"/>
      <c r="LW49" s="196"/>
      <c r="LX49" s="196"/>
      <c r="LY49" s="196"/>
      <c r="LZ49" s="196"/>
      <c r="MA49" s="196"/>
      <c r="MB49" s="196"/>
      <c r="MC49" s="196"/>
      <c r="MD49" s="196"/>
      <c r="ME49" s="196"/>
      <c r="MF49" s="196"/>
      <c r="MG49" s="196"/>
      <c r="MH49" s="196"/>
      <c r="MI49" s="196"/>
      <c r="MJ49" s="196"/>
      <c r="MK49" s="196"/>
      <c r="ML49" s="196"/>
      <c r="MM49" s="196"/>
      <c r="MN49" s="196"/>
      <c r="MO49" s="196"/>
      <c r="MP49" s="196"/>
      <c r="MQ49" s="196"/>
      <c r="MR49" s="196"/>
      <c r="MS49" s="196"/>
      <c r="MT49" s="196"/>
      <c r="MU49" s="196"/>
      <c r="MV49" s="196"/>
      <c r="MW49" s="196"/>
      <c r="MX49" s="196"/>
      <c r="MY49" s="196"/>
      <c r="MZ49" s="196"/>
      <c r="NA49" s="196"/>
      <c r="NB49" s="196"/>
      <c r="NC49" s="196"/>
      <c r="ND49" s="196"/>
      <c r="NE49" s="196"/>
      <c r="NF49" s="196"/>
      <c r="NG49" s="196"/>
      <c r="NH49" s="196"/>
      <c r="NI49" s="196"/>
      <c r="NJ49" s="196"/>
      <c r="NK49" s="196"/>
      <c r="NL49" s="196"/>
      <c r="NM49" s="196"/>
      <c r="NN49" s="196"/>
      <c r="NO49" s="196"/>
      <c r="NP49" s="196"/>
      <c r="NQ49" s="196"/>
      <c r="NR49" s="196"/>
      <c r="NS49" s="196"/>
      <c r="NT49" s="196"/>
      <c r="NU49" s="196"/>
      <c r="NV49" s="196"/>
      <c r="NW49" s="196"/>
      <c r="NX49" s="196"/>
      <c r="NY49" s="196"/>
      <c r="NZ49" s="196"/>
      <c r="OA49" s="196"/>
    </row>
    <row r="50" spans="1:391" hidden="1">
      <c r="A50" s="372" t="s">
        <v>17</v>
      </c>
      <c r="B50" s="367">
        <f>IF(B$3&lt;=time,B26*(1+Economics!$B$4)^(B$3-$B$3)/((1+Economics!$B$3)^(B$3-$B$3)),"")</f>
        <v>0</v>
      </c>
      <c r="C50" s="367">
        <f>IF(C$3&lt;=time,C26*(1+Economics!$B$4)^(C$3-$B$3)/((1+Economics!$B$3)^(C$3-$B$3)),"")</f>
        <v>0</v>
      </c>
      <c r="D50" s="367">
        <f>IF(D$3&lt;=time,D26*(1+Economics!$B$4)^(D$3-$B$3)/((1+Economics!$B$3)^(D$3-$B$3)),"")</f>
        <v>0</v>
      </c>
      <c r="E50" s="367">
        <f>IF(E$3&lt;=time,E26*(1+Economics!$B$4)^(E$3-$B$3)/((1+Economics!$B$3)^(E$3-$B$3)),"")</f>
        <v>0</v>
      </c>
      <c r="F50" s="367">
        <f>IF(F$3&lt;=time,F26*(1+Economics!$B$4)^(F$3-$B$3)/((1+Economics!$B$3)^(F$3-$B$3)),"")</f>
        <v>0</v>
      </c>
      <c r="G50" s="367" t="str">
        <f>IF(G$3&lt;=time,G26*(1+Economics!$B$4)^(G$3-$B$3)/((1+Economics!$B$3)^(G$3-$B$3)),"")</f>
        <v/>
      </c>
      <c r="H50" s="367" t="str">
        <f>IF(H$3&lt;=time,H26*(1+Economics!$B$4)^(H$3-$B$3)/((1+Economics!$B$3)^(H$3-$B$3)),"")</f>
        <v/>
      </c>
      <c r="I50" s="367" t="str">
        <f>IF(I$3&lt;=time,I26*(1+Economics!$B$4)^(I$3-$B$3)/((1+Economics!$B$3)^(I$3-$B$3)),"")</f>
        <v/>
      </c>
      <c r="J50" s="367" t="str">
        <f>IF(J$3&lt;=time,J26*(1+Economics!$B$4)^(J$3-$B$3)/((1+Economics!$B$3)^(J$3-$B$3)),"")</f>
        <v/>
      </c>
      <c r="K50" s="367" t="str">
        <f>IF(K$3&lt;=time,K26*(1+Economics!$B$4)^(K$3-$B$3)/((1+Economics!$B$3)^(K$3-$B$3)),"")</f>
        <v/>
      </c>
      <c r="L50" s="367" t="str">
        <f>IF(L$3&lt;=time,L26*(1+Economics!$B$4)^(L$3-$B$3)/((1+Economics!$B$3)^(L$3-$B$3)),"")</f>
        <v/>
      </c>
      <c r="M50" s="367" t="str">
        <f>IF(M$3&lt;=time,M26*(1+Economics!$B$4)^(M$3-$B$3)/((1+Economics!$B$3)^(M$3-$B$3)),"")</f>
        <v/>
      </c>
      <c r="N50" s="367" t="str">
        <f>IF(N$3&lt;=time,N26*(1+Economics!$B$4)^(N$3-$B$3)/((1+Economics!$B$3)^(N$3-$B$3)),"")</f>
        <v/>
      </c>
      <c r="O50" s="367" t="str">
        <f>IF(O$3&lt;=time,O26*(1+Economics!$B$4)^(O$3-$B$3)/((1+Economics!$B$3)^(O$3-$B$3)),"")</f>
        <v/>
      </c>
      <c r="P50" s="367" t="str">
        <f>IF(P$3&lt;=time,P26*(1+Economics!$B$4)^(P$3-$B$3)/((1+Economics!$B$3)^(P$3-$B$3)),"")</f>
        <v/>
      </c>
      <c r="Q50" s="367" t="str">
        <f>IF(Q$3&lt;=time,Q26*(1+Economics!$B$4)^(Q$3-$B$3)/((1+Economics!$B$3)^(Q$3-$B$3)),"")</f>
        <v/>
      </c>
      <c r="R50" s="367" t="str">
        <f>IF(R$3&lt;=time,R26*(1+Economics!$B$4)^(R$3-$B$3)/((1+Economics!$B$3)^(R$3-$B$3)),"")</f>
        <v/>
      </c>
      <c r="S50" s="367" t="str">
        <f>IF(S$3&lt;=time,S26*(1+Economics!$B$4)^(S$3-$B$3)/((1+Economics!$B$3)^(S$3-$B$3)),"")</f>
        <v/>
      </c>
      <c r="T50" s="367" t="str">
        <f>IF(T$3&lt;=time,T26*(1+Economics!$B$4)^(T$3-$B$3)/((1+Economics!$B$3)^(T$3-$B$3)),"")</f>
        <v/>
      </c>
      <c r="U50" s="367" t="str">
        <f>IF(U$3&lt;=time,U26*(1+Economics!$B$4)^(U$3-$B$3)/((1+Economics!$B$3)^(U$3-$B$3)),"")</f>
        <v/>
      </c>
      <c r="V50" s="367" t="str">
        <f>IF(V$3&lt;=time,V26*(1+Economics!$B$4)^(V$3-$B$3)/((1+Economics!$B$3)^(V$3-$B$3)),"")</f>
        <v/>
      </c>
      <c r="W50" s="367" t="str">
        <f>IF(W$3&lt;=time,W26*(1+Economics!$B$4)^(W$3-$B$3)/((1+Economics!$B$3)^(W$3-$B$3)),"")</f>
        <v/>
      </c>
      <c r="X50" s="367" t="str">
        <f>IF(X$3&lt;=time,X26*(1+Economics!$B$4)^(X$3-$B$3)/((1+Economics!$B$3)^(X$3-$B$3)),"")</f>
        <v/>
      </c>
      <c r="Y50" s="367" t="str">
        <f>IF(Y$3&lt;=time,Y26*(1+Economics!$B$4)^(Y$3-$B$3)/((1+Economics!$B$3)^(Y$3-$B$3)),"")</f>
        <v/>
      </c>
      <c r="Z50" s="367" t="str">
        <f>IF(Z$3&lt;=time,Z26*(1+Economics!$B$4)^(Z$3-$B$3)/((1+Economics!$B$3)^(Z$3-$B$3)),"")</f>
        <v/>
      </c>
      <c r="AA50" s="367">
        <f t="shared" si="9"/>
        <v>0</v>
      </c>
      <c r="AB50" s="368">
        <f t="shared" si="10"/>
        <v>0</v>
      </c>
      <c r="AC50" s="196"/>
      <c r="AD50" s="196"/>
      <c r="AE50" s="196"/>
      <c r="AF50" s="196"/>
      <c r="AG50" s="196"/>
      <c r="AH50" s="196"/>
      <c r="AI50" s="196"/>
      <c r="AJ50" s="196"/>
      <c r="AK50" s="196"/>
      <c r="AL50" s="196"/>
      <c r="AM50" s="196"/>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6"/>
      <c r="BR50" s="196"/>
      <c r="BS50" s="196"/>
      <c r="BT50" s="196"/>
      <c r="BU50" s="196"/>
      <c r="BV50" s="196"/>
      <c r="BW50" s="196"/>
      <c r="BX50" s="196"/>
      <c r="BY50" s="196"/>
      <c r="BZ50" s="196"/>
      <c r="CA50" s="196"/>
      <c r="CB50" s="196"/>
      <c r="CC50" s="196"/>
      <c r="CD50" s="196"/>
      <c r="CE50" s="196"/>
      <c r="CF50" s="196"/>
      <c r="CG50" s="196"/>
      <c r="CH50" s="196"/>
      <c r="CI50" s="196"/>
      <c r="CJ50" s="196"/>
      <c r="CK50" s="196"/>
      <c r="CL50" s="196"/>
      <c r="CM50" s="196"/>
      <c r="CN50" s="196"/>
      <c r="CO50" s="196"/>
      <c r="CP50" s="196"/>
      <c r="CQ50" s="196"/>
      <c r="CR50" s="196"/>
      <c r="CS50" s="196"/>
      <c r="CT50" s="196"/>
      <c r="CU50" s="196"/>
      <c r="CV50" s="196"/>
      <c r="CW50" s="196"/>
      <c r="CX50" s="196"/>
      <c r="CY50" s="196"/>
      <c r="CZ50" s="196"/>
      <c r="DA50" s="196"/>
      <c r="DB50" s="196"/>
      <c r="DC50" s="196"/>
      <c r="DD50" s="196"/>
      <c r="DE50" s="196"/>
      <c r="DF50" s="196"/>
      <c r="DG50" s="196"/>
      <c r="DH50" s="196"/>
      <c r="DI50" s="196"/>
      <c r="DJ50" s="196"/>
      <c r="DK50" s="196"/>
      <c r="DL50" s="196"/>
      <c r="DM50" s="196"/>
      <c r="DN50" s="196"/>
      <c r="DO50" s="196"/>
      <c r="DP50" s="196"/>
      <c r="DQ50" s="196"/>
      <c r="DR50" s="196"/>
      <c r="DS50" s="196"/>
      <c r="DT50" s="196"/>
      <c r="DU50" s="196"/>
      <c r="DV50" s="196"/>
      <c r="DW50" s="196"/>
      <c r="DX50" s="196"/>
      <c r="DY50" s="196"/>
      <c r="DZ50" s="196"/>
      <c r="EA50" s="196"/>
      <c r="EB50" s="196"/>
      <c r="EC50" s="196"/>
      <c r="ED50" s="196"/>
      <c r="EE50" s="196"/>
      <c r="EF50" s="196"/>
      <c r="EG50" s="196"/>
      <c r="EH50" s="196"/>
      <c r="EI50" s="196"/>
      <c r="EJ50" s="196"/>
      <c r="EK50" s="196"/>
      <c r="EL50" s="196"/>
      <c r="EM50" s="196"/>
      <c r="EN50" s="196"/>
      <c r="EO50" s="196"/>
      <c r="EP50" s="196"/>
      <c r="EQ50" s="196"/>
      <c r="ER50" s="196"/>
      <c r="ES50" s="196"/>
      <c r="ET50" s="196"/>
      <c r="EU50" s="196"/>
      <c r="EV50" s="196"/>
      <c r="EW50" s="196"/>
      <c r="EX50" s="196"/>
      <c r="EY50" s="196"/>
      <c r="EZ50" s="196"/>
      <c r="FA50" s="196"/>
      <c r="FB50" s="196"/>
      <c r="FC50" s="196"/>
      <c r="FD50" s="196"/>
      <c r="FE50" s="196"/>
      <c r="FF50" s="196"/>
      <c r="FG50" s="196"/>
      <c r="FH50" s="196"/>
      <c r="FI50" s="196"/>
      <c r="FJ50" s="196"/>
      <c r="FK50" s="196"/>
      <c r="FL50" s="196"/>
      <c r="FM50" s="196"/>
      <c r="FN50" s="196"/>
      <c r="FO50" s="196"/>
      <c r="FP50" s="196"/>
      <c r="FQ50" s="196"/>
      <c r="FR50" s="196"/>
      <c r="FS50" s="196"/>
      <c r="FT50" s="196"/>
      <c r="FU50" s="196"/>
      <c r="FV50" s="196"/>
      <c r="FW50" s="196"/>
      <c r="FX50" s="196"/>
      <c r="FY50" s="196"/>
      <c r="FZ50" s="196"/>
      <c r="GA50" s="196"/>
      <c r="GB50" s="196"/>
      <c r="GC50" s="196"/>
      <c r="GD50" s="196"/>
      <c r="GE50" s="196"/>
      <c r="GF50" s="196"/>
      <c r="GG50" s="196"/>
      <c r="GH50" s="196"/>
      <c r="GI50" s="196"/>
      <c r="GJ50" s="196"/>
      <c r="GK50" s="196"/>
      <c r="GL50" s="196"/>
      <c r="GM50" s="196"/>
      <c r="GN50" s="196"/>
      <c r="GO50" s="196"/>
      <c r="GP50" s="196"/>
      <c r="GQ50" s="196"/>
      <c r="GR50" s="196"/>
      <c r="GS50" s="196"/>
      <c r="GT50" s="196"/>
      <c r="GU50" s="196"/>
      <c r="GV50" s="196"/>
      <c r="GW50" s="196"/>
      <c r="GX50" s="196"/>
      <c r="GY50" s="196"/>
      <c r="GZ50" s="196"/>
      <c r="HA50" s="196"/>
      <c r="HB50" s="196"/>
      <c r="HC50" s="196"/>
      <c r="HD50" s="196"/>
      <c r="HE50" s="196"/>
      <c r="HF50" s="196"/>
      <c r="HG50" s="196"/>
      <c r="HH50" s="196"/>
      <c r="HI50" s="196"/>
      <c r="HJ50" s="196"/>
      <c r="HK50" s="196"/>
      <c r="HL50" s="196"/>
      <c r="HM50" s="196"/>
      <c r="HN50" s="196"/>
      <c r="HO50" s="196"/>
      <c r="HP50" s="196"/>
      <c r="HQ50" s="196"/>
      <c r="HR50" s="196"/>
      <c r="HS50" s="196"/>
      <c r="HT50" s="196"/>
      <c r="HU50" s="196"/>
      <c r="HV50" s="196"/>
      <c r="HW50" s="196"/>
      <c r="HX50" s="196"/>
      <c r="HY50" s="196"/>
      <c r="HZ50" s="196"/>
      <c r="IA50" s="196"/>
      <c r="IB50" s="196"/>
      <c r="IC50" s="196"/>
      <c r="ID50" s="196"/>
      <c r="IE50" s="196"/>
      <c r="IF50" s="196"/>
      <c r="IG50" s="196"/>
      <c r="IH50" s="196"/>
      <c r="II50" s="196"/>
      <c r="IJ50" s="196"/>
      <c r="IK50" s="196"/>
      <c r="IL50" s="196"/>
      <c r="IM50" s="196"/>
      <c r="IN50" s="196"/>
      <c r="IO50" s="196"/>
      <c r="IP50" s="196"/>
      <c r="IQ50" s="196"/>
      <c r="IR50" s="196"/>
      <c r="IS50" s="196"/>
      <c r="IT50" s="196"/>
      <c r="IU50" s="196"/>
      <c r="IV50" s="196"/>
      <c r="IW50" s="196"/>
      <c r="IX50" s="196"/>
      <c r="IY50" s="196"/>
      <c r="IZ50" s="196"/>
      <c r="JA50" s="196"/>
      <c r="JB50" s="196"/>
      <c r="JC50" s="196"/>
      <c r="JD50" s="196"/>
      <c r="JE50" s="196"/>
      <c r="JF50" s="196"/>
      <c r="JG50" s="196"/>
      <c r="JH50" s="196"/>
      <c r="JI50" s="196"/>
      <c r="JJ50" s="196"/>
      <c r="JK50" s="196"/>
      <c r="JL50" s="196"/>
      <c r="JM50" s="196"/>
      <c r="JN50" s="196"/>
      <c r="JO50" s="196"/>
      <c r="JP50" s="196"/>
      <c r="JQ50" s="196"/>
      <c r="JR50" s="196"/>
      <c r="JS50" s="196"/>
      <c r="JT50" s="196"/>
      <c r="JU50" s="196"/>
      <c r="JV50" s="196"/>
      <c r="JW50" s="196"/>
      <c r="JX50" s="196"/>
      <c r="JY50" s="196"/>
      <c r="JZ50" s="196"/>
      <c r="KA50" s="196"/>
      <c r="KB50" s="196"/>
      <c r="KC50" s="196"/>
      <c r="KD50" s="196"/>
      <c r="KE50" s="196"/>
      <c r="KF50" s="196"/>
      <c r="KG50" s="196"/>
      <c r="KH50" s="196"/>
      <c r="KI50" s="196"/>
      <c r="KJ50" s="196"/>
      <c r="KK50" s="196"/>
      <c r="KL50" s="196"/>
      <c r="KM50" s="196"/>
      <c r="KN50" s="196"/>
      <c r="KO50" s="196"/>
      <c r="KP50" s="196"/>
      <c r="KQ50" s="196"/>
      <c r="KR50" s="196"/>
      <c r="KS50" s="196"/>
      <c r="KT50" s="196"/>
      <c r="KU50" s="196"/>
      <c r="KV50" s="196"/>
      <c r="KW50" s="196"/>
      <c r="KX50" s="196"/>
      <c r="KY50" s="196"/>
      <c r="KZ50" s="196"/>
      <c r="LA50" s="196"/>
      <c r="LB50" s="196"/>
      <c r="LC50" s="196"/>
      <c r="LD50" s="196"/>
      <c r="LE50" s="196"/>
      <c r="LF50" s="196"/>
      <c r="LG50" s="196"/>
      <c r="LH50" s="196"/>
      <c r="LI50" s="196"/>
      <c r="LJ50" s="196"/>
      <c r="LK50" s="196"/>
      <c r="LL50" s="196"/>
      <c r="LM50" s="196"/>
      <c r="LN50" s="196"/>
      <c r="LO50" s="196"/>
      <c r="LP50" s="196"/>
      <c r="LQ50" s="196"/>
      <c r="LR50" s="196"/>
      <c r="LS50" s="196"/>
      <c r="LT50" s="196"/>
      <c r="LU50" s="196"/>
      <c r="LV50" s="196"/>
      <c r="LW50" s="196"/>
      <c r="LX50" s="196"/>
      <c r="LY50" s="196"/>
      <c r="LZ50" s="196"/>
      <c r="MA50" s="196"/>
      <c r="MB50" s="196"/>
      <c r="MC50" s="196"/>
      <c r="MD50" s="196"/>
      <c r="ME50" s="196"/>
      <c r="MF50" s="196"/>
      <c r="MG50" s="196"/>
      <c r="MH50" s="196"/>
      <c r="MI50" s="196"/>
      <c r="MJ50" s="196"/>
      <c r="MK50" s="196"/>
      <c r="ML50" s="196"/>
      <c r="MM50" s="196"/>
      <c r="MN50" s="196"/>
      <c r="MO50" s="196"/>
      <c r="MP50" s="196"/>
      <c r="MQ50" s="196"/>
      <c r="MR50" s="196"/>
      <c r="MS50" s="196"/>
      <c r="MT50" s="196"/>
      <c r="MU50" s="196"/>
      <c r="MV50" s="196"/>
      <c r="MW50" s="196"/>
      <c r="MX50" s="196"/>
      <c r="MY50" s="196"/>
      <c r="MZ50" s="196"/>
      <c r="NA50" s="196"/>
      <c r="NB50" s="196"/>
      <c r="NC50" s="196"/>
      <c r="ND50" s="196"/>
      <c r="NE50" s="196"/>
      <c r="NF50" s="196"/>
      <c r="NG50" s="196"/>
      <c r="NH50" s="196"/>
      <c r="NI50" s="196"/>
      <c r="NJ50" s="196"/>
      <c r="NK50" s="196"/>
      <c r="NL50" s="196"/>
      <c r="NM50" s="196"/>
      <c r="NN50" s="196"/>
      <c r="NO50" s="196"/>
      <c r="NP50" s="196"/>
      <c r="NQ50" s="196"/>
      <c r="NR50" s="196"/>
      <c r="NS50" s="196"/>
      <c r="NT50" s="196"/>
      <c r="NU50" s="196"/>
      <c r="NV50" s="196"/>
      <c r="NW50" s="196"/>
      <c r="NX50" s="196"/>
      <c r="NY50" s="196"/>
      <c r="NZ50" s="196"/>
      <c r="OA50" s="196"/>
    </row>
    <row r="51" spans="1:391" hidden="1">
      <c r="A51" s="372" t="s">
        <v>9</v>
      </c>
      <c r="B51" s="367">
        <f>IF(B$3&lt;=time,B29*(1+Economics!$B$4)^(B$3-$B$3)/((1+Economics!$B$3)^(B$3-$B$3)),"")</f>
        <v>0</v>
      </c>
      <c r="C51" s="367">
        <f>IF(C$3&lt;=time,C29*(1+Economics!$B$4)^(C$3-$B$3)/((1+Economics!$B$3)^(C$3-$B$3)),"")</f>
        <v>0</v>
      </c>
      <c r="D51" s="367">
        <f>IF(D$3&lt;=time,D29*(1+Economics!$B$4)^(D$3-$B$3)/((1+Economics!$B$3)^(D$3-$B$3)),"")</f>
        <v>0</v>
      </c>
      <c r="E51" s="367">
        <f>IF(E$3&lt;=time,E29*(1+Economics!$B$4)^(E$3-$B$3)/((1+Economics!$B$3)^(E$3-$B$3)),"")</f>
        <v>0</v>
      </c>
      <c r="F51" s="367">
        <f>IF(F$3&lt;=time,F29*(1+Economics!$B$4)^(F$3-$B$3)/((1+Economics!$B$3)^(F$3-$B$3)),"")</f>
        <v>0</v>
      </c>
      <c r="G51" s="367" t="str">
        <f>IF(G$3&lt;=time,G29*(1+Economics!$B$4)^(G$3-$B$3)/((1+Economics!$B$3)^(G$3-$B$3)),"")</f>
        <v/>
      </c>
      <c r="H51" s="367" t="str">
        <f>IF(H$3&lt;=time,H29*(1+Economics!$B$4)^(H$3-$B$3)/((1+Economics!$B$3)^(H$3-$B$3)),"")</f>
        <v/>
      </c>
      <c r="I51" s="367" t="str">
        <f>IF(I$3&lt;=time,I29*(1+Economics!$B$4)^(I$3-$B$3)/((1+Economics!$B$3)^(I$3-$B$3)),"")</f>
        <v/>
      </c>
      <c r="J51" s="367" t="str">
        <f>IF(J$3&lt;=time,J29*(1+Economics!$B$4)^(J$3-$B$3)/((1+Economics!$B$3)^(J$3-$B$3)),"")</f>
        <v/>
      </c>
      <c r="K51" s="367" t="str">
        <f>IF(K$3&lt;=time,K29*(1+Economics!$B$4)^(K$3-$B$3)/((1+Economics!$B$3)^(K$3-$B$3)),"")</f>
        <v/>
      </c>
      <c r="L51" s="367" t="str">
        <f>IF(L$3&lt;=time,L29*(1+Economics!$B$4)^(L$3-$B$3)/((1+Economics!$B$3)^(L$3-$B$3)),"")</f>
        <v/>
      </c>
      <c r="M51" s="367" t="str">
        <f>IF(M$3&lt;=time,M29*(1+Economics!$B$4)^(M$3-$B$3)/((1+Economics!$B$3)^(M$3-$B$3)),"")</f>
        <v/>
      </c>
      <c r="N51" s="367" t="str">
        <f>IF(N$3&lt;=time,N29*(1+Economics!$B$4)^(N$3-$B$3)/((1+Economics!$B$3)^(N$3-$B$3)),"")</f>
        <v/>
      </c>
      <c r="O51" s="367" t="str">
        <f>IF(O$3&lt;=time,O29*(1+Economics!$B$4)^(O$3-$B$3)/((1+Economics!$B$3)^(O$3-$B$3)),"")</f>
        <v/>
      </c>
      <c r="P51" s="367" t="str">
        <f>IF(P$3&lt;=time,P29*(1+Economics!$B$4)^(P$3-$B$3)/((1+Economics!$B$3)^(P$3-$B$3)),"")</f>
        <v/>
      </c>
      <c r="Q51" s="367" t="str">
        <f>IF(Q$3&lt;=time,Q29*(1+Economics!$B$4)^(Q$3-$B$3)/((1+Economics!$B$3)^(Q$3-$B$3)),"")</f>
        <v/>
      </c>
      <c r="R51" s="367" t="str">
        <f>IF(R$3&lt;=time,R29*(1+Economics!$B$4)^(R$3-$B$3)/((1+Economics!$B$3)^(R$3-$B$3)),"")</f>
        <v/>
      </c>
      <c r="S51" s="367" t="str">
        <f>IF(S$3&lt;=time,S29*(1+Economics!$B$4)^(S$3-$B$3)/((1+Economics!$B$3)^(S$3-$B$3)),"")</f>
        <v/>
      </c>
      <c r="T51" s="367" t="str">
        <f>IF(T$3&lt;=time,T29*(1+Economics!$B$4)^(T$3-$B$3)/((1+Economics!$B$3)^(T$3-$B$3)),"")</f>
        <v/>
      </c>
      <c r="U51" s="367" t="str">
        <f>IF(U$3&lt;=time,U29*(1+Economics!$B$4)^(U$3-$B$3)/((1+Economics!$B$3)^(U$3-$B$3)),"")</f>
        <v/>
      </c>
      <c r="V51" s="367" t="str">
        <f>IF(V$3&lt;=time,V29*(1+Economics!$B$4)^(V$3-$B$3)/((1+Economics!$B$3)^(V$3-$B$3)),"")</f>
        <v/>
      </c>
      <c r="W51" s="367" t="str">
        <f>IF(W$3&lt;=time,W29*(1+Economics!$B$4)^(W$3-$B$3)/((1+Economics!$B$3)^(W$3-$B$3)),"")</f>
        <v/>
      </c>
      <c r="X51" s="367" t="str">
        <f>IF(X$3&lt;=time,X29*(1+Economics!$B$4)^(X$3-$B$3)/((1+Economics!$B$3)^(X$3-$B$3)),"")</f>
        <v/>
      </c>
      <c r="Y51" s="367" t="str">
        <f>IF(Y$3&lt;=time,Y29*(1+Economics!$B$4)^(Y$3-$B$3)/((1+Economics!$B$3)^(Y$3-$B$3)),"")</f>
        <v/>
      </c>
      <c r="Z51" s="367" t="str">
        <f>IF(Z$3&lt;=time,Z29*(1+Economics!$B$4)^(Z$3-$B$3)/((1+Economics!$B$3)^(Z$3-$B$3)),"")</f>
        <v/>
      </c>
      <c r="AA51" s="367">
        <f t="shared" si="9"/>
        <v>0</v>
      </c>
      <c r="AB51" s="368">
        <f t="shared" si="10"/>
        <v>0</v>
      </c>
      <c r="AC51" s="196"/>
      <c r="AD51" s="196"/>
      <c r="AE51" s="196"/>
      <c r="AF51" s="196"/>
      <c r="AG51" s="196"/>
      <c r="AH51" s="196"/>
      <c r="AI51" s="196"/>
      <c r="AJ51" s="196"/>
      <c r="AK51" s="196"/>
      <c r="AL51" s="196"/>
      <c r="AM51" s="196"/>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c r="BV51" s="196"/>
      <c r="BW51" s="196"/>
      <c r="BX51" s="196"/>
      <c r="BY51" s="196"/>
      <c r="BZ51" s="196"/>
      <c r="CA51" s="196"/>
      <c r="CB51" s="196"/>
      <c r="CC51" s="196"/>
      <c r="CD51" s="196"/>
      <c r="CE51" s="196"/>
      <c r="CF51" s="196"/>
      <c r="CG51" s="196"/>
      <c r="CH51" s="196"/>
      <c r="CI51" s="196"/>
      <c r="CJ51" s="196"/>
      <c r="CK51" s="196"/>
      <c r="CL51" s="196"/>
      <c r="CM51" s="196"/>
      <c r="CN51" s="196"/>
      <c r="CO51" s="196"/>
      <c r="CP51" s="196"/>
      <c r="CQ51" s="196"/>
      <c r="CR51" s="196"/>
      <c r="CS51" s="196"/>
      <c r="CT51" s="196"/>
      <c r="CU51" s="196"/>
      <c r="CV51" s="196"/>
      <c r="CW51" s="196"/>
      <c r="CX51" s="196"/>
      <c r="CY51" s="196"/>
      <c r="CZ51" s="196"/>
      <c r="DA51" s="196"/>
      <c r="DB51" s="196"/>
      <c r="DC51" s="196"/>
      <c r="DD51" s="196"/>
      <c r="DE51" s="196"/>
      <c r="DF51" s="196"/>
      <c r="DG51" s="196"/>
      <c r="DH51" s="196"/>
      <c r="DI51" s="196"/>
      <c r="DJ51" s="196"/>
      <c r="DK51" s="196"/>
      <c r="DL51" s="196"/>
      <c r="DM51" s="196"/>
      <c r="DN51" s="196"/>
      <c r="DO51" s="196"/>
      <c r="DP51" s="196"/>
      <c r="DQ51" s="196"/>
      <c r="DR51" s="196"/>
      <c r="DS51" s="196"/>
      <c r="DT51" s="196"/>
      <c r="DU51" s="196"/>
      <c r="DV51" s="196"/>
      <c r="DW51" s="196"/>
      <c r="DX51" s="196"/>
      <c r="DY51" s="196"/>
      <c r="DZ51" s="196"/>
      <c r="EA51" s="196"/>
      <c r="EB51" s="196"/>
      <c r="EC51" s="196"/>
      <c r="ED51" s="196"/>
      <c r="EE51" s="196"/>
      <c r="EF51" s="196"/>
      <c r="EG51" s="196"/>
      <c r="EH51" s="196"/>
      <c r="EI51" s="196"/>
      <c r="EJ51" s="196"/>
      <c r="EK51" s="196"/>
      <c r="EL51" s="196"/>
      <c r="EM51" s="196"/>
      <c r="EN51" s="196"/>
      <c r="EO51" s="196"/>
      <c r="EP51" s="196"/>
      <c r="EQ51" s="196"/>
      <c r="ER51" s="196"/>
      <c r="ES51" s="196"/>
      <c r="ET51" s="196"/>
      <c r="EU51" s="196"/>
      <c r="EV51" s="196"/>
      <c r="EW51" s="196"/>
      <c r="EX51" s="196"/>
      <c r="EY51" s="196"/>
      <c r="EZ51" s="196"/>
      <c r="FA51" s="196"/>
      <c r="FB51" s="196"/>
      <c r="FC51" s="196"/>
      <c r="FD51" s="196"/>
      <c r="FE51" s="196"/>
      <c r="FF51" s="196"/>
      <c r="FG51" s="196"/>
      <c r="FH51" s="196"/>
      <c r="FI51" s="196"/>
      <c r="FJ51" s="196"/>
      <c r="FK51" s="196"/>
      <c r="FL51" s="196"/>
      <c r="FM51" s="196"/>
      <c r="FN51" s="196"/>
      <c r="FO51" s="196"/>
      <c r="FP51" s="196"/>
      <c r="FQ51" s="196"/>
      <c r="FR51" s="196"/>
      <c r="FS51" s="196"/>
      <c r="FT51" s="196"/>
      <c r="FU51" s="196"/>
      <c r="FV51" s="196"/>
      <c r="FW51" s="196"/>
      <c r="FX51" s="196"/>
      <c r="FY51" s="196"/>
      <c r="FZ51" s="196"/>
      <c r="GA51" s="196"/>
      <c r="GB51" s="196"/>
      <c r="GC51" s="196"/>
      <c r="GD51" s="196"/>
      <c r="GE51" s="196"/>
      <c r="GF51" s="196"/>
      <c r="GG51" s="196"/>
      <c r="GH51" s="196"/>
      <c r="GI51" s="196"/>
      <c r="GJ51" s="196"/>
      <c r="GK51" s="196"/>
      <c r="GL51" s="196"/>
      <c r="GM51" s="196"/>
      <c r="GN51" s="196"/>
      <c r="GO51" s="196"/>
      <c r="GP51" s="196"/>
      <c r="GQ51" s="196"/>
      <c r="GR51" s="196"/>
      <c r="GS51" s="196"/>
      <c r="GT51" s="196"/>
      <c r="GU51" s="196"/>
      <c r="GV51" s="196"/>
      <c r="GW51" s="196"/>
      <c r="GX51" s="196"/>
      <c r="GY51" s="196"/>
      <c r="GZ51" s="196"/>
      <c r="HA51" s="196"/>
      <c r="HB51" s="196"/>
      <c r="HC51" s="196"/>
      <c r="HD51" s="196"/>
      <c r="HE51" s="196"/>
      <c r="HF51" s="196"/>
      <c r="HG51" s="196"/>
      <c r="HH51" s="196"/>
      <c r="HI51" s="196"/>
      <c r="HJ51" s="196"/>
      <c r="HK51" s="196"/>
      <c r="HL51" s="196"/>
      <c r="HM51" s="196"/>
      <c r="HN51" s="196"/>
      <c r="HO51" s="196"/>
      <c r="HP51" s="196"/>
      <c r="HQ51" s="196"/>
      <c r="HR51" s="196"/>
      <c r="HS51" s="196"/>
      <c r="HT51" s="196"/>
      <c r="HU51" s="196"/>
      <c r="HV51" s="196"/>
      <c r="HW51" s="196"/>
      <c r="HX51" s="196"/>
      <c r="HY51" s="196"/>
      <c r="HZ51" s="196"/>
      <c r="IA51" s="196"/>
      <c r="IB51" s="196"/>
      <c r="IC51" s="196"/>
      <c r="ID51" s="196"/>
      <c r="IE51" s="196"/>
      <c r="IF51" s="196"/>
      <c r="IG51" s="196"/>
      <c r="IH51" s="196"/>
      <c r="II51" s="196"/>
      <c r="IJ51" s="196"/>
      <c r="IK51" s="196"/>
      <c r="IL51" s="196"/>
      <c r="IM51" s="196"/>
      <c r="IN51" s="196"/>
      <c r="IO51" s="196"/>
      <c r="IP51" s="196"/>
      <c r="IQ51" s="196"/>
      <c r="IR51" s="196"/>
      <c r="IS51" s="196"/>
      <c r="IT51" s="196"/>
      <c r="IU51" s="196"/>
      <c r="IV51" s="196"/>
      <c r="IW51" s="196"/>
      <c r="IX51" s="196"/>
      <c r="IY51" s="196"/>
      <c r="IZ51" s="196"/>
      <c r="JA51" s="196"/>
      <c r="JB51" s="196"/>
      <c r="JC51" s="196"/>
      <c r="JD51" s="196"/>
      <c r="JE51" s="196"/>
      <c r="JF51" s="196"/>
      <c r="JG51" s="196"/>
      <c r="JH51" s="196"/>
      <c r="JI51" s="196"/>
      <c r="JJ51" s="196"/>
      <c r="JK51" s="196"/>
      <c r="JL51" s="196"/>
      <c r="JM51" s="196"/>
      <c r="JN51" s="196"/>
      <c r="JO51" s="196"/>
      <c r="JP51" s="196"/>
      <c r="JQ51" s="196"/>
      <c r="JR51" s="196"/>
      <c r="JS51" s="196"/>
      <c r="JT51" s="196"/>
      <c r="JU51" s="196"/>
      <c r="JV51" s="196"/>
      <c r="JW51" s="196"/>
      <c r="JX51" s="196"/>
      <c r="JY51" s="196"/>
      <c r="JZ51" s="196"/>
      <c r="KA51" s="196"/>
      <c r="KB51" s="196"/>
      <c r="KC51" s="196"/>
      <c r="KD51" s="196"/>
      <c r="KE51" s="196"/>
      <c r="KF51" s="196"/>
      <c r="KG51" s="196"/>
      <c r="KH51" s="196"/>
      <c r="KI51" s="196"/>
      <c r="KJ51" s="196"/>
      <c r="KK51" s="196"/>
      <c r="KL51" s="196"/>
      <c r="KM51" s="196"/>
      <c r="KN51" s="196"/>
      <c r="KO51" s="196"/>
      <c r="KP51" s="196"/>
      <c r="KQ51" s="196"/>
      <c r="KR51" s="196"/>
      <c r="KS51" s="196"/>
      <c r="KT51" s="196"/>
      <c r="KU51" s="196"/>
      <c r="KV51" s="196"/>
      <c r="KW51" s="196"/>
      <c r="KX51" s="196"/>
      <c r="KY51" s="196"/>
      <c r="KZ51" s="196"/>
      <c r="LA51" s="196"/>
      <c r="LB51" s="196"/>
      <c r="LC51" s="196"/>
      <c r="LD51" s="196"/>
      <c r="LE51" s="196"/>
      <c r="LF51" s="196"/>
      <c r="LG51" s="196"/>
      <c r="LH51" s="196"/>
      <c r="LI51" s="196"/>
      <c r="LJ51" s="196"/>
      <c r="LK51" s="196"/>
      <c r="LL51" s="196"/>
      <c r="LM51" s="196"/>
      <c r="LN51" s="196"/>
      <c r="LO51" s="196"/>
      <c r="LP51" s="196"/>
      <c r="LQ51" s="196"/>
      <c r="LR51" s="196"/>
      <c r="LS51" s="196"/>
      <c r="LT51" s="196"/>
      <c r="LU51" s="196"/>
      <c r="LV51" s="196"/>
      <c r="LW51" s="196"/>
      <c r="LX51" s="196"/>
      <c r="LY51" s="196"/>
      <c r="LZ51" s="196"/>
      <c r="MA51" s="196"/>
      <c r="MB51" s="196"/>
      <c r="MC51" s="196"/>
      <c r="MD51" s="196"/>
      <c r="ME51" s="196"/>
      <c r="MF51" s="196"/>
      <c r="MG51" s="196"/>
      <c r="MH51" s="196"/>
      <c r="MI51" s="196"/>
      <c r="MJ51" s="196"/>
      <c r="MK51" s="196"/>
      <c r="ML51" s="196"/>
      <c r="MM51" s="196"/>
      <c r="MN51" s="196"/>
      <c r="MO51" s="196"/>
      <c r="MP51" s="196"/>
      <c r="MQ51" s="196"/>
      <c r="MR51" s="196"/>
      <c r="MS51" s="196"/>
      <c r="MT51" s="196"/>
      <c r="MU51" s="196"/>
      <c r="MV51" s="196"/>
      <c r="MW51" s="196"/>
      <c r="MX51" s="196"/>
      <c r="MY51" s="196"/>
      <c r="MZ51" s="196"/>
      <c r="NA51" s="196"/>
      <c r="NB51" s="196"/>
      <c r="NC51" s="196"/>
      <c r="ND51" s="196"/>
      <c r="NE51" s="196"/>
      <c r="NF51" s="196"/>
      <c r="NG51" s="196"/>
      <c r="NH51" s="196"/>
      <c r="NI51" s="196"/>
      <c r="NJ51" s="196"/>
      <c r="NK51" s="196"/>
      <c r="NL51" s="196"/>
      <c r="NM51" s="196"/>
      <c r="NN51" s="196"/>
      <c r="NO51" s="196"/>
      <c r="NP51" s="196"/>
      <c r="NQ51" s="196"/>
      <c r="NR51" s="196"/>
      <c r="NS51" s="196"/>
      <c r="NT51" s="196"/>
      <c r="NU51" s="196"/>
      <c r="NV51" s="196"/>
      <c r="NW51" s="196"/>
      <c r="NX51" s="196"/>
      <c r="NY51" s="196"/>
      <c r="NZ51" s="196"/>
      <c r="OA51" s="196"/>
    </row>
    <row r="52" spans="1:391" hidden="1">
      <c r="A52" s="372" t="s">
        <v>10</v>
      </c>
      <c r="B52" s="367">
        <f>IF(B$3&lt;=time,B30*(1+Economics!$B$4)^(B$3-$B$3)/((1+Economics!$B$3)^(B$3-$B$3)),"")</f>
        <v>0</v>
      </c>
      <c r="C52" s="367">
        <f>IF(C$3&lt;=time,C30*(1+Economics!$B$4)^(C$3-$B$3)/((1+Economics!$B$3)^(C$3-$B$3)),"")</f>
        <v>0</v>
      </c>
      <c r="D52" s="367">
        <f>IF(D$3&lt;=time,D30*(1+Economics!$B$4)^(D$3-$B$3)/((1+Economics!$B$3)^(D$3-$B$3)),"")</f>
        <v>0</v>
      </c>
      <c r="E52" s="367">
        <f>IF(E$3&lt;=time,E30*(1+Economics!$B$4)^(E$3-$B$3)/((1+Economics!$B$3)^(E$3-$B$3)),"")</f>
        <v>0</v>
      </c>
      <c r="F52" s="367">
        <f>IF(F$3&lt;=time,F30*(1+Economics!$B$4)^(F$3-$B$3)/((1+Economics!$B$3)^(F$3-$B$3)),"")</f>
        <v>0</v>
      </c>
      <c r="G52" s="367" t="str">
        <f>IF(G$3&lt;=time,G30*(1+Economics!$B$4)^(G$3-$B$3)/((1+Economics!$B$3)^(G$3-$B$3)),"")</f>
        <v/>
      </c>
      <c r="H52" s="367" t="str">
        <f>IF(H$3&lt;=time,H30*(1+Economics!$B$4)^(H$3-$B$3)/((1+Economics!$B$3)^(H$3-$B$3)),"")</f>
        <v/>
      </c>
      <c r="I52" s="367" t="str">
        <f>IF(I$3&lt;=time,I30*(1+Economics!$B$4)^(I$3-$B$3)/((1+Economics!$B$3)^(I$3-$B$3)),"")</f>
        <v/>
      </c>
      <c r="J52" s="367" t="str">
        <f>IF(J$3&lt;=time,J30*(1+Economics!$B$4)^(J$3-$B$3)/((1+Economics!$B$3)^(J$3-$B$3)),"")</f>
        <v/>
      </c>
      <c r="K52" s="367" t="str">
        <f>IF(K$3&lt;=time,K30*(1+Economics!$B$4)^(K$3-$B$3)/((1+Economics!$B$3)^(K$3-$B$3)),"")</f>
        <v/>
      </c>
      <c r="L52" s="367" t="str">
        <f>IF(L$3&lt;=time,L30*(1+Economics!$B$4)^(L$3-$B$3)/((1+Economics!$B$3)^(L$3-$B$3)),"")</f>
        <v/>
      </c>
      <c r="M52" s="367" t="str">
        <f>IF(M$3&lt;=time,M30*(1+Economics!$B$4)^(M$3-$B$3)/((1+Economics!$B$3)^(M$3-$B$3)),"")</f>
        <v/>
      </c>
      <c r="N52" s="367" t="str">
        <f>IF(N$3&lt;=time,N30*(1+Economics!$B$4)^(N$3-$B$3)/((1+Economics!$B$3)^(N$3-$B$3)),"")</f>
        <v/>
      </c>
      <c r="O52" s="367" t="str">
        <f>IF(O$3&lt;=time,O30*(1+Economics!$B$4)^(O$3-$B$3)/((1+Economics!$B$3)^(O$3-$B$3)),"")</f>
        <v/>
      </c>
      <c r="P52" s="367" t="str">
        <f>IF(P$3&lt;=time,P30*(1+Economics!$B$4)^(P$3-$B$3)/((1+Economics!$B$3)^(P$3-$B$3)),"")</f>
        <v/>
      </c>
      <c r="Q52" s="367" t="str">
        <f>IF(Q$3&lt;=time,Q30*(1+Economics!$B$4)^(Q$3-$B$3)/((1+Economics!$B$3)^(Q$3-$B$3)),"")</f>
        <v/>
      </c>
      <c r="R52" s="367" t="str">
        <f>IF(R$3&lt;=time,R30*(1+Economics!$B$4)^(R$3-$B$3)/((1+Economics!$B$3)^(R$3-$B$3)),"")</f>
        <v/>
      </c>
      <c r="S52" s="367" t="str">
        <f>IF(S$3&lt;=time,S30*(1+Economics!$B$4)^(S$3-$B$3)/((1+Economics!$B$3)^(S$3-$B$3)),"")</f>
        <v/>
      </c>
      <c r="T52" s="367" t="str">
        <f>IF(T$3&lt;=time,T30*(1+Economics!$B$4)^(T$3-$B$3)/((1+Economics!$B$3)^(T$3-$B$3)),"")</f>
        <v/>
      </c>
      <c r="U52" s="367" t="str">
        <f>IF(U$3&lt;=time,U30*(1+Economics!$B$4)^(U$3-$B$3)/((1+Economics!$B$3)^(U$3-$B$3)),"")</f>
        <v/>
      </c>
      <c r="V52" s="367" t="str">
        <f>IF(V$3&lt;=time,V30*(1+Economics!$B$4)^(V$3-$B$3)/((1+Economics!$B$3)^(V$3-$B$3)),"")</f>
        <v/>
      </c>
      <c r="W52" s="367" t="str">
        <f>IF(W$3&lt;=time,W30*(1+Economics!$B$4)^(W$3-$B$3)/((1+Economics!$B$3)^(W$3-$B$3)),"")</f>
        <v/>
      </c>
      <c r="X52" s="367" t="str">
        <f>IF(X$3&lt;=time,X30*(1+Economics!$B$4)^(X$3-$B$3)/((1+Economics!$B$3)^(X$3-$B$3)),"")</f>
        <v/>
      </c>
      <c r="Y52" s="367" t="str">
        <f>IF(Y$3&lt;=time,Y30*(1+Economics!$B$4)^(Y$3-$B$3)/((1+Economics!$B$3)^(Y$3-$B$3)),"")</f>
        <v/>
      </c>
      <c r="Z52" s="367" t="str">
        <f>IF(Z$3&lt;=time,Z30*(1+Economics!$B$4)^(Z$3-$B$3)/((1+Economics!$B$3)^(Z$3-$B$3)),"")</f>
        <v/>
      </c>
      <c r="AA52" s="367">
        <f t="shared" si="9"/>
        <v>0</v>
      </c>
      <c r="AB52" s="368">
        <f t="shared" si="10"/>
        <v>0</v>
      </c>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6"/>
      <c r="BQ52" s="196"/>
      <c r="BR52" s="196"/>
      <c r="BS52" s="196"/>
      <c r="BT52" s="196"/>
      <c r="BU52" s="196"/>
      <c r="BV52" s="196"/>
      <c r="BW52" s="196"/>
      <c r="BX52" s="196"/>
      <c r="BY52" s="196"/>
      <c r="BZ52" s="196"/>
      <c r="CA52" s="196"/>
      <c r="CB52" s="196"/>
      <c r="CC52" s="196"/>
      <c r="CD52" s="196"/>
      <c r="CE52" s="196"/>
      <c r="CF52" s="196"/>
      <c r="CG52" s="196"/>
      <c r="CH52" s="196"/>
      <c r="CI52" s="196"/>
      <c r="CJ52" s="196"/>
      <c r="CK52" s="196"/>
      <c r="CL52" s="196"/>
      <c r="CM52" s="196"/>
      <c r="CN52" s="196"/>
      <c r="CO52" s="196"/>
      <c r="CP52" s="196"/>
      <c r="CQ52" s="196"/>
      <c r="CR52" s="196"/>
      <c r="CS52" s="196"/>
      <c r="CT52" s="196"/>
      <c r="CU52" s="196"/>
      <c r="CV52" s="196"/>
      <c r="CW52" s="196"/>
      <c r="CX52" s="196"/>
      <c r="CY52" s="196"/>
      <c r="CZ52" s="196"/>
      <c r="DA52" s="196"/>
      <c r="DB52" s="196"/>
      <c r="DC52" s="196"/>
      <c r="DD52" s="196"/>
      <c r="DE52" s="196"/>
      <c r="DF52" s="196"/>
      <c r="DG52" s="196"/>
      <c r="DH52" s="196"/>
      <c r="DI52" s="196"/>
      <c r="DJ52" s="196"/>
      <c r="DK52" s="196"/>
      <c r="DL52" s="196"/>
      <c r="DM52" s="196"/>
      <c r="DN52" s="196"/>
      <c r="DO52" s="196"/>
      <c r="DP52" s="196"/>
      <c r="DQ52" s="196"/>
      <c r="DR52" s="196"/>
      <c r="DS52" s="196"/>
      <c r="DT52" s="196"/>
      <c r="DU52" s="196"/>
      <c r="DV52" s="196"/>
      <c r="DW52" s="196"/>
      <c r="DX52" s="196"/>
      <c r="DY52" s="196"/>
      <c r="DZ52" s="196"/>
      <c r="EA52" s="196"/>
      <c r="EB52" s="196"/>
      <c r="EC52" s="196"/>
      <c r="ED52" s="196"/>
      <c r="EE52" s="196"/>
      <c r="EF52" s="196"/>
      <c r="EG52" s="196"/>
      <c r="EH52" s="196"/>
      <c r="EI52" s="196"/>
      <c r="EJ52" s="196"/>
      <c r="EK52" s="196"/>
      <c r="EL52" s="196"/>
      <c r="EM52" s="196"/>
      <c r="EN52" s="196"/>
      <c r="EO52" s="196"/>
      <c r="EP52" s="196"/>
      <c r="EQ52" s="196"/>
      <c r="ER52" s="196"/>
      <c r="ES52" s="196"/>
      <c r="ET52" s="196"/>
      <c r="EU52" s="196"/>
      <c r="EV52" s="196"/>
      <c r="EW52" s="196"/>
      <c r="EX52" s="196"/>
      <c r="EY52" s="196"/>
      <c r="EZ52" s="196"/>
      <c r="FA52" s="196"/>
      <c r="FB52" s="196"/>
      <c r="FC52" s="196"/>
      <c r="FD52" s="196"/>
      <c r="FE52" s="196"/>
      <c r="FF52" s="196"/>
      <c r="FG52" s="196"/>
      <c r="FH52" s="196"/>
      <c r="FI52" s="196"/>
      <c r="FJ52" s="196"/>
      <c r="FK52" s="196"/>
      <c r="FL52" s="196"/>
      <c r="FM52" s="196"/>
      <c r="FN52" s="196"/>
      <c r="FO52" s="196"/>
      <c r="FP52" s="196"/>
      <c r="FQ52" s="196"/>
      <c r="FR52" s="196"/>
      <c r="FS52" s="196"/>
      <c r="FT52" s="196"/>
      <c r="FU52" s="196"/>
      <c r="FV52" s="196"/>
      <c r="FW52" s="196"/>
      <c r="FX52" s="196"/>
      <c r="FY52" s="196"/>
      <c r="FZ52" s="196"/>
      <c r="GA52" s="196"/>
      <c r="GB52" s="196"/>
      <c r="GC52" s="196"/>
      <c r="GD52" s="196"/>
      <c r="GE52" s="196"/>
      <c r="GF52" s="196"/>
      <c r="GG52" s="196"/>
      <c r="GH52" s="196"/>
      <c r="GI52" s="196"/>
      <c r="GJ52" s="196"/>
      <c r="GK52" s="196"/>
      <c r="GL52" s="196"/>
      <c r="GM52" s="196"/>
      <c r="GN52" s="196"/>
      <c r="GO52" s="196"/>
      <c r="GP52" s="196"/>
      <c r="GQ52" s="196"/>
      <c r="GR52" s="196"/>
      <c r="GS52" s="196"/>
      <c r="GT52" s="196"/>
      <c r="GU52" s="196"/>
      <c r="GV52" s="196"/>
      <c r="GW52" s="196"/>
      <c r="GX52" s="196"/>
      <c r="GY52" s="196"/>
      <c r="GZ52" s="196"/>
      <c r="HA52" s="196"/>
      <c r="HB52" s="196"/>
      <c r="HC52" s="196"/>
      <c r="HD52" s="196"/>
      <c r="HE52" s="196"/>
      <c r="HF52" s="196"/>
      <c r="HG52" s="196"/>
      <c r="HH52" s="196"/>
      <c r="HI52" s="196"/>
      <c r="HJ52" s="196"/>
      <c r="HK52" s="196"/>
      <c r="HL52" s="196"/>
      <c r="HM52" s="196"/>
      <c r="HN52" s="196"/>
      <c r="HO52" s="196"/>
      <c r="HP52" s="196"/>
      <c r="HQ52" s="196"/>
      <c r="HR52" s="196"/>
      <c r="HS52" s="196"/>
      <c r="HT52" s="196"/>
      <c r="HU52" s="196"/>
      <c r="HV52" s="196"/>
      <c r="HW52" s="196"/>
      <c r="HX52" s="196"/>
      <c r="HY52" s="196"/>
      <c r="HZ52" s="196"/>
      <c r="IA52" s="196"/>
      <c r="IB52" s="196"/>
      <c r="IC52" s="196"/>
      <c r="ID52" s="196"/>
      <c r="IE52" s="196"/>
      <c r="IF52" s="196"/>
      <c r="IG52" s="196"/>
      <c r="IH52" s="196"/>
      <c r="II52" s="196"/>
      <c r="IJ52" s="196"/>
      <c r="IK52" s="196"/>
      <c r="IL52" s="196"/>
      <c r="IM52" s="196"/>
      <c r="IN52" s="196"/>
      <c r="IO52" s="196"/>
      <c r="IP52" s="196"/>
      <c r="IQ52" s="196"/>
      <c r="IR52" s="196"/>
      <c r="IS52" s="196"/>
      <c r="IT52" s="196"/>
      <c r="IU52" s="196"/>
      <c r="IV52" s="196"/>
      <c r="IW52" s="196"/>
      <c r="IX52" s="196"/>
      <c r="IY52" s="196"/>
      <c r="IZ52" s="196"/>
      <c r="JA52" s="196"/>
      <c r="JB52" s="196"/>
      <c r="JC52" s="196"/>
      <c r="JD52" s="196"/>
      <c r="JE52" s="196"/>
      <c r="JF52" s="196"/>
      <c r="JG52" s="196"/>
      <c r="JH52" s="196"/>
      <c r="JI52" s="196"/>
      <c r="JJ52" s="196"/>
      <c r="JK52" s="196"/>
      <c r="JL52" s="196"/>
      <c r="JM52" s="196"/>
      <c r="JN52" s="196"/>
      <c r="JO52" s="196"/>
      <c r="JP52" s="196"/>
      <c r="JQ52" s="196"/>
      <c r="JR52" s="196"/>
      <c r="JS52" s="196"/>
      <c r="JT52" s="196"/>
      <c r="JU52" s="196"/>
      <c r="JV52" s="196"/>
      <c r="JW52" s="196"/>
      <c r="JX52" s="196"/>
      <c r="JY52" s="196"/>
      <c r="JZ52" s="196"/>
      <c r="KA52" s="196"/>
      <c r="KB52" s="196"/>
      <c r="KC52" s="196"/>
      <c r="KD52" s="196"/>
      <c r="KE52" s="196"/>
      <c r="KF52" s="196"/>
      <c r="KG52" s="196"/>
      <c r="KH52" s="196"/>
      <c r="KI52" s="196"/>
      <c r="KJ52" s="196"/>
      <c r="KK52" s="196"/>
      <c r="KL52" s="196"/>
      <c r="KM52" s="196"/>
      <c r="KN52" s="196"/>
      <c r="KO52" s="196"/>
      <c r="KP52" s="196"/>
      <c r="KQ52" s="196"/>
      <c r="KR52" s="196"/>
      <c r="KS52" s="196"/>
      <c r="KT52" s="196"/>
      <c r="KU52" s="196"/>
      <c r="KV52" s="196"/>
      <c r="KW52" s="196"/>
      <c r="KX52" s="196"/>
      <c r="KY52" s="196"/>
      <c r="KZ52" s="196"/>
      <c r="LA52" s="196"/>
      <c r="LB52" s="196"/>
      <c r="LC52" s="196"/>
      <c r="LD52" s="196"/>
      <c r="LE52" s="196"/>
      <c r="LF52" s="196"/>
      <c r="LG52" s="196"/>
      <c r="LH52" s="196"/>
      <c r="LI52" s="196"/>
      <c r="LJ52" s="196"/>
      <c r="LK52" s="196"/>
      <c r="LL52" s="196"/>
      <c r="LM52" s="196"/>
      <c r="LN52" s="196"/>
      <c r="LO52" s="196"/>
      <c r="LP52" s="196"/>
      <c r="LQ52" s="196"/>
      <c r="LR52" s="196"/>
      <c r="LS52" s="196"/>
      <c r="LT52" s="196"/>
      <c r="LU52" s="196"/>
      <c r="LV52" s="196"/>
      <c r="LW52" s="196"/>
      <c r="LX52" s="196"/>
      <c r="LY52" s="196"/>
      <c r="LZ52" s="196"/>
      <c r="MA52" s="196"/>
      <c r="MB52" s="196"/>
      <c r="MC52" s="196"/>
      <c r="MD52" s="196"/>
      <c r="ME52" s="196"/>
      <c r="MF52" s="196"/>
      <c r="MG52" s="196"/>
      <c r="MH52" s="196"/>
      <c r="MI52" s="196"/>
      <c r="MJ52" s="196"/>
      <c r="MK52" s="196"/>
      <c r="ML52" s="196"/>
      <c r="MM52" s="196"/>
      <c r="MN52" s="196"/>
      <c r="MO52" s="196"/>
      <c r="MP52" s="196"/>
      <c r="MQ52" s="196"/>
      <c r="MR52" s="196"/>
      <c r="MS52" s="196"/>
      <c r="MT52" s="196"/>
      <c r="MU52" s="196"/>
      <c r="MV52" s="196"/>
      <c r="MW52" s="196"/>
      <c r="MX52" s="196"/>
      <c r="MY52" s="196"/>
      <c r="MZ52" s="196"/>
      <c r="NA52" s="196"/>
      <c r="NB52" s="196"/>
      <c r="NC52" s="196"/>
      <c r="ND52" s="196"/>
      <c r="NE52" s="196"/>
      <c r="NF52" s="196"/>
      <c r="NG52" s="196"/>
      <c r="NH52" s="196"/>
      <c r="NI52" s="196"/>
      <c r="NJ52" s="196"/>
      <c r="NK52" s="196"/>
      <c r="NL52" s="196"/>
      <c r="NM52" s="196"/>
      <c r="NN52" s="196"/>
      <c r="NO52" s="196"/>
      <c r="NP52" s="196"/>
      <c r="NQ52" s="196"/>
      <c r="NR52" s="196"/>
      <c r="NS52" s="196"/>
      <c r="NT52" s="196"/>
      <c r="NU52" s="196"/>
      <c r="NV52" s="196"/>
      <c r="NW52" s="196"/>
      <c r="NX52" s="196"/>
      <c r="NY52" s="196"/>
      <c r="NZ52" s="196"/>
      <c r="OA52" s="196"/>
    </row>
    <row r="53" spans="1:391" s="306" customFormat="1" hidden="1">
      <c r="A53" s="342" t="s">
        <v>19</v>
      </c>
      <c r="B53" s="369">
        <f>IF(B$3&lt;=time,B31*(1+Economics!$B$4)^(B$3-$B$3)/((1+Economics!$B$3)^(B$3-$B$3)),"")</f>
        <v>284.73002251534706</v>
      </c>
      <c r="C53" s="369">
        <f>IF(C$3&lt;=time,C31*(1+Economics!$B$4)^(C$3-$B$3)/((1+Economics!$B$3)^(C$3-$B$3)),"")</f>
        <v>0</v>
      </c>
      <c r="D53" s="369">
        <f>IF(D$3&lt;=time,D31*(1+Economics!$B$4)^(D$3-$B$3)/((1+Economics!$B$3)^(D$3-$B$3)),"")</f>
        <v>0</v>
      </c>
      <c r="E53" s="369">
        <f>IF(E$3&lt;=time,E31*(1+Economics!$B$4)^(E$3-$B$3)/((1+Economics!$B$3)^(E$3-$B$3)),"")</f>
        <v>0</v>
      </c>
      <c r="F53" s="369">
        <f>IF(F$3&lt;=time,F31*(1+Economics!$B$4)^(F$3-$B$3)/((1+Economics!$B$3)^(F$3-$B$3)),"")</f>
        <v>0</v>
      </c>
      <c r="G53" s="369" t="str">
        <f>IF(G$3&lt;=time,G31*(1+Economics!$B$4)^(G$3-$B$3)/((1+Economics!$B$3)^(G$3-$B$3)),"")</f>
        <v/>
      </c>
      <c r="H53" s="369" t="str">
        <f>IF(H$3&lt;=time,H31*(1+Economics!$B$4)^(H$3-$B$3)/((1+Economics!$B$3)^(H$3-$B$3)),"")</f>
        <v/>
      </c>
      <c r="I53" s="369" t="str">
        <f>IF(I$3&lt;=time,I31*(1+Economics!$B$4)^(I$3-$B$3)/((1+Economics!$B$3)^(I$3-$B$3)),"")</f>
        <v/>
      </c>
      <c r="J53" s="369" t="str">
        <f>IF(J$3&lt;=time,J31*(1+Economics!$B$4)^(J$3-$B$3)/((1+Economics!$B$3)^(J$3-$B$3)),"")</f>
        <v/>
      </c>
      <c r="K53" s="369" t="str">
        <f>IF(K$3&lt;=time,K31*(1+Economics!$B$4)^(K$3-$B$3)/((1+Economics!$B$3)^(K$3-$B$3)),"")</f>
        <v/>
      </c>
      <c r="L53" s="369" t="str">
        <f>IF(L$3&lt;=time,L31*(1+Economics!$B$4)^(L$3-$B$3)/((1+Economics!$B$3)^(L$3-$B$3)),"")</f>
        <v/>
      </c>
      <c r="M53" s="369" t="str">
        <f>IF(M$3&lt;=time,M31*(1+Economics!$B$4)^(M$3-$B$3)/((1+Economics!$B$3)^(M$3-$B$3)),"")</f>
        <v/>
      </c>
      <c r="N53" s="369" t="str">
        <f>IF(N$3&lt;=time,N31*(1+Economics!$B$4)^(N$3-$B$3)/((1+Economics!$B$3)^(N$3-$B$3)),"")</f>
        <v/>
      </c>
      <c r="O53" s="369" t="str">
        <f>IF(O$3&lt;=time,O31*(1+Economics!$B$4)^(O$3-$B$3)/((1+Economics!$B$3)^(O$3-$B$3)),"")</f>
        <v/>
      </c>
      <c r="P53" s="369" t="str">
        <f>IF(P$3&lt;=time,P31*(1+Economics!$B$4)^(P$3-$B$3)/((1+Economics!$B$3)^(P$3-$B$3)),"")</f>
        <v/>
      </c>
      <c r="Q53" s="369" t="str">
        <f>IF(Q$3&lt;=time,Q31*(1+Economics!$B$4)^(Q$3-$B$3)/((1+Economics!$B$3)^(Q$3-$B$3)),"")</f>
        <v/>
      </c>
      <c r="R53" s="369" t="str">
        <f>IF(R$3&lt;=time,R31*(1+Economics!$B$4)^(R$3-$B$3)/((1+Economics!$B$3)^(R$3-$B$3)),"")</f>
        <v/>
      </c>
      <c r="S53" s="369" t="str">
        <f>IF(S$3&lt;=time,S31*(1+Economics!$B$4)^(S$3-$B$3)/((1+Economics!$B$3)^(S$3-$B$3)),"")</f>
        <v/>
      </c>
      <c r="T53" s="369" t="str">
        <f>IF(T$3&lt;=time,T31*(1+Economics!$B$4)^(T$3-$B$3)/((1+Economics!$B$3)^(T$3-$B$3)),"")</f>
        <v/>
      </c>
      <c r="U53" s="369" t="str">
        <f>IF(U$3&lt;=time,U31*(1+Economics!$B$4)^(U$3-$B$3)/((1+Economics!$B$3)^(U$3-$B$3)),"")</f>
        <v/>
      </c>
      <c r="V53" s="369" t="str">
        <f>IF(V$3&lt;=time,V31*(1+Economics!$B$4)^(V$3-$B$3)/((1+Economics!$B$3)^(V$3-$B$3)),"")</f>
        <v/>
      </c>
      <c r="W53" s="369" t="str">
        <f>IF(W$3&lt;=time,W31*(1+Economics!$B$4)^(W$3-$B$3)/((1+Economics!$B$3)^(W$3-$B$3)),"")</f>
        <v/>
      </c>
      <c r="X53" s="369" t="str">
        <f>IF(X$3&lt;=time,X31*(1+Economics!$B$4)^(X$3-$B$3)/((1+Economics!$B$3)^(X$3-$B$3)),"")</f>
        <v/>
      </c>
      <c r="Y53" s="369" t="str">
        <f>IF(Y$3&lt;=time,Y31*(1+Economics!$B$4)^(Y$3-$B$3)/((1+Economics!$B$3)^(Y$3-$B$3)),"")</f>
        <v/>
      </c>
      <c r="Z53" s="369" t="str">
        <f>IF(Z$3&lt;=time,Z31*(1+Economics!$B$4)^(Z$3-$B$3)/((1+Economics!$B$3)^(Z$3-$B$3)),"")</f>
        <v/>
      </c>
      <c r="AA53" s="369">
        <f t="shared" si="9"/>
        <v>284.73002251534706</v>
      </c>
      <c r="AB53" s="370">
        <f t="shared" si="10"/>
        <v>56.94600450306941</v>
      </c>
      <c r="AC53" s="196"/>
      <c r="AD53" s="196"/>
      <c r="AE53" s="196"/>
      <c r="AF53" s="196"/>
      <c r="AG53" s="196"/>
      <c r="AH53" s="196"/>
      <c r="AI53" s="196"/>
      <c r="AJ53" s="196"/>
      <c r="AK53" s="196"/>
      <c r="AL53" s="196"/>
      <c r="AM53" s="196"/>
      <c r="AN53" s="196"/>
      <c r="AO53" s="196"/>
      <c r="AP53" s="196"/>
      <c r="AQ53" s="196"/>
      <c r="AR53" s="196"/>
      <c r="AS53" s="196"/>
      <c r="AT53" s="196"/>
      <c r="AU53" s="196"/>
      <c r="AV53" s="196"/>
      <c r="AW53" s="196"/>
      <c r="AX53" s="196"/>
      <c r="AY53" s="196"/>
      <c r="AZ53" s="196"/>
      <c r="BA53" s="196"/>
      <c r="BB53" s="196"/>
      <c r="BC53" s="196"/>
      <c r="BD53" s="196"/>
      <c r="BE53" s="196"/>
      <c r="BF53" s="196"/>
      <c r="BG53" s="196"/>
      <c r="BH53" s="196"/>
      <c r="BI53" s="196"/>
      <c r="BJ53" s="196"/>
      <c r="BK53" s="196"/>
      <c r="BL53" s="196"/>
      <c r="BM53" s="196"/>
      <c r="BN53" s="196"/>
      <c r="BO53" s="196"/>
      <c r="BP53" s="196"/>
      <c r="BQ53" s="196"/>
      <c r="BR53" s="196"/>
      <c r="BS53" s="196"/>
      <c r="BT53" s="196"/>
      <c r="BU53" s="196"/>
      <c r="BV53" s="196"/>
      <c r="BW53" s="196"/>
      <c r="BX53" s="196"/>
      <c r="BY53" s="196"/>
      <c r="BZ53" s="196"/>
      <c r="CA53" s="196"/>
      <c r="CB53" s="196"/>
      <c r="CC53" s="196"/>
      <c r="CD53" s="196"/>
      <c r="CE53" s="196"/>
      <c r="CF53" s="196"/>
      <c r="CG53" s="196"/>
      <c r="CH53" s="196"/>
      <c r="CI53" s="196"/>
      <c r="CJ53" s="196"/>
      <c r="CK53" s="196"/>
      <c r="CL53" s="196"/>
      <c r="CM53" s="196"/>
      <c r="CN53" s="196"/>
      <c r="CO53" s="196"/>
      <c r="CP53" s="196"/>
      <c r="CQ53" s="196"/>
      <c r="CR53" s="196"/>
      <c r="CS53" s="196"/>
      <c r="CT53" s="196"/>
      <c r="CU53" s="196"/>
      <c r="CV53" s="196"/>
      <c r="CW53" s="196"/>
      <c r="CX53" s="196"/>
      <c r="CY53" s="196"/>
      <c r="CZ53" s="196"/>
      <c r="DA53" s="196"/>
      <c r="DB53" s="196"/>
      <c r="DC53" s="196"/>
      <c r="DD53" s="196"/>
      <c r="DE53" s="196"/>
      <c r="DF53" s="196"/>
      <c r="DG53" s="196"/>
      <c r="DH53" s="196"/>
      <c r="DI53" s="196"/>
      <c r="DJ53" s="196"/>
      <c r="DK53" s="196"/>
      <c r="DL53" s="196"/>
      <c r="DM53" s="196"/>
      <c r="DN53" s="196"/>
      <c r="DO53" s="196"/>
      <c r="DP53" s="196"/>
      <c r="DQ53" s="196"/>
      <c r="DR53" s="196"/>
      <c r="DS53" s="196"/>
      <c r="DT53" s="196"/>
      <c r="DU53" s="196"/>
      <c r="DV53" s="196"/>
      <c r="DW53" s="196"/>
      <c r="DX53" s="196"/>
      <c r="DY53" s="196"/>
      <c r="DZ53" s="196"/>
      <c r="EA53" s="196"/>
      <c r="EB53" s="196"/>
      <c r="EC53" s="196"/>
      <c r="ED53" s="196"/>
      <c r="EE53" s="196"/>
      <c r="EF53" s="196"/>
      <c r="EG53" s="196"/>
      <c r="EH53" s="196"/>
      <c r="EI53" s="196"/>
      <c r="EJ53" s="196"/>
      <c r="EK53" s="196"/>
      <c r="EL53" s="196"/>
      <c r="EM53" s="196"/>
      <c r="EN53" s="196"/>
      <c r="EO53" s="196"/>
      <c r="EP53" s="196"/>
      <c r="EQ53" s="196"/>
      <c r="ER53" s="196"/>
      <c r="ES53" s="196"/>
      <c r="ET53" s="196"/>
      <c r="EU53" s="196"/>
      <c r="EV53" s="196"/>
      <c r="EW53" s="196"/>
      <c r="EX53" s="196"/>
      <c r="EY53" s="196"/>
      <c r="EZ53" s="196"/>
      <c r="FA53" s="196"/>
      <c r="FB53" s="196"/>
      <c r="FC53" s="196"/>
      <c r="FD53" s="196"/>
      <c r="FE53" s="196"/>
      <c r="FF53" s="196"/>
      <c r="FG53" s="196"/>
      <c r="FH53" s="196"/>
      <c r="FI53" s="196"/>
      <c r="FJ53" s="196"/>
      <c r="FK53" s="196"/>
      <c r="FL53" s="196"/>
      <c r="FM53" s="196"/>
      <c r="FN53" s="196"/>
      <c r="FO53" s="196"/>
      <c r="FP53" s="196"/>
      <c r="FQ53" s="196"/>
      <c r="FR53" s="196"/>
      <c r="FS53" s="196"/>
      <c r="FT53" s="196"/>
      <c r="FU53" s="196"/>
      <c r="FV53" s="196"/>
      <c r="FW53" s="196"/>
      <c r="FX53" s="196"/>
      <c r="FY53" s="196"/>
      <c r="FZ53" s="196"/>
      <c r="GA53" s="196"/>
      <c r="GB53" s="196"/>
      <c r="GC53" s="196"/>
      <c r="GD53" s="196"/>
      <c r="GE53" s="196"/>
      <c r="GF53" s="196"/>
      <c r="GG53" s="196"/>
      <c r="GH53" s="196"/>
      <c r="GI53" s="196"/>
      <c r="GJ53" s="196"/>
      <c r="GK53" s="196"/>
      <c r="GL53" s="196"/>
      <c r="GM53" s="196"/>
      <c r="GN53" s="196"/>
      <c r="GO53" s="196"/>
      <c r="GP53" s="196"/>
      <c r="GQ53" s="196"/>
      <c r="GR53" s="196"/>
      <c r="GS53" s="196"/>
      <c r="GT53" s="196"/>
      <c r="GU53" s="196"/>
      <c r="GV53" s="196"/>
      <c r="GW53" s="196"/>
      <c r="GX53" s="196"/>
      <c r="GY53" s="196"/>
      <c r="GZ53" s="196"/>
      <c r="HA53" s="196"/>
      <c r="HB53" s="196"/>
      <c r="HC53" s="196"/>
      <c r="HD53" s="196"/>
      <c r="HE53" s="196"/>
      <c r="HF53" s="196"/>
      <c r="HG53" s="196"/>
      <c r="HH53" s="196"/>
      <c r="HI53" s="196"/>
      <c r="HJ53" s="196"/>
      <c r="HK53" s="196"/>
      <c r="HL53" s="196"/>
      <c r="HM53" s="196"/>
      <c r="HN53" s="196"/>
      <c r="HO53" s="196"/>
      <c r="HP53" s="196"/>
      <c r="HQ53" s="196"/>
      <c r="HR53" s="196"/>
      <c r="HS53" s="196"/>
      <c r="HT53" s="196"/>
      <c r="HU53" s="196"/>
      <c r="HV53" s="196"/>
      <c r="HW53" s="196"/>
      <c r="HX53" s="196"/>
      <c r="HY53" s="196"/>
      <c r="HZ53" s="196"/>
      <c r="IA53" s="196"/>
      <c r="IB53" s="196"/>
      <c r="IC53" s="196"/>
      <c r="ID53" s="196"/>
      <c r="IE53" s="196"/>
      <c r="IF53" s="196"/>
      <c r="IG53" s="196"/>
      <c r="IH53" s="196"/>
      <c r="II53" s="196"/>
      <c r="IJ53" s="196"/>
      <c r="IK53" s="196"/>
      <c r="IL53" s="196"/>
      <c r="IM53" s="196"/>
      <c r="IN53" s="196"/>
      <c r="IO53" s="196"/>
      <c r="IP53" s="196"/>
      <c r="IQ53" s="196"/>
      <c r="IR53" s="196"/>
      <c r="IS53" s="196"/>
      <c r="IT53" s="196"/>
      <c r="IU53" s="196"/>
      <c r="IV53" s="196"/>
      <c r="IW53" s="196"/>
      <c r="IX53" s="196"/>
      <c r="IY53" s="196"/>
      <c r="IZ53" s="196"/>
      <c r="JA53" s="196"/>
      <c r="JB53" s="196"/>
      <c r="JC53" s="196"/>
      <c r="JD53" s="196"/>
      <c r="JE53" s="196"/>
      <c r="JF53" s="196"/>
      <c r="JG53" s="196"/>
      <c r="JH53" s="196"/>
      <c r="JI53" s="196"/>
      <c r="JJ53" s="196"/>
      <c r="JK53" s="196"/>
      <c r="JL53" s="196"/>
      <c r="JM53" s="196"/>
      <c r="JN53" s="196"/>
      <c r="JO53" s="196"/>
      <c r="JP53" s="196"/>
      <c r="JQ53" s="196"/>
      <c r="JR53" s="196"/>
      <c r="JS53" s="196"/>
      <c r="JT53" s="196"/>
      <c r="JU53" s="196"/>
      <c r="JV53" s="196"/>
      <c r="JW53" s="196"/>
      <c r="JX53" s="196"/>
      <c r="JY53" s="196"/>
      <c r="JZ53" s="196"/>
      <c r="KA53" s="196"/>
      <c r="KB53" s="196"/>
      <c r="KC53" s="196"/>
      <c r="KD53" s="196"/>
      <c r="KE53" s="196"/>
      <c r="KF53" s="196"/>
      <c r="KG53" s="196"/>
      <c r="KH53" s="196"/>
      <c r="KI53" s="196"/>
      <c r="KJ53" s="196"/>
      <c r="KK53" s="196"/>
      <c r="KL53" s="196"/>
      <c r="KM53" s="196"/>
      <c r="KN53" s="196"/>
      <c r="KO53" s="196"/>
      <c r="KP53" s="196"/>
      <c r="KQ53" s="196"/>
      <c r="KR53" s="196"/>
      <c r="KS53" s="196"/>
      <c r="KT53" s="196"/>
      <c r="KU53" s="196"/>
      <c r="KV53" s="196"/>
      <c r="KW53" s="196"/>
      <c r="KX53" s="196"/>
      <c r="KY53" s="196"/>
      <c r="KZ53" s="196"/>
      <c r="LA53" s="196"/>
      <c r="LB53" s="196"/>
      <c r="LC53" s="196"/>
      <c r="LD53" s="196"/>
      <c r="LE53" s="196"/>
      <c r="LF53" s="196"/>
      <c r="LG53" s="196"/>
      <c r="LH53" s="196"/>
      <c r="LI53" s="196"/>
      <c r="LJ53" s="196"/>
      <c r="LK53" s="196"/>
      <c r="LL53" s="196"/>
      <c r="LM53" s="196"/>
      <c r="LN53" s="196"/>
      <c r="LO53" s="196"/>
      <c r="LP53" s="196"/>
      <c r="LQ53" s="196"/>
      <c r="LR53" s="196"/>
      <c r="LS53" s="196"/>
      <c r="LT53" s="196"/>
      <c r="LU53" s="196"/>
      <c r="LV53" s="196"/>
      <c r="LW53" s="196"/>
      <c r="LX53" s="196"/>
      <c r="LY53" s="196"/>
      <c r="LZ53" s="196"/>
      <c r="MA53" s="196"/>
      <c r="MB53" s="196"/>
      <c r="MC53" s="196"/>
      <c r="MD53" s="196"/>
      <c r="ME53" s="196"/>
      <c r="MF53" s="196"/>
      <c r="MG53" s="196"/>
      <c r="MH53" s="196"/>
      <c r="MI53" s="196"/>
      <c r="MJ53" s="196"/>
      <c r="MK53" s="196"/>
      <c r="ML53" s="196"/>
      <c r="MM53" s="196"/>
      <c r="MN53" s="196"/>
      <c r="MO53" s="196"/>
      <c r="MP53" s="196"/>
      <c r="MQ53" s="196"/>
      <c r="MR53" s="196"/>
      <c r="MS53" s="196"/>
      <c r="MT53" s="196"/>
      <c r="MU53" s="196"/>
      <c r="MV53" s="196"/>
      <c r="MW53" s="196"/>
      <c r="MX53" s="196"/>
      <c r="MY53" s="196"/>
      <c r="MZ53" s="196"/>
      <c r="NA53" s="196"/>
      <c r="NB53" s="196"/>
      <c r="NC53" s="196"/>
      <c r="ND53" s="196"/>
      <c r="NE53" s="196"/>
      <c r="NF53" s="196"/>
      <c r="NG53" s="196"/>
      <c r="NH53" s="196"/>
      <c r="NI53" s="196"/>
      <c r="NJ53" s="196"/>
      <c r="NK53" s="196"/>
      <c r="NL53" s="196"/>
      <c r="NM53" s="196"/>
      <c r="NN53" s="196"/>
      <c r="NO53" s="196"/>
      <c r="NP53" s="196"/>
      <c r="NQ53" s="196"/>
      <c r="NR53" s="196"/>
      <c r="NS53" s="196"/>
      <c r="NT53" s="196"/>
      <c r="NU53" s="196"/>
      <c r="NV53" s="196"/>
      <c r="NW53" s="196"/>
      <c r="NX53" s="196"/>
      <c r="NY53" s="196"/>
      <c r="NZ53" s="196"/>
      <c r="OA53" s="196"/>
    </row>
    <row r="54" spans="1:391" s="306" customFormat="1" hidden="1">
      <c r="A54" s="343" t="s">
        <v>241</v>
      </c>
      <c r="B54" s="306">
        <f>IF(B$3&lt;=time,B32*(1+Economics!$B$4)^(B$3-$B$3)/((1+Economics!$B$3)^(B$3-$B$3)),"")</f>
        <v>284.73002251534706</v>
      </c>
      <c r="C54" s="306">
        <f>IF(C$3&lt;=time,C32*(1+Economics!$B$4)^(C$3-$B$3)/((1+Economics!$B$3)^(C$3-$B$3)),"")</f>
        <v>0</v>
      </c>
      <c r="D54" s="306">
        <f>IF(D$3&lt;=time,D32*(1+Economics!$B$4)^(D$3-$B$3)/((1+Economics!$B$3)^(D$3-$B$3)),"")</f>
        <v>0</v>
      </c>
      <c r="E54" s="306">
        <f>IF(E$3&lt;=time,E32*(1+Economics!$B$4)^(E$3-$B$3)/((1+Economics!$B$3)^(E$3-$B$3)),"")</f>
        <v>0</v>
      </c>
      <c r="F54" s="306">
        <f>IF(F$3&lt;=time,F32*(1+Economics!$B$4)^(F$3-$B$3)/((1+Economics!$B$3)^(F$3-$B$3)),"")</f>
        <v>0</v>
      </c>
      <c r="G54" s="306" t="str">
        <f>IF(G$3&lt;=time,G32*(1+Economics!$B$4)^(G$3-$B$3)/((1+Economics!$B$3)^(G$3-$B$3)),"")</f>
        <v/>
      </c>
      <c r="H54" s="306" t="str">
        <f>IF(H$3&lt;=time,H32*(1+Economics!$B$4)^(H$3-$B$3)/((1+Economics!$B$3)^(H$3-$B$3)),"")</f>
        <v/>
      </c>
      <c r="I54" s="306" t="str">
        <f>IF(I$3&lt;=time,I32*(1+Economics!$B$4)^(I$3-$B$3)/((1+Economics!$B$3)^(I$3-$B$3)),"")</f>
        <v/>
      </c>
      <c r="J54" s="306" t="str">
        <f>IF(J$3&lt;=time,J32*(1+Economics!$B$4)^(J$3-$B$3)/((1+Economics!$B$3)^(J$3-$B$3)),"")</f>
        <v/>
      </c>
      <c r="K54" s="306" t="str">
        <f>IF(K$3&lt;=time,K32*(1+Economics!$B$4)^(K$3-$B$3)/((1+Economics!$B$3)^(K$3-$B$3)),"")</f>
        <v/>
      </c>
      <c r="L54" s="306" t="str">
        <f>IF(L$3&lt;=time,L32*(1+Economics!$B$4)^(L$3-$B$3)/((1+Economics!$B$3)^(L$3-$B$3)),"")</f>
        <v/>
      </c>
      <c r="M54" s="306" t="str">
        <f>IF(M$3&lt;=time,M32*(1+Economics!$B$4)^(M$3-$B$3)/((1+Economics!$B$3)^(M$3-$B$3)),"")</f>
        <v/>
      </c>
      <c r="N54" s="306" t="str">
        <f>IF(N$3&lt;=time,N32*(1+Economics!$B$4)^(N$3-$B$3)/((1+Economics!$B$3)^(N$3-$B$3)),"")</f>
        <v/>
      </c>
      <c r="O54" s="306" t="str">
        <f>IF(O$3&lt;=time,O32*(1+Economics!$B$4)^(O$3-$B$3)/((1+Economics!$B$3)^(O$3-$B$3)),"")</f>
        <v/>
      </c>
      <c r="P54" s="306" t="str">
        <f>IF(P$3&lt;=time,P32*(1+Economics!$B$4)^(P$3-$B$3)/((1+Economics!$B$3)^(P$3-$B$3)),"")</f>
        <v/>
      </c>
      <c r="Q54" s="306" t="str">
        <f>IF(Q$3&lt;=time,Q32*(1+Economics!$B$4)^(Q$3-$B$3)/((1+Economics!$B$3)^(Q$3-$B$3)),"")</f>
        <v/>
      </c>
      <c r="R54" s="306" t="str">
        <f>IF(R$3&lt;=time,R32*(1+Economics!$B$4)^(R$3-$B$3)/((1+Economics!$B$3)^(R$3-$B$3)),"")</f>
        <v/>
      </c>
      <c r="S54" s="306" t="str">
        <f>IF(S$3&lt;=time,S32*(1+Economics!$B$4)^(S$3-$B$3)/((1+Economics!$B$3)^(S$3-$B$3)),"")</f>
        <v/>
      </c>
      <c r="T54" s="306" t="str">
        <f>IF(T$3&lt;=time,T32*(1+Economics!$B$4)^(T$3-$B$3)/((1+Economics!$B$3)^(T$3-$B$3)),"")</f>
        <v/>
      </c>
      <c r="U54" s="306" t="str">
        <f>IF(U$3&lt;=time,U32*(1+Economics!$B$4)^(U$3-$B$3)/((1+Economics!$B$3)^(U$3-$B$3)),"")</f>
        <v/>
      </c>
      <c r="V54" s="306" t="str">
        <f>IF(V$3&lt;=time,V32*(1+Economics!$B$4)^(V$3-$B$3)/((1+Economics!$B$3)^(V$3-$B$3)),"")</f>
        <v/>
      </c>
      <c r="W54" s="306" t="str">
        <f>IF(W$3&lt;=time,W32*(1+Economics!$B$4)^(W$3-$B$3)/((1+Economics!$B$3)^(W$3-$B$3)),"")</f>
        <v/>
      </c>
      <c r="X54" s="306" t="str">
        <f>IF(X$3&lt;=time,X32*(1+Economics!$B$4)^(X$3-$B$3)/((1+Economics!$B$3)^(X$3-$B$3)),"")</f>
        <v/>
      </c>
      <c r="Y54" s="306" t="str">
        <f>IF(Y$3&lt;=time,Y32*(1+Economics!$B$4)^(Y$3-$B$3)/((1+Economics!$B$3)^(Y$3-$B$3)),"")</f>
        <v/>
      </c>
      <c r="Z54" s="306" t="str">
        <f>IF(Z$3&lt;=time,Z32*(1+Economics!$B$4)^(Z$3-$B$3)/((1+Economics!$B$3)^(Z$3-$B$3)),"")</f>
        <v/>
      </c>
      <c r="AA54" s="306">
        <f t="shared" ref="AA54" si="11">AA42+AA53</f>
        <v>284.73002251534706</v>
      </c>
      <c r="AB54" s="371">
        <f t="shared" si="10"/>
        <v>56.94600450306941</v>
      </c>
      <c r="AC54" s="196"/>
      <c r="AD54" s="196"/>
      <c r="AE54" s="196"/>
      <c r="AF54" s="196"/>
      <c r="AG54" s="196"/>
      <c r="AH54" s="196"/>
      <c r="AI54" s="196"/>
      <c r="AJ54" s="196"/>
      <c r="AK54" s="196"/>
      <c r="AL54" s="196"/>
      <c r="AM54" s="196"/>
      <c r="AN54" s="196"/>
      <c r="AO54" s="196"/>
      <c r="AP54" s="196"/>
      <c r="AQ54" s="196"/>
      <c r="AR54" s="196"/>
      <c r="AS54" s="196"/>
      <c r="AT54" s="196"/>
      <c r="AU54" s="196"/>
      <c r="AV54" s="196"/>
      <c r="AW54" s="196"/>
      <c r="AX54" s="196"/>
      <c r="AY54" s="196"/>
      <c r="AZ54" s="196"/>
      <c r="BA54" s="196"/>
      <c r="BB54" s="196"/>
      <c r="BC54" s="196"/>
      <c r="BD54" s="196"/>
      <c r="BE54" s="196"/>
      <c r="BF54" s="196"/>
      <c r="BG54" s="196"/>
      <c r="BH54" s="196"/>
      <c r="BI54" s="196"/>
      <c r="BJ54" s="196"/>
      <c r="BK54" s="196"/>
      <c r="BL54" s="196"/>
      <c r="BM54" s="196"/>
      <c r="BN54" s="196"/>
      <c r="BO54" s="196"/>
      <c r="BP54" s="196"/>
      <c r="BQ54" s="196"/>
      <c r="BR54" s="196"/>
      <c r="BS54" s="196"/>
      <c r="BT54" s="196"/>
      <c r="BU54" s="196"/>
      <c r="BV54" s="196"/>
      <c r="BW54" s="196"/>
      <c r="BX54" s="196"/>
      <c r="BY54" s="196"/>
      <c r="BZ54" s="196"/>
      <c r="CA54" s="196"/>
      <c r="CB54" s="196"/>
      <c r="CC54" s="196"/>
      <c r="CD54" s="196"/>
      <c r="CE54" s="196"/>
      <c r="CF54" s="196"/>
      <c r="CG54" s="196"/>
      <c r="CH54" s="196"/>
      <c r="CI54" s="196"/>
      <c r="CJ54" s="196"/>
      <c r="CK54" s="196"/>
      <c r="CL54" s="196"/>
      <c r="CM54" s="196"/>
      <c r="CN54" s="196"/>
      <c r="CO54" s="196"/>
      <c r="CP54" s="196"/>
      <c r="CQ54" s="196"/>
      <c r="CR54" s="196"/>
      <c r="CS54" s="196"/>
      <c r="CT54" s="196"/>
      <c r="CU54" s="196"/>
      <c r="CV54" s="196"/>
      <c r="CW54" s="196"/>
      <c r="CX54" s="196"/>
      <c r="CY54" s="196"/>
      <c r="CZ54" s="196"/>
      <c r="DA54" s="196"/>
      <c r="DB54" s="196"/>
      <c r="DC54" s="196"/>
      <c r="DD54" s="196"/>
      <c r="DE54" s="196"/>
      <c r="DF54" s="196"/>
      <c r="DG54" s="196"/>
      <c r="DH54" s="196"/>
      <c r="DI54" s="196"/>
      <c r="DJ54" s="196"/>
      <c r="DK54" s="196"/>
      <c r="DL54" s="196"/>
      <c r="DM54" s="196"/>
      <c r="DN54" s="196"/>
      <c r="DO54" s="196"/>
      <c r="DP54" s="196"/>
      <c r="DQ54" s="196"/>
      <c r="DR54" s="196"/>
      <c r="DS54" s="196"/>
      <c r="DT54" s="196"/>
      <c r="DU54" s="196"/>
      <c r="DV54" s="196"/>
      <c r="DW54" s="196"/>
      <c r="DX54" s="196"/>
      <c r="DY54" s="196"/>
      <c r="DZ54" s="196"/>
      <c r="EA54" s="196"/>
      <c r="EB54" s="196"/>
      <c r="EC54" s="196"/>
      <c r="ED54" s="196"/>
      <c r="EE54" s="196"/>
      <c r="EF54" s="196"/>
      <c r="EG54" s="196"/>
      <c r="EH54" s="196"/>
      <c r="EI54" s="196"/>
      <c r="EJ54" s="196"/>
      <c r="EK54" s="196"/>
      <c r="EL54" s="196"/>
      <c r="EM54" s="196"/>
      <c r="EN54" s="196"/>
      <c r="EO54" s="196"/>
      <c r="EP54" s="196"/>
      <c r="EQ54" s="196"/>
      <c r="ER54" s="196"/>
      <c r="ES54" s="196"/>
      <c r="ET54" s="196"/>
      <c r="EU54" s="196"/>
      <c r="EV54" s="196"/>
      <c r="EW54" s="196"/>
      <c r="EX54" s="196"/>
      <c r="EY54" s="196"/>
      <c r="EZ54" s="196"/>
      <c r="FA54" s="196"/>
      <c r="FB54" s="196"/>
      <c r="FC54" s="196"/>
      <c r="FD54" s="196"/>
      <c r="FE54" s="196"/>
      <c r="FF54" s="196"/>
      <c r="FG54" s="196"/>
      <c r="FH54" s="196"/>
      <c r="FI54" s="196"/>
      <c r="FJ54" s="196"/>
      <c r="FK54" s="196"/>
      <c r="FL54" s="196"/>
      <c r="FM54" s="196"/>
      <c r="FN54" s="196"/>
      <c r="FO54" s="196"/>
      <c r="FP54" s="196"/>
      <c r="FQ54" s="196"/>
      <c r="FR54" s="196"/>
      <c r="FS54" s="196"/>
      <c r="FT54" s="196"/>
      <c r="FU54" s="196"/>
      <c r="FV54" s="196"/>
      <c r="FW54" s="196"/>
      <c r="FX54" s="196"/>
      <c r="FY54" s="196"/>
      <c r="FZ54" s="196"/>
      <c r="GA54" s="196"/>
      <c r="GB54" s="196"/>
      <c r="GC54" s="196"/>
      <c r="GD54" s="196"/>
      <c r="GE54" s="196"/>
      <c r="GF54" s="196"/>
      <c r="GG54" s="196"/>
      <c r="GH54" s="196"/>
      <c r="GI54" s="196"/>
      <c r="GJ54" s="196"/>
      <c r="GK54" s="196"/>
      <c r="GL54" s="196"/>
      <c r="GM54" s="196"/>
      <c r="GN54" s="196"/>
      <c r="GO54" s="196"/>
      <c r="GP54" s="196"/>
      <c r="GQ54" s="196"/>
      <c r="GR54" s="196"/>
      <c r="GS54" s="196"/>
      <c r="GT54" s="196"/>
      <c r="GU54" s="196"/>
      <c r="GV54" s="196"/>
      <c r="GW54" s="196"/>
      <c r="GX54" s="196"/>
      <c r="GY54" s="196"/>
      <c r="GZ54" s="196"/>
      <c r="HA54" s="196"/>
      <c r="HB54" s="196"/>
      <c r="HC54" s="196"/>
      <c r="HD54" s="196"/>
      <c r="HE54" s="196"/>
      <c r="HF54" s="196"/>
      <c r="HG54" s="196"/>
      <c r="HH54" s="196"/>
      <c r="HI54" s="196"/>
      <c r="HJ54" s="196"/>
      <c r="HK54" s="196"/>
      <c r="HL54" s="196"/>
      <c r="HM54" s="196"/>
      <c r="HN54" s="196"/>
      <c r="HO54" s="196"/>
      <c r="HP54" s="196"/>
      <c r="HQ54" s="196"/>
      <c r="HR54" s="196"/>
      <c r="HS54" s="196"/>
      <c r="HT54" s="196"/>
      <c r="HU54" s="196"/>
      <c r="HV54" s="196"/>
      <c r="HW54" s="196"/>
      <c r="HX54" s="196"/>
      <c r="HY54" s="196"/>
      <c r="HZ54" s="196"/>
      <c r="IA54" s="196"/>
      <c r="IB54" s="196"/>
      <c r="IC54" s="196"/>
      <c r="ID54" s="196"/>
      <c r="IE54" s="196"/>
      <c r="IF54" s="196"/>
      <c r="IG54" s="196"/>
      <c r="IH54" s="196"/>
      <c r="II54" s="196"/>
      <c r="IJ54" s="196"/>
      <c r="IK54" s="196"/>
      <c r="IL54" s="196"/>
      <c r="IM54" s="196"/>
      <c r="IN54" s="196"/>
      <c r="IO54" s="196"/>
      <c r="IP54" s="196"/>
      <c r="IQ54" s="196"/>
      <c r="IR54" s="196"/>
      <c r="IS54" s="196"/>
      <c r="IT54" s="196"/>
      <c r="IU54" s="196"/>
      <c r="IV54" s="196"/>
      <c r="IW54" s="196"/>
      <c r="IX54" s="196"/>
      <c r="IY54" s="196"/>
      <c r="IZ54" s="196"/>
      <c r="JA54" s="196"/>
      <c r="JB54" s="196"/>
      <c r="JC54" s="196"/>
      <c r="JD54" s="196"/>
      <c r="JE54" s="196"/>
      <c r="JF54" s="196"/>
      <c r="JG54" s="196"/>
      <c r="JH54" s="196"/>
      <c r="JI54" s="196"/>
      <c r="JJ54" s="196"/>
      <c r="JK54" s="196"/>
      <c r="JL54" s="196"/>
      <c r="JM54" s="196"/>
      <c r="JN54" s="196"/>
      <c r="JO54" s="196"/>
      <c r="JP54" s="196"/>
      <c r="JQ54" s="196"/>
      <c r="JR54" s="196"/>
      <c r="JS54" s="196"/>
      <c r="JT54" s="196"/>
      <c r="JU54" s="196"/>
      <c r="JV54" s="196"/>
      <c r="JW54" s="196"/>
      <c r="JX54" s="196"/>
      <c r="JY54" s="196"/>
      <c r="JZ54" s="196"/>
      <c r="KA54" s="196"/>
      <c r="KB54" s="196"/>
      <c r="KC54" s="196"/>
      <c r="KD54" s="196"/>
      <c r="KE54" s="196"/>
      <c r="KF54" s="196"/>
      <c r="KG54" s="196"/>
      <c r="KH54" s="196"/>
      <c r="KI54" s="196"/>
      <c r="KJ54" s="196"/>
      <c r="KK54" s="196"/>
      <c r="KL54" s="196"/>
      <c r="KM54" s="196"/>
      <c r="KN54" s="196"/>
      <c r="KO54" s="196"/>
      <c r="KP54" s="196"/>
      <c r="KQ54" s="196"/>
      <c r="KR54" s="196"/>
      <c r="KS54" s="196"/>
      <c r="KT54" s="196"/>
      <c r="KU54" s="196"/>
      <c r="KV54" s="196"/>
      <c r="KW54" s="196"/>
      <c r="KX54" s="196"/>
      <c r="KY54" s="196"/>
      <c r="KZ54" s="196"/>
      <c r="LA54" s="196"/>
      <c r="LB54" s="196"/>
      <c r="LC54" s="196"/>
      <c r="LD54" s="196"/>
      <c r="LE54" s="196"/>
      <c r="LF54" s="196"/>
      <c r="LG54" s="196"/>
      <c r="LH54" s="196"/>
      <c r="LI54" s="196"/>
      <c r="LJ54" s="196"/>
      <c r="LK54" s="196"/>
      <c r="LL54" s="196"/>
      <c r="LM54" s="196"/>
      <c r="LN54" s="196"/>
      <c r="LO54" s="196"/>
      <c r="LP54" s="196"/>
      <c r="LQ54" s="196"/>
      <c r="LR54" s="196"/>
      <c r="LS54" s="196"/>
      <c r="LT54" s="196"/>
      <c r="LU54" s="196"/>
      <c r="LV54" s="196"/>
      <c r="LW54" s="196"/>
      <c r="LX54" s="196"/>
      <c r="LY54" s="196"/>
      <c r="LZ54" s="196"/>
      <c r="MA54" s="196"/>
      <c r="MB54" s="196"/>
      <c r="MC54" s="196"/>
      <c r="MD54" s="196"/>
      <c r="ME54" s="196"/>
      <c r="MF54" s="196"/>
      <c r="MG54" s="196"/>
      <c r="MH54" s="196"/>
      <c r="MI54" s="196"/>
      <c r="MJ54" s="196"/>
      <c r="MK54" s="196"/>
      <c r="ML54" s="196"/>
      <c r="MM54" s="196"/>
      <c r="MN54" s="196"/>
      <c r="MO54" s="196"/>
      <c r="MP54" s="196"/>
      <c r="MQ54" s="196"/>
      <c r="MR54" s="196"/>
      <c r="MS54" s="196"/>
      <c r="MT54" s="196"/>
      <c r="MU54" s="196"/>
      <c r="MV54" s="196"/>
      <c r="MW54" s="196"/>
      <c r="MX54" s="196"/>
      <c r="MY54" s="196"/>
      <c r="MZ54" s="196"/>
      <c r="NA54" s="196"/>
      <c r="NB54" s="196"/>
      <c r="NC54" s="196"/>
      <c r="ND54" s="196"/>
      <c r="NE54" s="196"/>
      <c r="NF54" s="196"/>
      <c r="NG54" s="196"/>
      <c r="NH54" s="196"/>
      <c r="NI54" s="196"/>
      <c r="NJ54" s="196"/>
      <c r="NK54" s="196"/>
      <c r="NL54" s="196"/>
      <c r="NM54" s="196"/>
      <c r="NN54" s="196"/>
      <c r="NO54" s="196"/>
      <c r="NP54" s="196"/>
      <c r="NQ54" s="196"/>
      <c r="NR54" s="196"/>
      <c r="NS54" s="196"/>
      <c r="NT54" s="196"/>
      <c r="NU54" s="196"/>
      <c r="NV54" s="196"/>
      <c r="NW54" s="196"/>
      <c r="NX54" s="196"/>
      <c r="NY54" s="196"/>
      <c r="NZ54" s="196"/>
      <c r="OA54" s="196"/>
    </row>
    <row r="55" spans="1:391" s="306" customFormat="1" hidden="1">
      <c r="A55" s="343" t="s">
        <v>137</v>
      </c>
      <c r="B55" s="306">
        <f>IF(B$3&lt;=time,B33*(1+Economics!$B$4)^(B$3-$B$3)/((1+Economics!$B$3)^(B$3-$B$3)),"")</f>
        <v>0</v>
      </c>
      <c r="C55" s="306">
        <f>IF(C$3&lt;=time,C33*(1+Economics!$B$4)^(C$3-$B$3)/((1+Economics!$B$3)^(C$3-$B$3)),"")</f>
        <v>0</v>
      </c>
      <c r="D55" s="306">
        <f>IF(D$3&lt;=time,D33*(1+Economics!$B$4)^(D$3-$B$3)/((1+Economics!$B$3)^(D$3-$B$3)),"")</f>
        <v>0</v>
      </c>
      <c r="E55" s="306">
        <f>IF(E$3&lt;=time,E33*(1+Economics!$B$4)^(E$3-$B$3)/((1+Economics!$B$3)^(E$3-$B$3)),"")</f>
        <v>0</v>
      </c>
      <c r="F55" s="306">
        <f>IF(F$3&lt;=time,F33*(1+Economics!$B$4)^(F$3-$B$3)/((1+Economics!$B$3)^(F$3-$B$3)),"")</f>
        <v>0</v>
      </c>
      <c r="G55" s="306" t="str">
        <f>IF(G$3&lt;=time,G33*(1+Economics!$B$4)^(G$3-$B$3)/((1+Economics!$B$3)^(G$3-$B$3)),"")</f>
        <v/>
      </c>
      <c r="H55" s="306" t="str">
        <f>IF(H$3&lt;=time,H33*(1+Economics!$B$4)^(H$3-$B$3)/((1+Economics!$B$3)^(H$3-$B$3)),"")</f>
        <v/>
      </c>
      <c r="I55" s="306" t="str">
        <f>IF(I$3&lt;=time,I33*(1+Economics!$B$4)^(I$3-$B$3)/((1+Economics!$B$3)^(I$3-$B$3)),"")</f>
        <v/>
      </c>
      <c r="J55" s="306" t="str">
        <f>IF(J$3&lt;=time,J33*(1+Economics!$B$4)^(J$3-$B$3)/((1+Economics!$B$3)^(J$3-$B$3)),"")</f>
        <v/>
      </c>
      <c r="K55" s="306" t="str">
        <f>IF(K$3&lt;=time,K33*(1+Economics!$B$4)^(K$3-$B$3)/((1+Economics!$B$3)^(K$3-$B$3)),"")</f>
        <v/>
      </c>
      <c r="L55" s="306" t="str">
        <f>IF(L$3&lt;=time,L33*(1+Economics!$B$4)^(L$3-$B$3)/((1+Economics!$B$3)^(L$3-$B$3)),"")</f>
        <v/>
      </c>
      <c r="M55" s="306" t="str">
        <f>IF(M$3&lt;=time,M33*(1+Economics!$B$4)^(M$3-$B$3)/((1+Economics!$B$3)^(M$3-$B$3)),"")</f>
        <v/>
      </c>
      <c r="N55" s="306" t="str">
        <f>IF(N$3&lt;=time,N33*(1+Economics!$B$4)^(N$3-$B$3)/((1+Economics!$B$3)^(N$3-$B$3)),"")</f>
        <v/>
      </c>
      <c r="O55" s="306" t="str">
        <f>IF(O$3&lt;=time,O33*(1+Economics!$B$4)^(O$3-$B$3)/((1+Economics!$B$3)^(O$3-$B$3)),"")</f>
        <v/>
      </c>
      <c r="P55" s="306" t="str">
        <f>IF(P$3&lt;=time,P33*(1+Economics!$B$4)^(P$3-$B$3)/((1+Economics!$B$3)^(P$3-$B$3)),"")</f>
        <v/>
      </c>
      <c r="Q55" s="306" t="str">
        <f>IF(Q$3&lt;=time,Q33*(1+Economics!$B$4)^(Q$3-$B$3)/((1+Economics!$B$3)^(Q$3-$B$3)),"")</f>
        <v/>
      </c>
      <c r="R55" s="306" t="str">
        <f>IF(R$3&lt;=time,R33*(1+Economics!$B$4)^(R$3-$B$3)/((1+Economics!$B$3)^(R$3-$B$3)),"")</f>
        <v/>
      </c>
      <c r="S55" s="306" t="str">
        <f>IF(S$3&lt;=time,S33*(1+Economics!$B$4)^(S$3-$B$3)/((1+Economics!$B$3)^(S$3-$B$3)),"")</f>
        <v/>
      </c>
      <c r="T55" s="306" t="str">
        <f>IF(T$3&lt;=time,T33*(1+Economics!$B$4)^(T$3-$B$3)/((1+Economics!$B$3)^(T$3-$B$3)),"")</f>
        <v/>
      </c>
      <c r="U55" s="306" t="str">
        <f>IF(U$3&lt;=time,U33*(1+Economics!$B$4)^(U$3-$B$3)/((1+Economics!$B$3)^(U$3-$B$3)),"")</f>
        <v/>
      </c>
      <c r="V55" s="306" t="str">
        <f>IF(V$3&lt;=time,V33*(1+Economics!$B$4)^(V$3-$B$3)/((1+Economics!$B$3)^(V$3-$B$3)),"")</f>
        <v/>
      </c>
      <c r="W55" s="306" t="str">
        <f>IF(W$3&lt;=time,W33*(1+Economics!$B$4)^(W$3-$B$3)/((1+Economics!$B$3)^(W$3-$B$3)),"")</f>
        <v/>
      </c>
      <c r="X55" s="306" t="str">
        <f>IF(X$3&lt;=time,X33*(1+Economics!$B$4)^(X$3-$B$3)/((1+Economics!$B$3)^(X$3-$B$3)),"")</f>
        <v/>
      </c>
      <c r="Y55" s="306" t="str">
        <f>IF(Y$3&lt;=time,Y33*(1+Economics!$B$4)^(Y$3-$B$3)/((1+Economics!$B$3)^(Y$3-$B$3)),"")</f>
        <v/>
      </c>
      <c r="Z55" s="306" t="str">
        <f>IF(Z$3&lt;=time,Z33*(1+Economics!$B$4)^(Z$3-$B$3)/((1+Economics!$B$3)^(Z$3-$B$3)),"")</f>
        <v/>
      </c>
      <c r="AA55" s="306">
        <f t="shared" si="9"/>
        <v>0</v>
      </c>
      <c r="AB55" s="371">
        <f t="shared" si="10"/>
        <v>0</v>
      </c>
      <c r="AC55" s="196"/>
      <c r="AD55" s="196"/>
      <c r="AE55" s="196"/>
      <c r="AF55" s="196"/>
      <c r="AG55" s="196"/>
      <c r="AH55" s="196"/>
      <c r="AI55" s="196"/>
      <c r="AJ55" s="196"/>
      <c r="AK55" s="196"/>
      <c r="AL55" s="196"/>
      <c r="AM55" s="196"/>
      <c r="AN55" s="196"/>
      <c r="AO55" s="196"/>
      <c r="AP55" s="196"/>
      <c r="AQ55" s="196"/>
      <c r="AR55" s="196"/>
      <c r="AS55" s="196"/>
      <c r="AT55" s="196"/>
      <c r="AU55" s="196"/>
      <c r="AV55" s="196"/>
      <c r="AW55" s="196"/>
      <c r="AX55" s="196"/>
      <c r="AY55" s="196"/>
      <c r="AZ55" s="196"/>
      <c r="BA55" s="196"/>
      <c r="BB55" s="196"/>
      <c r="BC55" s="196"/>
      <c r="BD55" s="196"/>
      <c r="BE55" s="196"/>
      <c r="BF55" s="196"/>
      <c r="BG55" s="196"/>
      <c r="BH55" s="196"/>
      <c r="BI55" s="196"/>
      <c r="BJ55" s="196"/>
      <c r="BK55" s="196"/>
      <c r="BL55" s="196"/>
      <c r="BM55" s="196"/>
      <c r="BN55" s="196"/>
      <c r="BO55" s="196"/>
      <c r="BP55" s="196"/>
      <c r="BQ55" s="196"/>
      <c r="BR55" s="196"/>
      <c r="BS55" s="196"/>
      <c r="BT55" s="196"/>
      <c r="BU55" s="196"/>
      <c r="BV55" s="196"/>
      <c r="BW55" s="196"/>
      <c r="BX55" s="196"/>
      <c r="BY55" s="196"/>
      <c r="BZ55" s="196"/>
      <c r="CA55" s="196"/>
      <c r="CB55" s="196"/>
      <c r="CC55" s="196"/>
      <c r="CD55" s="196"/>
      <c r="CE55" s="196"/>
      <c r="CF55" s="196"/>
      <c r="CG55" s="196"/>
      <c r="CH55" s="196"/>
      <c r="CI55" s="196"/>
      <c r="CJ55" s="196"/>
      <c r="CK55" s="196"/>
      <c r="CL55" s="196"/>
      <c r="CM55" s="196"/>
      <c r="CN55" s="196"/>
      <c r="CO55" s="196"/>
      <c r="CP55" s="196"/>
      <c r="CQ55" s="196"/>
      <c r="CR55" s="196"/>
      <c r="CS55" s="196"/>
      <c r="CT55" s="196"/>
      <c r="CU55" s="196"/>
      <c r="CV55" s="196"/>
      <c r="CW55" s="196"/>
      <c r="CX55" s="196"/>
      <c r="CY55" s="196"/>
      <c r="CZ55" s="196"/>
      <c r="DA55" s="196"/>
      <c r="DB55" s="196"/>
      <c r="DC55" s="196"/>
      <c r="DD55" s="196"/>
      <c r="DE55" s="196"/>
      <c r="DF55" s="196"/>
      <c r="DG55" s="196"/>
      <c r="DH55" s="196"/>
      <c r="DI55" s="196"/>
      <c r="DJ55" s="196"/>
      <c r="DK55" s="196"/>
      <c r="DL55" s="196"/>
      <c r="DM55" s="196"/>
      <c r="DN55" s="196"/>
      <c r="DO55" s="196"/>
      <c r="DP55" s="196"/>
      <c r="DQ55" s="196"/>
      <c r="DR55" s="196"/>
      <c r="DS55" s="196"/>
      <c r="DT55" s="196"/>
      <c r="DU55" s="196"/>
      <c r="DV55" s="196"/>
      <c r="DW55" s="196"/>
      <c r="DX55" s="196"/>
      <c r="DY55" s="196"/>
      <c r="DZ55" s="196"/>
      <c r="EA55" s="196"/>
      <c r="EB55" s="196"/>
      <c r="EC55" s="196"/>
      <c r="ED55" s="196"/>
      <c r="EE55" s="196"/>
      <c r="EF55" s="196"/>
      <c r="EG55" s="196"/>
      <c r="EH55" s="196"/>
      <c r="EI55" s="196"/>
      <c r="EJ55" s="196"/>
      <c r="EK55" s="196"/>
      <c r="EL55" s="196"/>
      <c r="EM55" s="196"/>
      <c r="EN55" s="196"/>
      <c r="EO55" s="196"/>
      <c r="EP55" s="196"/>
      <c r="EQ55" s="196"/>
      <c r="ER55" s="196"/>
      <c r="ES55" s="196"/>
      <c r="ET55" s="196"/>
      <c r="EU55" s="196"/>
      <c r="EV55" s="196"/>
      <c r="EW55" s="196"/>
      <c r="EX55" s="196"/>
      <c r="EY55" s="196"/>
      <c r="EZ55" s="196"/>
      <c r="FA55" s="196"/>
      <c r="FB55" s="196"/>
      <c r="FC55" s="196"/>
      <c r="FD55" s="196"/>
      <c r="FE55" s="196"/>
      <c r="FF55" s="196"/>
      <c r="FG55" s="196"/>
      <c r="FH55" s="196"/>
      <c r="FI55" s="196"/>
      <c r="FJ55" s="196"/>
      <c r="FK55" s="196"/>
      <c r="FL55" s="196"/>
      <c r="FM55" s="196"/>
      <c r="FN55" s="196"/>
      <c r="FO55" s="196"/>
      <c r="FP55" s="196"/>
      <c r="FQ55" s="196"/>
      <c r="FR55" s="196"/>
      <c r="FS55" s="196"/>
      <c r="FT55" s="196"/>
      <c r="FU55" s="196"/>
      <c r="FV55" s="196"/>
      <c r="FW55" s="196"/>
      <c r="FX55" s="196"/>
      <c r="FY55" s="196"/>
      <c r="FZ55" s="196"/>
      <c r="GA55" s="196"/>
      <c r="GB55" s="196"/>
      <c r="GC55" s="196"/>
      <c r="GD55" s="196"/>
      <c r="GE55" s="196"/>
      <c r="GF55" s="196"/>
      <c r="GG55" s="196"/>
      <c r="GH55" s="196"/>
      <c r="GI55" s="196"/>
      <c r="GJ55" s="196"/>
      <c r="GK55" s="196"/>
      <c r="GL55" s="196"/>
      <c r="GM55" s="196"/>
      <c r="GN55" s="196"/>
      <c r="GO55" s="196"/>
      <c r="GP55" s="196"/>
      <c r="GQ55" s="196"/>
      <c r="GR55" s="196"/>
      <c r="GS55" s="196"/>
      <c r="GT55" s="196"/>
      <c r="GU55" s="196"/>
      <c r="GV55" s="196"/>
      <c r="GW55" s="196"/>
      <c r="GX55" s="196"/>
      <c r="GY55" s="196"/>
      <c r="GZ55" s="196"/>
      <c r="HA55" s="196"/>
      <c r="HB55" s="196"/>
      <c r="HC55" s="196"/>
      <c r="HD55" s="196"/>
      <c r="HE55" s="196"/>
      <c r="HF55" s="196"/>
      <c r="HG55" s="196"/>
      <c r="HH55" s="196"/>
      <c r="HI55" s="196"/>
      <c r="HJ55" s="196"/>
      <c r="HK55" s="196"/>
      <c r="HL55" s="196"/>
      <c r="HM55" s="196"/>
      <c r="HN55" s="196"/>
      <c r="HO55" s="196"/>
      <c r="HP55" s="196"/>
      <c r="HQ55" s="196"/>
      <c r="HR55" s="196"/>
      <c r="HS55" s="196"/>
      <c r="HT55" s="196"/>
      <c r="HU55" s="196"/>
      <c r="HV55" s="196"/>
      <c r="HW55" s="196"/>
      <c r="HX55" s="196"/>
      <c r="HY55" s="196"/>
      <c r="HZ55" s="196"/>
      <c r="IA55" s="196"/>
      <c r="IB55" s="196"/>
      <c r="IC55" s="196"/>
      <c r="ID55" s="196"/>
      <c r="IE55" s="196"/>
      <c r="IF55" s="196"/>
      <c r="IG55" s="196"/>
      <c r="IH55" s="196"/>
      <c r="II55" s="196"/>
      <c r="IJ55" s="196"/>
      <c r="IK55" s="196"/>
      <c r="IL55" s="196"/>
      <c r="IM55" s="196"/>
      <c r="IN55" s="196"/>
      <c r="IO55" s="196"/>
      <c r="IP55" s="196"/>
      <c r="IQ55" s="196"/>
      <c r="IR55" s="196"/>
      <c r="IS55" s="196"/>
      <c r="IT55" s="196"/>
      <c r="IU55" s="196"/>
      <c r="IV55" s="196"/>
      <c r="IW55" s="196"/>
      <c r="IX55" s="196"/>
      <c r="IY55" s="196"/>
      <c r="IZ55" s="196"/>
      <c r="JA55" s="196"/>
      <c r="JB55" s="196"/>
      <c r="JC55" s="196"/>
      <c r="JD55" s="196"/>
      <c r="JE55" s="196"/>
      <c r="JF55" s="196"/>
      <c r="JG55" s="196"/>
      <c r="JH55" s="196"/>
      <c r="JI55" s="196"/>
      <c r="JJ55" s="196"/>
      <c r="JK55" s="196"/>
      <c r="JL55" s="196"/>
      <c r="JM55" s="196"/>
      <c r="JN55" s="196"/>
      <c r="JO55" s="196"/>
      <c r="JP55" s="196"/>
      <c r="JQ55" s="196"/>
      <c r="JR55" s="196"/>
      <c r="JS55" s="196"/>
      <c r="JT55" s="196"/>
      <c r="JU55" s="196"/>
      <c r="JV55" s="196"/>
      <c r="JW55" s="196"/>
      <c r="JX55" s="196"/>
      <c r="JY55" s="196"/>
      <c r="JZ55" s="196"/>
      <c r="KA55" s="196"/>
      <c r="KB55" s="196"/>
      <c r="KC55" s="196"/>
      <c r="KD55" s="196"/>
      <c r="KE55" s="196"/>
      <c r="KF55" s="196"/>
      <c r="KG55" s="196"/>
      <c r="KH55" s="196"/>
      <c r="KI55" s="196"/>
      <c r="KJ55" s="196"/>
      <c r="KK55" s="196"/>
      <c r="KL55" s="196"/>
      <c r="KM55" s="196"/>
      <c r="KN55" s="196"/>
      <c r="KO55" s="196"/>
      <c r="KP55" s="196"/>
      <c r="KQ55" s="196"/>
      <c r="KR55" s="196"/>
      <c r="KS55" s="196"/>
      <c r="KT55" s="196"/>
      <c r="KU55" s="196"/>
      <c r="KV55" s="196"/>
      <c r="KW55" s="196"/>
      <c r="KX55" s="196"/>
      <c r="KY55" s="196"/>
      <c r="KZ55" s="196"/>
      <c r="LA55" s="196"/>
      <c r="LB55" s="196"/>
      <c r="LC55" s="196"/>
      <c r="LD55" s="196"/>
      <c r="LE55" s="196"/>
      <c r="LF55" s="196"/>
      <c r="LG55" s="196"/>
      <c r="LH55" s="196"/>
      <c r="LI55" s="196"/>
      <c r="LJ55" s="196"/>
      <c r="LK55" s="196"/>
      <c r="LL55" s="196"/>
      <c r="LM55" s="196"/>
      <c r="LN55" s="196"/>
      <c r="LO55" s="196"/>
      <c r="LP55" s="196"/>
      <c r="LQ55" s="196"/>
      <c r="LR55" s="196"/>
      <c r="LS55" s="196"/>
      <c r="LT55" s="196"/>
      <c r="LU55" s="196"/>
      <c r="LV55" s="196"/>
      <c r="LW55" s="196"/>
      <c r="LX55" s="196"/>
      <c r="LY55" s="196"/>
      <c r="LZ55" s="196"/>
      <c r="MA55" s="196"/>
      <c r="MB55" s="196"/>
      <c r="MC55" s="196"/>
      <c r="MD55" s="196"/>
      <c r="ME55" s="196"/>
      <c r="MF55" s="196"/>
      <c r="MG55" s="196"/>
      <c r="MH55" s="196"/>
      <c r="MI55" s="196"/>
      <c r="MJ55" s="196"/>
      <c r="MK55" s="196"/>
      <c r="ML55" s="196"/>
      <c r="MM55" s="196"/>
      <c r="MN55" s="196"/>
      <c r="MO55" s="196"/>
      <c r="MP55" s="196"/>
      <c r="MQ55" s="196"/>
      <c r="MR55" s="196"/>
      <c r="MS55" s="196"/>
      <c r="MT55" s="196"/>
      <c r="MU55" s="196"/>
      <c r="MV55" s="196"/>
      <c r="MW55" s="196"/>
      <c r="MX55" s="196"/>
      <c r="MY55" s="196"/>
      <c r="MZ55" s="196"/>
      <c r="NA55" s="196"/>
      <c r="NB55" s="196"/>
      <c r="NC55" s="196"/>
      <c r="ND55" s="196"/>
      <c r="NE55" s="196"/>
      <c r="NF55" s="196"/>
      <c r="NG55" s="196"/>
      <c r="NH55" s="196"/>
      <c r="NI55" s="196"/>
      <c r="NJ55" s="196"/>
      <c r="NK55" s="196"/>
      <c r="NL55" s="196"/>
      <c r="NM55" s="196"/>
      <c r="NN55" s="196"/>
      <c r="NO55" s="196"/>
      <c r="NP55" s="196"/>
      <c r="NQ55" s="196"/>
      <c r="NR55" s="196"/>
      <c r="NS55" s="196"/>
      <c r="NT55" s="196"/>
      <c r="NU55" s="196"/>
      <c r="NV55" s="196"/>
      <c r="NW55" s="196"/>
      <c r="NX55" s="196"/>
      <c r="NY55" s="196"/>
      <c r="NZ55" s="196"/>
      <c r="OA55" s="196"/>
    </row>
    <row r="56" spans="1:391" s="306" customFormat="1" hidden="1">
      <c r="A56" s="343" t="s">
        <v>240</v>
      </c>
      <c r="B56" s="306">
        <f>IF(B$3&lt;=time,B34*(1+Economics!$B$4)^(B$3-$B$3)/((1+Economics!$B$3)^(B$3-$B$3)),"")</f>
        <v>0</v>
      </c>
      <c r="C56" s="306">
        <f>IF(C$3&lt;=time,C34*(1+Economics!$B$4)^(C$3-$B$3)/((1+Economics!$B$3)^(C$3-$B$3)),"")</f>
        <v>0</v>
      </c>
      <c r="D56" s="306">
        <f>IF(D$3&lt;=time,D34*(1+Economics!$B$4)^(D$3-$B$3)/((1+Economics!$B$3)^(D$3-$B$3)),"")</f>
        <v>0</v>
      </c>
      <c r="E56" s="306">
        <f>IF(E$3&lt;=time,E34*(1+Economics!$B$4)^(E$3-$B$3)/((1+Economics!$B$3)^(E$3-$B$3)),"")</f>
        <v>0</v>
      </c>
      <c r="F56" s="306">
        <f>IF(F$3&lt;=time,F34*(1+Economics!$B$4)^(F$3-$B$3)/((1+Economics!$B$3)^(F$3-$B$3)),"")</f>
        <v>0</v>
      </c>
      <c r="G56" s="306" t="str">
        <f>IF(G$3&lt;=time,G34*(1+Economics!$B$4)^(G$3-$B$3)/((1+Economics!$B$3)^(G$3-$B$3)),"")</f>
        <v/>
      </c>
      <c r="H56" s="306" t="str">
        <f>IF(H$3&lt;=time,H34*(1+Economics!$B$4)^(H$3-$B$3)/((1+Economics!$B$3)^(H$3-$B$3)),"")</f>
        <v/>
      </c>
      <c r="I56" s="306" t="str">
        <f>IF(I$3&lt;=time,I34*(1+Economics!$B$4)^(I$3-$B$3)/((1+Economics!$B$3)^(I$3-$B$3)),"")</f>
        <v/>
      </c>
      <c r="J56" s="306" t="str">
        <f>IF(J$3&lt;=time,J34*(1+Economics!$B$4)^(J$3-$B$3)/((1+Economics!$B$3)^(J$3-$B$3)),"")</f>
        <v/>
      </c>
      <c r="K56" s="306" t="str">
        <f>IF(K$3&lt;=time,K34*(1+Economics!$B$4)^(K$3-$B$3)/((1+Economics!$B$3)^(K$3-$B$3)),"")</f>
        <v/>
      </c>
      <c r="L56" s="306" t="str">
        <f>IF(L$3&lt;=time,L34*(1+Economics!$B$4)^(L$3-$B$3)/((1+Economics!$B$3)^(L$3-$B$3)),"")</f>
        <v/>
      </c>
      <c r="M56" s="306" t="str">
        <f>IF(M$3&lt;=time,M34*(1+Economics!$B$4)^(M$3-$B$3)/((1+Economics!$B$3)^(M$3-$B$3)),"")</f>
        <v/>
      </c>
      <c r="N56" s="306" t="str">
        <f>IF(N$3&lt;=time,N34*(1+Economics!$B$4)^(N$3-$B$3)/((1+Economics!$B$3)^(N$3-$B$3)),"")</f>
        <v/>
      </c>
      <c r="O56" s="306" t="str">
        <f>IF(O$3&lt;=time,O34*(1+Economics!$B$4)^(O$3-$B$3)/((1+Economics!$B$3)^(O$3-$B$3)),"")</f>
        <v/>
      </c>
      <c r="P56" s="306" t="str">
        <f>IF(P$3&lt;=time,P34*(1+Economics!$B$4)^(P$3-$B$3)/((1+Economics!$B$3)^(P$3-$B$3)),"")</f>
        <v/>
      </c>
      <c r="Q56" s="306" t="str">
        <f>IF(Q$3&lt;=time,Q34*(1+Economics!$B$4)^(Q$3-$B$3)/((1+Economics!$B$3)^(Q$3-$B$3)),"")</f>
        <v/>
      </c>
      <c r="R56" s="306" t="str">
        <f>IF(R$3&lt;=time,R34*(1+Economics!$B$4)^(R$3-$B$3)/((1+Economics!$B$3)^(R$3-$B$3)),"")</f>
        <v/>
      </c>
      <c r="S56" s="306" t="str">
        <f>IF(S$3&lt;=time,S34*(1+Economics!$B$4)^(S$3-$B$3)/((1+Economics!$B$3)^(S$3-$B$3)),"")</f>
        <v/>
      </c>
      <c r="T56" s="306" t="str">
        <f>IF(T$3&lt;=time,T34*(1+Economics!$B$4)^(T$3-$B$3)/((1+Economics!$B$3)^(T$3-$B$3)),"")</f>
        <v/>
      </c>
      <c r="U56" s="306" t="str">
        <f>IF(U$3&lt;=time,U34*(1+Economics!$B$4)^(U$3-$B$3)/((1+Economics!$B$3)^(U$3-$B$3)),"")</f>
        <v/>
      </c>
      <c r="V56" s="306" t="str">
        <f>IF(V$3&lt;=time,V34*(1+Economics!$B$4)^(V$3-$B$3)/((1+Economics!$B$3)^(V$3-$B$3)),"")</f>
        <v/>
      </c>
      <c r="W56" s="306" t="str">
        <f>IF(W$3&lt;=time,W34*(1+Economics!$B$4)^(W$3-$B$3)/((1+Economics!$B$3)^(W$3-$B$3)),"")</f>
        <v/>
      </c>
      <c r="X56" s="306" t="str">
        <f>IF(X$3&lt;=time,X34*(1+Economics!$B$4)^(X$3-$B$3)/((1+Economics!$B$3)^(X$3-$B$3)),"")</f>
        <v/>
      </c>
      <c r="Y56" s="306" t="str">
        <f>IF(Y$3&lt;=time,Y34*(1+Economics!$B$4)^(Y$3-$B$3)/((1+Economics!$B$3)^(Y$3-$B$3)),"")</f>
        <v/>
      </c>
      <c r="Z56" s="306" t="str">
        <f>IF(Z$3&lt;=time,Z34*(1+Economics!$B$4)^(Z$3-$B$3)/((1+Economics!$B$3)^(Z$3-$B$3)),"")</f>
        <v/>
      </c>
      <c r="AA56" s="306">
        <f t="shared" si="9"/>
        <v>0</v>
      </c>
      <c r="AB56" s="371">
        <f t="shared" si="10"/>
        <v>0</v>
      </c>
      <c r="AC56" s="196"/>
      <c r="AD56" s="196"/>
      <c r="AE56" s="196"/>
      <c r="AF56" s="196"/>
      <c r="AG56" s="196"/>
      <c r="AH56" s="196"/>
      <c r="AI56" s="196"/>
      <c r="AJ56" s="196"/>
      <c r="AK56" s="196"/>
      <c r="AL56" s="196"/>
      <c r="AM56" s="196"/>
      <c r="AN56" s="196"/>
      <c r="AO56" s="196"/>
      <c r="AP56" s="196"/>
      <c r="AQ56" s="196"/>
      <c r="AR56" s="196"/>
      <c r="AS56" s="196"/>
      <c r="AT56" s="196"/>
      <c r="AU56" s="196"/>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6"/>
      <c r="BT56" s="196"/>
      <c r="BU56" s="196"/>
      <c r="BV56" s="196"/>
      <c r="BW56" s="196"/>
      <c r="BX56" s="196"/>
      <c r="BY56" s="196"/>
      <c r="BZ56" s="196"/>
      <c r="CA56" s="196"/>
      <c r="CB56" s="196"/>
      <c r="CC56" s="196"/>
      <c r="CD56" s="196"/>
      <c r="CE56" s="196"/>
      <c r="CF56" s="196"/>
      <c r="CG56" s="196"/>
      <c r="CH56" s="196"/>
      <c r="CI56" s="196"/>
      <c r="CJ56" s="196"/>
      <c r="CK56" s="196"/>
      <c r="CL56" s="196"/>
      <c r="CM56" s="196"/>
      <c r="CN56" s="196"/>
      <c r="CO56" s="196"/>
      <c r="CP56" s="196"/>
      <c r="CQ56" s="196"/>
      <c r="CR56" s="196"/>
      <c r="CS56" s="196"/>
      <c r="CT56" s="196"/>
      <c r="CU56" s="196"/>
      <c r="CV56" s="196"/>
      <c r="CW56" s="196"/>
      <c r="CX56" s="196"/>
      <c r="CY56" s="196"/>
      <c r="CZ56" s="196"/>
      <c r="DA56" s="196"/>
      <c r="DB56" s="196"/>
      <c r="DC56" s="196"/>
      <c r="DD56" s="196"/>
      <c r="DE56" s="196"/>
      <c r="DF56" s="196"/>
      <c r="DG56" s="196"/>
      <c r="DH56" s="196"/>
      <c r="DI56" s="196"/>
      <c r="DJ56" s="196"/>
      <c r="DK56" s="196"/>
      <c r="DL56" s="196"/>
      <c r="DM56" s="196"/>
      <c r="DN56" s="196"/>
      <c r="DO56" s="196"/>
      <c r="DP56" s="196"/>
      <c r="DQ56" s="196"/>
      <c r="DR56" s="196"/>
      <c r="DS56" s="196"/>
      <c r="DT56" s="196"/>
      <c r="DU56" s="196"/>
      <c r="DV56" s="196"/>
      <c r="DW56" s="196"/>
      <c r="DX56" s="196"/>
      <c r="DY56" s="196"/>
      <c r="DZ56" s="196"/>
      <c r="EA56" s="196"/>
      <c r="EB56" s="196"/>
      <c r="EC56" s="196"/>
      <c r="ED56" s="196"/>
      <c r="EE56" s="196"/>
      <c r="EF56" s="196"/>
      <c r="EG56" s="196"/>
      <c r="EH56" s="196"/>
      <c r="EI56" s="196"/>
      <c r="EJ56" s="196"/>
      <c r="EK56" s="196"/>
      <c r="EL56" s="196"/>
      <c r="EM56" s="196"/>
      <c r="EN56" s="196"/>
      <c r="EO56" s="196"/>
      <c r="EP56" s="196"/>
      <c r="EQ56" s="196"/>
      <c r="ER56" s="196"/>
      <c r="ES56" s="196"/>
      <c r="ET56" s="196"/>
      <c r="EU56" s="196"/>
      <c r="EV56" s="196"/>
      <c r="EW56" s="196"/>
      <c r="EX56" s="196"/>
      <c r="EY56" s="196"/>
      <c r="EZ56" s="196"/>
      <c r="FA56" s="196"/>
      <c r="FB56" s="196"/>
      <c r="FC56" s="196"/>
      <c r="FD56" s="196"/>
      <c r="FE56" s="196"/>
      <c r="FF56" s="196"/>
      <c r="FG56" s="196"/>
      <c r="FH56" s="196"/>
      <c r="FI56" s="196"/>
      <c r="FJ56" s="196"/>
      <c r="FK56" s="196"/>
      <c r="FL56" s="196"/>
      <c r="FM56" s="196"/>
      <c r="FN56" s="196"/>
      <c r="FO56" s="196"/>
      <c r="FP56" s="196"/>
      <c r="FQ56" s="196"/>
      <c r="FR56" s="196"/>
      <c r="FS56" s="196"/>
      <c r="FT56" s="196"/>
      <c r="FU56" s="196"/>
      <c r="FV56" s="196"/>
      <c r="FW56" s="196"/>
      <c r="FX56" s="196"/>
      <c r="FY56" s="196"/>
      <c r="FZ56" s="196"/>
      <c r="GA56" s="196"/>
      <c r="GB56" s="196"/>
      <c r="GC56" s="196"/>
      <c r="GD56" s="196"/>
      <c r="GE56" s="196"/>
      <c r="GF56" s="196"/>
      <c r="GG56" s="196"/>
      <c r="GH56" s="196"/>
      <c r="GI56" s="196"/>
      <c r="GJ56" s="196"/>
      <c r="GK56" s="196"/>
      <c r="GL56" s="196"/>
      <c r="GM56" s="196"/>
      <c r="GN56" s="196"/>
      <c r="GO56" s="196"/>
      <c r="GP56" s="196"/>
      <c r="GQ56" s="196"/>
      <c r="GR56" s="196"/>
      <c r="GS56" s="196"/>
      <c r="GT56" s="196"/>
      <c r="GU56" s="196"/>
      <c r="GV56" s="196"/>
      <c r="GW56" s="196"/>
      <c r="GX56" s="196"/>
      <c r="GY56" s="196"/>
      <c r="GZ56" s="196"/>
      <c r="HA56" s="196"/>
      <c r="HB56" s="196"/>
      <c r="HC56" s="196"/>
      <c r="HD56" s="196"/>
      <c r="HE56" s="196"/>
      <c r="HF56" s="196"/>
      <c r="HG56" s="196"/>
      <c r="HH56" s="196"/>
      <c r="HI56" s="196"/>
      <c r="HJ56" s="196"/>
      <c r="HK56" s="196"/>
      <c r="HL56" s="196"/>
      <c r="HM56" s="196"/>
      <c r="HN56" s="196"/>
      <c r="HO56" s="196"/>
      <c r="HP56" s="196"/>
      <c r="HQ56" s="196"/>
      <c r="HR56" s="196"/>
      <c r="HS56" s="196"/>
      <c r="HT56" s="196"/>
      <c r="HU56" s="196"/>
      <c r="HV56" s="196"/>
      <c r="HW56" s="196"/>
      <c r="HX56" s="196"/>
      <c r="HY56" s="196"/>
      <c r="HZ56" s="196"/>
      <c r="IA56" s="196"/>
      <c r="IB56" s="196"/>
      <c r="IC56" s="196"/>
      <c r="ID56" s="196"/>
      <c r="IE56" s="196"/>
      <c r="IF56" s="196"/>
      <c r="IG56" s="196"/>
      <c r="IH56" s="196"/>
      <c r="II56" s="196"/>
      <c r="IJ56" s="196"/>
      <c r="IK56" s="196"/>
      <c r="IL56" s="196"/>
      <c r="IM56" s="196"/>
      <c r="IN56" s="196"/>
      <c r="IO56" s="196"/>
      <c r="IP56" s="196"/>
      <c r="IQ56" s="196"/>
      <c r="IR56" s="196"/>
      <c r="IS56" s="196"/>
      <c r="IT56" s="196"/>
      <c r="IU56" s="196"/>
      <c r="IV56" s="196"/>
      <c r="IW56" s="196"/>
      <c r="IX56" s="196"/>
      <c r="IY56" s="196"/>
      <c r="IZ56" s="196"/>
      <c r="JA56" s="196"/>
      <c r="JB56" s="196"/>
      <c r="JC56" s="196"/>
      <c r="JD56" s="196"/>
      <c r="JE56" s="196"/>
      <c r="JF56" s="196"/>
      <c r="JG56" s="196"/>
      <c r="JH56" s="196"/>
      <c r="JI56" s="196"/>
      <c r="JJ56" s="196"/>
      <c r="JK56" s="196"/>
      <c r="JL56" s="196"/>
      <c r="JM56" s="196"/>
      <c r="JN56" s="196"/>
      <c r="JO56" s="196"/>
      <c r="JP56" s="196"/>
      <c r="JQ56" s="196"/>
      <c r="JR56" s="196"/>
      <c r="JS56" s="196"/>
      <c r="JT56" s="196"/>
      <c r="JU56" s="196"/>
      <c r="JV56" s="196"/>
      <c r="JW56" s="196"/>
      <c r="JX56" s="196"/>
      <c r="JY56" s="196"/>
      <c r="JZ56" s="196"/>
      <c r="KA56" s="196"/>
      <c r="KB56" s="196"/>
      <c r="KC56" s="196"/>
      <c r="KD56" s="196"/>
      <c r="KE56" s="196"/>
      <c r="KF56" s="196"/>
      <c r="KG56" s="196"/>
      <c r="KH56" s="196"/>
      <c r="KI56" s="196"/>
      <c r="KJ56" s="196"/>
      <c r="KK56" s="196"/>
      <c r="KL56" s="196"/>
      <c r="KM56" s="196"/>
      <c r="KN56" s="196"/>
      <c r="KO56" s="196"/>
      <c r="KP56" s="196"/>
      <c r="KQ56" s="196"/>
      <c r="KR56" s="196"/>
      <c r="KS56" s="196"/>
      <c r="KT56" s="196"/>
      <c r="KU56" s="196"/>
      <c r="KV56" s="196"/>
      <c r="KW56" s="196"/>
      <c r="KX56" s="196"/>
      <c r="KY56" s="196"/>
      <c r="KZ56" s="196"/>
      <c r="LA56" s="196"/>
      <c r="LB56" s="196"/>
      <c r="LC56" s="196"/>
      <c r="LD56" s="196"/>
      <c r="LE56" s="196"/>
      <c r="LF56" s="196"/>
      <c r="LG56" s="196"/>
      <c r="LH56" s="196"/>
      <c r="LI56" s="196"/>
      <c r="LJ56" s="196"/>
      <c r="LK56" s="196"/>
      <c r="LL56" s="196"/>
      <c r="LM56" s="196"/>
      <c r="LN56" s="196"/>
      <c r="LO56" s="196"/>
      <c r="LP56" s="196"/>
      <c r="LQ56" s="196"/>
      <c r="LR56" s="196"/>
      <c r="LS56" s="196"/>
      <c r="LT56" s="196"/>
      <c r="LU56" s="196"/>
      <c r="LV56" s="196"/>
      <c r="LW56" s="196"/>
      <c r="LX56" s="196"/>
      <c r="LY56" s="196"/>
      <c r="LZ56" s="196"/>
      <c r="MA56" s="196"/>
      <c r="MB56" s="196"/>
      <c r="MC56" s="196"/>
      <c r="MD56" s="196"/>
      <c r="ME56" s="196"/>
      <c r="MF56" s="196"/>
      <c r="MG56" s="196"/>
      <c r="MH56" s="196"/>
      <c r="MI56" s="196"/>
      <c r="MJ56" s="196"/>
      <c r="MK56" s="196"/>
      <c r="ML56" s="196"/>
      <c r="MM56" s="196"/>
      <c r="MN56" s="196"/>
      <c r="MO56" s="196"/>
      <c r="MP56" s="196"/>
      <c r="MQ56" s="196"/>
      <c r="MR56" s="196"/>
      <c r="MS56" s="196"/>
      <c r="MT56" s="196"/>
      <c r="MU56" s="196"/>
      <c r="MV56" s="196"/>
      <c r="MW56" s="196"/>
      <c r="MX56" s="196"/>
      <c r="MY56" s="196"/>
      <c r="MZ56" s="196"/>
      <c r="NA56" s="196"/>
      <c r="NB56" s="196"/>
      <c r="NC56" s="196"/>
      <c r="ND56" s="196"/>
      <c r="NE56" s="196"/>
      <c r="NF56" s="196"/>
      <c r="NG56" s="196"/>
      <c r="NH56" s="196"/>
      <c r="NI56" s="196"/>
      <c r="NJ56" s="196"/>
      <c r="NK56" s="196"/>
      <c r="NL56" s="196"/>
      <c r="NM56" s="196"/>
      <c r="NN56" s="196"/>
      <c r="NO56" s="196"/>
      <c r="NP56" s="196"/>
      <c r="NQ56" s="196"/>
      <c r="NR56" s="196"/>
      <c r="NS56" s="196"/>
      <c r="NT56" s="196"/>
      <c r="NU56" s="196"/>
      <c r="NV56" s="196"/>
      <c r="NW56" s="196"/>
      <c r="NX56" s="196"/>
      <c r="NY56" s="196"/>
      <c r="NZ56" s="196"/>
      <c r="OA56" s="196"/>
    </row>
    <row r="57" spans="1:391" s="306" customFormat="1" ht="16" hidden="1" thickBot="1">
      <c r="A57" s="344" t="s">
        <v>11</v>
      </c>
      <c r="B57" s="345">
        <f>IF(B$3&lt;=time,B35*(1+Economics!$B$4)^(B$3-$B$3)/((1+Economics!$B$3)^(B$3-$B$3)),"")</f>
        <v>284.73002251534706</v>
      </c>
      <c r="C57" s="345">
        <f>IF(C$3&lt;=time,C35*(1+Economics!$B$4)^(C$3-$B$3)/((1+Economics!$B$3)^(C$3-$B$3)),"")</f>
        <v>0</v>
      </c>
      <c r="D57" s="345">
        <f>IF(D$3&lt;=time,D35*(1+Economics!$B$4)^(D$3-$B$3)/((1+Economics!$B$3)^(D$3-$B$3)),"")</f>
        <v>0</v>
      </c>
      <c r="E57" s="345">
        <f>IF(E$3&lt;=time,E35*(1+Economics!$B$4)^(E$3-$B$3)/((1+Economics!$B$3)^(E$3-$B$3)),"")</f>
        <v>0</v>
      </c>
      <c r="F57" s="345">
        <f>IF(F$3&lt;=time,F35*(1+Economics!$B$4)^(F$3-$B$3)/((1+Economics!$B$3)^(F$3-$B$3)),"")</f>
        <v>0</v>
      </c>
      <c r="G57" s="345" t="str">
        <f>IF(G$3&lt;=time,G35*(1+Economics!$B$4)^(G$3-$B$3)/((1+Economics!$B$3)^(G$3-$B$3)),"")</f>
        <v/>
      </c>
      <c r="H57" s="345" t="str">
        <f>IF(H$3&lt;=time,H35*(1+Economics!$B$4)^(H$3-$B$3)/((1+Economics!$B$3)^(H$3-$B$3)),"")</f>
        <v/>
      </c>
      <c r="I57" s="345" t="str">
        <f>IF(I$3&lt;=time,I35*(1+Economics!$B$4)^(I$3-$B$3)/((1+Economics!$B$3)^(I$3-$B$3)),"")</f>
        <v/>
      </c>
      <c r="J57" s="345" t="str">
        <f>IF(J$3&lt;=time,J35*(1+Economics!$B$4)^(J$3-$B$3)/((1+Economics!$B$3)^(J$3-$B$3)),"")</f>
        <v/>
      </c>
      <c r="K57" s="345" t="str">
        <f>IF(K$3&lt;=time,K35*(1+Economics!$B$4)^(K$3-$B$3)/((1+Economics!$B$3)^(K$3-$B$3)),"")</f>
        <v/>
      </c>
      <c r="L57" s="345" t="str">
        <f>IF(L$3&lt;=time,L35*(1+Economics!$B$4)^(L$3-$B$3)/((1+Economics!$B$3)^(L$3-$B$3)),"")</f>
        <v/>
      </c>
      <c r="M57" s="345" t="str">
        <f>IF(M$3&lt;=time,M35*(1+Economics!$B$4)^(M$3-$B$3)/((1+Economics!$B$3)^(M$3-$B$3)),"")</f>
        <v/>
      </c>
      <c r="N57" s="345" t="str">
        <f>IF(N$3&lt;=time,N35*(1+Economics!$B$4)^(N$3-$B$3)/((1+Economics!$B$3)^(N$3-$B$3)),"")</f>
        <v/>
      </c>
      <c r="O57" s="345" t="str">
        <f>IF(O$3&lt;=time,O35*(1+Economics!$B$4)^(O$3-$B$3)/((1+Economics!$B$3)^(O$3-$B$3)),"")</f>
        <v/>
      </c>
      <c r="P57" s="345" t="str">
        <f>IF(P$3&lt;=time,P35*(1+Economics!$B$4)^(P$3-$B$3)/((1+Economics!$B$3)^(P$3-$B$3)),"")</f>
        <v/>
      </c>
      <c r="Q57" s="345" t="str">
        <f>IF(Q$3&lt;=time,Q35*(1+Economics!$B$4)^(Q$3-$B$3)/((1+Economics!$B$3)^(Q$3-$B$3)),"")</f>
        <v/>
      </c>
      <c r="R57" s="345" t="str">
        <f>IF(R$3&lt;=time,R35*(1+Economics!$B$4)^(R$3-$B$3)/((1+Economics!$B$3)^(R$3-$B$3)),"")</f>
        <v/>
      </c>
      <c r="S57" s="345" t="str">
        <f>IF(S$3&lt;=time,S35*(1+Economics!$B$4)^(S$3-$B$3)/((1+Economics!$B$3)^(S$3-$B$3)),"")</f>
        <v/>
      </c>
      <c r="T57" s="345" t="str">
        <f>IF(T$3&lt;=time,T35*(1+Economics!$B$4)^(T$3-$B$3)/((1+Economics!$B$3)^(T$3-$B$3)),"")</f>
        <v/>
      </c>
      <c r="U57" s="345" t="str">
        <f>IF(U$3&lt;=time,U35*(1+Economics!$B$4)^(U$3-$B$3)/((1+Economics!$B$3)^(U$3-$B$3)),"")</f>
        <v/>
      </c>
      <c r="V57" s="345" t="str">
        <f>IF(V$3&lt;=time,V35*(1+Economics!$B$4)^(V$3-$B$3)/((1+Economics!$B$3)^(V$3-$B$3)),"")</f>
        <v/>
      </c>
      <c r="W57" s="345" t="str">
        <f>IF(W$3&lt;=time,W35*(1+Economics!$B$4)^(W$3-$B$3)/((1+Economics!$B$3)^(W$3-$B$3)),"")</f>
        <v/>
      </c>
      <c r="X57" s="345" t="str">
        <f>IF(X$3&lt;=time,X35*(1+Economics!$B$4)^(X$3-$B$3)/((1+Economics!$B$3)^(X$3-$B$3)),"")</f>
        <v/>
      </c>
      <c r="Y57" s="345" t="str">
        <f>IF(Y$3&lt;=time,Y35*(1+Economics!$B$4)^(Y$3-$B$3)/((1+Economics!$B$3)^(Y$3-$B$3)),"")</f>
        <v/>
      </c>
      <c r="Z57" s="345" t="str">
        <f>IF(Z$3&lt;=time,Z35*(1+Economics!$B$4)^(Z$3-$B$3)/((1+Economics!$B$3)^(Z$3-$B$3)),"")</f>
        <v/>
      </c>
      <c r="AA57" s="345">
        <f t="shared" si="9"/>
        <v>284.73002251534706</v>
      </c>
      <c r="AB57" s="346">
        <f t="shared" si="10"/>
        <v>56.94600450306941</v>
      </c>
      <c r="AC57" s="196"/>
      <c r="AD57" s="196"/>
      <c r="AE57" s="196"/>
      <c r="AF57" s="196"/>
      <c r="AG57" s="196"/>
      <c r="AH57" s="196"/>
      <c r="AI57" s="196"/>
      <c r="AJ57" s="196"/>
      <c r="AK57" s="196"/>
      <c r="AL57" s="196"/>
      <c r="AM57" s="196"/>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6"/>
      <c r="BR57" s="196"/>
      <c r="BS57" s="196"/>
      <c r="BT57" s="196"/>
      <c r="BU57" s="196"/>
      <c r="BV57" s="196"/>
      <c r="BW57" s="196"/>
      <c r="BX57" s="196"/>
      <c r="BY57" s="196"/>
      <c r="BZ57" s="196"/>
      <c r="CA57" s="196"/>
      <c r="CB57" s="196"/>
      <c r="CC57" s="196"/>
      <c r="CD57" s="196"/>
      <c r="CE57" s="196"/>
      <c r="CF57" s="196"/>
      <c r="CG57" s="196"/>
      <c r="CH57" s="196"/>
      <c r="CI57" s="196"/>
      <c r="CJ57" s="196"/>
      <c r="CK57" s="196"/>
      <c r="CL57" s="196"/>
      <c r="CM57" s="196"/>
      <c r="CN57" s="196"/>
      <c r="CO57" s="196"/>
      <c r="CP57" s="196"/>
      <c r="CQ57" s="196"/>
      <c r="CR57" s="196"/>
      <c r="CS57" s="196"/>
      <c r="CT57" s="196"/>
      <c r="CU57" s="196"/>
      <c r="CV57" s="196"/>
      <c r="CW57" s="196"/>
      <c r="CX57" s="196"/>
      <c r="CY57" s="196"/>
      <c r="CZ57" s="196"/>
      <c r="DA57" s="196"/>
      <c r="DB57" s="196"/>
      <c r="DC57" s="196"/>
      <c r="DD57" s="196"/>
      <c r="DE57" s="196"/>
      <c r="DF57" s="196"/>
      <c r="DG57" s="196"/>
      <c r="DH57" s="196"/>
      <c r="DI57" s="196"/>
      <c r="DJ57" s="196"/>
      <c r="DK57" s="196"/>
      <c r="DL57" s="196"/>
      <c r="DM57" s="196"/>
      <c r="DN57" s="196"/>
      <c r="DO57" s="196"/>
      <c r="DP57" s="196"/>
      <c r="DQ57" s="196"/>
      <c r="DR57" s="196"/>
      <c r="DS57" s="196"/>
      <c r="DT57" s="196"/>
      <c r="DU57" s="196"/>
      <c r="DV57" s="196"/>
      <c r="DW57" s="196"/>
      <c r="DX57" s="196"/>
      <c r="DY57" s="196"/>
      <c r="DZ57" s="196"/>
      <c r="EA57" s="196"/>
      <c r="EB57" s="196"/>
      <c r="EC57" s="196"/>
      <c r="ED57" s="196"/>
      <c r="EE57" s="196"/>
      <c r="EF57" s="196"/>
      <c r="EG57" s="196"/>
      <c r="EH57" s="196"/>
      <c r="EI57" s="196"/>
      <c r="EJ57" s="196"/>
      <c r="EK57" s="196"/>
      <c r="EL57" s="196"/>
      <c r="EM57" s="196"/>
      <c r="EN57" s="196"/>
      <c r="EO57" s="196"/>
      <c r="EP57" s="196"/>
      <c r="EQ57" s="196"/>
      <c r="ER57" s="196"/>
      <c r="ES57" s="196"/>
      <c r="ET57" s="196"/>
      <c r="EU57" s="196"/>
      <c r="EV57" s="196"/>
      <c r="EW57" s="196"/>
      <c r="EX57" s="196"/>
      <c r="EY57" s="196"/>
      <c r="EZ57" s="196"/>
      <c r="FA57" s="196"/>
      <c r="FB57" s="196"/>
      <c r="FC57" s="196"/>
      <c r="FD57" s="196"/>
      <c r="FE57" s="196"/>
      <c r="FF57" s="196"/>
      <c r="FG57" s="196"/>
      <c r="FH57" s="196"/>
      <c r="FI57" s="196"/>
      <c r="FJ57" s="196"/>
      <c r="FK57" s="196"/>
      <c r="FL57" s="196"/>
      <c r="FM57" s="196"/>
      <c r="FN57" s="196"/>
      <c r="FO57" s="196"/>
      <c r="FP57" s="196"/>
      <c r="FQ57" s="196"/>
      <c r="FR57" s="196"/>
      <c r="FS57" s="196"/>
      <c r="FT57" s="196"/>
      <c r="FU57" s="196"/>
      <c r="FV57" s="196"/>
      <c r="FW57" s="196"/>
      <c r="FX57" s="196"/>
      <c r="FY57" s="196"/>
      <c r="FZ57" s="196"/>
      <c r="GA57" s="196"/>
      <c r="GB57" s="196"/>
      <c r="GC57" s="196"/>
      <c r="GD57" s="196"/>
      <c r="GE57" s="196"/>
      <c r="GF57" s="196"/>
      <c r="GG57" s="196"/>
      <c r="GH57" s="196"/>
      <c r="GI57" s="196"/>
      <c r="GJ57" s="196"/>
      <c r="GK57" s="196"/>
      <c r="GL57" s="196"/>
      <c r="GM57" s="196"/>
      <c r="GN57" s="196"/>
      <c r="GO57" s="196"/>
      <c r="GP57" s="196"/>
      <c r="GQ57" s="196"/>
      <c r="GR57" s="196"/>
      <c r="GS57" s="196"/>
      <c r="GT57" s="196"/>
      <c r="GU57" s="196"/>
      <c r="GV57" s="196"/>
      <c r="GW57" s="196"/>
      <c r="GX57" s="196"/>
      <c r="GY57" s="196"/>
      <c r="GZ57" s="196"/>
      <c r="HA57" s="196"/>
      <c r="HB57" s="196"/>
      <c r="HC57" s="196"/>
      <c r="HD57" s="196"/>
      <c r="HE57" s="196"/>
      <c r="HF57" s="196"/>
      <c r="HG57" s="196"/>
      <c r="HH57" s="196"/>
      <c r="HI57" s="196"/>
      <c r="HJ57" s="196"/>
      <c r="HK57" s="196"/>
      <c r="HL57" s="196"/>
      <c r="HM57" s="196"/>
      <c r="HN57" s="196"/>
      <c r="HO57" s="196"/>
      <c r="HP57" s="196"/>
      <c r="HQ57" s="196"/>
      <c r="HR57" s="196"/>
      <c r="HS57" s="196"/>
      <c r="HT57" s="196"/>
      <c r="HU57" s="196"/>
      <c r="HV57" s="196"/>
      <c r="HW57" s="196"/>
      <c r="HX57" s="196"/>
      <c r="HY57" s="196"/>
      <c r="HZ57" s="196"/>
      <c r="IA57" s="196"/>
      <c r="IB57" s="196"/>
      <c r="IC57" s="196"/>
      <c r="ID57" s="196"/>
      <c r="IE57" s="196"/>
      <c r="IF57" s="196"/>
      <c r="IG57" s="196"/>
      <c r="IH57" s="196"/>
      <c r="II57" s="196"/>
      <c r="IJ57" s="196"/>
      <c r="IK57" s="196"/>
      <c r="IL57" s="196"/>
      <c r="IM57" s="196"/>
      <c r="IN57" s="196"/>
      <c r="IO57" s="196"/>
      <c r="IP57" s="196"/>
      <c r="IQ57" s="196"/>
      <c r="IR57" s="196"/>
      <c r="IS57" s="196"/>
      <c r="IT57" s="196"/>
      <c r="IU57" s="196"/>
      <c r="IV57" s="196"/>
      <c r="IW57" s="196"/>
      <c r="IX57" s="196"/>
      <c r="IY57" s="196"/>
      <c r="IZ57" s="196"/>
      <c r="JA57" s="196"/>
      <c r="JB57" s="196"/>
      <c r="JC57" s="196"/>
      <c r="JD57" s="196"/>
      <c r="JE57" s="196"/>
      <c r="JF57" s="196"/>
      <c r="JG57" s="196"/>
      <c r="JH57" s="196"/>
      <c r="JI57" s="196"/>
      <c r="JJ57" s="196"/>
      <c r="JK57" s="196"/>
      <c r="JL57" s="196"/>
      <c r="JM57" s="196"/>
      <c r="JN57" s="196"/>
      <c r="JO57" s="196"/>
      <c r="JP57" s="196"/>
      <c r="JQ57" s="196"/>
      <c r="JR57" s="196"/>
      <c r="JS57" s="196"/>
      <c r="JT57" s="196"/>
      <c r="JU57" s="196"/>
      <c r="JV57" s="196"/>
      <c r="JW57" s="196"/>
      <c r="JX57" s="196"/>
      <c r="JY57" s="196"/>
      <c r="JZ57" s="196"/>
      <c r="KA57" s="196"/>
      <c r="KB57" s="196"/>
      <c r="KC57" s="196"/>
      <c r="KD57" s="196"/>
      <c r="KE57" s="196"/>
      <c r="KF57" s="196"/>
      <c r="KG57" s="196"/>
      <c r="KH57" s="196"/>
      <c r="KI57" s="196"/>
      <c r="KJ57" s="196"/>
      <c r="KK57" s="196"/>
      <c r="KL57" s="196"/>
      <c r="KM57" s="196"/>
      <c r="KN57" s="196"/>
      <c r="KO57" s="196"/>
      <c r="KP57" s="196"/>
      <c r="KQ57" s="196"/>
      <c r="KR57" s="196"/>
      <c r="KS57" s="196"/>
      <c r="KT57" s="196"/>
      <c r="KU57" s="196"/>
      <c r="KV57" s="196"/>
      <c r="KW57" s="196"/>
      <c r="KX57" s="196"/>
      <c r="KY57" s="196"/>
      <c r="KZ57" s="196"/>
      <c r="LA57" s="196"/>
      <c r="LB57" s="196"/>
      <c r="LC57" s="196"/>
      <c r="LD57" s="196"/>
      <c r="LE57" s="196"/>
      <c r="LF57" s="196"/>
      <c r="LG57" s="196"/>
      <c r="LH57" s="196"/>
      <c r="LI57" s="196"/>
      <c r="LJ57" s="196"/>
      <c r="LK57" s="196"/>
      <c r="LL57" s="196"/>
      <c r="LM57" s="196"/>
      <c r="LN57" s="196"/>
      <c r="LO57" s="196"/>
      <c r="LP57" s="196"/>
      <c r="LQ57" s="196"/>
      <c r="LR57" s="196"/>
      <c r="LS57" s="196"/>
      <c r="LT57" s="196"/>
      <c r="LU57" s="196"/>
      <c r="LV57" s="196"/>
      <c r="LW57" s="196"/>
      <c r="LX57" s="196"/>
      <c r="LY57" s="196"/>
      <c r="LZ57" s="196"/>
      <c r="MA57" s="196"/>
      <c r="MB57" s="196"/>
      <c r="MC57" s="196"/>
      <c r="MD57" s="196"/>
      <c r="ME57" s="196"/>
      <c r="MF57" s="196"/>
      <c r="MG57" s="196"/>
      <c r="MH57" s="196"/>
      <c r="MI57" s="196"/>
      <c r="MJ57" s="196"/>
      <c r="MK57" s="196"/>
      <c r="ML57" s="196"/>
      <c r="MM57" s="196"/>
      <c r="MN57" s="196"/>
      <c r="MO57" s="196"/>
      <c r="MP57" s="196"/>
      <c r="MQ57" s="196"/>
      <c r="MR57" s="196"/>
      <c r="MS57" s="196"/>
      <c r="MT57" s="196"/>
      <c r="MU57" s="196"/>
      <c r="MV57" s="196"/>
      <c r="MW57" s="196"/>
      <c r="MX57" s="196"/>
      <c r="MY57" s="196"/>
      <c r="MZ57" s="196"/>
      <c r="NA57" s="196"/>
      <c r="NB57" s="196"/>
      <c r="NC57" s="196"/>
      <c r="ND57" s="196"/>
      <c r="NE57" s="196"/>
      <c r="NF57" s="196"/>
      <c r="NG57" s="196"/>
      <c r="NH57" s="196"/>
      <c r="NI57" s="196"/>
      <c r="NJ57" s="196"/>
      <c r="NK57" s="196"/>
      <c r="NL57" s="196"/>
      <c r="NM57" s="196"/>
      <c r="NN57" s="196"/>
      <c r="NO57" s="196"/>
      <c r="NP57" s="196"/>
      <c r="NQ57" s="196"/>
      <c r="NR57" s="196"/>
      <c r="NS57" s="196"/>
      <c r="NT57" s="196"/>
      <c r="NU57" s="196"/>
      <c r="NV57" s="196"/>
      <c r="NW57" s="196"/>
      <c r="NX57" s="196"/>
      <c r="NY57" s="196"/>
      <c r="NZ57" s="196"/>
      <c r="OA57" s="196"/>
    </row>
    <row r="58" spans="1:391" hidden="1">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6"/>
      <c r="BT58" s="196"/>
      <c r="BU58" s="196"/>
      <c r="BV58" s="196"/>
      <c r="BW58" s="196"/>
      <c r="BX58" s="196"/>
      <c r="BY58" s="196"/>
      <c r="BZ58" s="196"/>
      <c r="CA58" s="196"/>
      <c r="CB58" s="196"/>
      <c r="CC58" s="196"/>
      <c r="CD58" s="196"/>
      <c r="CE58" s="196"/>
      <c r="CF58" s="196"/>
      <c r="CG58" s="196"/>
      <c r="CH58" s="196"/>
      <c r="CI58" s="196"/>
      <c r="CJ58" s="196"/>
      <c r="CK58" s="196"/>
      <c r="CL58" s="196"/>
      <c r="CM58" s="196"/>
      <c r="CN58" s="196"/>
      <c r="CO58" s="196"/>
      <c r="CP58" s="196"/>
      <c r="CQ58" s="196"/>
      <c r="CR58" s="196"/>
      <c r="CS58" s="196"/>
      <c r="CT58" s="196"/>
      <c r="CU58" s="196"/>
      <c r="CV58" s="196"/>
      <c r="CW58" s="196"/>
      <c r="CX58" s="196"/>
      <c r="CY58" s="196"/>
      <c r="CZ58" s="196"/>
      <c r="DA58" s="196"/>
      <c r="DB58" s="196"/>
      <c r="DC58" s="196"/>
      <c r="DD58" s="196"/>
      <c r="DE58" s="196"/>
      <c r="DF58" s="196"/>
      <c r="DG58" s="196"/>
      <c r="DH58" s="196"/>
      <c r="DI58" s="196"/>
      <c r="DJ58" s="196"/>
      <c r="DK58" s="196"/>
      <c r="DL58" s="196"/>
      <c r="DM58" s="196"/>
      <c r="DN58" s="196"/>
      <c r="DO58" s="196"/>
      <c r="DP58" s="196"/>
      <c r="DQ58" s="196"/>
      <c r="DR58" s="196"/>
      <c r="DS58" s="196"/>
      <c r="DT58" s="196"/>
      <c r="DU58" s="196"/>
      <c r="DV58" s="196"/>
      <c r="DW58" s="196"/>
      <c r="DX58" s="196"/>
      <c r="DY58" s="196"/>
      <c r="DZ58" s="196"/>
      <c r="EA58" s="196"/>
      <c r="EB58" s="196"/>
      <c r="EC58" s="196"/>
      <c r="ED58" s="196"/>
      <c r="EE58" s="196"/>
      <c r="EF58" s="196"/>
      <c r="EG58" s="196"/>
      <c r="EH58" s="196"/>
      <c r="EI58" s="196"/>
      <c r="EJ58" s="196"/>
      <c r="EK58" s="196"/>
      <c r="EL58" s="196"/>
      <c r="EM58" s="196"/>
      <c r="EN58" s="196"/>
      <c r="EO58" s="196"/>
      <c r="EP58" s="196"/>
      <c r="EQ58" s="196"/>
      <c r="ER58" s="196"/>
      <c r="ES58" s="196"/>
      <c r="ET58" s="196"/>
      <c r="EU58" s="196"/>
      <c r="EV58" s="196"/>
      <c r="EW58" s="196"/>
      <c r="EX58" s="196"/>
      <c r="EY58" s="196"/>
      <c r="EZ58" s="196"/>
      <c r="FA58" s="196"/>
      <c r="FB58" s="196"/>
      <c r="FC58" s="196"/>
      <c r="FD58" s="196"/>
      <c r="FE58" s="196"/>
      <c r="FF58" s="196"/>
      <c r="FG58" s="196"/>
      <c r="FH58" s="196"/>
      <c r="FI58" s="196"/>
      <c r="FJ58" s="196"/>
      <c r="FK58" s="196"/>
      <c r="FL58" s="196"/>
      <c r="FM58" s="196"/>
      <c r="FN58" s="196"/>
      <c r="FO58" s="196"/>
      <c r="FP58" s="196"/>
      <c r="FQ58" s="196"/>
      <c r="FR58" s="196"/>
      <c r="FS58" s="196"/>
      <c r="FT58" s="196"/>
      <c r="FU58" s="196"/>
      <c r="FV58" s="196"/>
      <c r="FW58" s="196"/>
      <c r="FX58" s="196"/>
      <c r="FY58" s="196"/>
      <c r="FZ58" s="196"/>
      <c r="GA58" s="196"/>
      <c r="GB58" s="196"/>
      <c r="GC58" s="196"/>
      <c r="GD58" s="196"/>
      <c r="GE58" s="196"/>
      <c r="GF58" s="196"/>
      <c r="GG58" s="196"/>
      <c r="GH58" s="196"/>
      <c r="GI58" s="196"/>
      <c r="GJ58" s="196"/>
      <c r="GK58" s="196"/>
      <c r="GL58" s="196"/>
      <c r="GM58" s="196"/>
      <c r="GN58" s="196"/>
      <c r="GO58" s="196"/>
      <c r="GP58" s="196"/>
      <c r="GQ58" s="196"/>
      <c r="GR58" s="196"/>
      <c r="GS58" s="196"/>
      <c r="GT58" s="196"/>
      <c r="GU58" s="196"/>
      <c r="GV58" s="196"/>
      <c r="GW58" s="196"/>
      <c r="GX58" s="196"/>
      <c r="GY58" s="196"/>
      <c r="GZ58" s="196"/>
      <c r="HA58" s="196"/>
      <c r="HB58" s="196"/>
      <c r="HC58" s="196"/>
      <c r="HD58" s="196"/>
      <c r="HE58" s="196"/>
      <c r="HF58" s="196"/>
      <c r="HG58" s="196"/>
      <c r="HH58" s="196"/>
      <c r="HI58" s="196"/>
      <c r="HJ58" s="196"/>
      <c r="HK58" s="196"/>
      <c r="HL58" s="196"/>
      <c r="HM58" s="196"/>
      <c r="HN58" s="196"/>
      <c r="HO58" s="196"/>
      <c r="HP58" s="196"/>
      <c r="HQ58" s="196"/>
      <c r="HR58" s="196"/>
      <c r="HS58" s="196"/>
      <c r="HT58" s="196"/>
      <c r="HU58" s="196"/>
      <c r="HV58" s="196"/>
      <c r="HW58" s="196"/>
      <c r="HX58" s="196"/>
      <c r="HY58" s="196"/>
      <c r="HZ58" s="196"/>
      <c r="IA58" s="196"/>
      <c r="IB58" s="196"/>
      <c r="IC58" s="196"/>
      <c r="ID58" s="196"/>
      <c r="IE58" s="196"/>
      <c r="IF58" s="196"/>
      <c r="IG58" s="196"/>
      <c r="IH58" s="196"/>
      <c r="II58" s="196"/>
      <c r="IJ58" s="196"/>
      <c r="IK58" s="196"/>
      <c r="IL58" s="196"/>
      <c r="IM58" s="196"/>
      <c r="IN58" s="196"/>
      <c r="IO58" s="196"/>
      <c r="IP58" s="196"/>
      <c r="IQ58" s="196"/>
      <c r="IR58" s="196"/>
      <c r="IS58" s="196"/>
      <c r="IT58" s="196"/>
      <c r="IU58" s="196"/>
      <c r="IV58" s="196"/>
      <c r="IW58" s="196"/>
      <c r="IX58" s="196"/>
      <c r="IY58" s="196"/>
      <c r="IZ58" s="196"/>
      <c r="JA58" s="196"/>
      <c r="JB58" s="196"/>
      <c r="JC58" s="196"/>
      <c r="JD58" s="196"/>
      <c r="JE58" s="196"/>
      <c r="JF58" s="196"/>
      <c r="JG58" s="196"/>
      <c r="JH58" s="196"/>
      <c r="JI58" s="196"/>
      <c r="JJ58" s="196"/>
      <c r="JK58" s="196"/>
      <c r="JL58" s="196"/>
      <c r="JM58" s="196"/>
      <c r="JN58" s="196"/>
      <c r="JO58" s="196"/>
      <c r="JP58" s="196"/>
      <c r="JQ58" s="196"/>
      <c r="JR58" s="196"/>
      <c r="JS58" s="196"/>
      <c r="JT58" s="196"/>
      <c r="JU58" s="196"/>
      <c r="JV58" s="196"/>
      <c r="JW58" s="196"/>
      <c r="JX58" s="196"/>
      <c r="JY58" s="196"/>
      <c r="JZ58" s="196"/>
      <c r="KA58" s="196"/>
      <c r="KB58" s="196"/>
      <c r="KC58" s="196"/>
      <c r="KD58" s="196"/>
      <c r="KE58" s="196"/>
      <c r="KF58" s="196"/>
      <c r="KG58" s="196"/>
      <c r="KH58" s="196"/>
      <c r="KI58" s="196"/>
      <c r="KJ58" s="196"/>
      <c r="KK58" s="196"/>
      <c r="KL58" s="196"/>
      <c r="KM58" s="196"/>
      <c r="KN58" s="196"/>
      <c r="KO58" s="196"/>
      <c r="KP58" s="196"/>
      <c r="KQ58" s="196"/>
      <c r="KR58" s="196"/>
      <c r="KS58" s="196"/>
      <c r="KT58" s="196"/>
      <c r="KU58" s="196"/>
      <c r="KV58" s="196"/>
      <c r="KW58" s="196"/>
      <c r="KX58" s="196"/>
      <c r="KY58" s="196"/>
      <c r="KZ58" s="196"/>
      <c r="LA58" s="196"/>
      <c r="LB58" s="196"/>
      <c r="LC58" s="196"/>
      <c r="LD58" s="196"/>
      <c r="LE58" s="196"/>
      <c r="LF58" s="196"/>
      <c r="LG58" s="196"/>
      <c r="LH58" s="196"/>
      <c r="LI58" s="196"/>
      <c r="LJ58" s="196"/>
      <c r="LK58" s="196"/>
      <c r="LL58" s="196"/>
      <c r="LM58" s="196"/>
      <c r="LN58" s="196"/>
      <c r="LO58" s="196"/>
      <c r="LP58" s="196"/>
      <c r="LQ58" s="196"/>
      <c r="LR58" s="196"/>
      <c r="LS58" s="196"/>
      <c r="LT58" s="196"/>
      <c r="LU58" s="196"/>
      <c r="LV58" s="196"/>
      <c r="LW58" s="196"/>
      <c r="LX58" s="196"/>
      <c r="LY58" s="196"/>
      <c r="LZ58" s="196"/>
      <c r="MA58" s="196"/>
      <c r="MB58" s="196"/>
      <c r="MC58" s="196"/>
      <c r="MD58" s="196"/>
      <c r="ME58" s="196"/>
      <c r="MF58" s="196"/>
      <c r="MG58" s="196"/>
      <c r="MH58" s="196"/>
      <c r="MI58" s="196"/>
      <c r="MJ58" s="196"/>
      <c r="MK58" s="196"/>
      <c r="ML58" s="196"/>
      <c r="MM58" s="196"/>
      <c r="MN58" s="196"/>
      <c r="MO58" s="196"/>
      <c r="MP58" s="196"/>
      <c r="MQ58" s="196"/>
      <c r="MR58" s="196"/>
      <c r="MS58" s="196"/>
      <c r="MT58" s="196"/>
      <c r="MU58" s="196"/>
      <c r="MV58" s="196"/>
      <c r="MW58" s="196"/>
      <c r="MX58" s="196"/>
      <c r="MY58" s="196"/>
      <c r="MZ58" s="196"/>
      <c r="NA58" s="196"/>
      <c r="NB58" s="196"/>
      <c r="NC58" s="196"/>
      <c r="ND58" s="196"/>
      <c r="NE58" s="196"/>
      <c r="NF58" s="196"/>
      <c r="NG58" s="196"/>
      <c r="NH58" s="196"/>
      <c r="NI58" s="196"/>
      <c r="NJ58" s="196"/>
      <c r="NK58" s="196"/>
      <c r="NL58" s="196"/>
      <c r="NM58" s="196"/>
      <c r="NN58" s="196"/>
      <c r="NO58" s="196"/>
      <c r="NP58" s="196"/>
      <c r="NQ58" s="196"/>
      <c r="NR58" s="196"/>
      <c r="NS58" s="196"/>
      <c r="NT58" s="196"/>
      <c r="NU58" s="196"/>
      <c r="NV58" s="196"/>
      <c r="NW58" s="196"/>
      <c r="NX58" s="196"/>
      <c r="NY58" s="196"/>
      <c r="NZ58" s="196"/>
      <c r="OA58" s="196"/>
    </row>
    <row r="59" spans="1:391" ht="16" hidden="1" thickBot="1">
      <c r="AJ59" s="196"/>
      <c r="AK59" s="196"/>
      <c r="AL59" s="196"/>
      <c r="AM59" s="196"/>
      <c r="AN59" s="196"/>
      <c r="AO59" s="196"/>
      <c r="AP59" s="196"/>
      <c r="AQ59" s="196"/>
      <c r="AR59" s="196"/>
      <c r="AS59" s="196"/>
      <c r="AT59" s="196"/>
      <c r="AU59" s="196"/>
      <c r="AV59" s="196"/>
      <c r="AW59" s="196"/>
      <c r="AX59" s="196"/>
      <c r="AY59" s="196"/>
      <c r="AZ59" s="196"/>
      <c r="BA59" s="196"/>
      <c r="BB59" s="196"/>
      <c r="BC59" s="196"/>
      <c r="BD59" s="196"/>
      <c r="BE59" s="196"/>
      <c r="BF59" s="196"/>
      <c r="BG59" s="196"/>
      <c r="BH59" s="196"/>
      <c r="BI59" s="196"/>
      <c r="BJ59" s="196"/>
      <c r="BK59" s="196"/>
      <c r="BL59" s="196"/>
      <c r="BM59" s="196"/>
      <c r="BN59" s="196"/>
      <c r="BO59" s="196"/>
      <c r="BP59" s="196"/>
      <c r="BQ59" s="196"/>
      <c r="BR59" s="196"/>
      <c r="BS59" s="196"/>
      <c r="BT59" s="196"/>
      <c r="BU59" s="196"/>
      <c r="BV59" s="196"/>
      <c r="BW59" s="196"/>
      <c r="BX59" s="196"/>
      <c r="BY59" s="196"/>
      <c r="BZ59" s="196"/>
      <c r="CA59" s="196"/>
      <c r="CB59" s="196"/>
      <c r="CC59" s="196"/>
      <c r="CD59" s="196"/>
      <c r="CE59" s="196"/>
      <c r="CF59" s="196"/>
      <c r="CG59" s="196"/>
      <c r="CH59" s="196"/>
      <c r="CI59" s="196"/>
      <c r="CJ59" s="196"/>
      <c r="CK59" s="196"/>
      <c r="CL59" s="196"/>
      <c r="CM59" s="196"/>
      <c r="CN59" s="196"/>
      <c r="CO59" s="196"/>
      <c r="CP59" s="196"/>
      <c r="CQ59" s="196"/>
      <c r="CR59" s="196"/>
      <c r="CS59" s="196"/>
      <c r="CT59" s="196"/>
      <c r="CU59" s="196"/>
      <c r="CV59" s="196"/>
      <c r="CW59" s="196"/>
      <c r="CX59" s="196"/>
      <c r="CY59" s="196"/>
      <c r="CZ59" s="196"/>
      <c r="DA59" s="196"/>
      <c r="DB59" s="196"/>
      <c r="DC59" s="196"/>
      <c r="DD59" s="196"/>
      <c r="DE59" s="196"/>
      <c r="DF59" s="196"/>
      <c r="DG59" s="196"/>
      <c r="DH59" s="196"/>
      <c r="DI59" s="196"/>
      <c r="DJ59" s="196"/>
      <c r="DK59" s="196"/>
      <c r="DL59" s="196"/>
      <c r="DM59" s="196"/>
      <c r="DN59" s="196"/>
      <c r="DO59" s="196"/>
      <c r="DP59" s="196"/>
      <c r="DQ59" s="196"/>
      <c r="DR59" s="196"/>
      <c r="DS59" s="196"/>
      <c r="DT59" s="196"/>
      <c r="DU59" s="196"/>
      <c r="DV59" s="196"/>
      <c r="DW59" s="196"/>
      <c r="DX59" s="196"/>
      <c r="DY59" s="196"/>
      <c r="DZ59" s="196"/>
      <c r="EA59" s="196"/>
      <c r="EB59" s="196"/>
      <c r="EC59" s="196"/>
      <c r="ED59" s="196"/>
      <c r="EE59" s="196"/>
      <c r="EF59" s="196"/>
      <c r="EG59" s="196"/>
      <c r="EH59" s="196"/>
      <c r="EI59" s="196"/>
      <c r="EJ59" s="196"/>
      <c r="EK59" s="196"/>
      <c r="EL59" s="196"/>
      <c r="EM59" s="196"/>
      <c r="EN59" s="196"/>
      <c r="EO59" s="196"/>
      <c r="EP59" s="196"/>
      <c r="EQ59" s="196"/>
      <c r="ER59" s="196"/>
      <c r="ES59" s="196"/>
      <c r="ET59" s="196"/>
      <c r="EU59" s="196"/>
      <c r="EV59" s="196"/>
      <c r="EW59" s="196"/>
      <c r="EX59" s="196"/>
      <c r="EY59" s="196"/>
      <c r="EZ59" s="196"/>
      <c r="FA59" s="196"/>
      <c r="FB59" s="196"/>
      <c r="FC59" s="196"/>
      <c r="FD59" s="196"/>
      <c r="FE59" s="196"/>
      <c r="FF59" s="196"/>
      <c r="FG59" s="196"/>
      <c r="FH59" s="196"/>
      <c r="FI59" s="196"/>
      <c r="FJ59" s="196"/>
      <c r="FK59" s="196"/>
      <c r="FL59" s="196"/>
      <c r="FM59" s="196"/>
      <c r="FN59" s="196"/>
      <c r="FO59" s="196"/>
      <c r="FP59" s="196"/>
      <c r="FQ59" s="196"/>
      <c r="FR59" s="196"/>
      <c r="FS59" s="196"/>
      <c r="FT59" s="196"/>
      <c r="FU59" s="196"/>
      <c r="FV59" s="196"/>
      <c r="FW59" s="196"/>
      <c r="FX59" s="196"/>
      <c r="FY59" s="196"/>
      <c r="FZ59" s="196"/>
      <c r="GA59" s="196"/>
      <c r="GB59" s="196"/>
      <c r="GC59" s="196"/>
      <c r="GD59" s="196"/>
      <c r="GE59" s="196"/>
      <c r="GF59" s="196"/>
      <c r="GG59" s="196"/>
      <c r="GH59" s="196"/>
      <c r="GI59" s="196"/>
      <c r="GJ59" s="196"/>
      <c r="GK59" s="196"/>
      <c r="GL59" s="196"/>
      <c r="GM59" s="196"/>
      <c r="GN59" s="196"/>
      <c r="GO59" s="196"/>
      <c r="GP59" s="196"/>
      <c r="GQ59" s="196"/>
      <c r="GR59" s="196"/>
      <c r="GS59" s="196"/>
      <c r="GT59" s="196"/>
      <c r="GU59" s="196"/>
      <c r="GV59" s="196"/>
      <c r="GW59" s="196"/>
      <c r="GX59" s="196"/>
      <c r="GY59" s="196"/>
      <c r="GZ59" s="196"/>
      <c r="HA59" s="196"/>
      <c r="HB59" s="196"/>
      <c r="HC59" s="196"/>
      <c r="HD59" s="196"/>
      <c r="HE59" s="196"/>
      <c r="HF59" s="196"/>
      <c r="HG59" s="196"/>
      <c r="HH59" s="196"/>
      <c r="HI59" s="196"/>
      <c r="HJ59" s="196"/>
      <c r="HK59" s="196"/>
      <c r="HL59" s="196"/>
      <c r="HM59" s="196"/>
      <c r="HN59" s="196"/>
      <c r="HO59" s="196"/>
      <c r="HP59" s="196"/>
      <c r="HQ59" s="196"/>
      <c r="HR59" s="196"/>
      <c r="HS59" s="196"/>
      <c r="HT59" s="196"/>
      <c r="HU59" s="196"/>
      <c r="HV59" s="196"/>
      <c r="HW59" s="196"/>
      <c r="HX59" s="196"/>
      <c r="HY59" s="196"/>
      <c r="HZ59" s="196"/>
      <c r="IA59" s="196"/>
      <c r="IB59" s="196"/>
      <c r="IC59" s="196"/>
      <c r="ID59" s="196"/>
      <c r="IE59" s="196"/>
      <c r="IF59" s="196"/>
      <c r="IG59" s="196"/>
      <c r="IH59" s="196"/>
      <c r="II59" s="196"/>
      <c r="IJ59" s="196"/>
      <c r="IK59" s="196"/>
      <c r="IL59" s="196"/>
      <c r="IM59" s="196"/>
      <c r="IN59" s="196"/>
      <c r="IO59" s="196"/>
      <c r="IP59" s="196"/>
      <c r="IQ59" s="196"/>
      <c r="IR59" s="196"/>
      <c r="IS59" s="196"/>
      <c r="IT59" s="196"/>
      <c r="IU59" s="196"/>
      <c r="IV59" s="196"/>
      <c r="IW59" s="196"/>
      <c r="IX59" s="196"/>
      <c r="IY59" s="196"/>
      <c r="IZ59" s="196"/>
      <c r="JA59" s="196"/>
      <c r="JB59" s="196"/>
      <c r="JC59" s="196"/>
      <c r="JD59" s="196"/>
      <c r="JE59" s="196"/>
      <c r="JF59" s="196"/>
      <c r="JG59" s="196"/>
      <c r="JH59" s="196"/>
      <c r="JI59" s="196"/>
      <c r="JJ59" s="196"/>
      <c r="JK59" s="196"/>
      <c r="JL59" s="196"/>
      <c r="JM59" s="196"/>
      <c r="JN59" s="196"/>
      <c r="JO59" s="196"/>
      <c r="JP59" s="196"/>
      <c r="JQ59" s="196"/>
      <c r="JR59" s="196"/>
      <c r="JS59" s="196"/>
      <c r="JT59" s="196"/>
      <c r="JU59" s="196"/>
      <c r="JV59" s="196"/>
      <c r="JW59" s="196"/>
      <c r="JX59" s="196"/>
      <c r="JY59" s="196"/>
      <c r="JZ59" s="196"/>
      <c r="KA59" s="196"/>
      <c r="KB59" s="196"/>
      <c r="KC59" s="196"/>
      <c r="KD59" s="196"/>
      <c r="KE59" s="196"/>
      <c r="KF59" s="196"/>
      <c r="KG59" s="196"/>
      <c r="KH59" s="196"/>
      <c r="KI59" s="196"/>
      <c r="KJ59" s="196"/>
      <c r="KK59" s="196"/>
      <c r="KL59" s="196"/>
      <c r="KM59" s="196"/>
      <c r="KN59" s="196"/>
      <c r="KO59" s="196"/>
      <c r="KP59" s="196"/>
      <c r="KQ59" s="196"/>
      <c r="KR59" s="196"/>
      <c r="KS59" s="196"/>
      <c r="KT59" s="196"/>
      <c r="KU59" s="196"/>
      <c r="KV59" s="196"/>
      <c r="KW59" s="196"/>
      <c r="KX59" s="196"/>
      <c r="KY59" s="196"/>
      <c r="KZ59" s="196"/>
      <c r="LA59" s="196"/>
      <c r="LB59" s="196"/>
      <c r="LC59" s="196"/>
      <c r="LD59" s="196"/>
      <c r="LE59" s="196"/>
      <c r="LF59" s="196"/>
      <c r="LG59" s="196"/>
      <c r="LH59" s="196"/>
      <c r="LI59" s="196"/>
      <c r="LJ59" s="196"/>
      <c r="LK59" s="196"/>
      <c r="LL59" s="196"/>
      <c r="LM59" s="196"/>
      <c r="LN59" s="196"/>
      <c r="LO59" s="196"/>
      <c r="LP59" s="196"/>
      <c r="LQ59" s="196"/>
      <c r="LR59" s="196"/>
      <c r="LS59" s="196"/>
      <c r="LT59" s="196"/>
      <c r="LU59" s="196"/>
      <c r="LV59" s="196"/>
      <c r="LW59" s="196"/>
      <c r="LX59" s="196"/>
      <c r="LY59" s="196"/>
      <c r="LZ59" s="196"/>
      <c r="MA59" s="196"/>
      <c r="MB59" s="196"/>
      <c r="MC59" s="196"/>
      <c r="MD59" s="196"/>
      <c r="ME59" s="196"/>
      <c r="MF59" s="196"/>
      <c r="MG59" s="196"/>
      <c r="MH59" s="196"/>
      <c r="MI59" s="196"/>
      <c r="MJ59" s="196"/>
      <c r="MK59" s="196"/>
      <c r="ML59" s="196"/>
      <c r="MM59" s="196"/>
      <c r="MN59" s="196"/>
      <c r="MO59" s="196"/>
      <c r="MP59" s="196"/>
      <c r="MQ59" s="196"/>
      <c r="MR59" s="196"/>
      <c r="MS59" s="196"/>
      <c r="MT59" s="196"/>
      <c r="MU59" s="196"/>
      <c r="MV59" s="196"/>
      <c r="MW59" s="196"/>
      <c r="MX59" s="196"/>
      <c r="MY59" s="196"/>
      <c r="MZ59" s="196"/>
      <c r="NA59" s="196"/>
      <c r="NB59" s="196"/>
      <c r="NC59" s="196"/>
      <c r="ND59" s="196"/>
      <c r="NE59" s="196"/>
      <c r="NF59" s="196"/>
      <c r="NG59" s="196"/>
      <c r="NH59" s="196"/>
      <c r="NI59" s="196"/>
      <c r="NJ59" s="196"/>
      <c r="NK59" s="196"/>
      <c r="NL59" s="196"/>
      <c r="NM59" s="196"/>
      <c r="NN59" s="196"/>
      <c r="NO59" s="196"/>
      <c r="NP59" s="196"/>
      <c r="NQ59" s="196"/>
      <c r="NR59" s="196"/>
      <c r="NS59" s="196"/>
      <c r="NT59" s="196"/>
      <c r="NU59" s="196"/>
      <c r="NV59" s="196"/>
      <c r="NW59" s="196"/>
      <c r="NX59" s="196"/>
      <c r="NY59" s="196"/>
      <c r="NZ59" s="196"/>
      <c r="OA59" s="196"/>
    </row>
    <row r="60" spans="1:391" s="306" customFormat="1" ht="47" hidden="1" thickBot="1">
      <c r="A60" s="350" t="s">
        <v>4</v>
      </c>
      <c r="B60" s="240" t="str">
        <f>CONCATENATE("Costs Yr1"," ", "(",'Proposition Summary'!$B$76,")")</f>
        <v>Costs Yr1 (GBP (£))</v>
      </c>
      <c r="C60" s="336" t="str">
        <f>CONCATENATE("Costs Yr2"," ", "(",'Proposition Summary'!$B$76,")")</f>
        <v>Costs Yr2 (GBP (£))</v>
      </c>
      <c r="D60" s="337" t="str">
        <f>CONCATENATE("Costs Yr3"," ", "(",'Proposition Summary'!$B$76,")")</f>
        <v>Costs Yr3 (GBP (£))</v>
      </c>
      <c r="E60" s="337" t="str">
        <f>CONCATENATE("Costs Yr4"," ", "(",'Proposition Summary'!$B$76,")")</f>
        <v>Costs Yr4 (GBP (£))</v>
      </c>
      <c r="F60" s="337" t="str">
        <f>CONCATENATE("Costs Yr5"," ", "(",'Proposition Summary'!$B$76,")")</f>
        <v>Costs Yr5 (GBP (£))</v>
      </c>
      <c r="G60" s="337" t="str">
        <f>CONCATENATE("Costs Yr6"," ", "(",'Proposition Summary'!$B$76,")")</f>
        <v>Costs Yr6 (GBP (£))</v>
      </c>
      <c r="H60" s="337" t="str">
        <f>CONCATENATE("Costs Yr7"," ", "(",'Proposition Summary'!$B$76,")")</f>
        <v>Costs Yr7 (GBP (£))</v>
      </c>
      <c r="I60" s="337" t="str">
        <f>CONCATENATE("Costs Yr8"," ", "(",'Proposition Summary'!$B$76,")")</f>
        <v>Costs Yr8 (GBP (£))</v>
      </c>
      <c r="J60" s="337" t="str">
        <f>CONCATENATE("Costs Yr9"," ", "(",'Proposition Summary'!$B$76,")")</f>
        <v>Costs Yr9 (GBP (£))</v>
      </c>
      <c r="K60" s="337" t="str">
        <f>CONCATENATE("Costs Yr10"," ", "(",'Proposition Summary'!$B$76,")")</f>
        <v>Costs Yr10 (GBP (£))</v>
      </c>
      <c r="L60" s="337" t="str">
        <f>CONCATENATE("Costs Yr11"," ", "(",'Proposition Summary'!$B$76,")")</f>
        <v>Costs Yr11 (GBP (£))</v>
      </c>
      <c r="M60" s="337" t="str">
        <f>CONCATENATE("Costs Yr12"," ", "(",'Proposition Summary'!$B$76,")")</f>
        <v>Costs Yr12 (GBP (£))</v>
      </c>
      <c r="N60" s="337" t="str">
        <f>CONCATENATE("Costs Yr13"," ", "(",'Proposition Summary'!$B$76,")")</f>
        <v>Costs Yr13 (GBP (£))</v>
      </c>
      <c r="O60" s="337" t="str">
        <f>CONCATENATE("Costs Yr14"," ", "(",'Proposition Summary'!$B$76,")")</f>
        <v>Costs Yr14 (GBP (£))</v>
      </c>
      <c r="P60" s="337" t="str">
        <f>CONCATENATE("Costs Yr15"," ", "(",'Proposition Summary'!$B$76,")")</f>
        <v>Costs Yr15 (GBP (£))</v>
      </c>
      <c r="Q60" s="337" t="str">
        <f>CONCATENATE("Costs Yr16"," ", "(",'Proposition Summary'!$B$76,")")</f>
        <v>Costs Yr16 (GBP (£))</v>
      </c>
      <c r="R60" s="337" t="str">
        <f>CONCATENATE("Costs Yr17"," ", "(",'Proposition Summary'!$B$76,")")</f>
        <v>Costs Yr17 (GBP (£))</v>
      </c>
      <c r="S60" s="337" t="str">
        <f>CONCATENATE("Costs Yr18"," ", "(",'Proposition Summary'!$B$76,")")</f>
        <v>Costs Yr18 (GBP (£))</v>
      </c>
      <c r="T60" s="337" t="str">
        <f>CONCATENATE("Costs Yr19"," ", "(",'Proposition Summary'!$B$76,")")</f>
        <v>Costs Yr19 (GBP (£))</v>
      </c>
      <c r="U60" s="337" t="str">
        <f>CONCATENATE("Costs Yr20"," ", "(",'Proposition Summary'!$B$76,")")</f>
        <v>Costs Yr20 (GBP (£))</v>
      </c>
      <c r="V60" s="337" t="str">
        <f>CONCATENATE("Costs Yr21"," ", "(",'Proposition Summary'!$B$76,")")</f>
        <v>Costs Yr21 (GBP (£))</v>
      </c>
      <c r="W60" s="337" t="str">
        <f>CONCATENATE("Costs Yr22"," ", "(",'Proposition Summary'!$B$76,")")</f>
        <v>Costs Yr22 (GBP (£))</v>
      </c>
      <c r="X60" s="337" t="str">
        <f>CONCATENATE("Costs Yr23"," ", "(",'Proposition Summary'!$B$76,")")</f>
        <v>Costs Yr23 (GBP (£))</v>
      </c>
      <c r="Y60" s="337" t="str">
        <f>CONCATENATE("Costs Yr24"," ", "(",'Proposition Summary'!$B$76,")")</f>
        <v>Costs Yr24 (GBP (£))</v>
      </c>
      <c r="Z60" s="351" t="str">
        <f>CONCATENATE("Costs Yr25"," ", "(",'Proposition Summary'!$B$76,")")</f>
        <v>Costs Yr25 (GBP (£))</v>
      </c>
      <c r="AA60" s="196"/>
      <c r="AB60" s="114"/>
      <c r="AC60" s="327" t="str">
        <f>CONCATENATE("Annual Costs"," ", "(",'Proposition Summary'!$B$76,")")</f>
        <v>Annual Costs (GBP (£))</v>
      </c>
      <c r="AD60" s="114"/>
      <c r="AE60" s="373"/>
      <c r="AF60" s="373"/>
      <c r="AG60" s="373"/>
      <c r="AH60" s="373"/>
      <c r="AJ60" s="196"/>
      <c r="AK60" s="196"/>
      <c r="AL60" s="196"/>
      <c r="AM60" s="196"/>
      <c r="AN60" s="196"/>
      <c r="AO60" s="196"/>
      <c r="AP60" s="196"/>
      <c r="AQ60" s="196"/>
      <c r="AR60" s="196"/>
      <c r="AS60" s="196"/>
      <c r="AT60" s="196"/>
      <c r="AU60" s="196"/>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6"/>
      <c r="BT60" s="196"/>
      <c r="BU60" s="196"/>
      <c r="BV60" s="196"/>
      <c r="BW60" s="196"/>
      <c r="BX60" s="196"/>
      <c r="BY60" s="196"/>
      <c r="BZ60" s="196"/>
      <c r="CA60" s="196"/>
      <c r="CB60" s="196"/>
      <c r="CC60" s="196"/>
      <c r="CD60" s="196"/>
      <c r="CE60" s="196"/>
      <c r="CF60" s="196"/>
      <c r="CG60" s="196"/>
      <c r="CH60" s="196"/>
      <c r="CI60" s="196"/>
      <c r="CJ60" s="196"/>
      <c r="CK60" s="196"/>
      <c r="CL60" s="196"/>
      <c r="CM60" s="196"/>
      <c r="CN60" s="196"/>
      <c r="CO60" s="196"/>
      <c r="CP60" s="196"/>
      <c r="CQ60" s="196"/>
      <c r="CR60" s="196"/>
      <c r="CS60" s="196"/>
      <c r="CT60" s="196"/>
      <c r="CU60" s="196"/>
      <c r="CV60" s="196"/>
      <c r="CW60" s="196"/>
      <c r="CX60" s="196"/>
      <c r="CY60" s="196"/>
      <c r="CZ60" s="196"/>
      <c r="DA60" s="196"/>
      <c r="DB60" s="196"/>
      <c r="DC60" s="196"/>
      <c r="DD60" s="196"/>
      <c r="DE60" s="196"/>
      <c r="DF60" s="196"/>
      <c r="DG60" s="196"/>
      <c r="DH60" s="196"/>
      <c r="DI60" s="196"/>
      <c r="DJ60" s="196"/>
      <c r="DK60" s="196"/>
      <c r="DL60" s="196"/>
      <c r="DM60" s="196"/>
      <c r="DN60" s="196"/>
      <c r="DO60" s="196"/>
      <c r="DP60" s="196"/>
      <c r="DQ60" s="196"/>
      <c r="DR60" s="196"/>
      <c r="DS60" s="196"/>
      <c r="DT60" s="196"/>
      <c r="DU60" s="196"/>
      <c r="DV60" s="196"/>
      <c r="DW60" s="196"/>
      <c r="DX60" s="196"/>
      <c r="DY60" s="196"/>
      <c r="DZ60" s="196"/>
      <c r="EA60" s="196"/>
      <c r="EB60" s="196"/>
      <c r="EC60" s="196"/>
      <c r="ED60" s="196"/>
      <c r="EE60" s="196"/>
      <c r="EF60" s="196"/>
      <c r="EG60" s="196"/>
      <c r="EH60" s="196"/>
      <c r="EI60" s="196"/>
      <c r="EJ60" s="196"/>
      <c r="EK60" s="196"/>
      <c r="EL60" s="196"/>
      <c r="EM60" s="196"/>
      <c r="EN60" s="196"/>
      <c r="EO60" s="196"/>
      <c r="EP60" s="196"/>
      <c r="EQ60" s="196"/>
      <c r="ER60" s="196"/>
      <c r="ES60" s="196"/>
      <c r="ET60" s="196"/>
      <c r="EU60" s="196"/>
      <c r="EV60" s="196"/>
      <c r="EW60" s="196"/>
      <c r="EX60" s="196"/>
      <c r="EY60" s="196"/>
      <c r="EZ60" s="196"/>
      <c r="FA60" s="196"/>
      <c r="FB60" s="196"/>
      <c r="FC60" s="196"/>
      <c r="FD60" s="196"/>
      <c r="FE60" s="196"/>
      <c r="FF60" s="196"/>
      <c r="FG60" s="196"/>
      <c r="FH60" s="196"/>
      <c r="FI60" s="196"/>
      <c r="FJ60" s="196"/>
      <c r="FK60" s="196"/>
      <c r="FL60" s="196"/>
      <c r="FM60" s="196"/>
      <c r="FN60" s="196"/>
      <c r="FO60" s="196"/>
      <c r="FP60" s="196"/>
      <c r="FQ60" s="196"/>
      <c r="FR60" s="196"/>
      <c r="FS60" s="196"/>
      <c r="FT60" s="196"/>
      <c r="FU60" s="196"/>
      <c r="FV60" s="196"/>
      <c r="FW60" s="196"/>
      <c r="FX60" s="196"/>
      <c r="FY60" s="196"/>
      <c r="FZ60" s="196"/>
      <c r="GA60" s="196"/>
      <c r="GB60" s="196"/>
      <c r="GC60" s="196"/>
      <c r="GD60" s="196"/>
      <c r="GE60" s="196"/>
      <c r="GF60" s="196"/>
      <c r="GG60" s="196"/>
      <c r="GH60" s="196"/>
      <c r="GI60" s="196"/>
      <c r="GJ60" s="196"/>
      <c r="GK60" s="196"/>
      <c r="GL60" s="196"/>
      <c r="GM60" s="196"/>
      <c r="GN60" s="196"/>
      <c r="GO60" s="196"/>
      <c r="GP60" s="196"/>
      <c r="GQ60" s="196"/>
      <c r="GR60" s="196"/>
      <c r="GS60" s="196"/>
      <c r="GT60" s="196"/>
      <c r="GU60" s="196"/>
      <c r="GV60" s="196"/>
      <c r="GW60" s="196"/>
      <c r="GX60" s="196"/>
      <c r="GY60" s="196"/>
      <c r="GZ60" s="196"/>
      <c r="HA60" s="196"/>
      <c r="HB60" s="196"/>
      <c r="HC60" s="196"/>
      <c r="HD60" s="196"/>
      <c r="HE60" s="196"/>
      <c r="HF60" s="196"/>
      <c r="HG60" s="196"/>
      <c r="HH60" s="196"/>
      <c r="HI60" s="196"/>
      <c r="HJ60" s="196"/>
      <c r="HK60" s="196"/>
      <c r="HL60" s="196"/>
      <c r="HM60" s="196"/>
      <c r="HN60" s="196"/>
      <c r="HO60" s="196"/>
      <c r="HP60" s="196"/>
      <c r="HQ60" s="196"/>
      <c r="HR60" s="196"/>
      <c r="HS60" s="196"/>
      <c r="HT60" s="196"/>
      <c r="HU60" s="196"/>
      <c r="HV60" s="196"/>
      <c r="HW60" s="196"/>
      <c r="HX60" s="196"/>
      <c r="HY60" s="196"/>
      <c r="HZ60" s="196"/>
      <c r="IA60" s="196"/>
      <c r="IB60" s="196"/>
      <c r="IC60" s="196"/>
      <c r="ID60" s="196"/>
      <c r="IE60" s="196"/>
      <c r="IF60" s="196"/>
      <c r="IG60" s="196"/>
      <c r="IH60" s="196"/>
      <c r="II60" s="196"/>
      <c r="IJ60" s="196"/>
      <c r="IK60" s="196"/>
      <c r="IL60" s="196"/>
      <c r="IM60" s="196"/>
      <c r="IN60" s="196"/>
      <c r="IO60" s="196"/>
      <c r="IP60" s="196"/>
      <c r="IQ60" s="196"/>
      <c r="IR60" s="196"/>
      <c r="IS60" s="196"/>
      <c r="IT60" s="196"/>
      <c r="IU60" s="196"/>
      <c r="IV60" s="196"/>
      <c r="IW60" s="196"/>
      <c r="IX60" s="196"/>
      <c r="IY60" s="196"/>
      <c r="IZ60" s="196"/>
      <c r="JA60" s="196"/>
      <c r="JB60" s="196"/>
      <c r="JC60" s="196"/>
      <c r="JD60" s="196"/>
      <c r="JE60" s="196"/>
      <c r="JF60" s="196"/>
      <c r="JG60" s="196"/>
      <c r="JH60" s="196"/>
      <c r="JI60" s="196"/>
      <c r="JJ60" s="196"/>
      <c r="JK60" s="196"/>
      <c r="JL60" s="196"/>
      <c r="JM60" s="196"/>
      <c r="JN60" s="196"/>
      <c r="JO60" s="196"/>
      <c r="JP60" s="196"/>
      <c r="JQ60" s="196"/>
      <c r="JR60" s="196"/>
      <c r="JS60" s="196"/>
      <c r="JT60" s="196"/>
      <c r="JU60" s="196"/>
      <c r="JV60" s="196"/>
      <c r="JW60" s="196"/>
      <c r="JX60" s="196"/>
      <c r="JY60" s="196"/>
      <c r="JZ60" s="196"/>
      <c r="KA60" s="196"/>
      <c r="KB60" s="196"/>
      <c r="KC60" s="196"/>
      <c r="KD60" s="196"/>
      <c r="KE60" s="196"/>
      <c r="KF60" s="196"/>
      <c r="KG60" s="196"/>
      <c r="KH60" s="196"/>
      <c r="KI60" s="196"/>
      <c r="KJ60" s="196"/>
      <c r="KK60" s="196"/>
      <c r="KL60" s="196"/>
      <c r="KM60" s="196"/>
      <c r="KN60" s="196"/>
      <c r="KO60" s="196"/>
      <c r="KP60" s="196"/>
      <c r="KQ60" s="196"/>
      <c r="KR60" s="196"/>
      <c r="KS60" s="196"/>
      <c r="KT60" s="196"/>
      <c r="KU60" s="196"/>
      <c r="KV60" s="196"/>
      <c r="KW60" s="196"/>
      <c r="KX60" s="196"/>
      <c r="KY60" s="196"/>
      <c r="KZ60" s="196"/>
      <c r="LA60" s="196"/>
      <c r="LB60" s="196"/>
      <c r="LC60" s="196"/>
      <c r="LD60" s="196"/>
      <c r="LE60" s="196"/>
      <c r="LF60" s="196"/>
      <c r="LG60" s="196"/>
      <c r="LH60" s="196"/>
      <c r="LI60" s="196"/>
      <c r="LJ60" s="196"/>
      <c r="LK60" s="196"/>
      <c r="LL60" s="196"/>
      <c r="LM60" s="196"/>
      <c r="LN60" s="196"/>
      <c r="LO60" s="196"/>
      <c r="LP60" s="196"/>
      <c r="LQ60" s="196"/>
      <c r="LR60" s="196"/>
      <c r="LS60" s="196"/>
      <c r="LT60" s="196"/>
      <c r="LU60" s="196"/>
      <c r="LV60" s="196"/>
      <c r="LW60" s="196"/>
      <c r="LX60" s="196"/>
      <c r="LY60" s="196"/>
      <c r="LZ60" s="196"/>
      <c r="MA60" s="196"/>
      <c r="MB60" s="196"/>
      <c r="MC60" s="196"/>
      <c r="MD60" s="196"/>
      <c r="ME60" s="196"/>
      <c r="MF60" s="196"/>
      <c r="MG60" s="196"/>
      <c r="MH60" s="196"/>
      <c r="MI60" s="196"/>
      <c r="MJ60" s="196"/>
      <c r="MK60" s="196"/>
      <c r="ML60" s="196"/>
      <c r="MM60" s="196"/>
      <c r="MN60" s="196"/>
      <c r="MO60" s="196"/>
      <c r="MP60" s="196"/>
      <c r="MQ60" s="196"/>
      <c r="MR60" s="196"/>
      <c r="MS60" s="196"/>
      <c r="MT60" s="196"/>
      <c r="MU60" s="196"/>
      <c r="MV60" s="196"/>
      <c r="MW60" s="196"/>
      <c r="MX60" s="196"/>
      <c r="MY60" s="196"/>
      <c r="MZ60" s="196"/>
      <c r="NA60" s="196"/>
      <c r="NB60" s="196"/>
      <c r="NC60" s="196"/>
      <c r="ND60" s="196"/>
      <c r="NE60" s="196"/>
      <c r="NF60" s="196"/>
      <c r="NG60" s="196"/>
      <c r="NH60" s="196"/>
      <c r="NI60" s="196"/>
      <c r="NJ60" s="196"/>
      <c r="NK60" s="196"/>
      <c r="NL60" s="196"/>
      <c r="NM60" s="196"/>
      <c r="NN60" s="196"/>
      <c r="NO60" s="196"/>
      <c r="NP60" s="196"/>
      <c r="NQ60" s="196"/>
      <c r="NR60" s="196"/>
      <c r="NS60" s="196"/>
      <c r="NT60" s="196"/>
      <c r="NU60" s="196"/>
      <c r="NV60" s="196"/>
      <c r="NW60" s="196"/>
      <c r="NX60" s="196"/>
      <c r="NY60" s="196"/>
      <c r="NZ60" s="196"/>
      <c r="OA60" s="196"/>
    </row>
    <row r="61" spans="1:391" s="196" customFormat="1" ht="18.5" hidden="1" thickTop="1">
      <c r="A61" s="352" t="s">
        <v>5</v>
      </c>
      <c r="B61" s="246"/>
      <c r="C61" s="246"/>
      <c r="D61" s="246"/>
      <c r="E61" s="246"/>
      <c r="F61" s="353"/>
      <c r="G61" s="246"/>
      <c r="H61" s="246"/>
      <c r="I61" s="246"/>
      <c r="J61" s="246"/>
      <c r="K61" s="246"/>
      <c r="L61" s="353"/>
      <c r="M61" s="246"/>
      <c r="N61" s="246"/>
      <c r="O61" s="246"/>
      <c r="P61" s="246"/>
      <c r="Q61" s="246"/>
      <c r="R61" s="353"/>
      <c r="S61" s="246"/>
      <c r="T61" s="246"/>
      <c r="U61" s="246"/>
      <c r="V61" s="246"/>
      <c r="W61" s="246"/>
      <c r="X61" s="353"/>
      <c r="Y61" s="246"/>
      <c r="Z61" s="366"/>
      <c r="AB61" s="114"/>
      <c r="AC61" s="246"/>
      <c r="AD61" s="114"/>
    </row>
    <row r="62" spans="1:391" s="196" customFormat="1" ht="18" hidden="1">
      <c r="A62" s="290" t="s">
        <v>6</v>
      </c>
      <c r="B62" s="254"/>
      <c r="F62" s="255"/>
      <c r="H62" s="254"/>
      <c r="L62" s="255"/>
      <c r="N62" s="254"/>
      <c r="R62" s="255"/>
      <c r="T62" s="254"/>
      <c r="X62" s="255"/>
      <c r="Z62" s="203"/>
      <c r="AB62" s="114"/>
      <c r="AD62" s="114"/>
    </row>
    <row r="63" spans="1:391" s="196" customFormat="1" hidden="1">
      <c r="A63" s="259" t="s">
        <v>138</v>
      </c>
      <c r="B63" s="254"/>
      <c r="F63" s="354"/>
      <c r="H63" s="254"/>
      <c r="L63" s="354"/>
      <c r="N63" s="254"/>
      <c r="R63" s="354"/>
      <c r="T63" s="254"/>
      <c r="X63" s="354"/>
      <c r="Z63" s="203"/>
      <c r="AB63" s="114"/>
      <c r="AC63" s="260"/>
      <c r="AD63" s="114"/>
      <c r="AF63" s="196" t="s">
        <v>271</v>
      </c>
      <c r="AG63" s="196" t="s">
        <v>272</v>
      </c>
      <c r="AH63" s="267" t="s">
        <v>273</v>
      </c>
    </row>
    <row r="64" spans="1:391" hidden="1">
      <c r="A64" s="374" t="str">
        <f>Costs!A8</f>
        <v>Purchasing 1</v>
      </c>
      <c r="B64" s="355">
        <f>IF(B$3&lt;=time,'Attributable fraction'!AA8*(1+Economics!$B$4)^(B$3-$B$3)/((1+Economics!$B$3)^(B$3-$B$3)),"")</f>
        <v>0</v>
      </c>
      <c r="C64" s="355">
        <f>IF(C$3&lt;=time,'Attributable fraction'!AB8*(1+Economics!$B$4)^(C$3-$B$3)/((1+Economics!$B$3)^(C$3-$B$3)),"")</f>
        <v>0</v>
      </c>
      <c r="D64" s="355">
        <f>IF(D$3&lt;=time,'Attributable fraction'!AC8*(1+Economics!$B$4)^(D$3-$B$3)/((1+Economics!$B$3)^(D$3-$B$3)),"")</f>
        <v>0</v>
      </c>
      <c r="E64" s="355">
        <f>IF(E$3&lt;=time,'Attributable fraction'!AD8*(1+Economics!$B$4)^(E$3-$B$3)/((1+Economics!$B$3)^(E$3-$B$3)),"")</f>
        <v>0</v>
      </c>
      <c r="F64" s="355">
        <f>IF(F$3&lt;=time,'Attributable fraction'!AE8*(1+Economics!$B$4)^(F$3-$B$3)/((1+Economics!$B$3)^(F$3-$B$3)),"")</f>
        <v>0</v>
      </c>
      <c r="G64" s="355" t="str">
        <f>IF(G$3&lt;=time,'Attributable fraction'!AF8*(1+Economics!$B$4)^(G$3-$B$3)/((1+Economics!$B$3)^(G$3-$B$3)),"")</f>
        <v/>
      </c>
      <c r="H64" s="355" t="str">
        <f>IF(H$3&lt;=time,'Attributable fraction'!AG8*(1+Economics!$B$4)^(H$3-$B$3)/((1+Economics!$B$3)^(H$3-$B$3)),"")</f>
        <v/>
      </c>
      <c r="I64" s="355" t="str">
        <f>IF(I$3&lt;=time,'Attributable fraction'!AH8*(1+Economics!$B$4)^(I$3-$B$3)/((1+Economics!$B$3)^(I$3-$B$3)),"")</f>
        <v/>
      </c>
      <c r="J64" s="355" t="str">
        <f>IF(J$3&lt;=time,'Attributable fraction'!AI8*(1+Economics!$B$4)^(J$3-$B$3)/((1+Economics!$B$3)^(J$3-$B$3)),"")</f>
        <v/>
      </c>
      <c r="K64" s="355" t="str">
        <f>IF(K$3&lt;=time,'Attributable fraction'!AJ8*(1+Economics!$B$4)^(K$3-$B$3)/((1+Economics!$B$3)^(K$3-$B$3)),"")</f>
        <v/>
      </c>
      <c r="L64" s="355" t="str">
        <f>IF(L$3&lt;=time,'Attributable fraction'!AK8*(1+Economics!$B$4)^(L$3-$B$3)/((1+Economics!$B$3)^(L$3-$B$3)),"")</f>
        <v/>
      </c>
      <c r="M64" s="355" t="str">
        <f>IF(M$3&lt;=time,'Attributable fraction'!AL8*(1+Economics!$B$4)^(M$3-$B$3)/((1+Economics!$B$3)^(M$3-$B$3)),"")</f>
        <v/>
      </c>
      <c r="N64" s="355" t="str">
        <f>IF(N$3&lt;=time,'Attributable fraction'!AM8*(1+Economics!$B$4)^(N$3-$B$3)/((1+Economics!$B$3)^(N$3-$B$3)),"")</f>
        <v/>
      </c>
      <c r="O64" s="355" t="str">
        <f>IF(O$3&lt;=time,'Attributable fraction'!AN8*(1+Economics!$B$4)^(O$3-$B$3)/((1+Economics!$B$3)^(O$3-$B$3)),"")</f>
        <v/>
      </c>
      <c r="P64" s="355" t="str">
        <f>IF(P$3&lt;=time,'Attributable fraction'!AO8*(1+Economics!$B$4)^(P$3-$B$3)/((1+Economics!$B$3)^(P$3-$B$3)),"")</f>
        <v/>
      </c>
      <c r="Q64" s="355" t="str">
        <f>IF(Q$3&lt;=time,'Attributable fraction'!AP8*(1+Economics!$B$4)^(Q$3-$B$3)/((1+Economics!$B$3)^(Q$3-$B$3)),"")</f>
        <v/>
      </c>
      <c r="R64" s="355" t="str">
        <f>IF(R$3&lt;=time,'Attributable fraction'!AQ8*(1+Economics!$B$4)^(R$3-$B$3)/((1+Economics!$B$3)^(R$3-$B$3)),"")</f>
        <v/>
      </c>
      <c r="S64" s="355" t="str">
        <f>IF(S$3&lt;=time,'Attributable fraction'!AR8*(1+Economics!$B$4)^(S$3-$B$3)/((1+Economics!$B$3)^(S$3-$B$3)),"")</f>
        <v/>
      </c>
      <c r="T64" s="355" t="str">
        <f>IF(T$3&lt;=time,'Attributable fraction'!AS8*(1+Economics!$B$4)^(T$3-$B$3)/((1+Economics!$B$3)^(T$3-$B$3)),"")</f>
        <v/>
      </c>
      <c r="U64" s="355" t="str">
        <f>IF(U$3&lt;=time,'Attributable fraction'!AT8*(1+Economics!$B$4)^(U$3-$B$3)/((1+Economics!$B$3)^(U$3-$B$3)),"")</f>
        <v/>
      </c>
      <c r="V64" s="355" t="str">
        <f>IF(V$3&lt;=time,'Attributable fraction'!AU8*(1+Economics!$B$4)^(V$3-$B$3)/((1+Economics!$B$3)^(V$3-$B$3)),"")</f>
        <v/>
      </c>
      <c r="W64" s="355" t="str">
        <f>IF(W$3&lt;=time,'Attributable fraction'!AV8*(1+Economics!$B$4)^(W$3-$B$3)/((1+Economics!$B$3)^(W$3-$B$3)),"")</f>
        <v/>
      </c>
      <c r="X64" s="355" t="str">
        <f>IF(X$3&lt;=time,'Attributable fraction'!AW8*(1+Economics!$B$4)^(X$3-$B$3)/((1+Economics!$B$3)^(X$3-$B$3)),"")</f>
        <v/>
      </c>
      <c r="Y64" s="355" t="str">
        <f>IF(Y$3&lt;=time,'Attributable fraction'!AX8*(1+Economics!$B$4)^(Y$3-$B$3)/((1+Economics!$B$3)^(Y$3-$B$3)),"")</f>
        <v/>
      </c>
      <c r="Z64" s="356" t="str">
        <f>IF(Z$3&lt;=time,'Attributable fraction'!AY8*(1+Economics!$B$4)^(Z$3-$B$3)/((1+Economics!$B$3)^(Z$3-$B$3)),"")</f>
        <v/>
      </c>
      <c r="AC64" s="142">
        <f t="shared" ref="AC64:AC73" si="12">(SUM(IF(ISERROR(Z64),"0",Z64),IF(ISERROR(Y64),"0",Y64),IF(ISERROR(X64),"0",X64),IF(ISERROR(W64),"0",W64),IF(ISERROR(V64),"0",V64),IF(ISERROR(U64),"0",U64),IF(ISERROR(T64),"0",T64),IF(ISERROR(S64),"0",S64),IF(ISERROR(R64),"0",R64),IF(ISERROR(Q64),"0",Q64), IF(ISERROR(P64),"0",P64),IF(ISERROR(O64),"0",O64),IF(ISERROR(N64),"0",N64),IF(ISERROR(M64),"0",M64),IF(ISERROR(L64),"0",L64),IF(ISERROR(K64),"0",K64),IF(ISERROR(J64),"0",J64),IF(ISERROR(I64),"0",I64),IF(ISERROR(H64),"0",H64),IF(ISERROR(G64),"0",G64),IF(ISERROR(F64),"0",F64),IF(ISERROR(E64),"0",E64),IF(ISERROR(D64),"0",D64),IF(ISERROR(C64),"0",C64),IF(ISERROR(B64),"0",B64)))/time</f>
        <v>0</v>
      </c>
      <c r="AE64" s="375">
        <v>1</v>
      </c>
      <c r="AF64" s="176" t="e">
        <f t="array" ref="AF64">STDEV(IF(B64:Z64&lt;&gt;0,B64:Z64))</f>
        <v>#DIV/0!</v>
      </c>
      <c r="AG64" s="176">
        <v>1.96</v>
      </c>
      <c r="AH64" s="176" t="e">
        <f t="shared" ref="AH64:AH73" si="13">(AG64*AF64)/(time^0.5)</f>
        <v>#DIV/0!</v>
      </c>
      <c r="AI64" s="176">
        <f>IFERROR(AF64,0)</f>
        <v>0</v>
      </c>
    </row>
    <row r="65" spans="1:35" hidden="1">
      <c r="A65" s="374" t="str">
        <f>Costs!A9</f>
        <v>Purchasing 2</v>
      </c>
      <c r="B65" s="355">
        <f>IF(B$3&lt;=time,'Attributable fraction'!AA9*(1+Economics!$B$4)^(B$3-$B$3)/((1+Economics!$B$3)^(B$3-$B$3)),"")</f>
        <v>0</v>
      </c>
      <c r="C65" s="355">
        <f>IF(C$3&lt;=time,'Attributable fraction'!AB9*(1+Economics!$B$4)^(C$3-$B$3)/((1+Economics!$B$3)^(C$3-$B$3)),"")</f>
        <v>0</v>
      </c>
      <c r="D65" s="355">
        <f>IF(D$3&lt;=time,'Attributable fraction'!AC9*(1+Economics!$B$4)^(D$3-$B$3)/((1+Economics!$B$3)^(D$3-$B$3)),"")</f>
        <v>0</v>
      </c>
      <c r="E65" s="355">
        <f>IF(E$3&lt;=time,'Attributable fraction'!AD9*(1+Economics!$B$4)^(E$3-$B$3)/((1+Economics!$B$3)^(E$3-$B$3)),"")</f>
        <v>0</v>
      </c>
      <c r="F65" s="355">
        <f>IF(F$3&lt;=time,'Attributable fraction'!AE9*(1+Economics!$B$4)^(F$3-$B$3)/((1+Economics!$B$3)^(F$3-$B$3)),"")</f>
        <v>0</v>
      </c>
      <c r="G65" s="355" t="str">
        <f>IF(G$3&lt;=time,'Attributable fraction'!AF9*(1+Economics!$B$4)^(G$3-$B$3)/((1+Economics!$B$3)^(G$3-$B$3)),"")</f>
        <v/>
      </c>
      <c r="H65" s="355" t="str">
        <f>IF(H$3&lt;=time,'Attributable fraction'!AG9*(1+Economics!$B$4)^(H$3-$B$3)/((1+Economics!$B$3)^(H$3-$B$3)),"")</f>
        <v/>
      </c>
      <c r="I65" s="355" t="str">
        <f>IF(I$3&lt;=time,'Attributable fraction'!AH9*(1+Economics!$B$4)^(I$3-$B$3)/((1+Economics!$B$3)^(I$3-$B$3)),"")</f>
        <v/>
      </c>
      <c r="J65" s="355" t="str">
        <f>IF(J$3&lt;=time,'Attributable fraction'!AI9*(1+Economics!$B$4)^(J$3-$B$3)/((1+Economics!$B$3)^(J$3-$B$3)),"")</f>
        <v/>
      </c>
      <c r="K65" s="355" t="str">
        <f>IF(K$3&lt;=time,'Attributable fraction'!AJ9*(1+Economics!$B$4)^(K$3-$B$3)/((1+Economics!$B$3)^(K$3-$B$3)),"")</f>
        <v/>
      </c>
      <c r="L65" s="355" t="str">
        <f>IF(L$3&lt;=time,'Attributable fraction'!AK9*(1+Economics!$B$4)^(L$3-$B$3)/((1+Economics!$B$3)^(L$3-$B$3)),"")</f>
        <v/>
      </c>
      <c r="M65" s="355" t="str">
        <f>IF(M$3&lt;=time,'Attributable fraction'!AL9*(1+Economics!$B$4)^(M$3-$B$3)/((1+Economics!$B$3)^(M$3-$B$3)),"")</f>
        <v/>
      </c>
      <c r="N65" s="355" t="str">
        <f>IF(N$3&lt;=time,'Attributable fraction'!AM9*(1+Economics!$B$4)^(N$3-$B$3)/((1+Economics!$B$3)^(N$3-$B$3)),"")</f>
        <v/>
      </c>
      <c r="O65" s="355" t="str">
        <f>IF(O$3&lt;=time,'Attributable fraction'!AN9*(1+Economics!$B$4)^(O$3-$B$3)/((1+Economics!$B$3)^(O$3-$B$3)),"")</f>
        <v/>
      </c>
      <c r="P65" s="355" t="str">
        <f>IF(P$3&lt;=time,'Attributable fraction'!AO9*(1+Economics!$B$4)^(P$3-$B$3)/((1+Economics!$B$3)^(P$3-$B$3)),"")</f>
        <v/>
      </c>
      <c r="Q65" s="355" t="str">
        <f>IF(Q$3&lt;=time,'Attributable fraction'!AP9*(1+Economics!$B$4)^(Q$3-$B$3)/((1+Economics!$B$3)^(Q$3-$B$3)),"")</f>
        <v/>
      </c>
      <c r="R65" s="355" t="str">
        <f>IF(R$3&lt;=time,'Attributable fraction'!AQ9*(1+Economics!$B$4)^(R$3-$B$3)/((1+Economics!$B$3)^(R$3-$B$3)),"")</f>
        <v/>
      </c>
      <c r="S65" s="355" t="str">
        <f>IF(S$3&lt;=time,'Attributable fraction'!AR9*(1+Economics!$B$4)^(S$3-$B$3)/((1+Economics!$B$3)^(S$3-$B$3)),"")</f>
        <v/>
      </c>
      <c r="T65" s="355" t="str">
        <f>IF(T$3&lt;=time,'Attributable fraction'!AS9*(1+Economics!$B$4)^(T$3-$B$3)/((1+Economics!$B$3)^(T$3-$B$3)),"")</f>
        <v/>
      </c>
      <c r="U65" s="355" t="str">
        <f>IF(U$3&lt;=time,'Attributable fraction'!AT9*(1+Economics!$B$4)^(U$3-$B$3)/((1+Economics!$B$3)^(U$3-$B$3)),"")</f>
        <v/>
      </c>
      <c r="V65" s="355" t="str">
        <f>IF(V$3&lt;=time,'Attributable fraction'!AU9*(1+Economics!$B$4)^(V$3-$B$3)/((1+Economics!$B$3)^(V$3-$B$3)),"")</f>
        <v/>
      </c>
      <c r="W65" s="355" t="str">
        <f>IF(W$3&lt;=time,'Attributable fraction'!AV9*(1+Economics!$B$4)^(W$3-$B$3)/((1+Economics!$B$3)^(W$3-$B$3)),"")</f>
        <v/>
      </c>
      <c r="X65" s="355" t="str">
        <f>IF(X$3&lt;=time,'Attributable fraction'!AW9*(1+Economics!$B$4)^(X$3-$B$3)/((1+Economics!$B$3)^(X$3-$B$3)),"")</f>
        <v/>
      </c>
      <c r="Y65" s="355" t="str">
        <f>IF(Y$3&lt;=time,'Attributable fraction'!AX9*(1+Economics!$B$4)^(Y$3-$B$3)/((1+Economics!$B$3)^(Y$3-$B$3)),"")</f>
        <v/>
      </c>
      <c r="Z65" s="356" t="str">
        <f>IF(Z$3&lt;=time,'Attributable fraction'!AY9*(1+Economics!$B$4)^(Z$3-$B$3)/((1+Economics!$B$3)^(Z$3-$B$3)),"")</f>
        <v/>
      </c>
      <c r="AC65" s="142">
        <f t="shared" si="12"/>
        <v>0</v>
      </c>
      <c r="AE65" s="376">
        <v>2</v>
      </c>
      <c r="AF65" s="176" t="e">
        <f t="array" ref="AF65">STDEV(IF(B65:Z65&lt;&gt;0,B65:Z65))</f>
        <v>#DIV/0!</v>
      </c>
      <c r="AG65" s="176">
        <v>1.96</v>
      </c>
      <c r="AH65" s="176" t="e">
        <f t="shared" si="13"/>
        <v>#DIV/0!</v>
      </c>
      <c r="AI65" s="176">
        <f t="shared" ref="AI65:AI128" si="14">IFERROR(AF65,0)</f>
        <v>0</v>
      </c>
    </row>
    <row r="66" spans="1:35" hidden="1">
      <c r="A66" s="374" t="str">
        <f>Costs!A10</f>
        <v>Purchasing 3</v>
      </c>
      <c r="B66" s="355">
        <f>IF(B$3&lt;=time,'Attributable fraction'!AA10*(1+Economics!$B$4)^(B$3-$B$3)/((1+Economics!$B$3)^(B$3-$B$3)),"")</f>
        <v>0</v>
      </c>
      <c r="C66" s="355">
        <f>IF(C$3&lt;=time,'Attributable fraction'!AB10*(1+Economics!$B$4)^(C$3-$B$3)/((1+Economics!$B$3)^(C$3-$B$3)),"")</f>
        <v>0</v>
      </c>
      <c r="D66" s="355">
        <f>IF(D$3&lt;=time,'Attributable fraction'!AC10*(1+Economics!$B$4)^(D$3-$B$3)/((1+Economics!$B$3)^(D$3-$B$3)),"")</f>
        <v>0</v>
      </c>
      <c r="E66" s="355">
        <f>IF(E$3&lt;=time,'Attributable fraction'!AD10*(1+Economics!$B$4)^(E$3-$B$3)/((1+Economics!$B$3)^(E$3-$B$3)),"")</f>
        <v>0</v>
      </c>
      <c r="F66" s="355">
        <f>IF(F$3&lt;=time,'Attributable fraction'!AE10*(1+Economics!$B$4)^(F$3-$B$3)/((1+Economics!$B$3)^(F$3-$B$3)),"")</f>
        <v>0</v>
      </c>
      <c r="G66" s="355" t="str">
        <f>IF(G$3&lt;=time,'Attributable fraction'!AF10*(1+Economics!$B$4)^(G$3-$B$3)/((1+Economics!$B$3)^(G$3-$B$3)),"")</f>
        <v/>
      </c>
      <c r="H66" s="355" t="str">
        <f>IF(H$3&lt;=time,'Attributable fraction'!AG10*(1+Economics!$B$4)^(H$3-$B$3)/((1+Economics!$B$3)^(H$3-$B$3)),"")</f>
        <v/>
      </c>
      <c r="I66" s="355" t="str">
        <f>IF(I$3&lt;=time,'Attributable fraction'!AH10*(1+Economics!$B$4)^(I$3-$B$3)/((1+Economics!$B$3)^(I$3-$B$3)),"")</f>
        <v/>
      </c>
      <c r="J66" s="355" t="str">
        <f>IF(J$3&lt;=time,'Attributable fraction'!AI10*(1+Economics!$B$4)^(J$3-$B$3)/((1+Economics!$B$3)^(J$3-$B$3)),"")</f>
        <v/>
      </c>
      <c r="K66" s="355" t="str">
        <f>IF(K$3&lt;=time,'Attributable fraction'!AJ10*(1+Economics!$B$4)^(K$3-$B$3)/((1+Economics!$B$3)^(K$3-$B$3)),"")</f>
        <v/>
      </c>
      <c r="L66" s="355" t="str">
        <f>IF(L$3&lt;=time,'Attributable fraction'!AK10*(1+Economics!$B$4)^(L$3-$B$3)/((1+Economics!$B$3)^(L$3-$B$3)),"")</f>
        <v/>
      </c>
      <c r="M66" s="355" t="str">
        <f>IF(M$3&lt;=time,'Attributable fraction'!AL10*(1+Economics!$B$4)^(M$3-$B$3)/((1+Economics!$B$3)^(M$3-$B$3)),"")</f>
        <v/>
      </c>
      <c r="N66" s="355" t="str">
        <f>IF(N$3&lt;=time,'Attributable fraction'!AM10*(1+Economics!$B$4)^(N$3-$B$3)/((1+Economics!$B$3)^(N$3-$B$3)),"")</f>
        <v/>
      </c>
      <c r="O66" s="355" t="str">
        <f>IF(O$3&lt;=time,'Attributable fraction'!AN10*(1+Economics!$B$4)^(O$3-$B$3)/((1+Economics!$B$3)^(O$3-$B$3)),"")</f>
        <v/>
      </c>
      <c r="P66" s="355" t="str">
        <f>IF(P$3&lt;=time,'Attributable fraction'!AO10*(1+Economics!$B$4)^(P$3-$B$3)/((1+Economics!$B$3)^(P$3-$B$3)),"")</f>
        <v/>
      </c>
      <c r="Q66" s="355" t="str">
        <f>IF(Q$3&lt;=time,'Attributable fraction'!AP10*(1+Economics!$B$4)^(Q$3-$B$3)/((1+Economics!$B$3)^(Q$3-$B$3)),"")</f>
        <v/>
      </c>
      <c r="R66" s="355" t="str">
        <f>IF(R$3&lt;=time,'Attributable fraction'!AQ10*(1+Economics!$B$4)^(R$3-$B$3)/((1+Economics!$B$3)^(R$3-$B$3)),"")</f>
        <v/>
      </c>
      <c r="S66" s="355" t="str">
        <f>IF(S$3&lt;=time,'Attributable fraction'!AR10*(1+Economics!$B$4)^(S$3-$B$3)/((1+Economics!$B$3)^(S$3-$B$3)),"")</f>
        <v/>
      </c>
      <c r="T66" s="355" t="str">
        <f>IF(T$3&lt;=time,'Attributable fraction'!AS10*(1+Economics!$B$4)^(T$3-$B$3)/((1+Economics!$B$3)^(T$3-$B$3)),"")</f>
        <v/>
      </c>
      <c r="U66" s="355" t="str">
        <f>IF(U$3&lt;=time,'Attributable fraction'!AT10*(1+Economics!$B$4)^(U$3-$B$3)/((1+Economics!$B$3)^(U$3-$B$3)),"")</f>
        <v/>
      </c>
      <c r="V66" s="355" t="str">
        <f>IF(V$3&lt;=time,'Attributable fraction'!AU10*(1+Economics!$B$4)^(V$3-$B$3)/((1+Economics!$B$3)^(V$3-$B$3)),"")</f>
        <v/>
      </c>
      <c r="W66" s="355" t="str">
        <f>IF(W$3&lt;=time,'Attributable fraction'!AV10*(1+Economics!$B$4)^(W$3-$B$3)/((1+Economics!$B$3)^(W$3-$B$3)),"")</f>
        <v/>
      </c>
      <c r="X66" s="355" t="str">
        <f>IF(X$3&lt;=time,'Attributable fraction'!AW10*(1+Economics!$B$4)^(X$3-$B$3)/((1+Economics!$B$3)^(X$3-$B$3)),"")</f>
        <v/>
      </c>
      <c r="Y66" s="355" t="str">
        <f>IF(Y$3&lt;=time,'Attributable fraction'!AX10*(1+Economics!$B$4)^(Y$3-$B$3)/((1+Economics!$B$3)^(Y$3-$B$3)),"")</f>
        <v/>
      </c>
      <c r="Z66" s="356" t="str">
        <f>IF(Z$3&lt;=time,'Attributable fraction'!AY10*(1+Economics!$B$4)^(Z$3-$B$3)/((1+Economics!$B$3)^(Z$3-$B$3)),"")</f>
        <v/>
      </c>
      <c r="AC66" s="142">
        <f t="shared" si="12"/>
        <v>0</v>
      </c>
      <c r="AE66" s="376">
        <v>3</v>
      </c>
      <c r="AF66" s="176" t="e">
        <f t="array" ref="AF66">STDEV(IF(B66:Z66&lt;&gt;0,B66:Z66))</f>
        <v>#DIV/0!</v>
      </c>
      <c r="AG66" s="176">
        <v>1.96</v>
      </c>
      <c r="AH66" s="176" t="e">
        <f t="shared" si="13"/>
        <v>#DIV/0!</v>
      </c>
      <c r="AI66" s="176">
        <f t="shared" si="14"/>
        <v>0</v>
      </c>
    </row>
    <row r="67" spans="1:35" hidden="1">
      <c r="A67" s="374" t="str">
        <f>Costs!A11</f>
        <v>Purchasing 4</v>
      </c>
      <c r="B67" s="355">
        <f>IF(B$3&lt;=time,'Attributable fraction'!AA11*(1+Economics!$B$4)^(B$3-$B$3)/((1+Economics!$B$3)^(B$3-$B$3)),"")</f>
        <v>0</v>
      </c>
      <c r="C67" s="355">
        <f>IF(C$3&lt;=time,'Attributable fraction'!AB11*(1+Economics!$B$4)^(C$3-$B$3)/((1+Economics!$B$3)^(C$3-$B$3)),"")</f>
        <v>0</v>
      </c>
      <c r="D67" s="355">
        <f>IF(D$3&lt;=time,'Attributable fraction'!AC11*(1+Economics!$B$4)^(D$3-$B$3)/((1+Economics!$B$3)^(D$3-$B$3)),"")</f>
        <v>0</v>
      </c>
      <c r="E67" s="355">
        <f>IF(E$3&lt;=time,'Attributable fraction'!AD11*(1+Economics!$B$4)^(E$3-$B$3)/((1+Economics!$B$3)^(E$3-$B$3)),"")</f>
        <v>0</v>
      </c>
      <c r="F67" s="355">
        <f>IF(F$3&lt;=time,'Attributable fraction'!AE11*(1+Economics!$B$4)^(F$3-$B$3)/((1+Economics!$B$3)^(F$3-$B$3)),"")</f>
        <v>0</v>
      </c>
      <c r="G67" s="355" t="str">
        <f>IF(G$3&lt;=time,'Attributable fraction'!AF11*(1+Economics!$B$4)^(G$3-$B$3)/((1+Economics!$B$3)^(G$3-$B$3)),"")</f>
        <v/>
      </c>
      <c r="H67" s="355" t="str">
        <f>IF(H$3&lt;=time,'Attributable fraction'!AG11*(1+Economics!$B$4)^(H$3-$B$3)/((1+Economics!$B$3)^(H$3-$B$3)),"")</f>
        <v/>
      </c>
      <c r="I67" s="355" t="str">
        <f>IF(I$3&lt;=time,'Attributable fraction'!AH11*(1+Economics!$B$4)^(I$3-$B$3)/((1+Economics!$B$3)^(I$3-$B$3)),"")</f>
        <v/>
      </c>
      <c r="J67" s="355" t="str">
        <f>IF(J$3&lt;=time,'Attributable fraction'!AI11*(1+Economics!$B$4)^(J$3-$B$3)/((1+Economics!$B$3)^(J$3-$B$3)),"")</f>
        <v/>
      </c>
      <c r="K67" s="355" t="str">
        <f>IF(K$3&lt;=time,'Attributable fraction'!AJ11*(1+Economics!$B$4)^(K$3-$B$3)/((1+Economics!$B$3)^(K$3-$B$3)),"")</f>
        <v/>
      </c>
      <c r="L67" s="355" t="str">
        <f>IF(L$3&lt;=time,'Attributable fraction'!AK11*(1+Economics!$B$4)^(L$3-$B$3)/((1+Economics!$B$3)^(L$3-$B$3)),"")</f>
        <v/>
      </c>
      <c r="M67" s="355" t="str">
        <f>IF(M$3&lt;=time,'Attributable fraction'!AL11*(1+Economics!$B$4)^(M$3-$B$3)/((1+Economics!$B$3)^(M$3-$B$3)),"")</f>
        <v/>
      </c>
      <c r="N67" s="355" t="str">
        <f>IF(N$3&lt;=time,'Attributable fraction'!AM11*(1+Economics!$B$4)^(N$3-$B$3)/((1+Economics!$B$3)^(N$3-$B$3)),"")</f>
        <v/>
      </c>
      <c r="O67" s="355" t="str">
        <f>IF(O$3&lt;=time,'Attributable fraction'!AN11*(1+Economics!$B$4)^(O$3-$B$3)/((1+Economics!$B$3)^(O$3-$B$3)),"")</f>
        <v/>
      </c>
      <c r="P67" s="355" t="str">
        <f>IF(P$3&lt;=time,'Attributable fraction'!AO11*(1+Economics!$B$4)^(P$3-$B$3)/((1+Economics!$B$3)^(P$3-$B$3)),"")</f>
        <v/>
      </c>
      <c r="Q67" s="355" t="str">
        <f>IF(Q$3&lt;=time,'Attributable fraction'!AP11*(1+Economics!$B$4)^(Q$3-$B$3)/((1+Economics!$B$3)^(Q$3-$B$3)),"")</f>
        <v/>
      </c>
      <c r="R67" s="355" t="str">
        <f>IF(R$3&lt;=time,'Attributable fraction'!AQ11*(1+Economics!$B$4)^(R$3-$B$3)/((1+Economics!$B$3)^(R$3-$B$3)),"")</f>
        <v/>
      </c>
      <c r="S67" s="355" t="str">
        <f>IF(S$3&lt;=time,'Attributable fraction'!AR11*(1+Economics!$B$4)^(S$3-$B$3)/((1+Economics!$B$3)^(S$3-$B$3)),"")</f>
        <v/>
      </c>
      <c r="T67" s="355" t="str">
        <f>IF(T$3&lt;=time,'Attributable fraction'!AS11*(1+Economics!$B$4)^(T$3-$B$3)/((1+Economics!$B$3)^(T$3-$B$3)),"")</f>
        <v/>
      </c>
      <c r="U67" s="355" t="str">
        <f>IF(U$3&lt;=time,'Attributable fraction'!AT11*(1+Economics!$B$4)^(U$3-$B$3)/((1+Economics!$B$3)^(U$3-$B$3)),"")</f>
        <v/>
      </c>
      <c r="V67" s="355" t="str">
        <f>IF(V$3&lt;=time,'Attributable fraction'!AU11*(1+Economics!$B$4)^(V$3-$B$3)/((1+Economics!$B$3)^(V$3-$B$3)),"")</f>
        <v/>
      </c>
      <c r="W67" s="355" t="str">
        <f>IF(W$3&lt;=time,'Attributable fraction'!AV11*(1+Economics!$B$4)^(W$3-$B$3)/((1+Economics!$B$3)^(W$3-$B$3)),"")</f>
        <v/>
      </c>
      <c r="X67" s="355" t="str">
        <f>IF(X$3&lt;=time,'Attributable fraction'!AW11*(1+Economics!$B$4)^(X$3-$B$3)/((1+Economics!$B$3)^(X$3-$B$3)),"")</f>
        <v/>
      </c>
      <c r="Y67" s="355" t="str">
        <f>IF(Y$3&lt;=time,'Attributable fraction'!AX11*(1+Economics!$B$4)^(Y$3-$B$3)/((1+Economics!$B$3)^(Y$3-$B$3)),"")</f>
        <v/>
      </c>
      <c r="Z67" s="356" t="str">
        <f>IF(Z$3&lt;=time,'Attributable fraction'!AY11*(1+Economics!$B$4)^(Z$3-$B$3)/((1+Economics!$B$3)^(Z$3-$B$3)),"")</f>
        <v/>
      </c>
      <c r="AC67" s="142">
        <f t="shared" si="12"/>
        <v>0</v>
      </c>
      <c r="AE67" s="376">
        <v>4</v>
      </c>
      <c r="AF67" s="176" t="e">
        <f t="array" ref="AF67">STDEV(IF(B67:Z67&lt;&gt;0,B67:Z67))</f>
        <v>#DIV/0!</v>
      </c>
      <c r="AG67" s="176">
        <v>1.96</v>
      </c>
      <c r="AH67" s="176" t="e">
        <f t="shared" si="13"/>
        <v>#DIV/0!</v>
      </c>
      <c r="AI67" s="176">
        <f t="shared" si="14"/>
        <v>0</v>
      </c>
    </row>
    <row r="68" spans="1:35" hidden="1">
      <c r="A68" s="374" t="str">
        <f>Costs!A12</f>
        <v>Purchasing 5</v>
      </c>
      <c r="B68" s="355">
        <f>IF(B$3&lt;=time,'Attributable fraction'!AA12*(1+Economics!$B$4)^(B$3-$B$3)/((1+Economics!$B$3)^(B$3-$B$3)),"")</f>
        <v>0</v>
      </c>
      <c r="C68" s="355">
        <f>IF(C$3&lt;=time,'Attributable fraction'!AB12*(1+Economics!$B$4)^(C$3-$B$3)/((1+Economics!$B$3)^(C$3-$B$3)),"")</f>
        <v>0</v>
      </c>
      <c r="D68" s="355">
        <f>IF(D$3&lt;=time,'Attributable fraction'!AC12*(1+Economics!$B$4)^(D$3-$B$3)/((1+Economics!$B$3)^(D$3-$B$3)),"")</f>
        <v>0</v>
      </c>
      <c r="E68" s="355">
        <f>IF(E$3&lt;=time,'Attributable fraction'!AD12*(1+Economics!$B$4)^(E$3-$B$3)/((1+Economics!$B$3)^(E$3-$B$3)),"")</f>
        <v>0</v>
      </c>
      <c r="F68" s="355">
        <f>IF(F$3&lt;=time,'Attributable fraction'!AE12*(1+Economics!$B$4)^(F$3-$B$3)/((1+Economics!$B$3)^(F$3-$B$3)),"")</f>
        <v>0</v>
      </c>
      <c r="G68" s="355" t="str">
        <f>IF(G$3&lt;=time,'Attributable fraction'!AF12*(1+Economics!$B$4)^(G$3-$B$3)/((1+Economics!$B$3)^(G$3-$B$3)),"")</f>
        <v/>
      </c>
      <c r="H68" s="355" t="str">
        <f>IF(H$3&lt;=time,'Attributable fraction'!AG12*(1+Economics!$B$4)^(H$3-$B$3)/((1+Economics!$B$3)^(H$3-$B$3)),"")</f>
        <v/>
      </c>
      <c r="I68" s="355" t="str">
        <f>IF(I$3&lt;=time,'Attributable fraction'!AH12*(1+Economics!$B$4)^(I$3-$B$3)/((1+Economics!$B$3)^(I$3-$B$3)),"")</f>
        <v/>
      </c>
      <c r="J68" s="355" t="str">
        <f>IF(J$3&lt;=time,'Attributable fraction'!AI12*(1+Economics!$B$4)^(J$3-$B$3)/((1+Economics!$B$3)^(J$3-$B$3)),"")</f>
        <v/>
      </c>
      <c r="K68" s="355" t="str">
        <f>IF(K$3&lt;=time,'Attributable fraction'!AJ12*(1+Economics!$B$4)^(K$3-$B$3)/((1+Economics!$B$3)^(K$3-$B$3)),"")</f>
        <v/>
      </c>
      <c r="L68" s="355" t="str">
        <f>IF(L$3&lt;=time,'Attributable fraction'!AK12*(1+Economics!$B$4)^(L$3-$B$3)/((1+Economics!$B$3)^(L$3-$B$3)),"")</f>
        <v/>
      </c>
      <c r="M68" s="355" t="str">
        <f>IF(M$3&lt;=time,'Attributable fraction'!AL12*(1+Economics!$B$4)^(M$3-$B$3)/((1+Economics!$B$3)^(M$3-$B$3)),"")</f>
        <v/>
      </c>
      <c r="N68" s="355" t="str">
        <f>IF(N$3&lt;=time,'Attributable fraction'!AM12*(1+Economics!$B$4)^(N$3-$B$3)/((1+Economics!$B$3)^(N$3-$B$3)),"")</f>
        <v/>
      </c>
      <c r="O68" s="355" t="str">
        <f>IF(O$3&lt;=time,'Attributable fraction'!AN12*(1+Economics!$B$4)^(O$3-$B$3)/((1+Economics!$B$3)^(O$3-$B$3)),"")</f>
        <v/>
      </c>
      <c r="P68" s="355" t="str">
        <f>IF(P$3&lt;=time,'Attributable fraction'!AO12*(1+Economics!$B$4)^(P$3-$B$3)/((1+Economics!$B$3)^(P$3-$B$3)),"")</f>
        <v/>
      </c>
      <c r="Q68" s="355" t="str">
        <f>IF(Q$3&lt;=time,'Attributable fraction'!AP12*(1+Economics!$B$4)^(Q$3-$B$3)/((1+Economics!$B$3)^(Q$3-$B$3)),"")</f>
        <v/>
      </c>
      <c r="R68" s="355" t="str">
        <f>IF(R$3&lt;=time,'Attributable fraction'!AQ12*(1+Economics!$B$4)^(R$3-$B$3)/((1+Economics!$B$3)^(R$3-$B$3)),"")</f>
        <v/>
      </c>
      <c r="S68" s="355" t="str">
        <f>IF(S$3&lt;=time,'Attributable fraction'!AR12*(1+Economics!$B$4)^(S$3-$B$3)/((1+Economics!$B$3)^(S$3-$B$3)),"")</f>
        <v/>
      </c>
      <c r="T68" s="355" t="str">
        <f>IF(T$3&lt;=time,'Attributable fraction'!AS12*(1+Economics!$B$4)^(T$3-$B$3)/((1+Economics!$B$3)^(T$3-$B$3)),"")</f>
        <v/>
      </c>
      <c r="U68" s="355" t="str">
        <f>IF(U$3&lt;=time,'Attributable fraction'!AT12*(1+Economics!$B$4)^(U$3-$B$3)/((1+Economics!$B$3)^(U$3-$B$3)),"")</f>
        <v/>
      </c>
      <c r="V68" s="355" t="str">
        <f>IF(V$3&lt;=time,'Attributable fraction'!AU12*(1+Economics!$B$4)^(V$3-$B$3)/((1+Economics!$B$3)^(V$3-$B$3)),"")</f>
        <v/>
      </c>
      <c r="W68" s="355" t="str">
        <f>IF(W$3&lt;=time,'Attributable fraction'!AV12*(1+Economics!$B$4)^(W$3-$B$3)/((1+Economics!$B$3)^(W$3-$B$3)),"")</f>
        <v/>
      </c>
      <c r="X68" s="355" t="str">
        <f>IF(X$3&lt;=time,'Attributable fraction'!AW12*(1+Economics!$B$4)^(X$3-$B$3)/((1+Economics!$B$3)^(X$3-$B$3)),"")</f>
        <v/>
      </c>
      <c r="Y68" s="355" t="str">
        <f>IF(Y$3&lt;=time,'Attributable fraction'!AX12*(1+Economics!$B$4)^(Y$3-$B$3)/((1+Economics!$B$3)^(Y$3-$B$3)),"")</f>
        <v/>
      </c>
      <c r="Z68" s="356" t="str">
        <f>IF(Z$3&lt;=time,'Attributable fraction'!AY12*(1+Economics!$B$4)^(Z$3-$B$3)/((1+Economics!$B$3)^(Z$3-$B$3)),"")</f>
        <v/>
      </c>
      <c r="AC68" s="142">
        <f t="shared" si="12"/>
        <v>0</v>
      </c>
      <c r="AE68" s="376">
        <v>5</v>
      </c>
      <c r="AF68" s="176" t="e">
        <f t="array" ref="AF68">STDEV(IF(B68:Z68&lt;&gt;0,B68:Z68))</f>
        <v>#DIV/0!</v>
      </c>
      <c r="AG68" s="176">
        <v>1.96</v>
      </c>
      <c r="AH68" s="176" t="e">
        <f t="shared" si="13"/>
        <v>#DIV/0!</v>
      </c>
      <c r="AI68" s="176">
        <f t="shared" si="14"/>
        <v>0</v>
      </c>
    </row>
    <row r="69" spans="1:35" hidden="1">
      <c r="A69" s="374" t="str">
        <f>Costs!A13</f>
        <v>Purchasing 6</v>
      </c>
      <c r="B69" s="355">
        <f>IF(B$3&lt;=time,'Attributable fraction'!AA13*(1+Economics!$B$4)^(B$3-$B$3)/((1+Economics!$B$3)^(B$3-$B$3)),"")</f>
        <v>0</v>
      </c>
      <c r="C69" s="355">
        <f>IF(C$3&lt;=time,'Attributable fraction'!AB13*(1+Economics!$B$4)^(C$3-$B$3)/((1+Economics!$B$3)^(C$3-$B$3)),"")</f>
        <v>0</v>
      </c>
      <c r="D69" s="355">
        <f>IF(D$3&lt;=time,'Attributable fraction'!AC13*(1+Economics!$B$4)^(D$3-$B$3)/((1+Economics!$B$3)^(D$3-$B$3)),"")</f>
        <v>0</v>
      </c>
      <c r="E69" s="355">
        <f>IF(E$3&lt;=time,'Attributable fraction'!AD13*(1+Economics!$B$4)^(E$3-$B$3)/((1+Economics!$B$3)^(E$3-$B$3)),"")</f>
        <v>0</v>
      </c>
      <c r="F69" s="355">
        <f>IF(F$3&lt;=time,'Attributable fraction'!AE13*(1+Economics!$B$4)^(F$3-$B$3)/((1+Economics!$B$3)^(F$3-$B$3)),"")</f>
        <v>0</v>
      </c>
      <c r="G69" s="355" t="str">
        <f>IF(G$3&lt;=time,'Attributable fraction'!AF13*(1+Economics!$B$4)^(G$3-$B$3)/((1+Economics!$B$3)^(G$3-$B$3)),"")</f>
        <v/>
      </c>
      <c r="H69" s="355" t="str">
        <f>IF(H$3&lt;=time,'Attributable fraction'!AG13*(1+Economics!$B$4)^(H$3-$B$3)/((1+Economics!$B$3)^(H$3-$B$3)),"")</f>
        <v/>
      </c>
      <c r="I69" s="355" t="str">
        <f>IF(I$3&lt;=time,'Attributable fraction'!AH13*(1+Economics!$B$4)^(I$3-$B$3)/((1+Economics!$B$3)^(I$3-$B$3)),"")</f>
        <v/>
      </c>
      <c r="J69" s="355" t="str">
        <f>IF(J$3&lt;=time,'Attributable fraction'!AI13*(1+Economics!$B$4)^(J$3-$B$3)/((1+Economics!$B$3)^(J$3-$B$3)),"")</f>
        <v/>
      </c>
      <c r="K69" s="355" t="str">
        <f>IF(K$3&lt;=time,'Attributable fraction'!AJ13*(1+Economics!$B$4)^(K$3-$B$3)/((1+Economics!$B$3)^(K$3-$B$3)),"")</f>
        <v/>
      </c>
      <c r="L69" s="355" t="str">
        <f>IF(L$3&lt;=time,'Attributable fraction'!AK13*(1+Economics!$B$4)^(L$3-$B$3)/((1+Economics!$B$3)^(L$3-$B$3)),"")</f>
        <v/>
      </c>
      <c r="M69" s="355" t="str">
        <f>IF(M$3&lt;=time,'Attributable fraction'!AL13*(1+Economics!$B$4)^(M$3-$B$3)/((1+Economics!$B$3)^(M$3-$B$3)),"")</f>
        <v/>
      </c>
      <c r="N69" s="355" t="str">
        <f>IF(N$3&lt;=time,'Attributable fraction'!AM13*(1+Economics!$B$4)^(N$3-$B$3)/((1+Economics!$B$3)^(N$3-$B$3)),"")</f>
        <v/>
      </c>
      <c r="O69" s="355" t="str">
        <f>IF(O$3&lt;=time,'Attributable fraction'!AN13*(1+Economics!$B$4)^(O$3-$B$3)/((1+Economics!$B$3)^(O$3-$B$3)),"")</f>
        <v/>
      </c>
      <c r="P69" s="355" t="str">
        <f>IF(P$3&lt;=time,'Attributable fraction'!AO13*(1+Economics!$B$4)^(P$3-$B$3)/((1+Economics!$B$3)^(P$3-$B$3)),"")</f>
        <v/>
      </c>
      <c r="Q69" s="355" t="str">
        <f>IF(Q$3&lt;=time,'Attributable fraction'!AP13*(1+Economics!$B$4)^(Q$3-$B$3)/((1+Economics!$B$3)^(Q$3-$B$3)),"")</f>
        <v/>
      </c>
      <c r="R69" s="355" t="str">
        <f>IF(R$3&lt;=time,'Attributable fraction'!AQ13*(1+Economics!$B$4)^(R$3-$B$3)/((1+Economics!$B$3)^(R$3-$B$3)),"")</f>
        <v/>
      </c>
      <c r="S69" s="355" t="str">
        <f>IF(S$3&lt;=time,'Attributable fraction'!AR13*(1+Economics!$B$4)^(S$3-$B$3)/((1+Economics!$B$3)^(S$3-$B$3)),"")</f>
        <v/>
      </c>
      <c r="T69" s="355" t="str">
        <f>IF(T$3&lt;=time,'Attributable fraction'!AS13*(1+Economics!$B$4)^(T$3-$B$3)/((1+Economics!$B$3)^(T$3-$B$3)),"")</f>
        <v/>
      </c>
      <c r="U69" s="355" t="str">
        <f>IF(U$3&lt;=time,'Attributable fraction'!AT13*(1+Economics!$B$4)^(U$3-$B$3)/((1+Economics!$B$3)^(U$3-$B$3)),"")</f>
        <v/>
      </c>
      <c r="V69" s="355" t="str">
        <f>IF(V$3&lt;=time,'Attributable fraction'!AU13*(1+Economics!$B$4)^(V$3-$B$3)/((1+Economics!$B$3)^(V$3-$B$3)),"")</f>
        <v/>
      </c>
      <c r="W69" s="355" t="str">
        <f>IF(W$3&lt;=time,'Attributable fraction'!AV13*(1+Economics!$B$4)^(W$3-$B$3)/((1+Economics!$B$3)^(W$3-$B$3)),"")</f>
        <v/>
      </c>
      <c r="X69" s="355" t="str">
        <f>IF(X$3&lt;=time,'Attributable fraction'!AW13*(1+Economics!$B$4)^(X$3-$B$3)/((1+Economics!$B$3)^(X$3-$B$3)),"")</f>
        <v/>
      </c>
      <c r="Y69" s="355" t="str">
        <f>IF(Y$3&lt;=time,'Attributable fraction'!AX13*(1+Economics!$B$4)^(Y$3-$B$3)/((1+Economics!$B$3)^(Y$3-$B$3)),"")</f>
        <v/>
      </c>
      <c r="Z69" s="356" t="str">
        <f>IF(Z$3&lt;=time,'Attributable fraction'!AY13*(1+Economics!$B$4)^(Z$3-$B$3)/((1+Economics!$B$3)^(Z$3-$B$3)),"")</f>
        <v/>
      </c>
      <c r="AC69" s="142">
        <f t="shared" si="12"/>
        <v>0</v>
      </c>
      <c r="AE69" s="376">
        <v>6</v>
      </c>
      <c r="AF69" s="176" t="e">
        <f t="array" ref="AF69">STDEV(IF(B69:Z69&lt;&gt;0,B69:Z69))</f>
        <v>#DIV/0!</v>
      </c>
      <c r="AG69" s="176">
        <v>1.96</v>
      </c>
      <c r="AH69" s="176" t="e">
        <f t="shared" si="13"/>
        <v>#DIV/0!</v>
      </c>
      <c r="AI69" s="176">
        <f t="shared" si="14"/>
        <v>0</v>
      </c>
    </row>
    <row r="70" spans="1:35" hidden="1">
      <c r="A70" s="374" t="str">
        <f>Costs!A14</f>
        <v>Purchasing 7</v>
      </c>
      <c r="B70" s="355">
        <f>IF(B$3&lt;=time,'Attributable fraction'!AA14*(1+Economics!$B$4)^(B$3-$B$3)/((1+Economics!$B$3)^(B$3-$B$3)),"")</f>
        <v>0</v>
      </c>
      <c r="C70" s="355">
        <f>IF(C$3&lt;=time,'Attributable fraction'!AB14*(1+Economics!$B$4)^(C$3-$B$3)/((1+Economics!$B$3)^(C$3-$B$3)),"")</f>
        <v>0</v>
      </c>
      <c r="D70" s="355">
        <f>IF(D$3&lt;=time,'Attributable fraction'!AC14*(1+Economics!$B$4)^(D$3-$B$3)/((1+Economics!$B$3)^(D$3-$B$3)),"")</f>
        <v>0</v>
      </c>
      <c r="E70" s="355">
        <f>IF(E$3&lt;=time,'Attributable fraction'!AD14*(1+Economics!$B$4)^(E$3-$B$3)/((1+Economics!$B$3)^(E$3-$B$3)),"")</f>
        <v>0</v>
      </c>
      <c r="F70" s="355">
        <f>IF(F$3&lt;=time,'Attributable fraction'!AE14*(1+Economics!$B$4)^(F$3-$B$3)/((1+Economics!$B$3)^(F$3-$B$3)),"")</f>
        <v>0</v>
      </c>
      <c r="G70" s="355" t="str">
        <f>IF(G$3&lt;=time,'Attributable fraction'!AF14*(1+Economics!$B$4)^(G$3-$B$3)/((1+Economics!$B$3)^(G$3-$B$3)),"")</f>
        <v/>
      </c>
      <c r="H70" s="355" t="str">
        <f>IF(H$3&lt;=time,'Attributable fraction'!AG14*(1+Economics!$B$4)^(H$3-$B$3)/((1+Economics!$B$3)^(H$3-$B$3)),"")</f>
        <v/>
      </c>
      <c r="I70" s="355" t="str">
        <f>IF(I$3&lt;=time,'Attributable fraction'!AH14*(1+Economics!$B$4)^(I$3-$B$3)/((1+Economics!$B$3)^(I$3-$B$3)),"")</f>
        <v/>
      </c>
      <c r="J70" s="355" t="str">
        <f>IF(J$3&lt;=time,'Attributable fraction'!AI14*(1+Economics!$B$4)^(J$3-$B$3)/((1+Economics!$B$3)^(J$3-$B$3)),"")</f>
        <v/>
      </c>
      <c r="K70" s="355" t="str">
        <f>IF(K$3&lt;=time,'Attributable fraction'!AJ14*(1+Economics!$B$4)^(K$3-$B$3)/((1+Economics!$B$3)^(K$3-$B$3)),"")</f>
        <v/>
      </c>
      <c r="L70" s="355" t="str">
        <f>IF(L$3&lt;=time,'Attributable fraction'!AK14*(1+Economics!$B$4)^(L$3-$B$3)/((1+Economics!$B$3)^(L$3-$B$3)),"")</f>
        <v/>
      </c>
      <c r="M70" s="355" t="str">
        <f>IF(M$3&lt;=time,'Attributable fraction'!AL14*(1+Economics!$B$4)^(M$3-$B$3)/((1+Economics!$B$3)^(M$3-$B$3)),"")</f>
        <v/>
      </c>
      <c r="N70" s="355" t="str">
        <f>IF(N$3&lt;=time,'Attributable fraction'!AM14*(1+Economics!$B$4)^(N$3-$B$3)/((1+Economics!$B$3)^(N$3-$B$3)),"")</f>
        <v/>
      </c>
      <c r="O70" s="355" t="str">
        <f>IF(O$3&lt;=time,'Attributable fraction'!AN14*(1+Economics!$B$4)^(O$3-$B$3)/((1+Economics!$B$3)^(O$3-$B$3)),"")</f>
        <v/>
      </c>
      <c r="P70" s="355" t="str">
        <f>IF(P$3&lt;=time,'Attributable fraction'!AO14*(1+Economics!$B$4)^(P$3-$B$3)/((1+Economics!$B$3)^(P$3-$B$3)),"")</f>
        <v/>
      </c>
      <c r="Q70" s="355" t="str">
        <f>IF(Q$3&lt;=time,'Attributable fraction'!AP14*(1+Economics!$B$4)^(Q$3-$B$3)/((1+Economics!$B$3)^(Q$3-$B$3)),"")</f>
        <v/>
      </c>
      <c r="R70" s="355" t="str">
        <f>IF(R$3&lt;=time,'Attributable fraction'!AQ14*(1+Economics!$B$4)^(R$3-$B$3)/((1+Economics!$B$3)^(R$3-$B$3)),"")</f>
        <v/>
      </c>
      <c r="S70" s="355" t="str">
        <f>IF(S$3&lt;=time,'Attributable fraction'!AR14*(1+Economics!$B$4)^(S$3-$B$3)/((1+Economics!$B$3)^(S$3-$B$3)),"")</f>
        <v/>
      </c>
      <c r="T70" s="355" t="str">
        <f>IF(T$3&lt;=time,'Attributable fraction'!AS14*(1+Economics!$B$4)^(T$3-$B$3)/((1+Economics!$B$3)^(T$3-$B$3)),"")</f>
        <v/>
      </c>
      <c r="U70" s="355" t="str">
        <f>IF(U$3&lt;=time,'Attributable fraction'!AT14*(1+Economics!$B$4)^(U$3-$B$3)/((1+Economics!$B$3)^(U$3-$B$3)),"")</f>
        <v/>
      </c>
      <c r="V70" s="355" t="str">
        <f>IF(V$3&lt;=time,'Attributable fraction'!AU14*(1+Economics!$B$4)^(V$3-$B$3)/((1+Economics!$B$3)^(V$3-$B$3)),"")</f>
        <v/>
      </c>
      <c r="W70" s="355" t="str">
        <f>IF(W$3&lt;=time,'Attributable fraction'!AV14*(1+Economics!$B$4)^(W$3-$B$3)/((1+Economics!$B$3)^(W$3-$B$3)),"")</f>
        <v/>
      </c>
      <c r="X70" s="355" t="str">
        <f>IF(X$3&lt;=time,'Attributable fraction'!AW14*(1+Economics!$B$4)^(X$3-$B$3)/((1+Economics!$B$3)^(X$3-$B$3)),"")</f>
        <v/>
      </c>
      <c r="Y70" s="355" t="str">
        <f>IF(Y$3&lt;=time,'Attributable fraction'!AX14*(1+Economics!$B$4)^(Y$3-$B$3)/((1+Economics!$B$3)^(Y$3-$B$3)),"")</f>
        <v/>
      </c>
      <c r="Z70" s="356" t="str">
        <f>IF(Z$3&lt;=time,'Attributable fraction'!AY14*(1+Economics!$B$4)^(Z$3-$B$3)/((1+Economics!$B$3)^(Z$3-$B$3)),"")</f>
        <v/>
      </c>
      <c r="AC70" s="142">
        <f t="shared" si="12"/>
        <v>0</v>
      </c>
      <c r="AE70" s="376">
        <v>7</v>
      </c>
      <c r="AF70" s="176" t="e">
        <f t="array" ref="AF70">STDEV(IF(B70:Z70&lt;&gt;0,B70:Z70))</f>
        <v>#DIV/0!</v>
      </c>
      <c r="AG70" s="176">
        <v>1.96</v>
      </c>
      <c r="AH70" s="176" t="e">
        <f t="shared" si="13"/>
        <v>#DIV/0!</v>
      </c>
      <c r="AI70" s="176">
        <f t="shared" si="14"/>
        <v>0</v>
      </c>
    </row>
    <row r="71" spans="1:35" hidden="1">
      <c r="A71" s="374" t="str">
        <f>Costs!A15</f>
        <v>Purchasing 8</v>
      </c>
      <c r="B71" s="355">
        <f>IF(B$3&lt;=time,'Attributable fraction'!AA15*(1+Economics!$B$4)^(B$3-$B$3)/((1+Economics!$B$3)^(B$3-$B$3)),"")</f>
        <v>0</v>
      </c>
      <c r="C71" s="355">
        <f>IF(C$3&lt;=time,'Attributable fraction'!AB15*(1+Economics!$B$4)^(C$3-$B$3)/((1+Economics!$B$3)^(C$3-$B$3)),"")</f>
        <v>0</v>
      </c>
      <c r="D71" s="355">
        <f>IF(D$3&lt;=time,'Attributable fraction'!AC15*(1+Economics!$B$4)^(D$3-$B$3)/((1+Economics!$B$3)^(D$3-$B$3)),"")</f>
        <v>0</v>
      </c>
      <c r="E71" s="355">
        <f>IF(E$3&lt;=time,'Attributable fraction'!AD15*(1+Economics!$B$4)^(E$3-$B$3)/((1+Economics!$B$3)^(E$3-$B$3)),"")</f>
        <v>0</v>
      </c>
      <c r="F71" s="355">
        <f>IF(F$3&lt;=time,'Attributable fraction'!AE15*(1+Economics!$B$4)^(F$3-$B$3)/((1+Economics!$B$3)^(F$3-$B$3)),"")</f>
        <v>0</v>
      </c>
      <c r="G71" s="355" t="str">
        <f>IF(G$3&lt;=time,'Attributable fraction'!AF15*(1+Economics!$B$4)^(G$3-$B$3)/((1+Economics!$B$3)^(G$3-$B$3)),"")</f>
        <v/>
      </c>
      <c r="H71" s="355" t="str">
        <f>IF(H$3&lt;=time,'Attributable fraction'!AG15*(1+Economics!$B$4)^(H$3-$B$3)/((1+Economics!$B$3)^(H$3-$B$3)),"")</f>
        <v/>
      </c>
      <c r="I71" s="355" t="str">
        <f>IF(I$3&lt;=time,'Attributable fraction'!AH15*(1+Economics!$B$4)^(I$3-$B$3)/((1+Economics!$B$3)^(I$3-$B$3)),"")</f>
        <v/>
      </c>
      <c r="J71" s="355" t="str">
        <f>IF(J$3&lt;=time,'Attributable fraction'!AI15*(1+Economics!$B$4)^(J$3-$B$3)/((1+Economics!$B$3)^(J$3-$B$3)),"")</f>
        <v/>
      </c>
      <c r="K71" s="355" t="str">
        <f>IF(K$3&lt;=time,'Attributable fraction'!AJ15*(1+Economics!$B$4)^(K$3-$B$3)/((1+Economics!$B$3)^(K$3-$B$3)),"")</f>
        <v/>
      </c>
      <c r="L71" s="355" t="str">
        <f>IF(L$3&lt;=time,'Attributable fraction'!AK15*(1+Economics!$B$4)^(L$3-$B$3)/((1+Economics!$B$3)^(L$3-$B$3)),"")</f>
        <v/>
      </c>
      <c r="M71" s="355" t="str">
        <f>IF(M$3&lt;=time,'Attributable fraction'!AL15*(1+Economics!$B$4)^(M$3-$B$3)/((1+Economics!$B$3)^(M$3-$B$3)),"")</f>
        <v/>
      </c>
      <c r="N71" s="355" t="str">
        <f>IF(N$3&lt;=time,'Attributable fraction'!AM15*(1+Economics!$B$4)^(N$3-$B$3)/((1+Economics!$B$3)^(N$3-$B$3)),"")</f>
        <v/>
      </c>
      <c r="O71" s="355" t="str">
        <f>IF(O$3&lt;=time,'Attributable fraction'!AN15*(1+Economics!$B$4)^(O$3-$B$3)/((1+Economics!$B$3)^(O$3-$B$3)),"")</f>
        <v/>
      </c>
      <c r="P71" s="355" t="str">
        <f>IF(P$3&lt;=time,'Attributable fraction'!AO15*(1+Economics!$B$4)^(P$3-$B$3)/((1+Economics!$B$3)^(P$3-$B$3)),"")</f>
        <v/>
      </c>
      <c r="Q71" s="355" t="str">
        <f>IF(Q$3&lt;=time,'Attributable fraction'!AP15*(1+Economics!$B$4)^(Q$3-$B$3)/((1+Economics!$B$3)^(Q$3-$B$3)),"")</f>
        <v/>
      </c>
      <c r="R71" s="355" t="str">
        <f>IF(R$3&lt;=time,'Attributable fraction'!AQ15*(1+Economics!$B$4)^(R$3-$B$3)/((1+Economics!$B$3)^(R$3-$B$3)),"")</f>
        <v/>
      </c>
      <c r="S71" s="355" t="str">
        <f>IF(S$3&lt;=time,'Attributable fraction'!AR15*(1+Economics!$B$4)^(S$3-$B$3)/((1+Economics!$B$3)^(S$3-$B$3)),"")</f>
        <v/>
      </c>
      <c r="T71" s="355" t="str">
        <f>IF(T$3&lt;=time,'Attributable fraction'!AS15*(1+Economics!$B$4)^(T$3-$B$3)/((1+Economics!$B$3)^(T$3-$B$3)),"")</f>
        <v/>
      </c>
      <c r="U71" s="355" t="str">
        <f>IF(U$3&lt;=time,'Attributable fraction'!AT15*(1+Economics!$B$4)^(U$3-$B$3)/((1+Economics!$B$3)^(U$3-$B$3)),"")</f>
        <v/>
      </c>
      <c r="V71" s="355" t="str">
        <f>IF(V$3&lt;=time,'Attributable fraction'!AU15*(1+Economics!$B$4)^(V$3-$B$3)/((1+Economics!$B$3)^(V$3-$B$3)),"")</f>
        <v/>
      </c>
      <c r="W71" s="355" t="str">
        <f>IF(W$3&lt;=time,'Attributable fraction'!AV15*(1+Economics!$B$4)^(W$3-$B$3)/((1+Economics!$B$3)^(W$3-$B$3)),"")</f>
        <v/>
      </c>
      <c r="X71" s="355" t="str">
        <f>IF(X$3&lt;=time,'Attributable fraction'!AW15*(1+Economics!$B$4)^(X$3-$B$3)/((1+Economics!$B$3)^(X$3-$B$3)),"")</f>
        <v/>
      </c>
      <c r="Y71" s="355" t="str">
        <f>IF(Y$3&lt;=time,'Attributable fraction'!AX15*(1+Economics!$B$4)^(Y$3-$B$3)/((1+Economics!$B$3)^(Y$3-$B$3)),"")</f>
        <v/>
      </c>
      <c r="Z71" s="356" t="str">
        <f>IF(Z$3&lt;=time,'Attributable fraction'!AY15*(1+Economics!$B$4)^(Z$3-$B$3)/((1+Economics!$B$3)^(Z$3-$B$3)),"")</f>
        <v/>
      </c>
      <c r="AC71" s="142">
        <f t="shared" si="12"/>
        <v>0</v>
      </c>
      <c r="AE71" s="376">
        <v>8</v>
      </c>
      <c r="AF71" s="176" t="e">
        <f t="array" ref="AF71">STDEV(IF(B71:Z71&lt;&gt;0,B71:Z71))</f>
        <v>#DIV/0!</v>
      </c>
      <c r="AG71" s="176">
        <v>1.96</v>
      </c>
      <c r="AH71" s="176" t="e">
        <f t="shared" si="13"/>
        <v>#DIV/0!</v>
      </c>
      <c r="AI71" s="176">
        <f t="shared" si="14"/>
        <v>0</v>
      </c>
    </row>
    <row r="72" spans="1:35" hidden="1">
      <c r="A72" s="374" t="str">
        <f>Costs!A16</f>
        <v>Purchasing 9</v>
      </c>
      <c r="B72" s="355">
        <f>IF(B$3&lt;=time,'Attributable fraction'!AA16*(1+Economics!$B$4)^(B$3-$B$3)/((1+Economics!$B$3)^(B$3-$B$3)),"")</f>
        <v>0</v>
      </c>
      <c r="C72" s="355">
        <f>IF(C$3&lt;=time,'Attributable fraction'!AB16*(1+Economics!$B$4)^(C$3-$B$3)/((1+Economics!$B$3)^(C$3-$B$3)),"")</f>
        <v>0</v>
      </c>
      <c r="D72" s="355">
        <f>IF(D$3&lt;=time,'Attributable fraction'!AC16*(1+Economics!$B$4)^(D$3-$B$3)/((1+Economics!$B$3)^(D$3-$B$3)),"")</f>
        <v>0</v>
      </c>
      <c r="E72" s="355">
        <f>IF(E$3&lt;=time,'Attributable fraction'!AD16*(1+Economics!$B$4)^(E$3-$B$3)/((1+Economics!$B$3)^(E$3-$B$3)),"")</f>
        <v>0</v>
      </c>
      <c r="F72" s="355">
        <f>IF(F$3&lt;=time,'Attributable fraction'!AE16*(1+Economics!$B$4)^(F$3-$B$3)/((1+Economics!$B$3)^(F$3-$B$3)),"")</f>
        <v>0</v>
      </c>
      <c r="G72" s="355" t="str">
        <f>IF(G$3&lt;=time,'Attributable fraction'!AF16*(1+Economics!$B$4)^(G$3-$B$3)/((1+Economics!$B$3)^(G$3-$B$3)),"")</f>
        <v/>
      </c>
      <c r="H72" s="355" t="str">
        <f>IF(H$3&lt;=time,'Attributable fraction'!AG16*(1+Economics!$B$4)^(H$3-$B$3)/((1+Economics!$B$3)^(H$3-$B$3)),"")</f>
        <v/>
      </c>
      <c r="I72" s="355" t="str">
        <f>IF(I$3&lt;=time,'Attributable fraction'!AH16*(1+Economics!$B$4)^(I$3-$B$3)/((1+Economics!$B$3)^(I$3-$B$3)),"")</f>
        <v/>
      </c>
      <c r="J72" s="355" t="str">
        <f>IF(J$3&lt;=time,'Attributable fraction'!AI16*(1+Economics!$B$4)^(J$3-$B$3)/((1+Economics!$B$3)^(J$3-$B$3)),"")</f>
        <v/>
      </c>
      <c r="K72" s="355" t="str">
        <f>IF(K$3&lt;=time,'Attributable fraction'!AJ16*(1+Economics!$B$4)^(K$3-$B$3)/((1+Economics!$B$3)^(K$3-$B$3)),"")</f>
        <v/>
      </c>
      <c r="L72" s="355" t="str">
        <f>IF(L$3&lt;=time,'Attributable fraction'!AK16*(1+Economics!$B$4)^(L$3-$B$3)/((1+Economics!$B$3)^(L$3-$B$3)),"")</f>
        <v/>
      </c>
      <c r="M72" s="355" t="str">
        <f>IF(M$3&lt;=time,'Attributable fraction'!AL16*(1+Economics!$B$4)^(M$3-$B$3)/((1+Economics!$B$3)^(M$3-$B$3)),"")</f>
        <v/>
      </c>
      <c r="N72" s="355" t="str">
        <f>IF(N$3&lt;=time,'Attributable fraction'!AM16*(1+Economics!$B$4)^(N$3-$B$3)/((1+Economics!$B$3)^(N$3-$B$3)),"")</f>
        <v/>
      </c>
      <c r="O72" s="355" t="str">
        <f>IF(O$3&lt;=time,'Attributable fraction'!AN16*(1+Economics!$B$4)^(O$3-$B$3)/((1+Economics!$B$3)^(O$3-$B$3)),"")</f>
        <v/>
      </c>
      <c r="P72" s="355" t="str">
        <f>IF(P$3&lt;=time,'Attributable fraction'!AO16*(1+Economics!$B$4)^(P$3-$B$3)/((1+Economics!$B$3)^(P$3-$B$3)),"")</f>
        <v/>
      </c>
      <c r="Q72" s="355" t="str">
        <f>IF(Q$3&lt;=time,'Attributable fraction'!AP16*(1+Economics!$B$4)^(Q$3-$B$3)/((1+Economics!$B$3)^(Q$3-$B$3)),"")</f>
        <v/>
      </c>
      <c r="R72" s="355" t="str">
        <f>IF(R$3&lt;=time,'Attributable fraction'!AQ16*(1+Economics!$B$4)^(R$3-$B$3)/((1+Economics!$B$3)^(R$3-$B$3)),"")</f>
        <v/>
      </c>
      <c r="S72" s="355" t="str">
        <f>IF(S$3&lt;=time,'Attributable fraction'!AR16*(1+Economics!$B$4)^(S$3-$B$3)/((1+Economics!$B$3)^(S$3-$B$3)),"")</f>
        <v/>
      </c>
      <c r="T72" s="355" t="str">
        <f>IF(T$3&lt;=time,'Attributable fraction'!AS16*(1+Economics!$B$4)^(T$3-$B$3)/((1+Economics!$B$3)^(T$3-$B$3)),"")</f>
        <v/>
      </c>
      <c r="U72" s="355" t="str">
        <f>IF(U$3&lt;=time,'Attributable fraction'!AT16*(1+Economics!$B$4)^(U$3-$B$3)/((1+Economics!$B$3)^(U$3-$B$3)),"")</f>
        <v/>
      </c>
      <c r="V72" s="355" t="str">
        <f>IF(V$3&lt;=time,'Attributable fraction'!AU16*(1+Economics!$B$4)^(V$3-$B$3)/((1+Economics!$B$3)^(V$3-$B$3)),"")</f>
        <v/>
      </c>
      <c r="W72" s="355" t="str">
        <f>IF(W$3&lt;=time,'Attributable fraction'!AV16*(1+Economics!$B$4)^(W$3-$B$3)/((1+Economics!$B$3)^(W$3-$B$3)),"")</f>
        <v/>
      </c>
      <c r="X72" s="355" t="str">
        <f>IF(X$3&lt;=time,'Attributable fraction'!AW16*(1+Economics!$B$4)^(X$3-$B$3)/((1+Economics!$B$3)^(X$3-$B$3)),"")</f>
        <v/>
      </c>
      <c r="Y72" s="355" t="str">
        <f>IF(Y$3&lt;=time,'Attributable fraction'!AX16*(1+Economics!$B$4)^(Y$3-$B$3)/((1+Economics!$B$3)^(Y$3-$B$3)),"")</f>
        <v/>
      </c>
      <c r="Z72" s="356" t="str">
        <f>IF(Z$3&lt;=time,'Attributable fraction'!AY16*(1+Economics!$B$4)^(Z$3-$B$3)/((1+Economics!$B$3)^(Z$3-$B$3)),"")</f>
        <v/>
      </c>
      <c r="AC72" s="142">
        <f t="shared" si="12"/>
        <v>0</v>
      </c>
      <c r="AE72" s="376">
        <v>9</v>
      </c>
      <c r="AF72" s="176" t="e">
        <f t="array" ref="AF72">STDEV(IF(B72:Z72&lt;&gt;0,B72:Z72))</f>
        <v>#DIV/0!</v>
      </c>
      <c r="AG72" s="176">
        <v>1.96</v>
      </c>
      <c r="AH72" s="176" t="e">
        <f t="shared" si="13"/>
        <v>#DIV/0!</v>
      </c>
      <c r="AI72" s="176">
        <f t="shared" si="14"/>
        <v>0</v>
      </c>
    </row>
    <row r="73" spans="1:35" hidden="1">
      <c r="A73" s="374" t="str">
        <f>Costs!A17</f>
        <v>Purchasing 10</v>
      </c>
      <c r="B73" s="355">
        <f>IF(B$3&lt;=time,'Attributable fraction'!AA17*(1+Economics!$B$4)^(B$3-$B$3)/((1+Economics!$B$3)^(B$3-$B$3)),"")</f>
        <v>0</v>
      </c>
      <c r="C73" s="355">
        <f>IF(C$3&lt;=time,'Attributable fraction'!AB17*(1+Economics!$B$4)^(C$3-$B$3)/((1+Economics!$B$3)^(C$3-$B$3)),"")</f>
        <v>0</v>
      </c>
      <c r="D73" s="355">
        <f>IF(D$3&lt;=time,'Attributable fraction'!AC17*(1+Economics!$B$4)^(D$3-$B$3)/((1+Economics!$B$3)^(D$3-$B$3)),"")</f>
        <v>0</v>
      </c>
      <c r="E73" s="355">
        <f>IF(E$3&lt;=time,'Attributable fraction'!AD17*(1+Economics!$B$4)^(E$3-$B$3)/((1+Economics!$B$3)^(E$3-$B$3)),"")</f>
        <v>0</v>
      </c>
      <c r="F73" s="355">
        <f>IF(F$3&lt;=time,'Attributable fraction'!AE17*(1+Economics!$B$4)^(F$3-$B$3)/((1+Economics!$B$3)^(F$3-$B$3)),"")</f>
        <v>0</v>
      </c>
      <c r="G73" s="355" t="str">
        <f>IF(G$3&lt;=time,'Attributable fraction'!AF17*(1+Economics!$B$4)^(G$3-$B$3)/((1+Economics!$B$3)^(G$3-$B$3)),"")</f>
        <v/>
      </c>
      <c r="H73" s="355" t="str">
        <f>IF(H$3&lt;=time,'Attributable fraction'!AG17*(1+Economics!$B$4)^(H$3-$B$3)/((1+Economics!$B$3)^(H$3-$B$3)),"")</f>
        <v/>
      </c>
      <c r="I73" s="355" t="str">
        <f>IF(I$3&lt;=time,'Attributable fraction'!AH17*(1+Economics!$B$4)^(I$3-$B$3)/((1+Economics!$B$3)^(I$3-$B$3)),"")</f>
        <v/>
      </c>
      <c r="J73" s="355" t="str">
        <f>IF(J$3&lt;=time,'Attributable fraction'!AI17*(1+Economics!$B$4)^(J$3-$B$3)/((1+Economics!$B$3)^(J$3-$B$3)),"")</f>
        <v/>
      </c>
      <c r="K73" s="355" t="str">
        <f>IF(K$3&lt;=time,'Attributable fraction'!AJ17*(1+Economics!$B$4)^(K$3-$B$3)/((1+Economics!$B$3)^(K$3-$B$3)),"")</f>
        <v/>
      </c>
      <c r="L73" s="355" t="str">
        <f>IF(L$3&lt;=time,'Attributable fraction'!AK17*(1+Economics!$B$4)^(L$3-$B$3)/((1+Economics!$B$3)^(L$3-$B$3)),"")</f>
        <v/>
      </c>
      <c r="M73" s="355" t="str">
        <f>IF(M$3&lt;=time,'Attributable fraction'!AL17*(1+Economics!$B$4)^(M$3-$B$3)/((1+Economics!$B$3)^(M$3-$B$3)),"")</f>
        <v/>
      </c>
      <c r="N73" s="355" t="str">
        <f>IF(N$3&lt;=time,'Attributable fraction'!AM17*(1+Economics!$B$4)^(N$3-$B$3)/((1+Economics!$B$3)^(N$3-$B$3)),"")</f>
        <v/>
      </c>
      <c r="O73" s="355" t="str">
        <f>IF(O$3&lt;=time,'Attributable fraction'!AN17*(1+Economics!$B$4)^(O$3-$B$3)/((1+Economics!$B$3)^(O$3-$B$3)),"")</f>
        <v/>
      </c>
      <c r="P73" s="355" t="str">
        <f>IF(P$3&lt;=time,'Attributable fraction'!AO17*(1+Economics!$B$4)^(P$3-$B$3)/((1+Economics!$B$3)^(P$3-$B$3)),"")</f>
        <v/>
      </c>
      <c r="Q73" s="355" t="str">
        <f>IF(Q$3&lt;=time,'Attributable fraction'!AP17*(1+Economics!$B$4)^(Q$3-$B$3)/((1+Economics!$B$3)^(Q$3-$B$3)),"")</f>
        <v/>
      </c>
      <c r="R73" s="355" t="str">
        <f>IF(R$3&lt;=time,'Attributable fraction'!AQ17*(1+Economics!$B$4)^(R$3-$B$3)/((1+Economics!$B$3)^(R$3-$B$3)),"")</f>
        <v/>
      </c>
      <c r="S73" s="355" t="str">
        <f>IF(S$3&lt;=time,'Attributable fraction'!AR17*(1+Economics!$B$4)^(S$3-$B$3)/((1+Economics!$B$3)^(S$3-$B$3)),"")</f>
        <v/>
      </c>
      <c r="T73" s="355" t="str">
        <f>IF(T$3&lt;=time,'Attributable fraction'!AS17*(1+Economics!$B$4)^(T$3-$B$3)/((1+Economics!$B$3)^(T$3-$B$3)),"")</f>
        <v/>
      </c>
      <c r="U73" s="355" t="str">
        <f>IF(U$3&lt;=time,'Attributable fraction'!AT17*(1+Economics!$B$4)^(U$3-$B$3)/((1+Economics!$B$3)^(U$3-$B$3)),"")</f>
        <v/>
      </c>
      <c r="V73" s="355" t="str">
        <f>IF(V$3&lt;=time,'Attributable fraction'!AU17*(1+Economics!$B$4)^(V$3-$B$3)/((1+Economics!$B$3)^(V$3-$B$3)),"")</f>
        <v/>
      </c>
      <c r="W73" s="355" t="str">
        <f>IF(W$3&lt;=time,'Attributable fraction'!AV17*(1+Economics!$B$4)^(W$3-$B$3)/((1+Economics!$B$3)^(W$3-$B$3)),"")</f>
        <v/>
      </c>
      <c r="X73" s="355" t="str">
        <f>IF(X$3&lt;=time,'Attributable fraction'!AW17*(1+Economics!$B$4)^(X$3-$B$3)/((1+Economics!$B$3)^(X$3-$B$3)),"")</f>
        <v/>
      </c>
      <c r="Y73" s="355" t="str">
        <f>IF(Y$3&lt;=time,'Attributable fraction'!AX17*(1+Economics!$B$4)^(Y$3-$B$3)/((1+Economics!$B$3)^(Y$3-$B$3)),"")</f>
        <v/>
      </c>
      <c r="Z73" s="356" t="str">
        <f>IF(Z$3&lt;=time,'Attributable fraction'!AY17*(1+Economics!$B$4)^(Z$3-$B$3)/((1+Economics!$B$3)^(Z$3-$B$3)),"")</f>
        <v/>
      </c>
      <c r="AC73" s="142">
        <f t="shared" si="12"/>
        <v>0</v>
      </c>
      <c r="AE73" s="376">
        <v>10</v>
      </c>
      <c r="AF73" s="176" t="e">
        <f t="array" ref="AF73">STDEV(IF(B73:Z73&lt;&gt;0,B73:Z73))</f>
        <v>#DIV/0!</v>
      </c>
      <c r="AG73" s="176">
        <v>1.96</v>
      </c>
      <c r="AH73" s="176" t="e">
        <f t="shared" si="13"/>
        <v>#DIV/0!</v>
      </c>
      <c r="AI73" s="176">
        <f t="shared" si="14"/>
        <v>0</v>
      </c>
    </row>
    <row r="74" spans="1:35" s="196" customFormat="1" hidden="1">
      <c r="A74" s="292" t="s">
        <v>13</v>
      </c>
      <c r="B74" s="254"/>
      <c r="F74" s="354"/>
      <c r="H74" s="254"/>
      <c r="L74" s="354"/>
      <c r="N74" s="254"/>
      <c r="R74" s="354"/>
      <c r="T74" s="254"/>
      <c r="X74" s="354"/>
      <c r="Z74" s="203"/>
      <c r="AB74" s="114"/>
      <c r="AD74" s="114"/>
    </row>
    <row r="75" spans="1:35" hidden="1">
      <c r="A75" s="374" t="str">
        <f>Costs!A19</f>
        <v>Set up expenses 1</v>
      </c>
      <c r="B75" s="355">
        <f>IF(B$3&lt;=time,'Attributable fraction'!AA19*(1+Economics!$B$4)^(B$3-$B$3)/((1+Economics!$B$3)^(B$3-$B$3)),"")</f>
        <v>0</v>
      </c>
      <c r="C75" s="355">
        <f>IF(C$3&lt;=time,'Attributable fraction'!AB19*(1+Economics!$B$4)^(C$3-$B$3)/((1+Economics!$B$3)^(C$3-$B$3)),"")</f>
        <v>0</v>
      </c>
      <c r="D75" s="355">
        <f>IF(D$3&lt;=time,'Attributable fraction'!AC19*(1+Economics!$B$4)^(D$3-$B$3)/((1+Economics!$B$3)^(D$3-$B$3)),"")</f>
        <v>0</v>
      </c>
      <c r="E75" s="355">
        <f>IF(E$3&lt;=time,'Attributable fraction'!AD19*(1+Economics!$B$4)^(E$3-$B$3)/((1+Economics!$B$3)^(E$3-$B$3)),"")</f>
        <v>0</v>
      </c>
      <c r="F75" s="355">
        <f>IF(F$3&lt;=time,'Attributable fraction'!AE19*(1+Economics!$B$4)^(F$3-$B$3)/((1+Economics!$B$3)^(F$3-$B$3)),"")</f>
        <v>0</v>
      </c>
      <c r="G75" s="355" t="str">
        <f>IF(G$3&lt;=time,'Attributable fraction'!AF19*(1+Economics!$B$4)^(G$3-$B$3)/((1+Economics!$B$3)^(G$3-$B$3)),"")</f>
        <v/>
      </c>
      <c r="H75" s="355" t="str">
        <f>IF(H$3&lt;=time,'Attributable fraction'!AG19*(1+Economics!$B$4)^(H$3-$B$3)/((1+Economics!$B$3)^(H$3-$B$3)),"")</f>
        <v/>
      </c>
      <c r="I75" s="355" t="str">
        <f>IF(I$3&lt;=time,'Attributable fraction'!AH19*(1+Economics!$B$4)^(I$3-$B$3)/((1+Economics!$B$3)^(I$3-$B$3)),"")</f>
        <v/>
      </c>
      <c r="J75" s="355" t="str">
        <f>IF(J$3&lt;=time,'Attributable fraction'!AI19*(1+Economics!$B$4)^(J$3-$B$3)/((1+Economics!$B$3)^(J$3-$B$3)),"")</f>
        <v/>
      </c>
      <c r="K75" s="355" t="str">
        <f>IF(K$3&lt;=time,'Attributable fraction'!AJ19*(1+Economics!$B$4)^(K$3-$B$3)/((1+Economics!$B$3)^(K$3-$B$3)),"")</f>
        <v/>
      </c>
      <c r="L75" s="355" t="str">
        <f>IF(L$3&lt;=time,'Attributable fraction'!AK19*(1+Economics!$B$4)^(L$3-$B$3)/((1+Economics!$B$3)^(L$3-$B$3)),"")</f>
        <v/>
      </c>
      <c r="M75" s="355" t="str">
        <f>IF(M$3&lt;=time,'Attributable fraction'!AL19*(1+Economics!$B$4)^(M$3-$B$3)/((1+Economics!$B$3)^(M$3-$B$3)),"")</f>
        <v/>
      </c>
      <c r="N75" s="355" t="str">
        <f>IF(N$3&lt;=time,'Attributable fraction'!AM19*(1+Economics!$B$4)^(N$3-$B$3)/((1+Economics!$B$3)^(N$3-$B$3)),"")</f>
        <v/>
      </c>
      <c r="O75" s="355" t="str">
        <f>IF(O$3&lt;=time,'Attributable fraction'!AN19*(1+Economics!$B$4)^(O$3-$B$3)/((1+Economics!$B$3)^(O$3-$B$3)),"")</f>
        <v/>
      </c>
      <c r="P75" s="355" t="str">
        <f>IF(P$3&lt;=time,'Attributable fraction'!AO19*(1+Economics!$B$4)^(P$3-$B$3)/((1+Economics!$B$3)^(P$3-$B$3)),"")</f>
        <v/>
      </c>
      <c r="Q75" s="355" t="str">
        <f>IF(Q$3&lt;=time,'Attributable fraction'!AP19*(1+Economics!$B$4)^(Q$3-$B$3)/((1+Economics!$B$3)^(Q$3-$B$3)),"")</f>
        <v/>
      </c>
      <c r="R75" s="355" t="str">
        <f>IF(R$3&lt;=time,'Attributable fraction'!AQ19*(1+Economics!$B$4)^(R$3-$B$3)/((1+Economics!$B$3)^(R$3-$B$3)),"")</f>
        <v/>
      </c>
      <c r="S75" s="355" t="str">
        <f>IF(S$3&lt;=time,'Attributable fraction'!AR19*(1+Economics!$B$4)^(S$3-$B$3)/((1+Economics!$B$3)^(S$3-$B$3)),"")</f>
        <v/>
      </c>
      <c r="T75" s="355" t="str">
        <f>IF(T$3&lt;=time,'Attributable fraction'!AS19*(1+Economics!$B$4)^(T$3-$B$3)/((1+Economics!$B$3)^(T$3-$B$3)),"")</f>
        <v/>
      </c>
      <c r="U75" s="355" t="str">
        <f>IF(U$3&lt;=time,'Attributable fraction'!AT19*(1+Economics!$B$4)^(U$3-$B$3)/((1+Economics!$B$3)^(U$3-$B$3)),"")</f>
        <v/>
      </c>
      <c r="V75" s="355" t="str">
        <f>IF(V$3&lt;=time,'Attributable fraction'!AU19*(1+Economics!$B$4)^(V$3-$B$3)/((1+Economics!$B$3)^(V$3-$B$3)),"")</f>
        <v/>
      </c>
      <c r="W75" s="355" t="str">
        <f>IF(W$3&lt;=time,'Attributable fraction'!AV19*(1+Economics!$B$4)^(W$3-$B$3)/((1+Economics!$B$3)^(W$3-$B$3)),"")</f>
        <v/>
      </c>
      <c r="X75" s="355" t="str">
        <f>IF(X$3&lt;=time,'Attributable fraction'!AW19*(1+Economics!$B$4)^(X$3-$B$3)/((1+Economics!$B$3)^(X$3-$B$3)),"")</f>
        <v/>
      </c>
      <c r="Y75" s="355" t="str">
        <f>IF(Y$3&lt;=time,'Attributable fraction'!AX19*(1+Economics!$B$4)^(Y$3-$B$3)/((1+Economics!$B$3)^(Y$3-$B$3)),"")</f>
        <v/>
      </c>
      <c r="Z75" s="356" t="str">
        <f>IF(Z$3&lt;=time,'Attributable fraction'!AY19*(1+Economics!$B$4)^(Z$3-$B$3)/((1+Economics!$B$3)^(Z$3-$B$3)),"")</f>
        <v/>
      </c>
      <c r="AC75" s="142">
        <f t="shared" ref="AC75:AC84" si="15">(SUM(IF(ISERROR(Z75),"0",Z75),IF(ISERROR(Y75),"0",Y75),IF(ISERROR(X75),"0",X75),IF(ISERROR(W75),"0",W75),IF(ISERROR(V75),"0",V75),IF(ISERROR(U75),"0",U75),IF(ISERROR(T75),"0",T75),IF(ISERROR(S75),"0",S75),IF(ISERROR(R75),"0",R75),IF(ISERROR(Q75),"0",Q75), IF(ISERROR(P75),"0",P75),IF(ISERROR(O75),"0",O75),IF(ISERROR(N75),"0",N75),IF(ISERROR(M75),"0",M75),IF(ISERROR(L75),"0",L75),IF(ISERROR(K75),"0",K75),IF(ISERROR(J75),"0",J75),IF(ISERROR(I75),"0",I75),IF(ISERROR(H75),"0",H75),IF(ISERROR(G75),"0",G75),IF(ISERROR(F75),"0",F75),IF(ISERROR(E75),"0",E75),IF(ISERROR(D75),"0",D75),IF(ISERROR(C75),"0",C75),IF(ISERROR(B75),"0",B75)))/time</f>
        <v>0</v>
      </c>
      <c r="AE75" s="375">
        <v>1</v>
      </c>
      <c r="AF75" s="176" t="e">
        <f t="array" ref="AF75">STDEV(IF(B75:Z75&lt;&gt;0,B75:Z75))</f>
        <v>#DIV/0!</v>
      </c>
      <c r="AG75" s="176">
        <v>1.96</v>
      </c>
      <c r="AH75" s="176" t="e">
        <f t="shared" ref="AH75:AH84" si="16">(AG75*AF75)/(time^0.5)</f>
        <v>#DIV/0!</v>
      </c>
      <c r="AI75" s="176">
        <f t="shared" si="14"/>
        <v>0</v>
      </c>
    </row>
    <row r="76" spans="1:35" hidden="1">
      <c r="A76" s="374" t="str">
        <f>Costs!A20</f>
        <v>Set up expenses 2</v>
      </c>
      <c r="B76" s="355">
        <f>IF(B$3&lt;=time,'Attributable fraction'!AA20*(1+Economics!$B$4)^(B$3-$B$3)/((1+Economics!$B$3)^(B$3-$B$3)),"")</f>
        <v>0</v>
      </c>
      <c r="C76" s="355">
        <f>IF(C$3&lt;=time,'Attributable fraction'!AB20*(1+Economics!$B$4)^(C$3-$B$3)/((1+Economics!$B$3)^(C$3-$B$3)),"")</f>
        <v>0</v>
      </c>
      <c r="D76" s="355">
        <f>IF(D$3&lt;=time,'Attributable fraction'!AC20*(1+Economics!$B$4)^(D$3-$B$3)/((1+Economics!$B$3)^(D$3-$B$3)),"")</f>
        <v>0</v>
      </c>
      <c r="E76" s="355">
        <f>IF(E$3&lt;=time,'Attributable fraction'!AD20*(1+Economics!$B$4)^(E$3-$B$3)/((1+Economics!$B$3)^(E$3-$B$3)),"")</f>
        <v>0</v>
      </c>
      <c r="F76" s="355">
        <f>IF(F$3&lt;=time,'Attributable fraction'!AE20*(1+Economics!$B$4)^(F$3-$B$3)/((1+Economics!$B$3)^(F$3-$B$3)),"")</f>
        <v>0</v>
      </c>
      <c r="G76" s="355" t="str">
        <f>IF(G$3&lt;=time,'Attributable fraction'!AF20*(1+Economics!$B$4)^(G$3-$B$3)/((1+Economics!$B$3)^(G$3-$B$3)),"")</f>
        <v/>
      </c>
      <c r="H76" s="355" t="str">
        <f>IF(H$3&lt;=time,'Attributable fraction'!AG20*(1+Economics!$B$4)^(H$3-$B$3)/((1+Economics!$B$3)^(H$3-$B$3)),"")</f>
        <v/>
      </c>
      <c r="I76" s="355" t="str">
        <f>IF(I$3&lt;=time,'Attributable fraction'!AH20*(1+Economics!$B$4)^(I$3-$B$3)/((1+Economics!$B$3)^(I$3-$B$3)),"")</f>
        <v/>
      </c>
      <c r="J76" s="355" t="str">
        <f>IF(J$3&lt;=time,'Attributable fraction'!AI20*(1+Economics!$B$4)^(J$3-$B$3)/((1+Economics!$B$3)^(J$3-$B$3)),"")</f>
        <v/>
      </c>
      <c r="K76" s="355" t="str">
        <f>IF(K$3&lt;=time,'Attributable fraction'!AJ20*(1+Economics!$B$4)^(K$3-$B$3)/((1+Economics!$B$3)^(K$3-$B$3)),"")</f>
        <v/>
      </c>
      <c r="L76" s="355" t="str">
        <f>IF(L$3&lt;=time,'Attributable fraction'!AK20*(1+Economics!$B$4)^(L$3-$B$3)/((1+Economics!$B$3)^(L$3-$B$3)),"")</f>
        <v/>
      </c>
      <c r="M76" s="355" t="str">
        <f>IF(M$3&lt;=time,'Attributable fraction'!AL20*(1+Economics!$B$4)^(M$3-$B$3)/((1+Economics!$B$3)^(M$3-$B$3)),"")</f>
        <v/>
      </c>
      <c r="N76" s="355" t="str">
        <f>IF(N$3&lt;=time,'Attributable fraction'!AM20*(1+Economics!$B$4)^(N$3-$B$3)/((1+Economics!$B$3)^(N$3-$B$3)),"")</f>
        <v/>
      </c>
      <c r="O76" s="355" t="str">
        <f>IF(O$3&lt;=time,'Attributable fraction'!AN20*(1+Economics!$B$4)^(O$3-$B$3)/((1+Economics!$B$3)^(O$3-$B$3)),"")</f>
        <v/>
      </c>
      <c r="P76" s="355" t="str">
        <f>IF(P$3&lt;=time,'Attributable fraction'!AO20*(1+Economics!$B$4)^(P$3-$B$3)/((1+Economics!$B$3)^(P$3-$B$3)),"")</f>
        <v/>
      </c>
      <c r="Q76" s="355" t="str">
        <f>IF(Q$3&lt;=time,'Attributable fraction'!AP20*(1+Economics!$B$4)^(Q$3-$B$3)/((1+Economics!$B$3)^(Q$3-$B$3)),"")</f>
        <v/>
      </c>
      <c r="R76" s="355" t="str">
        <f>IF(R$3&lt;=time,'Attributable fraction'!AQ20*(1+Economics!$B$4)^(R$3-$B$3)/((1+Economics!$B$3)^(R$3-$B$3)),"")</f>
        <v/>
      </c>
      <c r="S76" s="355" t="str">
        <f>IF(S$3&lt;=time,'Attributable fraction'!AR20*(1+Economics!$B$4)^(S$3-$B$3)/((1+Economics!$B$3)^(S$3-$B$3)),"")</f>
        <v/>
      </c>
      <c r="T76" s="355" t="str">
        <f>IF(T$3&lt;=time,'Attributable fraction'!AS20*(1+Economics!$B$4)^(T$3-$B$3)/((1+Economics!$B$3)^(T$3-$B$3)),"")</f>
        <v/>
      </c>
      <c r="U76" s="355" t="str">
        <f>IF(U$3&lt;=time,'Attributable fraction'!AT20*(1+Economics!$B$4)^(U$3-$B$3)/((1+Economics!$B$3)^(U$3-$B$3)),"")</f>
        <v/>
      </c>
      <c r="V76" s="355" t="str">
        <f>IF(V$3&lt;=time,'Attributable fraction'!AU20*(1+Economics!$B$4)^(V$3-$B$3)/((1+Economics!$B$3)^(V$3-$B$3)),"")</f>
        <v/>
      </c>
      <c r="W76" s="355" t="str">
        <f>IF(W$3&lt;=time,'Attributable fraction'!AV20*(1+Economics!$B$4)^(W$3-$B$3)/((1+Economics!$B$3)^(W$3-$B$3)),"")</f>
        <v/>
      </c>
      <c r="X76" s="355" t="str">
        <f>IF(X$3&lt;=time,'Attributable fraction'!AW20*(1+Economics!$B$4)^(X$3-$B$3)/((1+Economics!$B$3)^(X$3-$B$3)),"")</f>
        <v/>
      </c>
      <c r="Y76" s="355" t="str">
        <f>IF(Y$3&lt;=time,'Attributable fraction'!AX20*(1+Economics!$B$4)^(Y$3-$B$3)/((1+Economics!$B$3)^(Y$3-$B$3)),"")</f>
        <v/>
      </c>
      <c r="Z76" s="356" t="str">
        <f>IF(Z$3&lt;=time,'Attributable fraction'!AY20*(1+Economics!$B$4)^(Z$3-$B$3)/((1+Economics!$B$3)^(Z$3-$B$3)),"")</f>
        <v/>
      </c>
      <c r="AC76" s="142">
        <f t="shared" si="15"/>
        <v>0</v>
      </c>
      <c r="AE76" s="376">
        <v>2</v>
      </c>
      <c r="AF76" s="176" t="e">
        <f t="array" ref="AF76">STDEV(IF(B76:Z76&lt;&gt;0,B76:Z76))</f>
        <v>#DIV/0!</v>
      </c>
      <c r="AG76" s="176">
        <v>1.96</v>
      </c>
      <c r="AH76" s="176" t="e">
        <f t="shared" si="16"/>
        <v>#DIV/0!</v>
      </c>
      <c r="AI76" s="176">
        <f t="shared" si="14"/>
        <v>0</v>
      </c>
    </row>
    <row r="77" spans="1:35" hidden="1">
      <c r="A77" s="374" t="str">
        <f>Costs!A21</f>
        <v>Set up expenses 3</v>
      </c>
      <c r="B77" s="355">
        <f>IF(B$3&lt;=time,'Attributable fraction'!AA21*(1+Economics!$B$4)^(B$3-$B$3)/((1+Economics!$B$3)^(B$3-$B$3)),"")</f>
        <v>0</v>
      </c>
      <c r="C77" s="355">
        <f>IF(C$3&lt;=time,'Attributable fraction'!AB21*(1+Economics!$B$4)^(C$3-$B$3)/((1+Economics!$B$3)^(C$3-$B$3)),"")</f>
        <v>0</v>
      </c>
      <c r="D77" s="355">
        <f>IF(D$3&lt;=time,'Attributable fraction'!AC21*(1+Economics!$B$4)^(D$3-$B$3)/((1+Economics!$B$3)^(D$3-$B$3)),"")</f>
        <v>0</v>
      </c>
      <c r="E77" s="355">
        <f>IF(E$3&lt;=time,'Attributable fraction'!AD21*(1+Economics!$B$4)^(E$3-$B$3)/((1+Economics!$B$3)^(E$3-$B$3)),"")</f>
        <v>0</v>
      </c>
      <c r="F77" s="355">
        <f>IF(F$3&lt;=time,'Attributable fraction'!AE21*(1+Economics!$B$4)^(F$3-$B$3)/((1+Economics!$B$3)^(F$3-$B$3)),"")</f>
        <v>0</v>
      </c>
      <c r="G77" s="355" t="str">
        <f>IF(G$3&lt;=time,'Attributable fraction'!AF21*(1+Economics!$B$4)^(G$3-$B$3)/((1+Economics!$B$3)^(G$3-$B$3)),"")</f>
        <v/>
      </c>
      <c r="H77" s="355" t="str">
        <f>IF(H$3&lt;=time,'Attributable fraction'!AG21*(1+Economics!$B$4)^(H$3-$B$3)/((1+Economics!$B$3)^(H$3-$B$3)),"")</f>
        <v/>
      </c>
      <c r="I77" s="355" t="str">
        <f>IF(I$3&lt;=time,'Attributable fraction'!AH21*(1+Economics!$B$4)^(I$3-$B$3)/((1+Economics!$B$3)^(I$3-$B$3)),"")</f>
        <v/>
      </c>
      <c r="J77" s="355" t="str">
        <f>IF(J$3&lt;=time,'Attributable fraction'!AI21*(1+Economics!$B$4)^(J$3-$B$3)/((1+Economics!$B$3)^(J$3-$B$3)),"")</f>
        <v/>
      </c>
      <c r="K77" s="355" t="str">
        <f>IF(K$3&lt;=time,'Attributable fraction'!AJ21*(1+Economics!$B$4)^(K$3-$B$3)/((1+Economics!$B$3)^(K$3-$B$3)),"")</f>
        <v/>
      </c>
      <c r="L77" s="355" t="str">
        <f>IF(L$3&lt;=time,'Attributable fraction'!AK21*(1+Economics!$B$4)^(L$3-$B$3)/((1+Economics!$B$3)^(L$3-$B$3)),"")</f>
        <v/>
      </c>
      <c r="M77" s="355" t="str">
        <f>IF(M$3&lt;=time,'Attributable fraction'!AL21*(1+Economics!$B$4)^(M$3-$B$3)/((1+Economics!$B$3)^(M$3-$B$3)),"")</f>
        <v/>
      </c>
      <c r="N77" s="355" t="str">
        <f>IF(N$3&lt;=time,'Attributable fraction'!AM21*(1+Economics!$B$4)^(N$3-$B$3)/((1+Economics!$B$3)^(N$3-$B$3)),"")</f>
        <v/>
      </c>
      <c r="O77" s="355" t="str">
        <f>IF(O$3&lt;=time,'Attributable fraction'!AN21*(1+Economics!$B$4)^(O$3-$B$3)/((1+Economics!$B$3)^(O$3-$B$3)),"")</f>
        <v/>
      </c>
      <c r="P77" s="355" t="str">
        <f>IF(P$3&lt;=time,'Attributable fraction'!AO21*(1+Economics!$B$4)^(P$3-$B$3)/((1+Economics!$B$3)^(P$3-$B$3)),"")</f>
        <v/>
      </c>
      <c r="Q77" s="355" t="str">
        <f>IF(Q$3&lt;=time,'Attributable fraction'!AP21*(1+Economics!$B$4)^(Q$3-$B$3)/((1+Economics!$B$3)^(Q$3-$B$3)),"")</f>
        <v/>
      </c>
      <c r="R77" s="355" t="str">
        <f>IF(R$3&lt;=time,'Attributable fraction'!AQ21*(1+Economics!$B$4)^(R$3-$B$3)/((1+Economics!$B$3)^(R$3-$B$3)),"")</f>
        <v/>
      </c>
      <c r="S77" s="355" t="str">
        <f>IF(S$3&lt;=time,'Attributable fraction'!AR21*(1+Economics!$B$4)^(S$3-$B$3)/((1+Economics!$B$3)^(S$3-$B$3)),"")</f>
        <v/>
      </c>
      <c r="T77" s="355" t="str">
        <f>IF(T$3&lt;=time,'Attributable fraction'!AS21*(1+Economics!$B$4)^(T$3-$B$3)/((1+Economics!$B$3)^(T$3-$B$3)),"")</f>
        <v/>
      </c>
      <c r="U77" s="355" t="str">
        <f>IF(U$3&lt;=time,'Attributable fraction'!AT21*(1+Economics!$B$4)^(U$3-$B$3)/((1+Economics!$B$3)^(U$3-$B$3)),"")</f>
        <v/>
      </c>
      <c r="V77" s="355" t="str">
        <f>IF(V$3&lt;=time,'Attributable fraction'!AU21*(1+Economics!$B$4)^(V$3-$B$3)/((1+Economics!$B$3)^(V$3-$B$3)),"")</f>
        <v/>
      </c>
      <c r="W77" s="355" t="str">
        <f>IF(W$3&lt;=time,'Attributable fraction'!AV21*(1+Economics!$B$4)^(W$3-$B$3)/((1+Economics!$B$3)^(W$3-$B$3)),"")</f>
        <v/>
      </c>
      <c r="X77" s="355" t="str">
        <f>IF(X$3&lt;=time,'Attributable fraction'!AW21*(1+Economics!$B$4)^(X$3-$B$3)/((1+Economics!$B$3)^(X$3-$B$3)),"")</f>
        <v/>
      </c>
      <c r="Y77" s="355" t="str">
        <f>IF(Y$3&lt;=time,'Attributable fraction'!AX21*(1+Economics!$B$4)^(Y$3-$B$3)/((1+Economics!$B$3)^(Y$3-$B$3)),"")</f>
        <v/>
      </c>
      <c r="Z77" s="356" t="str">
        <f>IF(Z$3&lt;=time,'Attributable fraction'!AY21*(1+Economics!$B$4)^(Z$3-$B$3)/((1+Economics!$B$3)^(Z$3-$B$3)),"")</f>
        <v/>
      </c>
      <c r="AC77" s="142">
        <f t="shared" si="15"/>
        <v>0</v>
      </c>
      <c r="AE77" s="376">
        <v>3</v>
      </c>
      <c r="AF77" s="176" t="e">
        <f t="array" ref="AF77">STDEV(IF(B77:Z77&lt;&gt;0,B77:Z77))</f>
        <v>#DIV/0!</v>
      </c>
      <c r="AG77" s="176">
        <v>1.96</v>
      </c>
      <c r="AH77" s="176" t="e">
        <f t="shared" si="16"/>
        <v>#DIV/0!</v>
      </c>
      <c r="AI77" s="176">
        <f t="shared" si="14"/>
        <v>0</v>
      </c>
    </row>
    <row r="78" spans="1:35" hidden="1">
      <c r="A78" s="374" t="str">
        <f>Costs!A22</f>
        <v>Set up expenses 4</v>
      </c>
      <c r="B78" s="355">
        <f>IF(B$3&lt;=time,'Attributable fraction'!AA22*(1+Economics!$B$4)^(B$3-$B$3)/((1+Economics!$B$3)^(B$3-$B$3)),"")</f>
        <v>0</v>
      </c>
      <c r="C78" s="355">
        <f>IF(C$3&lt;=time,'Attributable fraction'!AB22*(1+Economics!$B$4)^(C$3-$B$3)/((1+Economics!$B$3)^(C$3-$B$3)),"")</f>
        <v>0</v>
      </c>
      <c r="D78" s="355">
        <f>IF(D$3&lt;=time,'Attributable fraction'!AC22*(1+Economics!$B$4)^(D$3-$B$3)/((1+Economics!$B$3)^(D$3-$B$3)),"")</f>
        <v>0</v>
      </c>
      <c r="E78" s="355">
        <f>IF(E$3&lt;=time,'Attributable fraction'!AD22*(1+Economics!$B$4)^(E$3-$B$3)/((1+Economics!$B$3)^(E$3-$B$3)),"")</f>
        <v>0</v>
      </c>
      <c r="F78" s="355">
        <f>IF(F$3&lt;=time,'Attributable fraction'!AE22*(1+Economics!$B$4)^(F$3-$B$3)/((1+Economics!$B$3)^(F$3-$B$3)),"")</f>
        <v>0</v>
      </c>
      <c r="G78" s="355" t="str">
        <f>IF(G$3&lt;=time,'Attributable fraction'!AF22*(1+Economics!$B$4)^(G$3-$B$3)/((1+Economics!$B$3)^(G$3-$B$3)),"")</f>
        <v/>
      </c>
      <c r="H78" s="355" t="str">
        <f>IF(H$3&lt;=time,'Attributable fraction'!AG22*(1+Economics!$B$4)^(H$3-$B$3)/((1+Economics!$B$3)^(H$3-$B$3)),"")</f>
        <v/>
      </c>
      <c r="I78" s="355" t="str">
        <f>IF(I$3&lt;=time,'Attributable fraction'!AH22*(1+Economics!$B$4)^(I$3-$B$3)/((1+Economics!$B$3)^(I$3-$B$3)),"")</f>
        <v/>
      </c>
      <c r="J78" s="355" t="str">
        <f>IF(J$3&lt;=time,'Attributable fraction'!AI22*(1+Economics!$B$4)^(J$3-$B$3)/((1+Economics!$B$3)^(J$3-$B$3)),"")</f>
        <v/>
      </c>
      <c r="K78" s="355" t="str">
        <f>IF(K$3&lt;=time,'Attributable fraction'!AJ22*(1+Economics!$B$4)^(K$3-$B$3)/((1+Economics!$B$3)^(K$3-$B$3)),"")</f>
        <v/>
      </c>
      <c r="L78" s="355" t="str">
        <f>IF(L$3&lt;=time,'Attributable fraction'!AK22*(1+Economics!$B$4)^(L$3-$B$3)/((1+Economics!$B$3)^(L$3-$B$3)),"")</f>
        <v/>
      </c>
      <c r="M78" s="355" t="str">
        <f>IF(M$3&lt;=time,'Attributable fraction'!AL22*(1+Economics!$B$4)^(M$3-$B$3)/((1+Economics!$B$3)^(M$3-$B$3)),"")</f>
        <v/>
      </c>
      <c r="N78" s="355" t="str">
        <f>IF(N$3&lt;=time,'Attributable fraction'!AM22*(1+Economics!$B$4)^(N$3-$B$3)/((1+Economics!$B$3)^(N$3-$B$3)),"")</f>
        <v/>
      </c>
      <c r="O78" s="355" t="str">
        <f>IF(O$3&lt;=time,'Attributable fraction'!AN22*(1+Economics!$B$4)^(O$3-$B$3)/((1+Economics!$B$3)^(O$3-$B$3)),"")</f>
        <v/>
      </c>
      <c r="P78" s="355" t="str">
        <f>IF(P$3&lt;=time,'Attributable fraction'!AO22*(1+Economics!$B$4)^(P$3-$B$3)/((1+Economics!$B$3)^(P$3-$B$3)),"")</f>
        <v/>
      </c>
      <c r="Q78" s="355" t="str">
        <f>IF(Q$3&lt;=time,'Attributable fraction'!AP22*(1+Economics!$B$4)^(Q$3-$B$3)/((1+Economics!$B$3)^(Q$3-$B$3)),"")</f>
        <v/>
      </c>
      <c r="R78" s="355" t="str">
        <f>IF(R$3&lt;=time,'Attributable fraction'!AQ22*(1+Economics!$B$4)^(R$3-$B$3)/((1+Economics!$B$3)^(R$3-$B$3)),"")</f>
        <v/>
      </c>
      <c r="S78" s="355" t="str">
        <f>IF(S$3&lt;=time,'Attributable fraction'!AR22*(1+Economics!$B$4)^(S$3-$B$3)/((1+Economics!$B$3)^(S$3-$B$3)),"")</f>
        <v/>
      </c>
      <c r="T78" s="355" t="str">
        <f>IF(T$3&lt;=time,'Attributable fraction'!AS22*(1+Economics!$B$4)^(T$3-$B$3)/((1+Economics!$B$3)^(T$3-$B$3)),"")</f>
        <v/>
      </c>
      <c r="U78" s="355" t="str">
        <f>IF(U$3&lt;=time,'Attributable fraction'!AT22*(1+Economics!$B$4)^(U$3-$B$3)/((1+Economics!$B$3)^(U$3-$B$3)),"")</f>
        <v/>
      </c>
      <c r="V78" s="355" t="str">
        <f>IF(V$3&lt;=time,'Attributable fraction'!AU22*(1+Economics!$B$4)^(V$3-$B$3)/((1+Economics!$B$3)^(V$3-$B$3)),"")</f>
        <v/>
      </c>
      <c r="W78" s="355" t="str">
        <f>IF(W$3&lt;=time,'Attributable fraction'!AV22*(1+Economics!$B$4)^(W$3-$B$3)/((1+Economics!$B$3)^(W$3-$B$3)),"")</f>
        <v/>
      </c>
      <c r="X78" s="355" t="str">
        <f>IF(X$3&lt;=time,'Attributable fraction'!AW22*(1+Economics!$B$4)^(X$3-$B$3)/((1+Economics!$B$3)^(X$3-$B$3)),"")</f>
        <v/>
      </c>
      <c r="Y78" s="355" t="str">
        <f>IF(Y$3&lt;=time,'Attributable fraction'!AX22*(1+Economics!$B$4)^(Y$3-$B$3)/((1+Economics!$B$3)^(Y$3-$B$3)),"")</f>
        <v/>
      </c>
      <c r="Z78" s="356" t="str">
        <f>IF(Z$3&lt;=time,'Attributable fraction'!AY22*(1+Economics!$B$4)^(Z$3-$B$3)/((1+Economics!$B$3)^(Z$3-$B$3)),"")</f>
        <v/>
      </c>
      <c r="AC78" s="142">
        <f t="shared" si="15"/>
        <v>0</v>
      </c>
      <c r="AE78" s="376">
        <v>4</v>
      </c>
      <c r="AF78" s="176" t="e">
        <f t="array" ref="AF78">STDEV(IF(B78:Z78&lt;&gt;0,B78:Z78))</f>
        <v>#DIV/0!</v>
      </c>
      <c r="AG78" s="176">
        <v>1.96</v>
      </c>
      <c r="AH78" s="176" t="e">
        <f t="shared" si="16"/>
        <v>#DIV/0!</v>
      </c>
      <c r="AI78" s="176">
        <f t="shared" si="14"/>
        <v>0</v>
      </c>
    </row>
    <row r="79" spans="1:35" hidden="1">
      <c r="A79" s="374" t="str">
        <f>Costs!A23</f>
        <v>Set up expenses 5</v>
      </c>
      <c r="B79" s="355">
        <f>IF(B$3&lt;=time,'Attributable fraction'!AA23*(1+Economics!$B$4)^(B$3-$B$3)/((1+Economics!$B$3)^(B$3-$B$3)),"")</f>
        <v>0</v>
      </c>
      <c r="C79" s="355">
        <f>IF(C$3&lt;=time,'Attributable fraction'!AB23*(1+Economics!$B$4)^(C$3-$B$3)/((1+Economics!$B$3)^(C$3-$B$3)),"")</f>
        <v>0</v>
      </c>
      <c r="D79" s="355">
        <f>IF(D$3&lt;=time,'Attributable fraction'!AC23*(1+Economics!$B$4)^(D$3-$B$3)/((1+Economics!$B$3)^(D$3-$B$3)),"")</f>
        <v>0</v>
      </c>
      <c r="E79" s="355">
        <f>IF(E$3&lt;=time,'Attributable fraction'!AD23*(1+Economics!$B$4)^(E$3-$B$3)/((1+Economics!$B$3)^(E$3-$B$3)),"")</f>
        <v>0</v>
      </c>
      <c r="F79" s="355">
        <f>IF(F$3&lt;=time,'Attributable fraction'!AE23*(1+Economics!$B$4)^(F$3-$B$3)/((1+Economics!$B$3)^(F$3-$B$3)),"")</f>
        <v>0</v>
      </c>
      <c r="G79" s="355" t="str">
        <f>IF(G$3&lt;=time,'Attributable fraction'!AF23*(1+Economics!$B$4)^(G$3-$B$3)/((1+Economics!$B$3)^(G$3-$B$3)),"")</f>
        <v/>
      </c>
      <c r="H79" s="355" t="str">
        <f>IF(H$3&lt;=time,'Attributable fraction'!AG23*(1+Economics!$B$4)^(H$3-$B$3)/((1+Economics!$B$3)^(H$3-$B$3)),"")</f>
        <v/>
      </c>
      <c r="I79" s="355" t="str">
        <f>IF(I$3&lt;=time,'Attributable fraction'!AH23*(1+Economics!$B$4)^(I$3-$B$3)/((1+Economics!$B$3)^(I$3-$B$3)),"")</f>
        <v/>
      </c>
      <c r="J79" s="355" t="str">
        <f>IF(J$3&lt;=time,'Attributable fraction'!AI23*(1+Economics!$B$4)^(J$3-$B$3)/((1+Economics!$B$3)^(J$3-$B$3)),"")</f>
        <v/>
      </c>
      <c r="K79" s="355" t="str">
        <f>IF(K$3&lt;=time,'Attributable fraction'!AJ23*(1+Economics!$B$4)^(K$3-$B$3)/((1+Economics!$B$3)^(K$3-$B$3)),"")</f>
        <v/>
      </c>
      <c r="L79" s="355" t="str">
        <f>IF(L$3&lt;=time,'Attributable fraction'!AK23*(1+Economics!$B$4)^(L$3-$B$3)/((1+Economics!$B$3)^(L$3-$B$3)),"")</f>
        <v/>
      </c>
      <c r="M79" s="355" t="str">
        <f>IF(M$3&lt;=time,'Attributable fraction'!AL23*(1+Economics!$B$4)^(M$3-$B$3)/((1+Economics!$B$3)^(M$3-$B$3)),"")</f>
        <v/>
      </c>
      <c r="N79" s="355" t="str">
        <f>IF(N$3&lt;=time,'Attributable fraction'!AM23*(1+Economics!$B$4)^(N$3-$B$3)/((1+Economics!$B$3)^(N$3-$B$3)),"")</f>
        <v/>
      </c>
      <c r="O79" s="355" t="str">
        <f>IF(O$3&lt;=time,'Attributable fraction'!AN23*(1+Economics!$B$4)^(O$3-$B$3)/((1+Economics!$B$3)^(O$3-$B$3)),"")</f>
        <v/>
      </c>
      <c r="P79" s="355" t="str">
        <f>IF(P$3&lt;=time,'Attributable fraction'!AO23*(1+Economics!$B$4)^(P$3-$B$3)/((1+Economics!$B$3)^(P$3-$B$3)),"")</f>
        <v/>
      </c>
      <c r="Q79" s="355" t="str">
        <f>IF(Q$3&lt;=time,'Attributable fraction'!AP23*(1+Economics!$B$4)^(Q$3-$B$3)/((1+Economics!$B$3)^(Q$3-$B$3)),"")</f>
        <v/>
      </c>
      <c r="R79" s="355" t="str">
        <f>IF(R$3&lt;=time,'Attributable fraction'!AQ23*(1+Economics!$B$4)^(R$3-$B$3)/((1+Economics!$B$3)^(R$3-$B$3)),"")</f>
        <v/>
      </c>
      <c r="S79" s="355" t="str">
        <f>IF(S$3&lt;=time,'Attributable fraction'!AR23*(1+Economics!$B$4)^(S$3-$B$3)/((1+Economics!$B$3)^(S$3-$B$3)),"")</f>
        <v/>
      </c>
      <c r="T79" s="355" t="str">
        <f>IF(T$3&lt;=time,'Attributable fraction'!AS23*(1+Economics!$B$4)^(T$3-$B$3)/((1+Economics!$B$3)^(T$3-$B$3)),"")</f>
        <v/>
      </c>
      <c r="U79" s="355" t="str">
        <f>IF(U$3&lt;=time,'Attributable fraction'!AT23*(1+Economics!$B$4)^(U$3-$B$3)/((1+Economics!$B$3)^(U$3-$B$3)),"")</f>
        <v/>
      </c>
      <c r="V79" s="355" t="str">
        <f>IF(V$3&lt;=time,'Attributable fraction'!AU23*(1+Economics!$B$4)^(V$3-$B$3)/((1+Economics!$B$3)^(V$3-$B$3)),"")</f>
        <v/>
      </c>
      <c r="W79" s="355" t="str">
        <f>IF(W$3&lt;=time,'Attributable fraction'!AV23*(1+Economics!$B$4)^(W$3-$B$3)/((1+Economics!$B$3)^(W$3-$B$3)),"")</f>
        <v/>
      </c>
      <c r="X79" s="355" t="str">
        <f>IF(X$3&lt;=time,'Attributable fraction'!AW23*(1+Economics!$B$4)^(X$3-$B$3)/((1+Economics!$B$3)^(X$3-$B$3)),"")</f>
        <v/>
      </c>
      <c r="Y79" s="355" t="str">
        <f>IF(Y$3&lt;=time,'Attributable fraction'!AX23*(1+Economics!$B$4)^(Y$3-$B$3)/((1+Economics!$B$3)^(Y$3-$B$3)),"")</f>
        <v/>
      </c>
      <c r="Z79" s="356" t="str">
        <f>IF(Z$3&lt;=time,'Attributable fraction'!AY23*(1+Economics!$B$4)^(Z$3-$B$3)/((1+Economics!$B$3)^(Z$3-$B$3)),"")</f>
        <v/>
      </c>
      <c r="AC79" s="142">
        <f t="shared" si="15"/>
        <v>0</v>
      </c>
      <c r="AE79" s="376">
        <v>5</v>
      </c>
      <c r="AF79" s="176" t="e">
        <f t="array" ref="AF79">STDEV(IF(B79:Z79&lt;&gt;0,B79:Z79))</f>
        <v>#DIV/0!</v>
      </c>
      <c r="AG79" s="176">
        <v>1.96</v>
      </c>
      <c r="AH79" s="176" t="e">
        <f t="shared" si="16"/>
        <v>#DIV/0!</v>
      </c>
      <c r="AI79" s="176">
        <f t="shared" si="14"/>
        <v>0</v>
      </c>
    </row>
    <row r="80" spans="1:35" hidden="1">
      <c r="A80" s="374" t="str">
        <f>Costs!A24</f>
        <v>Set up expenses 6</v>
      </c>
      <c r="B80" s="355">
        <f>IF(B$3&lt;=time,'Attributable fraction'!AA24*(1+Economics!$B$4)^(B$3-$B$3)/((1+Economics!$B$3)^(B$3-$B$3)),"")</f>
        <v>0</v>
      </c>
      <c r="C80" s="355">
        <f>IF(C$3&lt;=time,'Attributable fraction'!AB24*(1+Economics!$B$4)^(C$3-$B$3)/((1+Economics!$B$3)^(C$3-$B$3)),"")</f>
        <v>0</v>
      </c>
      <c r="D80" s="355">
        <f>IF(D$3&lt;=time,'Attributable fraction'!AC24*(1+Economics!$B$4)^(D$3-$B$3)/((1+Economics!$B$3)^(D$3-$B$3)),"")</f>
        <v>0</v>
      </c>
      <c r="E80" s="355">
        <f>IF(E$3&lt;=time,'Attributable fraction'!AD24*(1+Economics!$B$4)^(E$3-$B$3)/((1+Economics!$B$3)^(E$3-$B$3)),"")</f>
        <v>0</v>
      </c>
      <c r="F80" s="355">
        <f>IF(F$3&lt;=time,'Attributable fraction'!AE24*(1+Economics!$B$4)^(F$3-$B$3)/((1+Economics!$B$3)^(F$3-$B$3)),"")</f>
        <v>0</v>
      </c>
      <c r="G80" s="355" t="str">
        <f>IF(G$3&lt;=time,'Attributable fraction'!AF24*(1+Economics!$B$4)^(G$3-$B$3)/((1+Economics!$B$3)^(G$3-$B$3)),"")</f>
        <v/>
      </c>
      <c r="H80" s="355" t="str">
        <f>IF(H$3&lt;=time,'Attributable fraction'!AG24*(1+Economics!$B$4)^(H$3-$B$3)/((1+Economics!$B$3)^(H$3-$B$3)),"")</f>
        <v/>
      </c>
      <c r="I80" s="355" t="str">
        <f>IF(I$3&lt;=time,'Attributable fraction'!AH24*(1+Economics!$B$4)^(I$3-$B$3)/((1+Economics!$B$3)^(I$3-$B$3)),"")</f>
        <v/>
      </c>
      <c r="J80" s="355" t="str">
        <f>IF(J$3&lt;=time,'Attributable fraction'!AI24*(1+Economics!$B$4)^(J$3-$B$3)/((1+Economics!$B$3)^(J$3-$B$3)),"")</f>
        <v/>
      </c>
      <c r="K80" s="355" t="str">
        <f>IF(K$3&lt;=time,'Attributable fraction'!AJ24*(1+Economics!$B$4)^(K$3-$B$3)/((1+Economics!$B$3)^(K$3-$B$3)),"")</f>
        <v/>
      </c>
      <c r="L80" s="355" t="str">
        <f>IF(L$3&lt;=time,'Attributable fraction'!AK24*(1+Economics!$B$4)^(L$3-$B$3)/((1+Economics!$B$3)^(L$3-$B$3)),"")</f>
        <v/>
      </c>
      <c r="M80" s="355" t="str">
        <f>IF(M$3&lt;=time,'Attributable fraction'!AL24*(1+Economics!$B$4)^(M$3-$B$3)/((1+Economics!$B$3)^(M$3-$B$3)),"")</f>
        <v/>
      </c>
      <c r="N80" s="355" t="str">
        <f>IF(N$3&lt;=time,'Attributable fraction'!AM24*(1+Economics!$B$4)^(N$3-$B$3)/((1+Economics!$B$3)^(N$3-$B$3)),"")</f>
        <v/>
      </c>
      <c r="O80" s="355" t="str">
        <f>IF(O$3&lt;=time,'Attributable fraction'!AN24*(1+Economics!$B$4)^(O$3-$B$3)/((1+Economics!$B$3)^(O$3-$B$3)),"")</f>
        <v/>
      </c>
      <c r="P80" s="355" t="str">
        <f>IF(P$3&lt;=time,'Attributable fraction'!AO24*(1+Economics!$B$4)^(P$3-$B$3)/((1+Economics!$B$3)^(P$3-$B$3)),"")</f>
        <v/>
      </c>
      <c r="Q80" s="355" t="str">
        <f>IF(Q$3&lt;=time,'Attributable fraction'!AP24*(1+Economics!$B$4)^(Q$3-$B$3)/((1+Economics!$B$3)^(Q$3-$B$3)),"")</f>
        <v/>
      </c>
      <c r="R80" s="355" t="str">
        <f>IF(R$3&lt;=time,'Attributable fraction'!AQ24*(1+Economics!$B$4)^(R$3-$B$3)/((1+Economics!$B$3)^(R$3-$B$3)),"")</f>
        <v/>
      </c>
      <c r="S80" s="355" t="str">
        <f>IF(S$3&lt;=time,'Attributable fraction'!AR24*(1+Economics!$B$4)^(S$3-$B$3)/((1+Economics!$B$3)^(S$3-$B$3)),"")</f>
        <v/>
      </c>
      <c r="T80" s="355" t="str">
        <f>IF(T$3&lt;=time,'Attributable fraction'!AS24*(1+Economics!$B$4)^(T$3-$B$3)/((1+Economics!$B$3)^(T$3-$B$3)),"")</f>
        <v/>
      </c>
      <c r="U80" s="355" t="str">
        <f>IF(U$3&lt;=time,'Attributable fraction'!AT24*(1+Economics!$B$4)^(U$3-$B$3)/((1+Economics!$B$3)^(U$3-$B$3)),"")</f>
        <v/>
      </c>
      <c r="V80" s="355" t="str">
        <f>IF(V$3&lt;=time,'Attributable fraction'!AU24*(1+Economics!$B$4)^(V$3-$B$3)/((1+Economics!$B$3)^(V$3-$B$3)),"")</f>
        <v/>
      </c>
      <c r="W80" s="355" t="str">
        <f>IF(W$3&lt;=time,'Attributable fraction'!AV24*(1+Economics!$B$4)^(W$3-$B$3)/((1+Economics!$B$3)^(W$3-$B$3)),"")</f>
        <v/>
      </c>
      <c r="X80" s="355" t="str">
        <f>IF(X$3&lt;=time,'Attributable fraction'!AW24*(1+Economics!$B$4)^(X$3-$B$3)/((1+Economics!$B$3)^(X$3-$B$3)),"")</f>
        <v/>
      </c>
      <c r="Y80" s="355" t="str">
        <f>IF(Y$3&lt;=time,'Attributable fraction'!AX24*(1+Economics!$B$4)^(Y$3-$B$3)/((1+Economics!$B$3)^(Y$3-$B$3)),"")</f>
        <v/>
      </c>
      <c r="Z80" s="356" t="str">
        <f>IF(Z$3&lt;=time,'Attributable fraction'!AY24*(1+Economics!$B$4)^(Z$3-$B$3)/((1+Economics!$B$3)^(Z$3-$B$3)),"")</f>
        <v/>
      </c>
      <c r="AC80" s="142">
        <f t="shared" si="15"/>
        <v>0</v>
      </c>
      <c r="AE80" s="376">
        <v>6</v>
      </c>
      <c r="AF80" s="176" t="e">
        <f t="array" ref="AF80">STDEV(IF(B80:Z80&lt;&gt;0,B80:Z80))</f>
        <v>#DIV/0!</v>
      </c>
      <c r="AG80" s="176">
        <v>1.96</v>
      </c>
      <c r="AH80" s="176" t="e">
        <f t="shared" si="16"/>
        <v>#DIV/0!</v>
      </c>
      <c r="AI80" s="176">
        <f t="shared" si="14"/>
        <v>0</v>
      </c>
    </row>
    <row r="81" spans="1:35" hidden="1">
      <c r="A81" s="374" t="str">
        <f>Costs!A25</f>
        <v>Set up expenses 7</v>
      </c>
      <c r="B81" s="355">
        <f>IF(B$3&lt;=time,'Attributable fraction'!AA25*(1+Economics!$B$4)^(B$3-$B$3)/((1+Economics!$B$3)^(B$3-$B$3)),"")</f>
        <v>0</v>
      </c>
      <c r="C81" s="355">
        <f>IF(C$3&lt;=time,'Attributable fraction'!AB25*(1+Economics!$B$4)^(C$3-$B$3)/((1+Economics!$B$3)^(C$3-$B$3)),"")</f>
        <v>0</v>
      </c>
      <c r="D81" s="355">
        <f>IF(D$3&lt;=time,'Attributable fraction'!AC25*(1+Economics!$B$4)^(D$3-$B$3)/((1+Economics!$B$3)^(D$3-$B$3)),"")</f>
        <v>0</v>
      </c>
      <c r="E81" s="355">
        <f>IF(E$3&lt;=time,'Attributable fraction'!AD25*(1+Economics!$B$4)^(E$3-$B$3)/((1+Economics!$B$3)^(E$3-$B$3)),"")</f>
        <v>0</v>
      </c>
      <c r="F81" s="355">
        <f>IF(F$3&lt;=time,'Attributable fraction'!AE25*(1+Economics!$B$4)^(F$3-$B$3)/((1+Economics!$B$3)^(F$3-$B$3)),"")</f>
        <v>0</v>
      </c>
      <c r="G81" s="355" t="str">
        <f>IF(G$3&lt;=time,'Attributable fraction'!AF25*(1+Economics!$B$4)^(G$3-$B$3)/((1+Economics!$B$3)^(G$3-$B$3)),"")</f>
        <v/>
      </c>
      <c r="H81" s="355" t="str">
        <f>IF(H$3&lt;=time,'Attributable fraction'!AG25*(1+Economics!$B$4)^(H$3-$B$3)/((1+Economics!$B$3)^(H$3-$B$3)),"")</f>
        <v/>
      </c>
      <c r="I81" s="355" t="str">
        <f>IF(I$3&lt;=time,'Attributable fraction'!AH25*(1+Economics!$B$4)^(I$3-$B$3)/((1+Economics!$B$3)^(I$3-$B$3)),"")</f>
        <v/>
      </c>
      <c r="J81" s="355" t="str">
        <f>IF(J$3&lt;=time,'Attributable fraction'!AI25*(1+Economics!$B$4)^(J$3-$B$3)/((1+Economics!$B$3)^(J$3-$B$3)),"")</f>
        <v/>
      </c>
      <c r="K81" s="355" t="str">
        <f>IF(K$3&lt;=time,'Attributable fraction'!AJ25*(1+Economics!$B$4)^(K$3-$B$3)/((1+Economics!$B$3)^(K$3-$B$3)),"")</f>
        <v/>
      </c>
      <c r="L81" s="355" t="str">
        <f>IF(L$3&lt;=time,'Attributable fraction'!AK25*(1+Economics!$B$4)^(L$3-$B$3)/((1+Economics!$B$3)^(L$3-$B$3)),"")</f>
        <v/>
      </c>
      <c r="M81" s="355" t="str">
        <f>IF(M$3&lt;=time,'Attributable fraction'!AL25*(1+Economics!$B$4)^(M$3-$B$3)/((1+Economics!$B$3)^(M$3-$B$3)),"")</f>
        <v/>
      </c>
      <c r="N81" s="355" t="str">
        <f>IF(N$3&lt;=time,'Attributable fraction'!AM25*(1+Economics!$B$4)^(N$3-$B$3)/((1+Economics!$B$3)^(N$3-$B$3)),"")</f>
        <v/>
      </c>
      <c r="O81" s="355" t="str">
        <f>IF(O$3&lt;=time,'Attributable fraction'!AN25*(1+Economics!$B$4)^(O$3-$B$3)/((1+Economics!$B$3)^(O$3-$B$3)),"")</f>
        <v/>
      </c>
      <c r="P81" s="355" t="str">
        <f>IF(P$3&lt;=time,'Attributable fraction'!AO25*(1+Economics!$B$4)^(P$3-$B$3)/((1+Economics!$B$3)^(P$3-$B$3)),"")</f>
        <v/>
      </c>
      <c r="Q81" s="355" t="str">
        <f>IF(Q$3&lt;=time,'Attributable fraction'!AP25*(1+Economics!$B$4)^(Q$3-$B$3)/((1+Economics!$B$3)^(Q$3-$B$3)),"")</f>
        <v/>
      </c>
      <c r="R81" s="355" t="str">
        <f>IF(R$3&lt;=time,'Attributable fraction'!AQ25*(1+Economics!$B$4)^(R$3-$B$3)/((1+Economics!$B$3)^(R$3-$B$3)),"")</f>
        <v/>
      </c>
      <c r="S81" s="355" t="str">
        <f>IF(S$3&lt;=time,'Attributable fraction'!AR25*(1+Economics!$B$4)^(S$3-$B$3)/((1+Economics!$B$3)^(S$3-$B$3)),"")</f>
        <v/>
      </c>
      <c r="T81" s="355" t="str">
        <f>IF(T$3&lt;=time,'Attributable fraction'!AS25*(1+Economics!$B$4)^(T$3-$B$3)/((1+Economics!$B$3)^(T$3-$B$3)),"")</f>
        <v/>
      </c>
      <c r="U81" s="355" t="str">
        <f>IF(U$3&lt;=time,'Attributable fraction'!AT25*(1+Economics!$B$4)^(U$3-$B$3)/((1+Economics!$B$3)^(U$3-$B$3)),"")</f>
        <v/>
      </c>
      <c r="V81" s="355" t="str">
        <f>IF(V$3&lt;=time,'Attributable fraction'!AU25*(1+Economics!$B$4)^(V$3-$B$3)/((1+Economics!$B$3)^(V$3-$B$3)),"")</f>
        <v/>
      </c>
      <c r="W81" s="355" t="str">
        <f>IF(W$3&lt;=time,'Attributable fraction'!AV25*(1+Economics!$B$4)^(W$3-$B$3)/((1+Economics!$B$3)^(W$3-$B$3)),"")</f>
        <v/>
      </c>
      <c r="X81" s="355" t="str">
        <f>IF(X$3&lt;=time,'Attributable fraction'!AW25*(1+Economics!$B$4)^(X$3-$B$3)/((1+Economics!$B$3)^(X$3-$B$3)),"")</f>
        <v/>
      </c>
      <c r="Y81" s="355" t="str">
        <f>IF(Y$3&lt;=time,'Attributable fraction'!AX25*(1+Economics!$B$4)^(Y$3-$B$3)/((1+Economics!$B$3)^(Y$3-$B$3)),"")</f>
        <v/>
      </c>
      <c r="Z81" s="356" t="str">
        <f>IF(Z$3&lt;=time,'Attributable fraction'!AY25*(1+Economics!$B$4)^(Z$3-$B$3)/((1+Economics!$B$3)^(Z$3-$B$3)),"")</f>
        <v/>
      </c>
      <c r="AC81" s="142">
        <f t="shared" si="15"/>
        <v>0</v>
      </c>
      <c r="AE81" s="376">
        <v>7</v>
      </c>
      <c r="AF81" s="176" t="e">
        <f t="array" ref="AF81">STDEV(IF(B81:Z81&lt;&gt;0,B81:Z81))</f>
        <v>#DIV/0!</v>
      </c>
      <c r="AG81" s="176">
        <v>1.96</v>
      </c>
      <c r="AH81" s="176" t="e">
        <f t="shared" si="16"/>
        <v>#DIV/0!</v>
      </c>
      <c r="AI81" s="176">
        <f t="shared" si="14"/>
        <v>0</v>
      </c>
    </row>
    <row r="82" spans="1:35" hidden="1">
      <c r="A82" s="374" t="str">
        <f>Costs!A26</f>
        <v>Set up expenses 8</v>
      </c>
      <c r="B82" s="355">
        <f>IF(B$3&lt;=time,'Attributable fraction'!AA26*(1+Economics!$B$4)^(B$3-$B$3)/((1+Economics!$B$3)^(B$3-$B$3)),"")</f>
        <v>0</v>
      </c>
      <c r="C82" s="355">
        <f>IF(C$3&lt;=time,'Attributable fraction'!AB26*(1+Economics!$B$4)^(C$3-$B$3)/((1+Economics!$B$3)^(C$3-$B$3)),"")</f>
        <v>0</v>
      </c>
      <c r="D82" s="355">
        <f>IF(D$3&lt;=time,'Attributable fraction'!AC26*(1+Economics!$B$4)^(D$3-$B$3)/((1+Economics!$B$3)^(D$3-$B$3)),"")</f>
        <v>0</v>
      </c>
      <c r="E82" s="355">
        <f>IF(E$3&lt;=time,'Attributable fraction'!AD26*(1+Economics!$B$4)^(E$3-$B$3)/((1+Economics!$B$3)^(E$3-$B$3)),"")</f>
        <v>0</v>
      </c>
      <c r="F82" s="355">
        <f>IF(F$3&lt;=time,'Attributable fraction'!AE26*(1+Economics!$B$4)^(F$3-$B$3)/((1+Economics!$B$3)^(F$3-$B$3)),"")</f>
        <v>0</v>
      </c>
      <c r="G82" s="355" t="str">
        <f>IF(G$3&lt;=time,'Attributable fraction'!AF26*(1+Economics!$B$4)^(G$3-$B$3)/((1+Economics!$B$3)^(G$3-$B$3)),"")</f>
        <v/>
      </c>
      <c r="H82" s="355" t="str">
        <f>IF(H$3&lt;=time,'Attributable fraction'!AG26*(1+Economics!$B$4)^(H$3-$B$3)/((1+Economics!$B$3)^(H$3-$B$3)),"")</f>
        <v/>
      </c>
      <c r="I82" s="355" t="str">
        <f>IF(I$3&lt;=time,'Attributable fraction'!AH26*(1+Economics!$B$4)^(I$3-$B$3)/((1+Economics!$B$3)^(I$3-$B$3)),"")</f>
        <v/>
      </c>
      <c r="J82" s="355" t="str">
        <f>IF(J$3&lt;=time,'Attributable fraction'!AI26*(1+Economics!$B$4)^(J$3-$B$3)/((1+Economics!$B$3)^(J$3-$B$3)),"")</f>
        <v/>
      </c>
      <c r="K82" s="355" t="str">
        <f>IF(K$3&lt;=time,'Attributable fraction'!AJ26*(1+Economics!$B$4)^(K$3-$B$3)/((1+Economics!$B$3)^(K$3-$B$3)),"")</f>
        <v/>
      </c>
      <c r="L82" s="355" t="str">
        <f>IF(L$3&lt;=time,'Attributable fraction'!AK26*(1+Economics!$B$4)^(L$3-$B$3)/((1+Economics!$B$3)^(L$3-$B$3)),"")</f>
        <v/>
      </c>
      <c r="M82" s="355" t="str">
        <f>IF(M$3&lt;=time,'Attributable fraction'!AL26*(1+Economics!$B$4)^(M$3-$B$3)/((1+Economics!$B$3)^(M$3-$B$3)),"")</f>
        <v/>
      </c>
      <c r="N82" s="355" t="str">
        <f>IF(N$3&lt;=time,'Attributable fraction'!AM26*(1+Economics!$B$4)^(N$3-$B$3)/((1+Economics!$B$3)^(N$3-$B$3)),"")</f>
        <v/>
      </c>
      <c r="O82" s="355" t="str">
        <f>IF(O$3&lt;=time,'Attributable fraction'!AN26*(1+Economics!$B$4)^(O$3-$B$3)/((1+Economics!$B$3)^(O$3-$B$3)),"")</f>
        <v/>
      </c>
      <c r="P82" s="355" t="str">
        <f>IF(P$3&lt;=time,'Attributable fraction'!AO26*(1+Economics!$B$4)^(P$3-$B$3)/((1+Economics!$B$3)^(P$3-$B$3)),"")</f>
        <v/>
      </c>
      <c r="Q82" s="355" t="str">
        <f>IF(Q$3&lt;=time,'Attributable fraction'!AP26*(1+Economics!$B$4)^(Q$3-$B$3)/((1+Economics!$B$3)^(Q$3-$B$3)),"")</f>
        <v/>
      </c>
      <c r="R82" s="355" t="str">
        <f>IF(R$3&lt;=time,'Attributable fraction'!AQ26*(1+Economics!$B$4)^(R$3-$B$3)/((1+Economics!$B$3)^(R$3-$B$3)),"")</f>
        <v/>
      </c>
      <c r="S82" s="355" t="str">
        <f>IF(S$3&lt;=time,'Attributable fraction'!AR26*(1+Economics!$B$4)^(S$3-$B$3)/((1+Economics!$B$3)^(S$3-$B$3)),"")</f>
        <v/>
      </c>
      <c r="T82" s="355" t="str">
        <f>IF(T$3&lt;=time,'Attributable fraction'!AS26*(1+Economics!$B$4)^(T$3-$B$3)/((1+Economics!$B$3)^(T$3-$B$3)),"")</f>
        <v/>
      </c>
      <c r="U82" s="355" t="str">
        <f>IF(U$3&lt;=time,'Attributable fraction'!AT26*(1+Economics!$B$4)^(U$3-$B$3)/((1+Economics!$B$3)^(U$3-$B$3)),"")</f>
        <v/>
      </c>
      <c r="V82" s="355" t="str">
        <f>IF(V$3&lt;=time,'Attributable fraction'!AU26*(1+Economics!$B$4)^(V$3-$B$3)/((1+Economics!$B$3)^(V$3-$B$3)),"")</f>
        <v/>
      </c>
      <c r="W82" s="355" t="str">
        <f>IF(W$3&lt;=time,'Attributable fraction'!AV26*(1+Economics!$B$4)^(W$3-$B$3)/((1+Economics!$B$3)^(W$3-$B$3)),"")</f>
        <v/>
      </c>
      <c r="X82" s="355" t="str">
        <f>IF(X$3&lt;=time,'Attributable fraction'!AW26*(1+Economics!$B$4)^(X$3-$B$3)/((1+Economics!$B$3)^(X$3-$B$3)),"")</f>
        <v/>
      </c>
      <c r="Y82" s="355" t="str">
        <f>IF(Y$3&lt;=time,'Attributable fraction'!AX26*(1+Economics!$B$4)^(Y$3-$B$3)/((1+Economics!$B$3)^(Y$3-$B$3)),"")</f>
        <v/>
      </c>
      <c r="Z82" s="356" t="str">
        <f>IF(Z$3&lt;=time,'Attributable fraction'!AY26*(1+Economics!$B$4)^(Z$3-$B$3)/((1+Economics!$B$3)^(Z$3-$B$3)),"")</f>
        <v/>
      </c>
      <c r="AC82" s="142">
        <f t="shared" si="15"/>
        <v>0</v>
      </c>
      <c r="AE82" s="376">
        <v>8</v>
      </c>
      <c r="AF82" s="176" t="e">
        <f t="array" ref="AF82">STDEV(IF(B82:Z82&lt;&gt;0,B82:Z82))</f>
        <v>#DIV/0!</v>
      </c>
      <c r="AG82" s="176">
        <v>1.96</v>
      </c>
      <c r="AH82" s="176" t="e">
        <f t="shared" si="16"/>
        <v>#DIV/0!</v>
      </c>
      <c r="AI82" s="176">
        <f t="shared" si="14"/>
        <v>0</v>
      </c>
    </row>
    <row r="83" spans="1:35" hidden="1">
      <c r="A83" s="374" t="str">
        <f>Costs!A27</f>
        <v>Set up expenses 9</v>
      </c>
      <c r="B83" s="355">
        <f>IF(B$3&lt;=time,'Attributable fraction'!AA27*(1+Economics!$B$4)^(B$3-$B$3)/((1+Economics!$B$3)^(B$3-$B$3)),"")</f>
        <v>0</v>
      </c>
      <c r="C83" s="355">
        <f>IF(C$3&lt;=time,'Attributable fraction'!AB27*(1+Economics!$B$4)^(C$3-$B$3)/((1+Economics!$B$3)^(C$3-$B$3)),"")</f>
        <v>0</v>
      </c>
      <c r="D83" s="355">
        <f>IF(D$3&lt;=time,'Attributable fraction'!AC27*(1+Economics!$B$4)^(D$3-$B$3)/((1+Economics!$B$3)^(D$3-$B$3)),"")</f>
        <v>0</v>
      </c>
      <c r="E83" s="355">
        <f>IF(E$3&lt;=time,'Attributable fraction'!AD27*(1+Economics!$B$4)^(E$3-$B$3)/((1+Economics!$B$3)^(E$3-$B$3)),"")</f>
        <v>0</v>
      </c>
      <c r="F83" s="355">
        <f>IF(F$3&lt;=time,'Attributable fraction'!AE27*(1+Economics!$B$4)^(F$3-$B$3)/((1+Economics!$B$3)^(F$3-$B$3)),"")</f>
        <v>0</v>
      </c>
      <c r="G83" s="355" t="str">
        <f>IF(G$3&lt;=time,'Attributable fraction'!AF27*(1+Economics!$B$4)^(G$3-$B$3)/((1+Economics!$B$3)^(G$3-$B$3)),"")</f>
        <v/>
      </c>
      <c r="H83" s="355" t="str">
        <f>IF(H$3&lt;=time,'Attributable fraction'!AG27*(1+Economics!$B$4)^(H$3-$B$3)/((1+Economics!$B$3)^(H$3-$B$3)),"")</f>
        <v/>
      </c>
      <c r="I83" s="355" t="str">
        <f>IF(I$3&lt;=time,'Attributable fraction'!AH27*(1+Economics!$B$4)^(I$3-$B$3)/((1+Economics!$B$3)^(I$3-$B$3)),"")</f>
        <v/>
      </c>
      <c r="J83" s="355" t="str">
        <f>IF(J$3&lt;=time,'Attributable fraction'!AI27*(1+Economics!$B$4)^(J$3-$B$3)/((1+Economics!$B$3)^(J$3-$B$3)),"")</f>
        <v/>
      </c>
      <c r="K83" s="355" t="str">
        <f>IF(K$3&lt;=time,'Attributable fraction'!AJ27*(1+Economics!$B$4)^(K$3-$B$3)/((1+Economics!$B$3)^(K$3-$B$3)),"")</f>
        <v/>
      </c>
      <c r="L83" s="355" t="str">
        <f>IF(L$3&lt;=time,'Attributable fraction'!AK27*(1+Economics!$B$4)^(L$3-$B$3)/((1+Economics!$B$3)^(L$3-$B$3)),"")</f>
        <v/>
      </c>
      <c r="M83" s="355" t="str">
        <f>IF(M$3&lt;=time,'Attributable fraction'!AL27*(1+Economics!$B$4)^(M$3-$B$3)/((1+Economics!$B$3)^(M$3-$B$3)),"")</f>
        <v/>
      </c>
      <c r="N83" s="355" t="str">
        <f>IF(N$3&lt;=time,'Attributable fraction'!AM27*(1+Economics!$B$4)^(N$3-$B$3)/((1+Economics!$B$3)^(N$3-$B$3)),"")</f>
        <v/>
      </c>
      <c r="O83" s="355" t="str">
        <f>IF(O$3&lt;=time,'Attributable fraction'!AN27*(1+Economics!$B$4)^(O$3-$B$3)/((1+Economics!$B$3)^(O$3-$B$3)),"")</f>
        <v/>
      </c>
      <c r="P83" s="355" t="str">
        <f>IF(P$3&lt;=time,'Attributable fraction'!AO27*(1+Economics!$B$4)^(P$3-$B$3)/((1+Economics!$B$3)^(P$3-$B$3)),"")</f>
        <v/>
      </c>
      <c r="Q83" s="355" t="str">
        <f>IF(Q$3&lt;=time,'Attributable fraction'!AP27*(1+Economics!$B$4)^(Q$3-$B$3)/((1+Economics!$B$3)^(Q$3-$B$3)),"")</f>
        <v/>
      </c>
      <c r="R83" s="355" t="str">
        <f>IF(R$3&lt;=time,'Attributable fraction'!AQ27*(1+Economics!$B$4)^(R$3-$B$3)/((1+Economics!$B$3)^(R$3-$B$3)),"")</f>
        <v/>
      </c>
      <c r="S83" s="355" t="str">
        <f>IF(S$3&lt;=time,'Attributable fraction'!AR27*(1+Economics!$B$4)^(S$3-$B$3)/((1+Economics!$B$3)^(S$3-$B$3)),"")</f>
        <v/>
      </c>
      <c r="T83" s="355" t="str">
        <f>IF(T$3&lt;=time,'Attributable fraction'!AS27*(1+Economics!$B$4)^(T$3-$B$3)/((1+Economics!$B$3)^(T$3-$B$3)),"")</f>
        <v/>
      </c>
      <c r="U83" s="355" t="str">
        <f>IF(U$3&lt;=time,'Attributable fraction'!AT27*(1+Economics!$B$4)^(U$3-$B$3)/((1+Economics!$B$3)^(U$3-$B$3)),"")</f>
        <v/>
      </c>
      <c r="V83" s="355" t="str">
        <f>IF(V$3&lt;=time,'Attributable fraction'!AU27*(1+Economics!$B$4)^(V$3-$B$3)/((1+Economics!$B$3)^(V$3-$B$3)),"")</f>
        <v/>
      </c>
      <c r="W83" s="355" t="str">
        <f>IF(W$3&lt;=time,'Attributable fraction'!AV27*(1+Economics!$B$4)^(W$3-$B$3)/((1+Economics!$B$3)^(W$3-$B$3)),"")</f>
        <v/>
      </c>
      <c r="X83" s="355" t="str">
        <f>IF(X$3&lt;=time,'Attributable fraction'!AW27*(1+Economics!$B$4)^(X$3-$B$3)/((1+Economics!$B$3)^(X$3-$B$3)),"")</f>
        <v/>
      </c>
      <c r="Y83" s="355" t="str">
        <f>IF(Y$3&lt;=time,'Attributable fraction'!AX27*(1+Economics!$B$4)^(Y$3-$B$3)/((1+Economics!$B$3)^(Y$3-$B$3)),"")</f>
        <v/>
      </c>
      <c r="Z83" s="356" t="str">
        <f>IF(Z$3&lt;=time,'Attributable fraction'!AY27*(1+Economics!$B$4)^(Z$3-$B$3)/((1+Economics!$B$3)^(Z$3-$B$3)),"")</f>
        <v/>
      </c>
      <c r="AC83" s="142">
        <f t="shared" si="15"/>
        <v>0</v>
      </c>
      <c r="AE83" s="376">
        <v>9</v>
      </c>
      <c r="AF83" s="176" t="e">
        <f t="array" ref="AF83">STDEV(IF(B83:Z83&lt;&gt;0,B83:Z83))</f>
        <v>#DIV/0!</v>
      </c>
      <c r="AG83" s="176">
        <v>1.96</v>
      </c>
      <c r="AH83" s="176" t="e">
        <f t="shared" si="16"/>
        <v>#DIV/0!</v>
      </c>
      <c r="AI83" s="176">
        <f t="shared" si="14"/>
        <v>0</v>
      </c>
    </row>
    <row r="84" spans="1:35" hidden="1">
      <c r="A84" s="374" t="str">
        <f>Costs!A28</f>
        <v>Set up expenses 10</v>
      </c>
      <c r="B84" s="355">
        <f>IF(B$3&lt;=time,'Attributable fraction'!AA28*(1+Economics!$B$4)^(B$3-$B$3)/((1+Economics!$B$3)^(B$3-$B$3)),"")</f>
        <v>0</v>
      </c>
      <c r="C84" s="355">
        <f>IF(C$3&lt;=time,'Attributable fraction'!AB28*(1+Economics!$B$4)^(C$3-$B$3)/((1+Economics!$B$3)^(C$3-$B$3)),"")</f>
        <v>0</v>
      </c>
      <c r="D84" s="355">
        <f>IF(D$3&lt;=time,'Attributable fraction'!AC28*(1+Economics!$B$4)^(D$3-$B$3)/((1+Economics!$B$3)^(D$3-$B$3)),"")</f>
        <v>0</v>
      </c>
      <c r="E84" s="355">
        <f>IF(E$3&lt;=time,'Attributable fraction'!AD28*(1+Economics!$B$4)^(E$3-$B$3)/((1+Economics!$B$3)^(E$3-$B$3)),"")</f>
        <v>0</v>
      </c>
      <c r="F84" s="355">
        <f>IF(F$3&lt;=time,'Attributable fraction'!AE28*(1+Economics!$B$4)^(F$3-$B$3)/((1+Economics!$B$3)^(F$3-$B$3)),"")</f>
        <v>0</v>
      </c>
      <c r="G84" s="355" t="str">
        <f>IF(G$3&lt;=time,'Attributable fraction'!AF28*(1+Economics!$B$4)^(G$3-$B$3)/((1+Economics!$B$3)^(G$3-$B$3)),"")</f>
        <v/>
      </c>
      <c r="H84" s="355" t="str">
        <f>IF(H$3&lt;=time,'Attributable fraction'!AG28*(1+Economics!$B$4)^(H$3-$B$3)/((1+Economics!$B$3)^(H$3-$B$3)),"")</f>
        <v/>
      </c>
      <c r="I84" s="355" t="str">
        <f>IF(I$3&lt;=time,'Attributable fraction'!AH28*(1+Economics!$B$4)^(I$3-$B$3)/((1+Economics!$B$3)^(I$3-$B$3)),"")</f>
        <v/>
      </c>
      <c r="J84" s="355" t="str">
        <f>IF(J$3&lt;=time,'Attributable fraction'!AI28*(1+Economics!$B$4)^(J$3-$B$3)/((1+Economics!$B$3)^(J$3-$B$3)),"")</f>
        <v/>
      </c>
      <c r="K84" s="355" t="str">
        <f>IF(K$3&lt;=time,'Attributable fraction'!AJ28*(1+Economics!$B$4)^(K$3-$B$3)/((1+Economics!$B$3)^(K$3-$B$3)),"")</f>
        <v/>
      </c>
      <c r="L84" s="355" t="str">
        <f>IF(L$3&lt;=time,'Attributable fraction'!AK28*(1+Economics!$B$4)^(L$3-$B$3)/((1+Economics!$B$3)^(L$3-$B$3)),"")</f>
        <v/>
      </c>
      <c r="M84" s="355" t="str">
        <f>IF(M$3&lt;=time,'Attributable fraction'!AL28*(1+Economics!$B$4)^(M$3-$B$3)/((1+Economics!$B$3)^(M$3-$B$3)),"")</f>
        <v/>
      </c>
      <c r="N84" s="355" t="str">
        <f>IF(N$3&lt;=time,'Attributable fraction'!AM28*(1+Economics!$B$4)^(N$3-$B$3)/((1+Economics!$B$3)^(N$3-$B$3)),"")</f>
        <v/>
      </c>
      <c r="O84" s="355" t="str">
        <f>IF(O$3&lt;=time,'Attributable fraction'!AN28*(1+Economics!$B$4)^(O$3-$B$3)/((1+Economics!$B$3)^(O$3-$B$3)),"")</f>
        <v/>
      </c>
      <c r="P84" s="355" t="str">
        <f>IF(P$3&lt;=time,'Attributable fraction'!AO28*(1+Economics!$B$4)^(P$3-$B$3)/((1+Economics!$B$3)^(P$3-$B$3)),"")</f>
        <v/>
      </c>
      <c r="Q84" s="355" t="str">
        <f>IF(Q$3&lt;=time,'Attributable fraction'!AP28*(1+Economics!$B$4)^(Q$3-$B$3)/((1+Economics!$B$3)^(Q$3-$B$3)),"")</f>
        <v/>
      </c>
      <c r="R84" s="355" t="str">
        <f>IF(R$3&lt;=time,'Attributable fraction'!AQ28*(1+Economics!$B$4)^(R$3-$B$3)/((1+Economics!$B$3)^(R$3-$B$3)),"")</f>
        <v/>
      </c>
      <c r="S84" s="355" t="str">
        <f>IF(S$3&lt;=time,'Attributable fraction'!AR28*(1+Economics!$B$4)^(S$3-$B$3)/((1+Economics!$B$3)^(S$3-$B$3)),"")</f>
        <v/>
      </c>
      <c r="T84" s="355" t="str">
        <f>IF(T$3&lt;=time,'Attributable fraction'!AS28*(1+Economics!$B$4)^(T$3-$B$3)/((1+Economics!$B$3)^(T$3-$B$3)),"")</f>
        <v/>
      </c>
      <c r="U84" s="355" t="str">
        <f>IF(U$3&lt;=time,'Attributable fraction'!AT28*(1+Economics!$B$4)^(U$3-$B$3)/((1+Economics!$B$3)^(U$3-$B$3)),"")</f>
        <v/>
      </c>
      <c r="V84" s="355" t="str">
        <f>IF(V$3&lt;=time,'Attributable fraction'!AU28*(1+Economics!$B$4)^(V$3-$B$3)/((1+Economics!$B$3)^(V$3-$B$3)),"")</f>
        <v/>
      </c>
      <c r="W84" s="355" t="str">
        <f>IF(W$3&lt;=time,'Attributable fraction'!AV28*(1+Economics!$B$4)^(W$3-$B$3)/((1+Economics!$B$3)^(W$3-$B$3)),"")</f>
        <v/>
      </c>
      <c r="X84" s="355" t="str">
        <f>IF(X$3&lt;=time,'Attributable fraction'!AW28*(1+Economics!$B$4)^(X$3-$B$3)/((1+Economics!$B$3)^(X$3-$B$3)),"")</f>
        <v/>
      </c>
      <c r="Y84" s="355" t="str">
        <f>IF(Y$3&lt;=time,'Attributable fraction'!AX28*(1+Economics!$B$4)^(Y$3-$B$3)/((1+Economics!$B$3)^(Y$3-$B$3)),"")</f>
        <v/>
      </c>
      <c r="Z84" s="356" t="str">
        <f>IF(Z$3&lt;=time,'Attributable fraction'!AY28*(1+Economics!$B$4)^(Z$3-$B$3)/((1+Economics!$B$3)^(Z$3-$B$3)),"")</f>
        <v/>
      </c>
      <c r="AC84" s="142">
        <f t="shared" si="15"/>
        <v>0</v>
      </c>
      <c r="AE84" s="376">
        <v>10</v>
      </c>
      <c r="AF84" s="176" t="e">
        <f t="array" ref="AF84">STDEV(IF(B84:Z84&lt;&gt;0,B84:Z84))</f>
        <v>#DIV/0!</v>
      </c>
      <c r="AG84" s="176">
        <v>1.96</v>
      </c>
      <c r="AH84" s="176" t="e">
        <f t="shared" si="16"/>
        <v>#DIV/0!</v>
      </c>
      <c r="AI84" s="176">
        <f t="shared" si="14"/>
        <v>0</v>
      </c>
    </row>
    <row r="85" spans="1:35" s="196" customFormat="1" ht="18" hidden="1">
      <c r="A85" s="290" t="s">
        <v>7</v>
      </c>
      <c r="B85" s="255"/>
      <c r="C85" s="255"/>
      <c r="D85" s="255"/>
      <c r="E85" s="255"/>
      <c r="F85" s="255"/>
      <c r="G85" s="255"/>
      <c r="H85" s="255"/>
      <c r="I85" s="255"/>
      <c r="J85" s="255"/>
      <c r="K85" s="255"/>
      <c r="L85" s="255"/>
      <c r="M85" s="255"/>
      <c r="N85" s="255"/>
      <c r="O85" s="255"/>
      <c r="P85" s="255"/>
      <c r="Q85" s="255"/>
      <c r="R85" s="255"/>
      <c r="S85" s="255"/>
      <c r="T85" s="255"/>
      <c r="U85" s="255"/>
      <c r="V85" s="255"/>
      <c r="W85" s="255"/>
      <c r="X85" s="255"/>
      <c r="Y85" s="255"/>
      <c r="Z85" s="377"/>
      <c r="AB85" s="114"/>
      <c r="AD85" s="114"/>
    </row>
    <row r="86" spans="1:35" s="196" customFormat="1" hidden="1">
      <c r="A86" s="292" t="s">
        <v>149</v>
      </c>
      <c r="B86" s="354"/>
      <c r="C86" s="354"/>
      <c r="D86" s="354"/>
      <c r="E86" s="354"/>
      <c r="F86" s="354"/>
      <c r="G86" s="354"/>
      <c r="H86" s="354"/>
      <c r="I86" s="354"/>
      <c r="J86" s="354"/>
      <c r="K86" s="354"/>
      <c r="L86" s="354"/>
      <c r="M86" s="354"/>
      <c r="N86" s="354"/>
      <c r="O86" s="354"/>
      <c r="P86" s="354"/>
      <c r="Q86" s="354"/>
      <c r="R86" s="354"/>
      <c r="S86" s="354"/>
      <c r="T86" s="354"/>
      <c r="U86" s="354"/>
      <c r="V86" s="354"/>
      <c r="W86" s="354"/>
      <c r="X86" s="354"/>
      <c r="Y86" s="354"/>
      <c r="Z86" s="357"/>
      <c r="AB86" s="114"/>
      <c r="AD86" s="114"/>
    </row>
    <row r="87" spans="1:35" hidden="1">
      <c r="A87" s="374" t="str">
        <f>Costs!A31</f>
        <v>Purchasing 1</v>
      </c>
      <c r="B87" s="355">
        <f>IF(B$3&lt;=time,'Attributable fraction'!AA31*(1+Economics!$B$4)^(B$3-$B$3)/((1+Economics!$B$3)^(B$3-$B$3)),"")</f>
        <v>0</v>
      </c>
      <c r="C87" s="355">
        <f>IF(C$3&lt;=time,'Attributable fraction'!AB31*(1+Economics!$B$4)^(C$3-$B$3)/((1+Economics!$B$3)^(C$3-$B$3)),"")</f>
        <v>0</v>
      </c>
      <c r="D87" s="355">
        <f>IF(D$3&lt;=time,'Attributable fraction'!AC31*(1+Economics!$B$4)^(D$3-$B$3)/((1+Economics!$B$3)^(D$3-$B$3)),"")</f>
        <v>0</v>
      </c>
      <c r="E87" s="355">
        <f>IF(E$3&lt;=time,'Attributable fraction'!AD31*(1+Economics!$B$4)^(E$3-$B$3)/((1+Economics!$B$3)^(E$3-$B$3)),"")</f>
        <v>0</v>
      </c>
      <c r="F87" s="355">
        <f>IF(F$3&lt;=time,'Attributable fraction'!AE31*(1+Economics!$B$4)^(F$3-$B$3)/((1+Economics!$B$3)^(F$3-$B$3)),"")</f>
        <v>0</v>
      </c>
      <c r="G87" s="355" t="str">
        <f>IF(G$3&lt;=time,'Attributable fraction'!AF31*(1+Economics!$B$4)^(G$3-$B$3)/((1+Economics!$B$3)^(G$3-$B$3)),"")</f>
        <v/>
      </c>
      <c r="H87" s="355" t="str">
        <f>IF(H$3&lt;=time,'Attributable fraction'!AG31*(1+Economics!$B$4)^(H$3-$B$3)/((1+Economics!$B$3)^(H$3-$B$3)),"")</f>
        <v/>
      </c>
      <c r="I87" s="355" t="str">
        <f>IF(I$3&lt;=time,'Attributable fraction'!AH31*(1+Economics!$B$4)^(I$3-$B$3)/((1+Economics!$B$3)^(I$3-$B$3)),"")</f>
        <v/>
      </c>
      <c r="J87" s="355" t="str">
        <f>IF(J$3&lt;=time,'Attributable fraction'!AI31*(1+Economics!$B$4)^(J$3-$B$3)/((1+Economics!$B$3)^(J$3-$B$3)),"")</f>
        <v/>
      </c>
      <c r="K87" s="355" t="str">
        <f>IF(K$3&lt;=time,'Attributable fraction'!AJ31*(1+Economics!$B$4)^(K$3-$B$3)/((1+Economics!$B$3)^(K$3-$B$3)),"")</f>
        <v/>
      </c>
      <c r="L87" s="355" t="str">
        <f>IF(L$3&lt;=time,'Attributable fraction'!AK31*(1+Economics!$B$4)^(L$3-$B$3)/((1+Economics!$B$3)^(L$3-$B$3)),"")</f>
        <v/>
      </c>
      <c r="M87" s="355" t="str">
        <f>IF(M$3&lt;=time,'Attributable fraction'!AL31*(1+Economics!$B$4)^(M$3-$B$3)/((1+Economics!$B$3)^(M$3-$B$3)),"")</f>
        <v/>
      </c>
      <c r="N87" s="355" t="str">
        <f>IF(N$3&lt;=time,'Attributable fraction'!AM31*(1+Economics!$B$4)^(N$3-$B$3)/((1+Economics!$B$3)^(N$3-$B$3)),"")</f>
        <v/>
      </c>
      <c r="O87" s="355" t="str">
        <f>IF(O$3&lt;=time,'Attributable fraction'!AN31*(1+Economics!$B$4)^(O$3-$B$3)/((1+Economics!$B$3)^(O$3-$B$3)),"")</f>
        <v/>
      </c>
      <c r="P87" s="355" t="str">
        <f>IF(P$3&lt;=time,'Attributable fraction'!AO31*(1+Economics!$B$4)^(P$3-$B$3)/((1+Economics!$B$3)^(P$3-$B$3)),"")</f>
        <v/>
      </c>
      <c r="Q87" s="355" t="str">
        <f>IF(Q$3&lt;=time,'Attributable fraction'!AP31*(1+Economics!$B$4)^(Q$3-$B$3)/((1+Economics!$B$3)^(Q$3-$B$3)),"")</f>
        <v/>
      </c>
      <c r="R87" s="355" t="str">
        <f>IF(R$3&lt;=time,'Attributable fraction'!AQ31*(1+Economics!$B$4)^(R$3-$B$3)/((1+Economics!$B$3)^(R$3-$B$3)),"")</f>
        <v/>
      </c>
      <c r="S87" s="355" t="str">
        <f>IF(S$3&lt;=time,'Attributable fraction'!AR31*(1+Economics!$B$4)^(S$3-$B$3)/((1+Economics!$B$3)^(S$3-$B$3)),"")</f>
        <v/>
      </c>
      <c r="T87" s="355" t="str">
        <f>IF(T$3&lt;=time,'Attributable fraction'!AS31*(1+Economics!$B$4)^(T$3-$B$3)/((1+Economics!$B$3)^(T$3-$B$3)),"")</f>
        <v/>
      </c>
      <c r="U87" s="355" t="str">
        <f>IF(U$3&lt;=time,'Attributable fraction'!AT31*(1+Economics!$B$4)^(U$3-$B$3)/((1+Economics!$B$3)^(U$3-$B$3)),"")</f>
        <v/>
      </c>
      <c r="V87" s="355" t="str">
        <f>IF(V$3&lt;=time,'Attributable fraction'!AU31*(1+Economics!$B$4)^(V$3-$B$3)/((1+Economics!$B$3)^(V$3-$B$3)),"")</f>
        <v/>
      </c>
      <c r="W87" s="355" t="str">
        <f>IF(W$3&lt;=time,'Attributable fraction'!AV31*(1+Economics!$B$4)^(W$3-$B$3)/((1+Economics!$B$3)^(W$3-$B$3)),"")</f>
        <v/>
      </c>
      <c r="X87" s="355" t="str">
        <f>IF(X$3&lt;=time,'Attributable fraction'!AW31*(1+Economics!$B$4)^(X$3-$B$3)/((1+Economics!$B$3)^(X$3-$B$3)),"")</f>
        <v/>
      </c>
      <c r="Y87" s="355" t="str">
        <f>IF(Y$3&lt;=time,'Attributable fraction'!AX31*(1+Economics!$B$4)^(Y$3-$B$3)/((1+Economics!$B$3)^(Y$3-$B$3)),"")</f>
        <v/>
      </c>
      <c r="Z87" s="356" t="str">
        <f>IF(Z$3&lt;=time,'Attributable fraction'!AY31*(1+Economics!$B$4)^(Z$3-$B$3)/((1+Economics!$B$3)^(Z$3-$B$3)),"")</f>
        <v/>
      </c>
      <c r="AC87" s="142">
        <f t="shared" ref="AC87:AC96" si="17">(SUM(IF(ISERROR(Z87),"0",Z87),IF(ISERROR(Y87),"0",Y87),IF(ISERROR(X87),"0",X87),IF(ISERROR(W87),"0",W87),IF(ISERROR(V87),"0",V87),IF(ISERROR(U87),"0",U87),IF(ISERROR(T87),"0",T87),IF(ISERROR(S87),"0",S87),IF(ISERROR(R87),"0",R87),IF(ISERROR(Q87),"0",Q87), IF(ISERROR(P87),"0",P87),IF(ISERROR(O87),"0",O87),IF(ISERROR(N87),"0",N87),IF(ISERROR(M87),"0",M87),IF(ISERROR(L87),"0",L87),IF(ISERROR(K87),"0",K87),IF(ISERROR(J87),"0",J87),IF(ISERROR(I87),"0",I87),IF(ISERROR(H87),"0",H87),IF(ISERROR(G87),"0",G87),IF(ISERROR(F87),"0",F87),IF(ISERROR(E87),"0",E87),IF(ISERROR(D87),"0",D87),IF(ISERROR(C87),"0",C87),IF(ISERROR(B87),"0",B87)))/time</f>
        <v>0</v>
      </c>
      <c r="AE87" s="375">
        <v>1</v>
      </c>
      <c r="AF87" s="176" t="e">
        <f t="array" ref="AF87">STDEV(IF(B87:Z87&lt;&gt;0,B87:Z87))</f>
        <v>#DIV/0!</v>
      </c>
      <c r="AG87" s="176">
        <v>1.96</v>
      </c>
      <c r="AH87" s="176" t="e">
        <f t="shared" ref="AH87:AH96" si="18">(AG87*AF87)/(time^0.5)</f>
        <v>#DIV/0!</v>
      </c>
      <c r="AI87" s="176">
        <f t="shared" si="14"/>
        <v>0</v>
      </c>
    </row>
    <row r="88" spans="1:35" hidden="1">
      <c r="A88" s="374" t="str">
        <f>Costs!A32</f>
        <v>Purchasing 2</v>
      </c>
      <c r="B88" s="355">
        <f>IF(B$3&lt;=time,'Attributable fraction'!AA32*(1+Economics!$B$4)^(B$3-$B$3)/((1+Economics!$B$3)^(B$3-$B$3)),"")</f>
        <v>0</v>
      </c>
      <c r="C88" s="355">
        <f>IF(C$3&lt;=time,'Attributable fraction'!AB32*(1+Economics!$B$4)^(C$3-$B$3)/((1+Economics!$B$3)^(C$3-$B$3)),"")</f>
        <v>0</v>
      </c>
      <c r="D88" s="355">
        <f>IF(D$3&lt;=time,'Attributable fraction'!AC32*(1+Economics!$B$4)^(D$3-$B$3)/((1+Economics!$B$3)^(D$3-$B$3)),"")</f>
        <v>0</v>
      </c>
      <c r="E88" s="355">
        <f>IF(E$3&lt;=time,'Attributable fraction'!AD32*(1+Economics!$B$4)^(E$3-$B$3)/((1+Economics!$B$3)^(E$3-$B$3)),"")</f>
        <v>0</v>
      </c>
      <c r="F88" s="355">
        <f>IF(F$3&lt;=time,'Attributable fraction'!AE32*(1+Economics!$B$4)^(F$3-$B$3)/((1+Economics!$B$3)^(F$3-$B$3)),"")</f>
        <v>0</v>
      </c>
      <c r="G88" s="355" t="str">
        <f>IF(G$3&lt;=time,'Attributable fraction'!AF32*(1+Economics!$B$4)^(G$3-$B$3)/((1+Economics!$B$3)^(G$3-$B$3)),"")</f>
        <v/>
      </c>
      <c r="H88" s="355" t="str">
        <f>IF(H$3&lt;=time,'Attributable fraction'!AG32*(1+Economics!$B$4)^(H$3-$B$3)/((1+Economics!$B$3)^(H$3-$B$3)),"")</f>
        <v/>
      </c>
      <c r="I88" s="355" t="str">
        <f>IF(I$3&lt;=time,'Attributable fraction'!AH32*(1+Economics!$B$4)^(I$3-$B$3)/((1+Economics!$B$3)^(I$3-$B$3)),"")</f>
        <v/>
      </c>
      <c r="J88" s="355" t="str">
        <f>IF(J$3&lt;=time,'Attributable fraction'!AI32*(1+Economics!$B$4)^(J$3-$B$3)/((1+Economics!$B$3)^(J$3-$B$3)),"")</f>
        <v/>
      </c>
      <c r="K88" s="355" t="str">
        <f>IF(K$3&lt;=time,'Attributable fraction'!AJ32*(1+Economics!$B$4)^(K$3-$B$3)/((1+Economics!$B$3)^(K$3-$B$3)),"")</f>
        <v/>
      </c>
      <c r="L88" s="355" t="str">
        <f>IF(L$3&lt;=time,'Attributable fraction'!AK32*(1+Economics!$B$4)^(L$3-$B$3)/((1+Economics!$B$3)^(L$3-$B$3)),"")</f>
        <v/>
      </c>
      <c r="M88" s="355" t="str">
        <f>IF(M$3&lt;=time,'Attributable fraction'!AL32*(1+Economics!$B$4)^(M$3-$B$3)/((1+Economics!$B$3)^(M$3-$B$3)),"")</f>
        <v/>
      </c>
      <c r="N88" s="355" t="str">
        <f>IF(N$3&lt;=time,'Attributable fraction'!AM32*(1+Economics!$B$4)^(N$3-$B$3)/((1+Economics!$B$3)^(N$3-$B$3)),"")</f>
        <v/>
      </c>
      <c r="O88" s="355" t="str">
        <f>IF(O$3&lt;=time,'Attributable fraction'!AN32*(1+Economics!$B$4)^(O$3-$B$3)/((1+Economics!$B$3)^(O$3-$B$3)),"")</f>
        <v/>
      </c>
      <c r="P88" s="355" t="str">
        <f>IF(P$3&lt;=time,'Attributable fraction'!AO32*(1+Economics!$B$4)^(P$3-$B$3)/((1+Economics!$B$3)^(P$3-$B$3)),"")</f>
        <v/>
      </c>
      <c r="Q88" s="355" t="str">
        <f>IF(Q$3&lt;=time,'Attributable fraction'!AP32*(1+Economics!$B$4)^(Q$3-$B$3)/((1+Economics!$B$3)^(Q$3-$B$3)),"")</f>
        <v/>
      </c>
      <c r="R88" s="355" t="str">
        <f>IF(R$3&lt;=time,'Attributable fraction'!AQ32*(1+Economics!$B$4)^(R$3-$B$3)/((1+Economics!$B$3)^(R$3-$B$3)),"")</f>
        <v/>
      </c>
      <c r="S88" s="355" t="str">
        <f>IF(S$3&lt;=time,'Attributable fraction'!AR32*(1+Economics!$B$4)^(S$3-$B$3)/((1+Economics!$B$3)^(S$3-$B$3)),"")</f>
        <v/>
      </c>
      <c r="T88" s="355" t="str">
        <f>IF(T$3&lt;=time,'Attributable fraction'!AS32*(1+Economics!$B$4)^(T$3-$B$3)/((1+Economics!$B$3)^(T$3-$B$3)),"")</f>
        <v/>
      </c>
      <c r="U88" s="355" t="str">
        <f>IF(U$3&lt;=time,'Attributable fraction'!AT32*(1+Economics!$B$4)^(U$3-$B$3)/((1+Economics!$B$3)^(U$3-$B$3)),"")</f>
        <v/>
      </c>
      <c r="V88" s="355" t="str">
        <f>IF(V$3&lt;=time,'Attributable fraction'!AU32*(1+Economics!$B$4)^(V$3-$B$3)/((1+Economics!$B$3)^(V$3-$B$3)),"")</f>
        <v/>
      </c>
      <c r="W88" s="355" t="str">
        <f>IF(W$3&lt;=time,'Attributable fraction'!AV32*(1+Economics!$B$4)^(W$3-$B$3)/((1+Economics!$B$3)^(W$3-$B$3)),"")</f>
        <v/>
      </c>
      <c r="X88" s="355" t="str">
        <f>IF(X$3&lt;=time,'Attributable fraction'!AW32*(1+Economics!$B$4)^(X$3-$B$3)/((1+Economics!$B$3)^(X$3-$B$3)),"")</f>
        <v/>
      </c>
      <c r="Y88" s="355" t="str">
        <f>IF(Y$3&lt;=time,'Attributable fraction'!AX32*(1+Economics!$B$4)^(Y$3-$B$3)/((1+Economics!$B$3)^(Y$3-$B$3)),"")</f>
        <v/>
      </c>
      <c r="Z88" s="356" t="str">
        <f>IF(Z$3&lt;=time,'Attributable fraction'!AY32*(1+Economics!$B$4)^(Z$3-$B$3)/((1+Economics!$B$3)^(Z$3-$B$3)),"")</f>
        <v/>
      </c>
      <c r="AC88" s="142">
        <f t="shared" si="17"/>
        <v>0</v>
      </c>
      <c r="AE88" s="376">
        <v>2</v>
      </c>
      <c r="AF88" s="176" t="e">
        <f t="array" ref="AF88">STDEV(IF(B88:Z88&lt;&gt;0,B88:Z88))</f>
        <v>#DIV/0!</v>
      </c>
      <c r="AG88" s="176">
        <v>1.96</v>
      </c>
      <c r="AH88" s="176" t="e">
        <f t="shared" si="18"/>
        <v>#DIV/0!</v>
      </c>
      <c r="AI88" s="176">
        <f t="shared" si="14"/>
        <v>0</v>
      </c>
    </row>
    <row r="89" spans="1:35" hidden="1">
      <c r="A89" s="374" t="str">
        <f>Costs!A33</f>
        <v>Purchasing 3</v>
      </c>
      <c r="B89" s="355">
        <f>IF(B$3&lt;=time,'Attributable fraction'!AA33*(1+Economics!$B$4)^(B$3-$B$3)/((1+Economics!$B$3)^(B$3-$B$3)),"")</f>
        <v>0</v>
      </c>
      <c r="C89" s="355">
        <f>IF(C$3&lt;=time,'Attributable fraction'!AB33*(1+Economics!$B$4)^(C$3-$B$3)/((1+Economics!$B$3)^(C$3-$B$3)),"")</f>
        <v>0</v>
      </c>
      <c r="D89" s="355">
        <f>IF(D$3&lt;=time,'Attributable fraction'!AC33*(1+Economics!$B$4)^(D$3-$B$3)/((1+Economics!$B$3)^(D$3-$B$3)),"")</f>
        <v>0</v>
      </c>
      <c r="E89" s="355">
        <f>IF(E$3&lt;=time,'Attributable fraction'!AD33*(1+Economics!$B$4)^(E$3-$B$3)/((1+Economics!$B$3)^(E$3-$B$3)),"")</f>
        <v>0</v>
      </c>
      <c r="F89" s="355">
        <f>IF(F$3&lt;=time,'Attributable fraction'!AE33*(1+Economics!$B$4)^(F$3-$B$3)/((1+Economics!$B$3)^(F$3-$B$3)),"")</f>
        <v>0</v>
      </c>
      <c r="G89" s="355" t="str">
        <f>IF(G$3&lt;=time,'Attributable fraction'!AF33*(1+Economics!$B$4)^(G$3-$B$3)/((1+Economics!$B$3)^(G$3-$B$3)),"")</f>
        <v/>
      </c>
      <c r="H89" s="355" t="str">
        <f>IF(H$3&lt;=time,'Attributable fraction'!AG33*(1+Economics!$B$4)^(H$3-$B$3)/((1+Economics!$B$3)^(H$3-$B$3)),"")</f>
        <v/>
      </c>
      <c r="I89" s="355" t="str">
        <f>IF(I$3&lt;=time,'Attributable fraction'!AH33*(1+Economics!$B$4)^(I$3-$B$3)/((1+Economics!$B$3)^(I$3-$B$3)),"")</f>
        <v/>
      </c>
      <c r="J89" s="355" t="str">
        <f>IF(J$3&lt;=time,'Attributable fraction'!AI33*(1+Economics!$B$4)^(J$3-$B$3)/((1+Economics!$B$3)^(J$3-$B$3)),"")</f>
        <v/>
      </c>
      <c r="K89" s="355" t="str">
        <f>IF(K$3&lt;=time,'Attributable fraction'!AJ33*(1+Economics!$B$4)^(K$3-$B$3)/((1+Economics!$B$3)^(K$3-$B$3)),"")</f>
        <v/>
      </c>
      <c r="L89" s="355" t="str">
        <f>IF(L$3&lt;=time,'Attributable fraction'!AK33*(1+Economics!$B$4)^(L$3-$B$3)/((1+Economics!$B$3)^(L$3-$B$3)),"")</f>
        <v/>
      </c>
      <c r="M89" s="355" t="str">
        <f>IF(M$3&lt;=time,'Attributable fraction'!AL33*(1+Economics!$B$4)^(M$3-$B$3)/((1+Economics!$B$3)^(M$3-$B$3)),"")</f>
        <v/>
      </c>
      <c r="N89" s="355" t="str">
        <f>IF(N$3&lt;=time,'Attributable fraction'!AM33*(1+Economics!$B$4)^(N$3-$B$3)/((1+Economics!$B$3)^(N$3-$B$3)),"")</f>
        <v/>
      </c>
      <c r="O89" s="355" t="str">
        <f>IF(O$3&lt;=time,'Attributable fraction'!AN33*(1+Economics!$B$4)^(O$3-$B$3)/((1+Economics!$B$3)^(O$3-$B$3)),"")</f>
        <v/>
      </c>
      <c r="P89" s="355" t="str">
        <f>IF(P$3&lt;=time,'Attributable fraction'!AO33*(1+Economics!$B$4)^(P$3-$B$3)/((1+Economics!$B$3)^(P$3-$B$3)),"")</f>
        <v/>
      </c>
      <c r="Q89" s="355" t="str">
        <f>IF(Q$3&lt;=time,'Attributable fraction'!AP33*(1+Economics!$B$4)^(Q$3-$B$3)/((1+Economics!$B$3)^(Q$3-$B$3)),"")</f>
        <v/>
      </c>
      <c r="R89" s="355" t="str">
        <f>IF(R$3&lt;=time,'Attributable fraction'!AQ33*(1+Economics!$B$4)^(R$3-$B$3)/((1+Economics!$B$3)^(R$3-$B$3)),"")</f>
        <v/>
      </c>
      <c r="S89" s="355" t="str">
        <f>IF(S$3&lt;=time,'Attributable fraction'!AR33*(1+Economics!$B$4)^(S$3-$B$3)/((1+Economics!$B$3)^(S$3-$B$3)),"")</f>
        <v/>
      </c>
      <c r="T89" s="355" t="str">
        <f>IF(T$3&lt;=time,'Attributable fraction'!AS33*(1+Economics!$B$4)^(T$3-$B$3)/((1+Economics!$B$3)^(T$3-$B$3)),"")</f>
        <v/>
      </c>
      <c r="U89" s="355" t="str">
        <f>IF(U$3&lt;=time,'Attributable fraction'!AT33*(1+Economics!$B$4)^(U$3-$B$3)/((1+Economics!$B$3)^(U$3-$B$3)),"")</f>
        <v/>
      </c>
      <c r="V89" s="355" t="str">
        <f>IF(V$3&lt;=time,'Attributable fraction'!AU33*(1+Economics!$B$4)^(V$3-$B$3)/((1+Economics!$B$3)^(V$3-$B$3)),"")</f>
        <v/>
      </c>
      <c r="W89" s="355" t="str">
        <f>IF(W$3&lt;=time,'Attributable fraction'!AV33*(1+Economics!$B$4)^(W$3-$B$3)/((1+Economics!$B$3)^(W$3-$B$3)),"")</f>
        <v/>
      </c>
      <c r="X89" s="355" t="str">
        <f>IF(X$3&lt;=time,'Attributable fraction'!AW33*(1+Economics!$B$4)^(X$3-$B$3)/((1+Economics!$B$3)^(X$3-$B$3)),"")</f>
        <v/>
      </c>
      <c r="Y89" s="355" t="str">
        <f>IF(Y$3&lt;=time,'Attributable fraction'!AX33*(1+Economics!$B$4)^(Y$3-$B$3)/((1+Economics!$B$3)^(Y$3-$B$3)),"")</f>
        <v/>
      </c>
      <c r="Z89" s="356" t="str">
        <f>IF(Z$3&lt;=time,'Attributable fraction'!AY33*(1+Economics!$B$4)^(Z$3-$B$3)/((1+Economics!$B$3)^(Z$3-$B$3)),"")</f>
        <v/>
      </c>
      <c r="AC89" s="142">
        <f t="shared" si="17"/>
        <v>0</v>
      </c>
      <c r="AE89" s="376">
        <v>3</v>
      </c>
      <c r="AF89" s="176" t="e">
        <f t="array" ref="AF89">STDEV(IF(B89:Z89&lt;&gt;0,B89:Z89))</f>
        <v>#DIV/0!</v>
      </c>
      <c r="AG89" s="176">
        <v>1.96</v>
      </c>
      <c r="AH89" s="176" t="e">
        <f t="shared" si="18"/>
        <v>#DIV/0!</v>
      </c>
      <c r="AI89" s="176">
        <f t="shared" si="14"/>
        <v>0</v>
      </c>
    </row>
    <row r="90" spans="1:35" hidden="1">
      <c r="A90" s="374" t="str">
        <f>Costs!A34</f>
        <v>Purchasing 4</v>
      </c>
      <c r="B90" s="355">
        <f>IF(B$3&lt;=time,'Attributable fraction'!AA34*(1+Economics!$B$4)^(B$3-$B$3)/((1+Economics!$B$3)^(B$3-$B$3)),"")</f>
        <v>0</v>
      </c>
      <c r="C90" s="355">
        <f>IF(C$3&lt;=time,'Attributable fraction'!AB34*(1+Economics!$B$4)^(C$3-$B$3)/((1+Economics!$B$3)^(C$3-$B$3)),"")</f>
        <v>0</v>
      </c>
      <c r="D90" s="355">
        <f>IF(D$3&lt;=time,'Attributable fraction'!AC34*(1+Economics!$B$4)^(D$3-$B$3)/((1+Economics!$B$3)^(D$3-$B$3)),"")</f>
        <v>0</v>
      </c>
      <c r="E90" s="355">
        <f>IF(E$3&lt;=time,'Attributable fraction'!AD34*(1+Economics!$B$4)^(E$3-$B$3)/((1+Economics!$B$3)^(E$3-$B$3)),"")</f>
        <v>0</v>
      </c>
      <c r="F90" s="355">
        <f>IF(F$3&lt;=time,'Attributable fraction'!AE34*(1+Economics!$B$4)^(F$3-$B$3)/((1+Economics!$B$3)^(F$3-$B$3)),"")</f>
        <v>0</v>
      </c>
      <c r="G90" s="355" t="str">
        <f>IF(G$3&lt;=time,'Attributable fraction'!AF34*(1+Economics!$B$4)^(G$3-$B$3)/((1+Economics!$B$3)^(G$3-$B$3)),"")</f>
        <v/>
      </c>
      <c r="H90" s="355" t="str">
        <f>IF(H$3&lt;=time,'Attributable fraction'!AG34*(1+Economics!$B$4)^(H$3-$B$3)/((1+Economics!$B$3)^(H$3-$B$3)),"")</f>
        <v/>
      </c>
      <c r="I90" s="355" t="str">
        <f>IF(I$3&lt;=time,'Attributable fraction'!AH34*(1+Economics!$B$4)^(I$3-$B$3)/((1+Economics!$B$3)^(I$3-$B$3)),"")</f>
        <v/>
      </c>
      <c r="J90" s="355" t="str">
        <f>IF(J$3&lt;=time,'Attributable fraction'!AI34*(1+Economics!$B$4)^(J$3-$B$3)/((1+Economics!$B$3)^(J$3-$B$3)),"")</f>
        <v/>
      </c>
      <c r="K90" s="355" t="str">
        <f>IF(K$3&lt;=time,'Attributable fraction'!AJ34*(1+Economics!$B$4)^(K$3-$B$3)/((1+Economics!$B$3)^(K$3-$B$3)),"")</f>
        <v/>
      </c>
      <c r="L90" s="355" t="str">
        <f>IF(L$3&lt;=time,'Attributable fraction'!AK34*(1+Economics!$B$4)^(L$3-$B$3)/((1+Economics!$B$3)^(L$3-$B$3)),"")</f>
        <v/>
      </c>
      <c r="M90" s="355" t="str">
        <f>IF(M$3&lt;=time,'Attributable fraction'!AL34*(1+Economics!$B$4)^(M$3-$B$3)/((1+Economics!$B$3)^(M$3-$B$3)),"")</f>
        <v/>
      </c>
      <c r="N90" s="355" t="str">
        <f>IF(N$3&lt;=time,'Attributable fraction'!AM34*(1+Economics!$B$4)^(N$3-$B$3)/((1+Economics!$B$3)^(N$3-$B$3)),"")</f>
        <v/>
      </c>
      <c r="O90" s="355" t="str">
        <f>IF(O$3&lt;=time,'Attributable fraction'!AN34*(1+Economics!$B$4)^(O$3-$B$3)/((1+Economics!$B$3)^(O$3-$B$3)),"")</f>
        <v/>
      </c>
      <c r="P90" s="355" t="str">
        <f>IF(P$3&lt;=time,'Attributable fraction'!AO34*(1+Economics!$B$4)^(P$3-$B$3)/((1+Economics!$B$3)^(P$3-$B$3)),"")</f>
        <v/>
      </c>
      <c r="Q90" s="355" t="str">
        <f>IF(Q$3&lt;=time,'Attributable fraction'!AP34*(1+Economics!$B$4)^(Q$3-$B$3)/((1+Economics!$B$3)^(Q$3-$B$3)),"")</f>
        <v/>
      </c>
      <c r="R90" s="355" t="str">
        <f>IF(R$3&lt;=time,'Attributable fraction'!AQ34*(1+Economics!$B$4)^(R$3-$B$3)/((1+Economics!$B$3)^(R$3-$B$3)),"")</f>
        <v/>
      </c>
      <c r="S90" s="355" t="str">
        <f>IF(S$3&lt;=time,'Attributable fraction'!AR34*(1+Economics!$B$4)^(S$3-$B$3)/((1+Economics!$B$3)^(S$3-$B$3)),"")</f>
        <v/>
      </c>
      <c r="T90" s="355" t="str">
        <f>IF(T$3&lt;=time,'Attributable fraction'!AS34*(1+Economics!$B$4)^(T$3-$B$3)/((1+Economics!$B$3)^(T$3-$B$3)),"")</f>
        <v/>
      </c>
      <c r="U90" s="355" t="str">
        <f>IF(U$3&lt;=time,'Attributable fraction'!AT34*(1+Economics!$B$4)^(U$3-$B$3)/((1+Economics!$B$3)^(U$3-$B$3)),"")</f>
        <v/>
      </c>
      <c r="V90" s="355" t="str">
        <f>IF(V$3&lt;=time,'Attributable fraction'!AU34*(1+Economics!$B$4)^(V$3-$B$3)/((1+Economics!$B$3)^(V$3-$B$3)),"")</f>
        <v/>
      </c>
      <c r="W90" s="355" t="str">
        <f>IF(W$3&lt;=time,'Attributable fraction'!AV34*(1+Economics!$B$4)^(W$3-$B$3)/((1+Economics!$B$3)^(W$3-$B$3)),"")</f>
        <v/>
      </c>
      <c r="X90" s="355" t="str">
        <f>IF(X$3&lt;=time,'Attributable fraction'!AW34*(1+Economics!$B$4)^(X$3-$B$3)/((1+Economics!$B$3)^(X$3-$B$3)),"")</f>
        <v/>
      </c>
      <c r="Y90" s="355" t="str">
        <f>IF(Y$3&lt;=time,'Attributable fraction'!AX34*(1+Economics!$B$4)^(Y$3-$B$3)/((1+Economics!$B$3)^(Y$3-$B$3)),"")</f>
        <v/>
      </c>
      <c r="Z90" s="356" t="str">
        <f>IF(Z$3&lt;=time,'Attributable fraction'!AY34*(1+Economics!$B$4)^(Z$3-$B$3)/((1+Economics!$B$3)^(Z$3-$B$3)),"")</f>
        <v/>
      </c>
      <c r="AC90" s="142">
        <f t="shared" si="17"/>
        <v>0</v>
      </c>
      <c r="AE90" s="376">
        <v>4</v>
      </c>
      <c r="AF90" s="176" t="e">
        <f t="array" ref="AF90">STDEV(IF(B90:Z90&lt;&gt;0,B90:Z90))</f>
        <v>#DIV/0!</v>
      </c>
      <c r="AG90" s="176">
        <v>1.96</v>
      </c>
      <c r="AH90" s="176" t="e">
        <f t="shared" si="18"/>
        <v>#DIV/0!</v>
      </c>
      <c r="AI90" s="176">
        <f t="shared" si="14"/>
        <v>0</v>
      </c>
    </row>
    <row r="91" spans="1:35" hidden="1">
      <c r="A91" s="374" t="str">
        <f>Costs!A35</f>
        <v>Purchasing 5</v>
      </c>
      <c r="B91" s="355">
        <f>IF(B$3&lt;=time,'Attributable fraction'!AA35*(1+Economics!$B$4)^(B$3-$B$3)/((1+Economics!$B$3)^(B$3-$B$3)),"")</f>
        <v>0</v>
      </c>
      <c r="C91" s="355">
        <f>IF(C$3&lt;=time,'Attributable fraction'!AB35*(1+Economics!$B$4)^(C$3-$B$3)/((1+Economics!$B$3)^(C$3-$B$3)),"")</f>
        <v>0</v>
      </c>
      <c r="D91" s="355">
        <f>IF(D$3&lt;=time,'Attributable fraction'!AC35*(1+Economics!$B$4)^(D$3-$B$3)/((1+Economics!$B$3)^(D$3-$B$3)),"")</f>
        <v>0</v>
      </c>
      <c r="E91" s="355">
        <f>IF(E$3&lt;=time,'Attributable fraction'!AD35*(1+Economics!$B$4)^(E$3-$B$3)/((1+Economics!$B$3)^(E$3-$B$3)),"")</f>
        <v>0</v>
      </c>
      <c r="F91" s="355">
        <f>IF(F$3&lt;=time,'Attributable fraction'!AE35*(1+Economics!$B$4)^(F$3-$B$3)/((1+Economics!$B$3)^(F$3-$B$3)),"")</f>
        <v>0</v>
      </c>
      <c r="G91" s="355" t="str">
        <f>IF(G$3&lt;=time,'Attributable fraction'!AF35*(1+Economics!$B$4)^(G$3-$B$3)/((1+Economics!$B$3)^(G$3-$B$3)),"")</f>
        <v/>
      </c>
      <c r="H91" s="355" t="str">
        <f>IF(H$3&lt;=time,'Attributable fraction'!AG35*(1+Economics!$B$4)^(H$3-$B$3)/((1+Economics!$B$3)^(H$3-$B$3)),"")</f>
        <v/>
      </c>
      <c r="I91" s="355" t="str">
        <f>IF(I$3&lt;=time,'Attributable fraction'!AH35*(1+Economics!$B$4)^(I$3-$B$3)/((1+Economics!$B$3)^(I$3-$B$3)),"")</f>
        <v/>
      </c>
      <c r="J91" s="355" t="str">
        <f>IF(J$3&lt;=time,'Attributable fraction'!AI35*(1+Economics!$B$4)^(J$3-$B$3)/((1+Economics!$B$3)^(J$3-$B$3)),"")</f>
        <v/>
      </c>
      <c r="K91" s="355" t="str">
        <f>IF(K$3&lt;=time,'Attributable fraction'!AJ35*(1+Economics!$B$4)^(K$3-$B$3)/((1+Economics!$B$3)^(K$3-$B$3)),"")</f>
        <v/>
      </c>
      <c r="L91" s="355" t="str">
        <f>IF(L$3&lt;=time,'Attributable fraction'!AK35*(1+Economics!$B$4)^(L$3-$B$3)/((1+Economics!$B$3)^(L$3-$B$3)),"")</f>
        <v/>
      </c>
      <c r="M91" s="355" t="str">
        <f>IF(M$3&lt;=time,'Attributable fraction'!AL35*(1+Economics!$B$4)^(M$3-$B$3)/((1+Economics!$B$3)^(M$3-$B$3)),"")</f>
        <v/>
      </c>
      <c r="N91" s="355" t="str">
        <f>IF(N$3&lt;=time,'Attributable fraction'!AM35*(1+Economics!$B$4)^(N$3-$B$3)/((1+Economics!$B$3)^(N$3-$B$3)),"")</f>
        <v/>
      </c>
      <c r="O91" s="355" t="str">
        <f>IF(O$3&lt;=time,'Attributable fraction'!AN35*(1+Economics!$B$4)^(O$3-$B$3)/((1+Economics!$B$3)^(O$3-$B$3)),"")</f>
        <v/>
      </c>
      <c r="P91" s="355" t="str">
        <f>IF(P$3&lt;=time,'Attributable fraction'!AO35*(1+Economics!$B$4)^(P$3-$B$3)/((1+Economics!$B$3)^(P$3-$B$3)),"")</f>
        <v/>
      </c>
      <c r="Q91" s="355" t="str">
        <f>IF(Q$3&lt;=time,'Attributable fraction'!AP35*(1+Economics!$B$4)^(Q$3-$B$3)/((1+Economics!$B$3)^(Q$3-$B$3)),"")</f>
        <v/>
      </c>
      <c r="R91" s="355" t="str">
        <f>IF(R$3&lt;=time,'Attributable fraction'!AQ35*(1+Economics!$B$4)^(R$3-$B$3)/((1+Economics!$B$3)^(R$3-$B$3)),"")</f>
        <v/>
      </c>
      <c r="S91" s="355" t="str">
        <f>IF(S$3&lt;=time,'Attributable fraction'!AR35*(1+Economics!$B$4)^(S$3-$B$3)/((1+Economics!$B$3)^(S$3-$B$3)),"")</f>
        <v/>
      </c>
      <c r="T91" s="355" t="str">
        <f>IF(T$3&lt;=time,'Attributable fraction'!AS35*(1+Economics!$B$4)^(T$3-$B$3)/((1+Economics!$B$3)^(T$3-$B$3)),"")</f>
        <v/>
      </c>
      <c r="U91" s="355" t="str">
        <f>IF(U$3&lt;=time,'Attributable fraction'!AT35*(1+Economics!$B$4)^(U$3-$B$3)/((1+Economics!$B$3)^(U$3-$B$3)),"")</f>
        <v/>
      </c>
      <c r="V91" s="355" t="str">
        <f>IF(V$3&lt;=time,'Attributable fraction'!AU35*(1+Economics!$B$4)^(V$3-$B$3)/((1+Economics!$B$3)^(V$3-$B$3)),"")</f>
        <v/>
      </c>
      <c r="W91" s="355" t="str">
        <f>IF(W$3&lt;=time,'Attributable fraction'!AV35*(1+Economics!$B$4)^(W$3-$B$3)/((1+Economics!$B$3)^(W$3-$B$3)),"")</f>
        <v/>
      </c>
      <c r="X91" s="355" t="str">
        <f>IF(X$3&lt;=time,'Attributable fraction'!AW35*(1+Economics!$B$4)^(X$3-$B$3)/((1+Economics!$B$3)^(X$3-$B$3)),"")</f>
        <v/>
      </c>
      <c r="Y91" s="355" t="str">
        <f>IF(Y$3&lt;=time,'Attributable fraction'!AX35*(1+Economics!$B$4)^(Y$3-$B$3)/((1+Economics!$B$3)^(Y$3-$B$3)),"")</f>
        <v/>
      </c>
      <c r="Z91" s="356" t="str">
        <f>IF(Z$3&lt;=time,'Attributable fraction'!AY35*(1+Economics!$B$4)^(Z$3-$B$3)/((1+Economics!$B$3)^(Z$3-$B$3)),"")</f>
        <v/>
      </c>
      <c r="AC91" s="142">
        <f t="shared" si="17"/>
        <v>0</v>
      </c>
      <c r="AE91" s="376">
        <v>5</v>
      </c>
      <c r="AF91" s="176" t="e">
        <f t="array" ref="AF91">STDEV(IF(B91:Z91&lt;&gt;0,B91:Z91))</f>
        <v>#DIV/0!</v>
      </c>
      <c r="AG91" s="176">
        <v>1.96</v>
      </c>
      <c r="AH91" s="176" t="e">
        <f t="shared" si="18"/>
        <v>#DIV/0!</v>
      </c>
      <c r="AI91" s="176">
        <f t="shared" si="14"/>
        <v>0</v>
      </c>
    </row>
    <row r="92" spans="1:35" hidden="1">
      <c r="A92" s="374" t="str">
        <f>Costs!A36</f>
        <v>Purchasing 6</v>
      </c>
      <c r="B92" s="355">
        <f>IF(B$3&lt;=time,'Attributable fraction'!AA36*(1+Economics!$B$4)^(B$3-$B$3)/((1+Economics!$B$3)^(B$3-$B$3)),"")</f>
        <v>0</v>
      </c>
      <c r="C92" s="355">
        <f>IF(C$3&lt;=time,'Attributable fraction'!AB36*(1+Economics!$B$4)^(C$3-$B$3)/((1+Economics!$B$3)^(C$3-$B$3)),"")</f>
        <v>0</v>
      </c>
      <c r="D92" s="355">
        <f>IF(D$3&lt;=time,'Attributable fraction'!AC36*(1+Economics!$B$4)^(D$3-$B$3)/((1+Economics!$B$3)^(D$3-$B$3)),"")</f>
        <v>0</v>
      </c>
      <c r="E92" s="355">
        <f>IF(E$3&lt;=time,'Attributable fraction'!AD36*(1+Economics!$B$4)^(E$3-$B$3)/((1+Economics!$B$3)^(E$3-$B$3)),"")</f>
        <v>0</v>
      </c>
      <c r="F92" s="355">
        <f>IF(F$3&lt;=time,'Attributable fraction'!AE36*(1+Economics!$B$4)^(F$3-$B$3)/((1+Economics!$B$3)^(F$3-$B$3)),"")</f>
        <v>0</v>
      </c>
      <c r="G92" s="355" t="str">
        <f>IF(G$3&lt;=time,'Attributable fraction'!AF36*(1+Economics!$B$4)^(G$3-$B$3)/((1+Economics!$B$3)^(G$3-$B$3)),"")</f>
        <v/>
      </c>
      <c r="H92" s="355" t="str">
        <f>IF(H$3&lt;=time,'Attributable fraction'!AG36*(1+Economics!$B$4)^(H$3-$B$3)/((1+Economics!$B$3)^(H$3-$B$3)),"")</f>
        <v/>
      </c>
      <c r="I92" s="355" t="str">
        <f>IF(I$3&lt;=time,'Attributable fraction'!AH36*(1+Economics!$B$4)^(I$3-$B$3)/((1+Economics!$B$3)^(I$3-$B$3)),"")</f>
        <v/>
      </c>
      <c r="J92" s="355" t="str">
        <f>IF(J$3&lt;=time,'Attributable fraction'!AI36*(1+Economics!$B$4)^(J$3-$B$3)/((1+Economics!$B$3)^(J$3-$B$3)),"")</f>
        <v/>
      </c>
      <c r="K92" s="355" t="str">
        <f>IF(K$3&lt;=time,'Attributable fraction'!AJ36*(1+Economics!$B$4)^(K$3-$B$3)/((1+Economics!$B$3)^(K$3-$B$3)),"")</f>
        <v/>
      </c>
      <c r="L92" s="355" t="str">
        <f>IF(L$3&lt;=time,'Attributable fraction'!AK36*(1+Economics!$B$4)^(L$3-$B$3)/((1+Economics!$B$3)^(L$3-$B$3)),"")</f>
        <v/>
      </c>
      <c r="M92" s="355" t="str">
        <f>IF(M$3&lt;=time,'Attributable fraction'!AL36*(1+Economics!$B$4)^(M$3-$B$3)/((1+Economics!$B$3)^(M$3-$B$3)),"")</f>
        <v/>
      </c>
      <c r="N92" s="355" t="str">
        <f>IF(N$3&lt;=time,'Attributable fraction'!AM36*(1+Economics!$B$4)^(N$3-$B$3)/((1+Economics!$B$3)^(N$3-$B$3)),"")</f>
        <v/>
      </c>
      <c r="O92" s="355" t="str">
        <f>IF(O$3&lt;=time,'Attributable fraction'!AN36*(1+Economics!$B$4)^(O$3-$B$3)/((1+Economics!$B$3)^(O$3-$B$3)),"")</f>
        <v/>
      </c>
      <c r="P92" s="355" t="str">
        <f>IF(P$3&lt;=time,'Attributable fraction'!AO36*(1+Economics!$B$4)^(P$3-$B$3)/((1+Economics!$B$3)^(P$3-$B$3)),"")</f>
        <v/>
      </c>
      <c r="Q92" s="355" t="str">
        <f>IF(Q$3&lt;=time,'Attributable fraction'!AP36*(1+Economics!$B$4)^(Q$3-$B$3)/((1+Economics!$B$3)^(Q$3-$B$3)),"")</f>
        <v/>
      </c>
      <c r="R92" s="355" t="str">
        <f>IF(R$3&lt;=time,'Attributable fraction'!AQ36*(1+Economics!$B$4)^(R$3-$B$3)/((1+Economics!$B$3)^(R$3-$B$3)),"")</f>
        <v/>
      </c>
      <c r="S92" s="355" t="str">
        <f>IF(S$3&lt;=time,'Attributable fraction'!AR36*(1+Economics!$B$4)^(S$3-$B$3)/((1+Economics!$B$3)^(S$3-$B$3)),"")</f>
        <v/>
      </c>
      <c r="T92" s="355" t="str">
        <f>IF(T$3&lt;=time,'Attributable fraction'!AS36*(1+Economics!$B$4)^(T$3-$B$3)/((1+Economics!$B$3)^(T$3-$B$3)),"")</f>
        <v/>
      </c>
      <c r="U92" s="355" t="str">
        <f>IF(U$3&lt;=time,'Attributable fraction'!AT36*(1+Economics!$B$4)^(U$3-$B$3)/((1+Economics!$B$3)^(U$3-$B$3)),"")</f>
        <v/>
      </c>
      <c r="V92" s="355" t="str">
        <f>IF(V$3&lt;=time,'Attributable fraction'!AU36*(1+Economics!$B$4)^(V$3-$B$3)/((1+Economics!$B$3)^(V$3-$B$3)),"")</f>
        <v/>
      </c>
      <c r="W92" s="355" t="str">
        <f>IF(W$3&lt;=time,'Attributable fraction'!AV36*(1+Economics!$B$4)^(W$3-$B$3)/((1+Economics!$B$3)^(W$3-$B$3)),"")</f>
        <v/>
      </c>
      <c r="X92" s="355" t="str">
        <f>IF(X$3&lt;=time,'Attributable fraction'!AW36*(1+Economics!$B$4)^(X$3-$B$3)/((1+Economics!$B$3)^(X$3-$B$3)),"")</f>
        <v/>
      </c>
      <c r="Y92" s="355" t="str">
        <f>IF(Y$3&lt;=time,'Attributable fraction'!AX36*(1+Economics!$B$4)^(Y$3-$B$3)/((1+Economics!$B$3)^(Y$3-$B$3)),"")</f>
        <v/>
      </c>
      <c r="Z92" s="356" t="str">
        <f>IF(Z$3&lt;=time,'Attributable fraction'!AY36*(1+Economics!$B$4)^(Z$3-$B$3)/((1+Economics!$B$3)^(Z$3-$B$3)),"")</f>
        <v/>
      </c>
      <c r="AC92" s="142">
        <f t="shared" si="17"/>
        <v>0</v>
      </c>
      <c r="AE92" s="376">
        <v>6</v>
      </c>
      <c r="AF92" s="176" t="e">
        <f t="array" ref="AF92">STDEV(IF(B92:Z92&lt;&gt;0,B92:Z92))</f>
        <v>#DIV/0!</v>
      </c>
      <c r="AG92" s="176">
        <v>1.96</v>
      </c>
      <c r="AH92" s="176" t="e">
        <f t="shared" si="18"/>
        <v>#DIV/0!</v>
      </c>
      <c r="AI92" s="176">
        <f t="shared" si="14"/>
        <v>0</v>
      </c>
    </row>
    <row r="93" spans="1:35" hidden="1">
      <c r="A93" s="374" t="str">
        <f>Costs!A37</f>
        <v>Purchasing 7</v>
      </c>
      <c r="B93" s="355">
        <f>IF(B$3&lt;=time,'Attributable fraction'!AA37*(1+Economics!$B$4)^(B$3-$B$3)/((1+Economics!$B$3)^(B$3-$B$3)),"")</f>
        <v>0</v>
      </c>
      <c r="C93" s="355">
        <f>IF(C$3&lt;=time,'Attributable fraction'!AB37*(1+Economics!$B$4)^(C$3-$B$3)/((1+Economics!$B$3)^(C$3-$B$3)),"")</f>
        <v>0</v>
      </c>
      <c r="D93" s="355">
        <f>IF(D$3&lt;=time,'Attributable fraction'!AC37*(1+Economics!$B$4)^(D$3-$B$3)/((1+Economics!$B$3)^(D$3-$B$3)),"")</f>
        <v>0</v>
      </c>
      <c r="E93" s="355">
        <f>IF(E$3&lt;=time,'Attributable fraction'!AD37*(1+Economics!$B$4)^(E$3-$B$3)/((1+Economics!$B$3)^(E$3-$B$3)),"")</f>
        <v>0</v>
      </c>
      <c r="F93" s="355">
        <f>IF(F$3&lt;=time,'Attributable fraction'!AE37*(1+Economics!$B$4)^(F$3-$B$3)/((1+Economics!$B$3)^(F$3-$B$3)),"")</f>
        <v>0</v>
      </c>
      <c r="G93" s="355" t="str">
        <f>IF(G$3&lt;=time,'Attributable fraction'!AF37*(1+Economics!$B$4)^(G$3-$B$3)/((1+Economics!$B$3)^(G$3-$B$3)),"")</f>
        <v/>
      </c>
      <c r="H93" s="355" t="str">
        <f>IF(H$3&lt;=time,'Attributable fraction'!AG37*(1+Economics!$B$4)^(H$3-$B$3)/((1+Economics!$B$3)^(H$3-$B$3)),"")</f>
        <v/>
      </c>
      <c r="I93" s="355" t="str">
        <f>IF(I$3&lt;=time,'Attributable fraction'!AH37*(1+Economics!$B$4)^(I$3-$B$3)/((1+Economics!$B$3)^(I$3-$B$3)),"")</f>
        <v/>
      </c>
      <c r="J93" s="355" t="str">
        <f>IF(J$3&lt;=time,'Attributable fraction'!AI37*(1+Economics!$B$4)^(J$3-$B$3)/((1+Economics!$B$3)^(J$3-$B$3)),"")</f>
        <v/>
      </c>
      <c r="K93" s="355" t="str">
        <f>IF(K$3&lt;=time,'Attributable fraction'!AJ37*(1+Economics!$B$4)^(K$3-$B$3)/((1+Economics!$B$3)^(K$3-$B$3)),"")</f>
        <v/>
      </c>
      <c r="L93" s="355" t="str">
        <f>IF(L$3&lt;=time,'Attributable fraction'!AK37*(1+Economics!$B$4)^(L$3-$B$3)/((1+Economics!$B$3)^(L$3-$B$3)),"")</f>
        <v/>
      </c>
      <c r="M93" s="355" t="str">
        <f>IF(M$3&lt;=time,'Attributable fraction'!AL37*(1+Economics!$B$4)^(M$3-$B$3)/((1+Economics!$B$3)^(M$3-$B$3)),"")</f>
        <v/>
      </c>
      <c r="N93" s="355" t="str">
        <f>IF(N$3&lt;=time,'Attributable fraction'!AM37*(1+Economics!$B$4)^(N$3-$B$3)/((1+Economics!$B$3)^(N$3-$B$3)),"")</f>
        <v/>
      </c>
      <c r="O93" s="355" t="str">
        <f>IF(O$3&lt;=time,'Attributable fraction'!AN37*(1+Economics!$B$4)^(O$3-$B$3)/((1+Economics!$B$3)^(O$3-$B$3)),"")</f>
        <v/>
      </c>
      <c r="P93" s="355" t="str">
        <f>IF(P$3&lt;=time,'Attributable fraction'!AO37*(1+Economics!$B$4)^(P$3-$B$3)/((1+Economics!$B$3)^(P$3-$B$3)),"")</f>
        <v/>
      </c>
      <c r="Q93" s="355" t="str">
        <f>IF(Q$3&lt;=time,'Attributable fraction'!AP37*(1+Economics!$B$4)^(Q$3-$B$3)/((1+Economics!$B$3)^(Q$3-$B$3)),"")</f>
        <v/>
      </c>
      <c r="R93" s="355" t="str">
        <f>IF(R$3&lt;=time,'Attributable fraction'!AQ37*(1+Economics!$B$4)^(R$3-$B$3)/((1+Economics!$B$3)^(R$3-$B$3)),"")</f>
        <v/>
      </c>
      <c r="S93" s="355" t="str">
        <f>IF(S$3&lt;=time,'Attributable fraction'!AR37*(1+Economics!$B$4)^(S$3-$B$3)/((1+Economics!$B$3)^(S$3-$B$3)),"")</f>
        <v/>
      </c>
      <c r="T93" s="355" t="str">
        <f>IF(T$3&lt;=time,'Attributable fraction'!AS37*(1+Economics!$B$4)^(T$3-$B$3)/((1+Economics!$B$3)^(T$3-$B$3)),"")</f>
        <v/>
      </c>
      <c r="U93" s="355" t="str">
        <f>IF(U$3&lt;=time,'Attributable fraction'!AT37*(1+Economics!$B$4)^(U$3-$B$3)/((1+Economics!$B$3)^(U$3-$B$3)),"")</f>
        <v/>
      </c>
      <c r="V93" s="355" t="str">
        <f>IF(V$3&lt;=time,'Attributable fraction'!AU37*(1+Economics!$B$4)^(V$3-$B$3)/((1+Economics!$B$3)^(V$3-$B$3)),"")</f>
        <v/>
      </c>
      <c r="W93" s="355" t="str">
        <f>IF(W$3&lt;=time,'Attributable fraction'!AV37*(1+Economics!$B$4)^(W$3-$B$3)/((1+Economics!$B$3)^(W$3-$B$3)),"")</f>
        <v/>
      </c>
      <c r="X93" s="355" t="str">
        <f>IF(X$3&lt;=time,'Attributable fraction'!AW37*(1+Economics!$B$4)^(X$3-$B$3)/((1+Economics!$B$3)^(X$3-$B$3)),"")</f>
        <v/>
      </c>
      <c r="Y93" s="355" t="str">
        <f>IF(Y$3&lt;=time,'Attributable fraction'!AX37*(1+Economics!$B$4)^(Y$3-$B$3)/((1+Economics!$B$3)^(Y$3-$B$3)),"")</f>
        <v/>
      </c>
      <c r="Z93" s="356" t="str">
        <f>IF(Z$3&lt;=time,'Attributable fraction'!AY37*(1+Economics!$B$4)^(Z$3-$B$3)/((1+Economics!$B$3)^(Z$3-$B$3)),"")</f>
        <v/>
      </c>
      <c r="AC93" s="142">
        <f t="shared" si="17"/>
        <v>0</v>
      </c>
      <c r="AE93" s="376">
        <v>7</v>
      </c>
      <c r="AF93" s="176" t="e">
        <f t="array" ref="AF93">STDEV(IF(B93:Z93&lt;&gt;0,B93:Z93))</f>
        <v>#DIV/0!</v>
      </c>
      <c r="AG93" s="176">
        <v>1.96</v>
      </c>
      <c r="AH93" s="176" t="e">
        <f t="shared" si="18"/>
        <v>#DIV/0!</v>
      </c>
      <c r="AI93" s="176">
        <f t="shared" si="14"/>
        <v>0</v>
      </c>
    </row>
    <row r="94" spans="1:35" hidden="1">
      <c r="A94" s="374" t="str">
        <f>Costs!A38</f>
        <v>Purchasing 8</v>
      </c>
      <c r="B94" s="355">
        <f>IF(B$3&lt;=time,'Attributable fraction'!AA38*(1+Economics!$B$4)^(B$3-$B$3)/((1+Economics!$B$3)^(B$3-$B$3)),"")</f>
        <v>0</v>
      </c>
      <c r="C94" s="355">
        <f>IF(C$3&lt;=time,'Attributable fraction'!AB38*(1+Economics!$B$4)^(C$3-$B$3)/((1+Economics!$B$3)^(C$3-$B$3)),"")</f>
        <v>0</v>
      </c>
      <c r="D94" s="355">
        <f>IF(D$3&lt;=time,'Attributable fraction'!AC38*(1+Economics!$B$4)^(D$3-$B$3)/((1+Economics!$B$3)^(D$3-$B$3)),"")</f>
        <v>0</v>
      </c>
      <c r="E94" s="355">
        <f>IF(E$3&lt;=time,'Attributable fraction'!AD38*(1+Economics!$B$4)^(E$3-$B$3)/((1+Economics!$B$3)^(E$3-$B$3)),"")</f>
        <v>0</v>
      </c>
      <c r="F94" s="355">
        <f>IF(F$3&lt;=time,'Attributable fraction'!AE38*(1+Economics!$B$4)^(F$3-$B$3)/((1+Economics!$B$3)^(F$3-$B$3)),"")</f>
        <v>0</v>
      </c>
      <c r="G94" s="355" t="str">
        <f>IF(G$3&lt;=time,'Attributable fraction'!AF38*(1+Economics!$B$4)^(G$3-$B$3)/((1+Economics!$B$3)^(G$3-$B$3)),"")</f>
        <v/>
      </c>
      <c r="H94" s="355" t="str">
        <f>IF(H$3&lt;=time,'Attributable fraction'!AG38*(1+Economics!$B$4)^(H$3-$B$3)/((1+Economics!$B$3)^(H$3-$B$3)),"")</f>
        <v/>
      </c>
      <c r="I94" s="355" t="str">
        <f>IF(I$3&lt;=time,'Attributable fraction'!AH38*(1+Economics!$B$4)^(I$3-$B$3)/((1+Economics!$B$3)^(I$3-$B$3)),"")</f>
        <v/>
      </c>
      <c r="J94" s="355" t="str">
        <f>IF(J$3&lt;=time,'Attributable fraction'!AI38*(1+Economics!$B$4)^(J$3-$B$3)/((1+Economics!$B$3)^(J$3-$B$3)),"")</f>
        <v/>
      </c>
      <c r="K94" s="355" t="str">
        <f>IF(K$3&lt;=time,'Attributable fraction'!AJ38*(1+Economics!$B$4)^(K$3-$B$3)/((1+Economics!$B$3)^(K$3-$B$3)),"")</f>
        <v/>
      </c>
      <c r="L94" s="355" t="str">
        <f>IF(L$3&lt;=time,'Attributable fraction'!AK38*(1+Economics!$B$4)^(L$3-$B$3)/((1+Economics!$B$3)^(L$3-$B$3)),"")</f>
        <v/>
      </c>
      <c r="M94" s="355" t="str">
        <f>IF(M$3&lt;=time,'Attributable fraction'!AL38*(1+Economics!$B$4)^(M$3-$B$3)/((1+Economics!$B$3)^(M$3-$B$3)),"")</f>
        <v/>
      </c>
      <c r="N94" s="355" t="str">
        <f>IF(N$3&lt;=time,'Attributable fraction'!AM38*(1+Economics!$B$4)^(N$3-$B$3)/((1+Economics!$B$3)^(N$3-$B$3)),"")</f>
        <v/>
      </c>
      <c r="O94" s="355" t="str">
        <f>IF(O$3&lt;=time,'Attributable fraction'!AN38*(1+Economics!$B$4)^(O$3-$B$3)/((1+Economics!$B$3)^(O$3-$B$3)),"")</f>
        <v/>
      </c>
      <c r="P94" s="355" t="str">
        <f>IF(P$3&lt;=time,'Attributable fraction'!AO38*(1+Economics!$B$4)^(P$3-$B$3)/((1+Economics!$B$3)^(P$3-$B$3)),"")</f>
        <v/>
      </c>
      <c r="Q94" s="355" t="str">
        <f>IF(Q$3&lt;=time,'Attributable fraction'!AP38*(1+Economics!$B$4)^(Q$3-$B$3)/((1+Economics!$B$3)^(Q$3-$B$3)),"")</f>
        <v/>
      </c>
      <c r="R94" s="355" t="str">
        <f>IF(R$3&lt;=time,'Attributable fraction'!AQ38*(1+Economics!$B$4)^(R$3-$B$3)/((1+Economics!$B$3)^(R$3-$B$3)),"")</f>
        <v/>
      </c>
      <c r="S94" s="355" t="str">
        <f>IF(S$3&lt;=time,'Attributable fraction'!AR38*(1+Economics!$B$4)^(S$3-$B$3)/((1+Economics!$B$3)^(S$3-$B$3)),"")</f>
        <v/>
      </c>
      <c r="T94" s="355" t="str">
        <f>IF(T$3&lt;=time,'Attributable fraction'!AS38*(1+Economics!$B$4)^(T$3-$B$3)/((1+Economics!$B$3)^(T$3-$B$3)),"")</f>
        <v/>
      </c>
      <c r="U94" s="355" t="str">
        <f>IF(U$3&lt;=time,'Attributable fraction'!AT38*(1+Economics!$B$4)^(U$3-$B$3)/((1+Economics!$B$3)^(U$3-$B$3)),"")</f>
        <v/>
      </c>
      <c r="V94" s="355" t="str">
        <f>IF(V$3&lt;=time,'Attributable fraction'!AU38*(1+Economics!$B$4)^(V$3-$B$3)/((1+Economics!$B$3)^(V$3-$B$3)),"")</f>
        <v/>
      </c>
      <c r="W94" s="355" t="str">
        <f>IF(W$3&lt;=time,'Attributable fraction'!AV38*(1+Economics!$B$4)^(W$3-$B$3)/((1+Economics!$B$3)^(W$3-$B$3)),"")</f>
        <v/>
      </c>
      <c r="X94" s="355" t="str">
        <f>IF(X$3&lt;=time,'Attributable fraction'!AW38*(1+Economics!$B$4)^(X$3-$B$3)/((1+Economics!$B$3)^(X$3-$B$3)),"")</f>
        <v/>
      </c>
      <c r="Y94" s="355" t="str">
        <f>IF(Y$3&lt;=time,'Attributable fraction'!AX38*(1+Economics!$B$4)^(Y$3-$B$3)/((1+Economics!$B$3)^(Y$3-$B$3)),"")</f>
        <v/>
      </c>
      <c r="Z94" s="356" t="str">
        <f>IF(Z$3&lt;=time,'Attributable fraction'!AY38*(1+Economics!$B$4)^(Z$3-$B$3)/((1+Economics!$B$3)^(Z$3-$B$3)),"")</f>
        <v/>
      </c>
      <c r="AC94" s="142">
        <f t="shared" si="17"/>
        <v>0</v>
      </c>
      <c r="AE94" s="376">
        <v>8</v>
      </c>
      <c r="AF94" s="176" t="e">
        <f t="array" ref="AF94">STDEV(IF(B94:Z94&lt;&gt;0,B94:Z94))</f>
        <v>#DIV/0!</v>
      </c>
      <c r="AG94" s="176">
        <v>1.96</v>
      </c>
      <c r="AH94" s="176" t="e">
        <f t="shared" si="18"/>
        <v>#DIV/0!</v>
      </c>
      <c r="AI94" s="176">
        <f t="shared" si="14"/>
        <v>0</v>
      </c>
    </row>
    <row r="95" spans="1:35" hidden="1">
      <c r="A95" s="374" t="str">
        <f>Costs!A39</f>
        <v>Purchasing 9</v>
      </c>
      <c r="B95" s="355">
        <f>IF(B$3&lt;=time,'Attributable fraction'!AA39*(1+Economics!$B$4)^(B$3-$B$3)/((1+Economics!$B$3)^(B$3-$B$3)),"")</f>
        <v>0</v>
      </c>
      <c r="C95" s="355">
        <f>IF(C$3&lt;=time,'Attributable fraction'!AB39*(1+Economics!$B$4)^(C$3-$B$3)/((1+Economics!$B$3)^(C$3-$B$3)),"")</f>
        <v>0</v>
      </c>
      <c r="D95" s="355">
        <f>IF(D$3&lt;=time,'Attributable fraction'!AC39*(1+Economics!$B$4)^(D$3-$B$3)/((1+Economics!$B$3)^(D$3-$B$3)),"")</f>
        <v>0</v>
      </c>
      <c r="E95" s="355">
        <f>IF(E$3&lt;=time,'Attributable fraction'!AD39*(1+Economics!$B$4)^(E$3-$B$3)/((1+Economics!$B$3)^(E$3-$B$3)),"")</f>
        <v>0</v>
      </c>
      <c r="F95" s="355">
        <f>IF(F$3&lt;=time,'Attributable fraction'!AE39*(1+Economics!$B$4)^(F$3-$B$3)/((1+Economics!$B$3)^(F$3-$B$3)),"")</f>
        <v>0</v>
      </c>
      <c r="G95" s="355" t="str">
        <f>IF(G$3&lt;=time,'Attributable fraction'!AF39*(1+Economics!$B$4)^(G$3-$B$3)/((1+Economics!$B$3)^(G$3-$B$3)),"")</f>
        <v/>
      </c>
      <c r="H95" s="355" t="str">
        <f>IF(H$3&lt;=time,'Attributable fraction'!AG39*(1+Economics!$B$4)^(H$3-$B$3)/((1+Economics!$B$3)^(H$3-$B$3)),"")</f>
        <v/>
      </c>
      <c r="I95" s="355" t="str">
        <f>IF(I$3&lt;=time,'Attributable fraction'!AH39*(1+Economics!$B$4)^(I$3-$B$3)/((1+Economics!$B$3)^(I$3-$B$3)),"")</f>
        <v/>
      </c>
      <c r="J95" s="355" t="str">
        <f>IF(J$3&lt;=time,'Attributable fraction'!AI39*(1+Economics!$B$4)^(J$3-$B$3)/((1+Economics!$B$3)^(J$3-$B$3)),"")</f>
        <v/>
      </c>
      <c r="K95" s="355" t="str">
        <f>IF(K$3&lt;=time,'Attributable fraction'!AJ39*(1+Economics!$B$4)^(K$3-$B$3)/((1+Economics!$B$3)^(K$3-$B$3)),"")</f>
        <v/>
      </c>
      <c r="L95" s="355" t="str">
        <f>IF(L$3&lt;=time,'Attributable fraction'!AK39*(1+Economics!$B$4)^(L$3-$B$3)/((1+Economics!$B$3)^(L$3-$B$3)),"")</f>
        <v/>
      </c>
      <c r="M95" s="355" t="str">
        <f>IF(M$3&lt;=time,'Attributable fraction'!AL39*(1+Economics!$B$4)^(M$3-$B$3)/((1+Economics!$B$3)^(M$3-$B$3)),"")</f>
        <v/>
      </c>
      <c r="N95" s="355" t="str">
        <f>IF(N$3&lt;=time,'Attributable fraction'!AM39*(1+Economics!$B$4)^(N$3-$B$3)/((1+Economics!$B$3)^(N$3-$B$3)),"")</f>
        <v/>
      </c>
      <c r="O95" s="355" t="str">
        <f>IF(O$3&lt;=time,'Attributable fraction'!AN39*(1+Economics!$B$4)^(O$3-$B$3)/((1+Economics!$B$3)^(O$3-$B$3)),"")</f>
        <v/>
      </c>
      <c r="P95" s="355" t="str">
        <f>IF(P$3&lt;=time,'Attributable fraction'!AO39*(1+Economics!$B$4)^(P$3-$B$3)/((1+Economics!$B$3)^(P$3-$B$3)),"")</f>
        <v/>
      </c>
      <c r="Q95" s="355" t="str">
        <f>IF(Q$3&lt;=time,'Attributable fraction'!AP39*(1+Economics!$B$4)^(Q$3-$B$3)/((1+Economics!$B$3)^(Q$3-$B$3)),"")</f>
        <v/>
      </c>
      <c r="R95" s="355" t="str">
        <f>IF(R$3&lt;=time,'Attributable fraction'!AQ39*(1+Economics!$B$4)^(R$3-$B$3)/((1+Economics!$B$3)^(R$3-$B$3)),"")</f>
        <v/>
      </c>
      <c r="S95" s="355" t="str">
        <f>IF(S$3&lt;=time,'Attributable fraction'!AR39*(1+Economics!$B$4)^(S$3-$B$3)/((1+Economics!$B$3)^(S$3-$B$3)),"")</f>
        <v/>
      </c>
      <c r="T95" s="355" t="str">
        <f>IF(T$3&lt;=time,'Attributable fraction'!AS39*(1+Economics!$B$4)^(T$3-$B$3)/((1+Economics!$B$3)^(T$3-$B$3)),"")</f>
        <v/>
      </c>
      <c r="U95" s="355" t="str">
        <f>IF(U$3&lt;=time,'Attributable fraction'!AT39*(1+Economics!$B$4)^(U$3-$B$3)/((1+Economics!$B$3)^(U$3-$B$3)),"")</f>
        <v/>
      </c>
      <c r="V95" s="355" t="str">
        <f>IF(V$3&lt;=time,'Attributable fraction'!AU39*(1+Economics!$B$4)^(V$3-$B$3)/((1+Economics!$B$3)^(V$3-$B$3)),"")</f>
        <v/>
      </c>
      <c r="W95" s="355" t="str">
        <f>IF(W$3&lt;=time,'Attributable fraction'!AV39*(1+Economics!$B$4)^(W$3-$B$3)/((1+Economics!$B$3)^(W$3-$B$3)),"")</f>
        <v/>
      </c>
      <c r="X95" s="355" t="str">
        <f>IF(X$3&lt;=time,'Attributable fraction'!AW39*(1+Economics!$B$4)^(X$3-$B$3)/((1+Economics!$B$3)^(X$3-$B$3)),"")</f>
        <v/>
      </c>
      <c r="Y95" s="355" t="str">
        <f>IF(Y$3&lt;=time,'Attributable fraction'!AX39*(1+Economics!$B$4)^(Y$3-$B$3)/((1+Economics!$B$3)^(Y$3-$B$3)),"")</f>
        <v/>
      </c>
      <c r="Z95" s="356" t="str">
        <f>IF(Z$3&lt;=time,'Attributable fraction'!AY39*(1+Economics!$B$4)^(Z$3-$B$3)/((1+Economics!$B$3)^(Z$3-$B$3)),"")</f>
        <v/>
      </c>
      <c r="AC95" s="142">
        <f t="shared" si="17"/>
        <v>0</v>
      </c>
      <c r="AE95" s="376">
        <v>9</v>
      </c>
      <c r="AF95" s="176" t="e">
        <f t="array" ref="AF95">STDEV(IF(B95:Z95&lt;&gt;0,B95:Z95))</f>
        <v>#DIV/0!</v>
      </c>
      <c r="AG95" s="176">
        <v>1.96</v>
      </c>
      <c r="AH95" s="176" t="e">
        <f t="shared" si="18"/>
        <v>#DIV/0!</v>
      </c>
      <c r="AI95" s="176">
        <f t="shared" si="14"/>
        <v>0</v>
      </c>
    </row>
    <row r="96" spans="1:35" hidden="1">
      <c r="A96" s="374" t="str">
        <f>Costs!A40</f>
        <v>Purchasing 10</v>
      </c>
      <c r="B96" s="355">
        <f>IF(B$3&lt;=time,'Attributable fraction'!AA40*(1+Economics!$B$4)^(B$3-$B$3)/((1+Economics!$B$3)^(B$3-$B$3)),"")</f>
        <v>0</v>
      </c>
      <c r="C96" s="355">
        <f>IF(C$3&lt;=time,'Attributable fraction'!AB40*(1+Economics!$B$4)^(C$3-$B$3)/((1+Economics!$B$3)^(C$3-$B$3)),"")</f>
        <v>0</v>
      </c>
      <c r="D96" s="355">
        <f>IF(D$3&lt;=time,'Attributable fraction'!AC40*(1+Economics!$B$4)^(D$3-$B$3)/((1+Economics!$B$3)^(D$3-$B$3)),"")</f>
        <v>0</v>
      </c>
      <c r="E96" s="355">
        <f>IF(E$3&lt;=time,'Attributable fraction'!AD40*(1+Economics!$B$4)^(E$3-$B$3)/((1+Economics!$B$3)^(E$3-$B$3)),"")</f>
        <v>0</v>
      </c>
      <c r="F96" s="355">
        <f>IF(F$3&lt;=time,'Attributable fraction'!AE40*(1+Economics!$B$4)^(F$3-$B$3)/((1+Economics!$B$3)^(F$3-$B$3)),"")</f>
        <v>0</v>
      </c>
      <c r="G96" s="355" t="str">
        <f>IF(G$3&lt;=time,'Attributable fraction'!AF40*(1+Economics!$B$4)^(G$3-$B$3)/((1+Economics!$B$3)^(G$3-$B$3)),"")</f>
        <v/>
      </c>
      <c r="H96" s="355" t="str">
        <f>IF(H$3&lt;=time,'Attributable fraction'!AG40*(1+Economics!$B$4)^(H$3-$B$3)/((1+Economics!$B$3)^(H$3-$B$3)),"")</f>
        <v/>
      </c>
      <c r="I96" s="355" t="str">
        <f>IF(I$3&lt;=time,'Attributable fraction'!AH40*(1+Economics!$B$4)^(I$3-$B$3)/((1+Economics!$B$3)^(I$3-$B$3)),"")</f>
        <v/>
      </c>
      <c r="J96" s="355" t="str">
        <f>IF(J$3&lt;=time,'Attributable fraction'!AI40*(1+Economics!$B$4)^(J$3-$B$3)/((1+Economics!$B$3)^(J$3-$B$3)),"")</f>
        <v/>
      </c>
      <c r="K96" s="355" t="str">
        <f>IF(K$3&lt;=time,'Attributable fraction'!AJ40*(1+Economics!$B$4)^(K$3-$B$3)/((1+Economics!$B$3)^(K$3-$B$3)),"")</f>
        <v/>
      </c>
      <c r="L96" s="355" t="str">
        <f>IF(L$3&lt;=time,'Attributable fraction'!AK40*(1+Economics!$B$4)^(L$3-$B$3)/((1+Economics!$B$3)^(L$3-$B$3)),"")</f>
        <v/>
      </c>
      <c r="M96" s="355" t="str">
        <f>IF(M$3&lt;=time,'Attributable fraction'!AL40*(1+Economics!$B$4)^(M$3-$B$3)/((1+Economics!$B$3)^(M$3-$B$3)),"")</f>
        <v/>
      </c>
      <c r="N96" s="355" t="str">
        <f>IF(N$3&lt;=time,'Attributable fraction'!AM40*(1+Economics!$B$4)^(N$3-$B$3)/((1+Economics!$B$3)^(N$3-$B$3)),"")</f>
        <v/>
      </c>
      <c r="O96" s="355" t="str">
        <f>IF(O$3&lt;=time,'Attributable fraction'!AN40*(1+Economics!$B$4)^(O$3-$B$3)/((1+Economics!$B$3)^(O$3-$B$3)),"")</f>
        <v/>
      </c>
      <c r="P96" s="355" t="str">
        <f>IF(P$3&lt;=time,'Attributable fraction'!AO40*(1+Economics!$B$4)^(P$3-$B$3)/((1+Economics!$B$3)^(P$3-$B$3)),"")</f>
        <v/>
      </c>
      <c r="Q96" s="355" t="str">
        <f>IF(Q$3&lt;=time,'Attributable fraction'!AP40*(1+Economics!$B$4)^(Q$3-$B$3)/((1+Economics!$B$3)^(Q$3-$B$3)),"")</f>
        <v/>
      </c>
      <c r="R96" s="355" t="str">
        <f>IF(R$3&lt;=time,'Attributable fraction'!AQ40*(1+Economics!$B$4)^(R$3-$B$3)/((1+Economics!$B$3)^(R$3-$B$3)),"")</f>
        <v/>
      </c>
      <c r="S96" s="355" t="str">
        <f>IF(S$3&lt;=time,'Attributable fraction'!AR40*(1+Economics!$B$4)^(S$3-$B$3)/((1+Economics!$B$3)^(S$3-$B$3)),"")</f>
        <v/>
      </c>
      <c r="T96" s="355" t="str">
        <f>IF(T$3&lt;=time,'Attributable fraction'!AS40*(1+Economics!$B$4)^(T$3-$B$3)/((1+Economics!$B$3)^(T$3-$B$3)),"")</f>
        <v/>
      </c>
      <c r="U96" s="355" t="str">
        <f>IF(U$3&lt;=time,'Attributable fraction'!AT40*(1+Economics!$B$4)^(U$3-$B$3)/((1+Economics!$B$3)^(U$3-$B$3)),"")</f>
        <v/>
      </c>
      <c r="V96" s="355" t="str">
        <f>IF(V$3&lt;=time,'Attributable fraction'!AU40*(1+Economics!$B$4)^(V$3-$B$3)/((1+Economics!$B$3)^(V$3-$B$3)),"")</f>
        <v/>
      </c>
      <c r="W96" s="355" t="str">
        <f>IF(W$3&lt;=time,'Attributable fraction'!AV40*(1+Economics!$B$4)^(W$3-$B$3)/((1+Economics!$B$3)^(W$3-$B$3)),"")</f>
        <v/>
      </c>
      <c r="X96" s="355" t="str">
        <f>IF(X$3&lt;=time,'Attributable fraction'!AW40*(1+Economics!$B$4)^(X$3-$B$3)/((1+Economics!$B$3)^(X$3-$B$3)),"")</f>
        <v/>
      </c>
      <c r="Y96" s="355" t="str">
        <f>IF(Y$3&lt;=time,'Attributable fraction'!AX40*(1+Economics!$B$4)^(Y$3-$B$3)/((1+Economics!$B$3)^(Y$3-$B$3)),"")</f>
        <v/>
      </c>
      <c r="Z96" s="356" t="str">
        <f>IF(Z$3&lt;=time,'Attributable fraction'!AY40*(1+Economics!$B$4)^(Z$3-$B$3)/((1+Economics!$B$3)^(Z$3-$B$3)),"")</f>
        <v/>
      </c>
      <c r="AC96" s="142">
        <f t="shared" si="17"/>
        <v>0</v>
      </c>
      <c r="AE96" s="376">
        <v>10</v>
      </c>
      <c r="AF96" s="176" t="e">
        <f t="array" ref="AF96">STDEV(IF(B96:Z96&lt;&gt;0,B96:Z96))</f>
        <v>#DIV/0!</v>
      </c>
      <c r="AG96" s="176">
        <v>1.96</v>
      </c>
      <c r="AH96" s="176" t="e">
        <f t="shared" si="18"/>
        <v>#DIV/0!</v>
      </c>
      <c r="AI96" s="176">
        <f t="shared" si="14"/>
        <v>0</v>
      </c>
    </row>
    <row r="97" spans="1:35" s="196" customFormat="1" ht="18" hidden="1">
      <c r="A97" s="293"/>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9"/>
      <c r="AB97" s="114"/>
      <c r="AC97" s="358"/>
      <c r="AD97" s="114"/>
    </row>
    <row r="98" spans="1:35" s="196" customFormat="1" ht="18" hidden="1">
      <c r="A98" s="297" t="s">
        <v>8</v>
      </c>
      <c r="B98" s="353"/>
      <c r="C98" s="353"/>
      <c r="D98" s="353"/>
      <c r="E98" s="353"/>
      <c r="F98" s="353"/>
      <c r="G98" s="353"/>
      <c r="H98" s="353"/>
      <c r="I98" s="353"/>
      <c r="J98" s="353"/>
      <c r="K98" s="353"/>
      <c r="L98" s="353"/>
      <c r="M98" s="353"/>
      <c r="N98" s="353"/>
      <c r="O98" s="353"/>
      <c r="P98" s="353"/>
      <c r="Q98" s="353"/>
      <c r="R98" s="353"/>
      <c r="S98" s="353"/>
      <c r="T98" s="353"/>
      <c r="U98" s="353"/>
      <c r="V98" s="353"/>
      <c r="W98" s="353"/>
      <c r="X98" s="353"/>
      <c r="Y98" s="353"/>
      <c r="Z98" s="360"/>
      <c r="AB98" s="114"/>
      <c r="AC98" s="353"/>
      <c r="AD98" s="114"/>
    </row>
    <row r="99" spans="1:35" s="196" customFormat="1" ht="18" hidden="1">
      <c r="A99" s="290" t="s">
        <v>280</v>
      </c>
      <c r="B99" s="255"/>
      <c r="C99" s="255"/>
      <c r="D99" s="255"/>
      <c r="E99" s="255"/>
      <c r="F99" s="255"/>
      <c r="G99" s="255"/>
      <c r="H99" s="255"/>
      <c r="I99" s="255"/>
      <c r="J99" s="255"/>
      <c r="K99" s="255"/>
      <c r="L99" s="255"/>
      <c r="M99" s="255"/>
      <c r="N99" s="255"/>
      <c r="O99" s="255"/>
      <c r="P99" s="255"/>
      <c r="Q99" s="255"/>
      <c r="R99" s="255"/>
      <c r="S99" s="255"/>
      <c r="T99" s="255"/>
      <c r="U99" s="255"/>
      <c r="V99" s="255"/>
      <c r="W99" s="255"/>
      <c r="X99" s="255"/>
      <c r="Y99" s="255"/>
      <c r="Z99" s="377"/>
      <c r="AB99" s="114"/>
      <c r="AD99" s="114"/>
    </row>
    <row r="100" spans="1:35" s="196" customFormat="1" hidden="1">
      <c r="A100" s="292" t="s">
        <v>14</v>
      </c>
      <c r="B100" s="354"/>
      <c r="C100" s="354"/>
      <c r="D100" s="354"/>
      <c r="E100" s="354"/>
      <c r="F100" s="354"/>
      <c r="G100" s="354"/>
      <c r="H100" s="354"/>
      <c r="I100" s="354"/>
      <c r="J100" s="354"/>
      <c r="K100" s="354"/>
      <c r="L100" s="354"/>
      <c r="M100" s="354"/>
      <c r="N100" s="354"/>
      <c r="O100" s="354"/>
      <c r="P100" s="354"/>
      <c r="Q100" s="354"/>
      <c r="R100" s="354"/>
      <c r="S100" s="354"/>
      <c r="T100" s="354"/>
      <c r="U100" s="354"/>
      <c r="V100" s="354"/>
      <c r="W100" s="354"/>
      <c r="X100" s="354"/>
      <c r="Y100" s="354"/>
      <c r="Z100" s="357"/>
      <c r="AB100" s="114"/>
      <c r="AD100" s="114"/>
    </row>
    <row r="101" spans="1:35" hidden="1">
      <c r="A101" s="378" t="str">
        <f>Costs!A45</f>
        <v>Facilitator</v>
      </c>
      <c r="B101" s="355">
        <f>IF(B$3&lt;=time,'Attributable fraction'!AA45*(1+Economics!$B$4)^(B$3-$B$3)/((1+Economics!$B$3)^(B$3-$B$3)),"")</f>
        <v>176.43242239999998</v>
      </c>
      <c r="C101" s="355">
        <f>IF(C$3&lt;=time,'Attributable fraction'!AB45*(1+Economics!$B$4)^(C$3-$B$3)/((1+Economics!$B$3)^(C$3-$B$3)),"")</f>
        <v>0</v>
      </c>
      <c r="D101" s="355">
        <f>IF(D$3&lt;=time,'Attributable fraction'!AC45*(1+Economics!$B$4)^(D$3-$B$3)/((1+Economics!$B$3)^(D$3-$B$3)),"")</f>
        <v>0</v>
      </c>
      <c r="E101" s="355">
        <f>IF(E$3&lt;=time,'Attributable fraction'!AD45*(1+Economics!$B$4)^(E$3-$B$3)/((1+Economics!$B$3)^(E$3-$B$3)),"")</f>
        <v>0</v>
      </c>
      <c r="F101" s="355">
        <f>IF(F$3&lt;=time,'Attributable fraction'!AE45*(1+Economics!$B$4)^(F$3-$B$3)/((1+Economics!$B$3)^(F$3-$B$3)),"")</f>
        <v>0</v>
      </c>
      <c r="G101" s="355" t="str">
        <f>IF(G$3&lt;=time,'Attributable fraction'!AF45*(1+Economics!$B$4)^(G$3-$B$3)/((1+Economics!$B$3)^(G$3-$B$3)),"")</f>
        <v/>
      </c>
      <c r="H101" s="355" t="str">
        <f>IF(H$3&lt;=time,'Attributable fraction'!AG45*(1+Economics!$B$4)^(H$3-$B$3)/((1+Economics!$B$3)^(H$3-$B$3)),"")</f>
        <v/>
      </c>
      <c r="I101" s="355" t="str">
        <f>IF(I$3&lt;=time,'Attributable fraction'!AH45*(1+Economics!$B$4)^(I$3-$B$3)/((1+Economics!$B$3)^(I$3-$B$3)),"")</f>
        <v/>
      </c>
      <c r="J101" s="355" t="str">
        <f>IF(J$3&lt;=time,'Attributable fraction'!AI45*(1+Economics!$B$4)^(J$3-$B$3)/((1+Economics!$B$3)^(J$3-$B$3)),"")</f>
        <v/>
      </c>
      <c r="K101" s="355" t="str">
        <f>IF(K$3&lt;=time,'Attributable fraction'!AJ45*(1+Economics!$B$4)^(K$3-$B$3)/((1+Economics!$B$3)^(K$3-$B$3)),"")</f>
        <v/>
      </c>
      <c r="L101" s="355" t="str">
        <f>IF(L$3&lt;=time,'Attributable fraction'!AK45*(1+Economics!$B$4)^(L$3-$B$3)/((1+Economics!$B$3)^(L$3-$B$3)),"")</f>
        <v/>
      </c>
      <c r="M101" s="355" t="str">
        <f>IF(M$3&lt;=time,'Attributable fraction'!AL45*(1+Economics!$B$4)^(M$3-$B$3)/((1+Economics!$B$3)^(M$3-$B$3)),"")</f>
        <v/>
      </c>
      <c r="N101" s="355" t="str">
        <f>IF(N$3&lt;=time,'Attributable fraction'!AM45*(1+Economics!$B$4)^(N$3-$B$3)/((1+Economics!$B$3)^(N$3-$B$3)),"")</f>
        <v/>
      </c>
      <c r="O101" s="355" t="str">
        <f>IF(O$3&lt;=time,'Attributable fraction'!AN45*(1+Economics!$B$4)^(O$3-$B$3)/((1+Economics!$B$3)^(O$3-$B$3)),"")</f>
        <v/>
      </c>
      <c r="P101" s="355" t="str">
        <f>IF(P$3&lt;=time,'Attributable fraction'!AO45*(1+Economics!$B$4)^(P$3-$B$3)/((1+Economics!$B$3)^(P$3-$B$3)),"")</f>
        <v/>
      </c>
      <c r="Q101" s="355" t="str">
        <f>IF(Q$3&lt;=time,'Attributable fraction'!AP45*(1+Economics!$B$4)^(Q$3-$B$3)/((1+Economics!$B$3)^(Q$3-$B$3)),"")</f>
        <v/>
      </c>
      <c r="R101" s="355" t="str">
        <f>IF(R$3&lt;=time,'Attributable fraction'!AQ45*(1+Economics!$B$4)^(R$3-$B$3)/((1+Economics!$B$3)^(R$3-$B$3)),"")</f>
        <v/>
      </c>
      <c r="S101" s="355" t="str">
        <f>IF(S$3&lt;=time,'Attributable fraction'!AR45*(1+Economics!$B$4)^(S$3-$B$3)/((1+Economics!$B$3)^(S$3-$B$3)),"")</f>
        <v/>
      </c>
      <c r="T101" s="355" t="str">
        <f>IF(T$3&lt;=time,'Attributable fraction'!AS45*(1+Economics!$B$4)^(T$3-$B$3)/((1+Economics!$B$3)^(T$3-$B$3)),"")</f>
        <v/>
      </c>
      <c r="U101" s="355" t="str">
        <f>IF(U$3&lt;=time,'Attributable fraction'!AT45*(1+Economics!$B$4)^(U$3-$B$3)/((1+Economics!$B$3)^(U$3-$B$3)),"")</f>
        <v/>
      </c>
      <c r="V101" s="355" t="str">
        <f>IF(V$3&lt;=time,'Attributable fraction'!AU45*(1+Economics!$B$4)^(V$3-$B$3)/((1+Economics!$B$3)^(V$3-$B$3)),"")</f>
        <v/>
      </c>
      <c r="W101" s="355" t="str">
        <f>IF(W$3&lt;=time,'Attributable fraction'!AV45*(1+Economics!$B$4)^(W$3-$B$3)/((1+Economics!$B$3)^(W$3-$B$3)),"")</f>
        <v/>
      </c>
      <c r="X101" s="355" t="str">
        <f>IF(X$3&lt;=time,'Attributable fraction'!AW45*(1+Economics!$B$4)^(X$3-$B$3)/((1+Economics!$B$3)^(X$3-$B$3)),"")</f>
        <v/>
      </c>
      <c r="Y101" s="355" t="str">
        <f>IF(Y$3&lt;=time,'Attributable fraction'!AX45*(1+Economics!$B$4)^(Y$3-$B$3)/((1+Economics!$B$3)^(Y$3-$B$3)),"")</f>
        <v/>
      </c>
      <c r="Z101" s="356" t="str">
        <f>IF(Z$3&lt;=time,'Attributable fraction'!AY45*(1+Economics!$B$4)^(Z$3-$B$3)/((1+Economics!$B$3)^(Z$3-$B$3)),"")</f>
        <v/>
      </c>
      <c r="AC101" s="142">
        <f t="shared" ref="AC101:AC110" si="19">(SUM(IF(ISERROR(Z101),"0",Z101),IF(ISERROR(Y101),"0",Y101),IF(ISERROR(X101),"0",X101),IF(ISERROR(W101),"0",W101),IF(ISERROR(V101),"0",V101),IF(ISERROR(U101),"0",U101),IF(ISERROR(T101),"0",T101),IF(ISERROR(S101),"0",S101),IF(ISERROR(R101),"0",R101),IF(ISERROR(Q101),"0",Q101), IF(ISERROR(P101),"0",P101),IF(ISERROR(O101),"0",O101),IF(ISERROR(N101),"0",N101),IF(ISERROR(M101),"0",M101),IF(ISERROR(L101),"0",L101),IF(ISERROR(K101),"0",K101),IF(ISERROR(J101),"0",J101),IF(ISERROR(I101),"0",I101),IF(ISERROR(H101),"0",H101),IF(ISERROR(G101),"0",G101),IF(ISERROR(F101),"0",F101),IF(ISERROR(E101),"0",E101),IF(ISERROR(D101),"0",D101),IF(ISERROR(C101),"0",C101),IF(ISERROR(B101),"0",B101)))/time</f>
        <v>35.286484479999999</v>
      </c>
      <c r="AE101" s="375">
        <v>1</v>
      </c>
      <c r="AF101" s="176" t="e">
        <f t="array" ref="AF101">STDEV(IF(B101:Z101&lt;&gt;0,B101:Z101))</f>
        <v>#DIV/0!</v>
      </c>
      <c r="AG101" s="176">
        <v>1.96</v>
      </c>
      <c r="AH101" s="176" t="e">
        <f t="shared" ref="AH101:AH110" si="20">(AG101*AF101)/(time^0.5)</f>
        <v>#DIV/0!</v>
      </c>
      <c r="AI101" s="176">
        <f t="shared" si="14"/>
        <v>0</v>
      </c>
    </row>
    <row r="102" spans="1:35" hidden="1">
      <c r="A102" s="378" t="str">
        <f>Costs!A46</f>
        <v>Manager</v>
      </c>
      <c r="B102" s="355">
        <f>IF(B$3&lt;=time,'Attributable fraction'!AA46*(1+Economics!$B$4)^(B$3-$B$3)/((1+Economics!$B$3)^(B$3-$B$3)),"")</f>
        <v>101.55052861620698</v>
      </c>
      <c r="C102" s="355">
        <f>IF(C$3&lt;=time,'Attributable fraction'!AB46*(1+Economics!$B$4)^(C$3-$B$3)/((1+Economics!$B$3)^(C$3-$B$3)),"")</f>
        <v>0</v>
      </c>
      <c r="D102" s="355">
        <f>IF(D$3&lt;=time,'Attributable fraction'!AC46*(1+Economics!$B$4)^(D$3-$B$3)/((1+Economics!$B$3)^(D$3-$B$3)),"")</f>
        <v>0</v>
      </c>
      <c r="E102" s="355">
        <f>IF(E$3&lt;=time,'Attributable fraction'!AD46*(1+Economics!$B$4)^(E$3-$B$3)/((1+Economics!$B$3)^(E$3-$B$3)),"")</f>
        <v>0</v>
      </c>
      <c r="F102" s="355">
        <f>IF(F$3&lt;=time,'Attributable fraction'!AE46*(1+Economics!$B$4)^(F$3-$B$3)/((1+Economics!$B$3)^(F$3-$B$3)),"")</f>
        <v>0</v>
      </c>
      <c r="G102" s="355" t="str">
        <f>IF(G$3&lt;=time,'Attributable fraction'!AF46*(1+Economics!$B$4)^(G$3-$B$3)/((1+Economics!$B$3)^(G$3-$B$3)),"")</f>
        <v/>
      </c>
      <c r="H102" s="355" t="str">
        <f>IF(H$3&lt;=time,'Attributable fraction'!AG46*(1+Economics!$B$4)^(H$3-$B$3)/((1+Economics!$B$3)^(H$3-$B$3)),"")</f>
        <v/>
      </c>
      <c r="I102" s="355" t="str">
        <f>IF(I$3&lt;=time,'Attributable fraction'!AH46*(1+Economics!$B$4)^(I$3-$B$3)/((1+Economics!$B$3)^(I$3-$B$3)),"")</f>
        <v/>
      </c>
      <c r="J102" s="355" t="str">
        <f>IF(J$3&lt;=time,'Attributable fraction'!AI46*(1+Economics!$B$4)^(J$3-$B$3)/((1+Economics!$B$3)^(J$3-$B$3)),"")</f>
        <v/>
      </c>
      <c r="K102" s="355" t="str">
        <f>IF(K$3&lt;=time,'Attributable fraction'!AJ46*(1+Economics!$B$4)^(K$3-$B$3)/((1+Economics!$B$3)^(K$3-$B$3)),"")</f>
        <v/>
      </c>
      <c r="L102" s="355" t="str">
        <f>IF(L$3&lt;=time,'Attributable fraction'!AK46*(1+Economics!$B$4)^(L$3-$B$3)/((1+Economics!$B$3)^(L$3-$B$3)),"")</f>
        <v/>
      </c>
      <c r="M102" s="355" t="str">
        <f>IF(M$3&lt;=time,'Attributable fraction'!AL46*(1+Economics!$B$4)^(M$3-$B$3)/((1+Economics!$B$3)^(M$3-$B$3)),"")</f>
        <v/>
      </c>
      <c r="N102" s="355" t="str">
        <f>IF(N$3&lt;=time,'Attributable fraction'!AM46*(1+Economics!$B$4)^(N$3-$B$3)/((1+Economics!$B$3)^(N$3-$B$3)),"")</f>
        <v/>
      </c>
      <c r="O102" s="355" t="str">
        <f>IF(O$3&lt;=time,'Attributable fraction'!AN46*(1+Economics!$B$4)^(O$3-$B$3)/((1+Economics!$B$3)^(O$3-$B$3)),"")</f>
        <v/>
      </c>
      <c r="P102" s="355" t="str">
        <f>IF(P$3&lt;=time,'Attributable fraction'!AO46*(1+Economics!$B$4)^(P$3-$B$3)/((1+Economics!$B$3)^(P$3-$B$3)),"")</f>
        <v/>
      </c>
      <c r="Q102" s="355" t="str">
        <f>IF(Q$3&lt;=time,'Attributable fraction'!AP46*(1+Economics!$B$4)^(Q$3-$B$3)/((1+Economics!$B$3)^(Q$3-$B$3)),"")</f>
        <v/>
      </c>
      <c r="R102" s="355" t="str">
        <f>IF(R$3&lt;=time,'Attributable fraction'!AQ46*(1+Economics!$B$4)^(R$3-$B$3)/((1+Economics!$B$3)^(R$3-$B$3)),"")</f>
        <v/>
      </c>
      <c r="S102" s="355" t="str">
        <f>IF(S$3&lt;=time,'Attributable fraction'!AR46*(1+Economics!$B$4)^(S$3-$B$3)/((1+Economics!$B$3)^(S$3-$B$3)),"")</f>
        <v/>
      </c>
      <c r="T102" s="355" t="str">
        <f>IF(T$3&lt;=time,'Attributable fraction'!AS46*(1+Economics!$B$4)^(T$3-$B$3)/((1+Economics!$B$3)^(T$3-$B$3)),"")</f>
        <v/>
      </c>
      <c r="U102" s="355" t="str">
        <f>IF(U$3&lt;=time,'Attributable fraction'!AT46*(1+Economics!$B$4)^(U$3-$B$3)/((1+Economics!$B$3)^(U$3-$B$3)),"")</f>
        <v/>
      </c>
      <c r="V102" s="355" t="str">
        <f>IF(V$3&lt;=time,'Attributable fraction'!AU46*(1+Economics!$B$4)^(V$3-$B$3)/((1+Economics!$B$3)^(V$3-$B$3)),"")</f>
        <v/>
      </c>
      <c r="W102" s="355" t="str">
        <f>IF(W$3&lt;=time,'Attributable fraction'!AV46*(1+Economics!$B$4)^(W$3-$B$3)/((1+Economics!$B$3)^(W$3-$B$3)),"")</f>
        <v/>
      </c>
      <c r="X102" s="355" t="str">
        <f>IF(X$3&lt;=time,'Attributable fraction'!AW46*(1+Economics!$B$4)^(X$3-$B$3)/((1+Economics!$B$3)^(X$3-$B$3)),"")</f>
        <v/>
      </c>
      <c r="Y102" s="355" t="str">
        <f>IF(Y$3&lt;=time,'Attributable fraction'!AX46*(1+Economics!$B$4)^(Y$3-$B$3)/((1+Economics!$B$3)^(Y$3-$B$3)),"")</f>
        <v/>
      </c>
      <c r="Z102" s="356" t="str">
        <f>IF(Z$3&lt;=time,'Attributable fraction'!AY46*(1+Economics!$B$4)^(Z$3-$B$3)/((1+Economics!$B$3)^(Z$3-$B$3)),"")</f>
        <v/>
      </c>
      <c r="AC102" s="142">
        <f t="shared" si="19"/>
        <v>20.310105723241396</v>
      </c>
      <c r="AE102" s="376">
        <v>2</v>
      </c>
      <c r="AF102" s="176" t="e">
        <f t="array" ref="AF102">STDEV(IF(B102:Z102&lt;&gt;0,B102:Z102))</f>
        <v>#DIV/0!</v>
      </c>
      <c r="AG102" s="176">
        <v>1.96</v>
      </c>
      <c r="AH102" s="176" t="e">
        <f t="shared" si="20"/>
        <v>#DIV/0!</v>
      </c>
      <c r="AI102" s="176">
        <f t="shared" si="14"/>
        <v>0</v>
      </c>
    </row>
    <row r="103" spans="1:35" hidden="1">
      <c r="A103" s="378" t="str">
        <f>Costs!A47</f>
        <v>Police</v>
      </c>
      <c r="B103" s="355">
        <f>IF(B$3&lt;=time,'Attributable fraction'!AA47*(1+Economics!$B$4)^(B$3-$B$3)/((1+Economics!$B$3)^(B$3-$B$3)),"")</f>
        <v>6.7470714991401284</v>
      </c>
      <c r="C103" s="355">
        <f>IF(C$3&lt;=time,'Attributable fraction'!AB47*(1+Economics!$B$4)^(C$3-$B$3)/((1+Economics!$B$3)^(C$3-$B$3)),"")</f>
        <v>0</v>
      </c>
      <c r="D103" s="355">
        <f>IF(D$3&lt;=time,'Attributable fraction'!AC47*(1+Economics!$B$4)^(D$3-$B$3)/((1+Economics!$B$3)^(D$3-$B$3)),"")</f>
        <v>0</v>
      </c>
      <c r="E103" s="355">
        <f>IF(E$3&lt;=time,'Attributable fraction'!AD47*(1+Economics!$B$4)^(E$3-$B$3)/((1+Economics!$B$3)^(E$3-$B$3)),"")</f>
        <v>0</v>
      </c>
      <c r="F103" s="355">
        <f>IF(F$3&lt;=time,'Attributable fraction'!AE47*(1+Economics!$B$4)^(F$3-$B$3)/((1+Economics!$B$3)^(F$3-$B$3)),"")</f>
        <v>0</v>
      </c>
      <c r="G103" s="355" t="str">
        <f>IF(G$3&lt;=time,'Attributable fraction'!AF47*(1+Economics!$B$4)^(G$3-$B$3)/((1+Economics!$B$3)^(G$3-$B$3)),"")</f>
        <v/>
      </c>
      <c r="H103" s="355" t="str">
        <f>IF(H$3&lt;=time,'Attributable fraction'!AG47*(1+Economics!$B$4)^(H$3-$B$3)/((1+Economics!$B$3)^(H$3-$B$3)),"")</f>
        <v/>
      </c>
      <c r="I103" s="355" t="str">
        <f>IF(I$3&lt;=time,'Attributable fraction'!AH47*(1+Economics!$B$4)^(I$3-$B$3)/((1+Economics!$B$3)^(I$3-$B$3)),"")</f>
        <v/>
      </c>
      <c r="J103" s="355" t="str">
        <f>IF(J$3&lt;=time,'Attributable fraction'!AI47*(1+Economics!$B$4)^(J$3-$B$3)/((1+Economics!$B$3)^(J$3-$B$3)),"")</f>
        <v/>
      </c>
      <c r="K103" s="355" t="str">
        <f>IF(K$3&lt;=time,'Attributable fraction'!AJ47*(1+Economics!$B$4)^(K$3-$B$3)/((1+Economics!$B$3)^(K$3-$B$3)),"")</f>
        <v/>
      </c>
      <c r="L103" s="355" t="str">
        <f>IF(L$3&lt;=time,'Attributable fraction'!AK47*(1+Economics!$B$4)^(L$3-$B$3)/((1+Economics!$B$3)^(L$3-$B$3)),"")</f>
        <v/>
      </c>
      <c r="M103" s="355" t="str">
        <f>IF(M$3&lt;=time,'Attributable fraction'!AL47*(1+Economics!$B$4)^(M$3-$B$3)/((1+Economics!$B$3)^(M$3-$B$3)),"")</f>
        <v/>
      </c>
      <c r="N103" s="355" t="str">
        <f>IF(N$3&lt;=time,'Attributable fraction'!AM47*(1+Economics!$B$4)^(N$3-$B$3)/((1+Economics!$B$3)^(N$3-$B$3)),"")</f>
        <v/>
      </c>
      <c r="O103" s="355" t="str">
        <f>IF(O$3&lt;=time,'Attributable fraction'!AN47*(1+Economics!$B$4)^(O$3-$B$3)/((1+Economics!$B$3)^(O$3-$B$3)),"")</f>
        <v/>
      </c>
      <c r="P103" s="355" t="str">
        <f>IF(P$3&lt;=time,'Attributable fraction'!AO47*(1+Economics!$B$4)^(P$3-$B$3)/((1+Economics!$B$3)^(P$3-$B$3)),"")</f>
        <v/>
      </c>
      <c r="Q103" s="355" t="str">
        <f>IF(Q$3&lt;=time,'Attributable fraction'!AP47*(1+Economics!$B$4)^(Q$3-$B$3)/((1+Economics!$B$3)^(Q$3-$B$3)),"")</f>
        <v/>
      </c>
      <c r="R103" s="355" t="str">
        <f>IF(R$3&lt;=time,'Attributable fraction'!AQ47*(1+Economics!$B$4)^(R$3-$B$3)/((1+Economics!$B$3)^(R$3-$B$3)),"")</f>
        <v/>
      </c>
      <c r="S103" s="355" t="str">
        <f>IF(S$3&lt;=time,'Attributable fraction'!AR47*(1+Economics!$B$4)^(S$3-$B$3)/((1+Economics!$B$3)^(S$3-$B$3)),"")</f>
        <v/>
      </c>
      <c r="T103" s="355" t="str">
        <f>IF(T$3&lt;=time,'Attributable fraction'!AS47*(1+Economics!$B$4)^(T$3-$B$3)/((1+Economics!$B$3)^(T$3-$B$3)),"")</f>
        <v/>
      </c>
      <c r="U103" s="355" t="str">
        <f>IF(U$3&lt;=time,'Attributable fraction'!AT47*(1+Economics!$B$4)^(U$3-$B$3)/((1+Economics!$B$3)^(U$3-$B$3)),"")</f>
        <v/>
      </c>
      <c r="V103" s="355" t="str">
        <f>IF(V$3&lt;=time,'Attributable fraction'!AU47*(1+Economics!$B$4)^(V$3-$B$3)/((1+Economics!$B$3)^(V$3-$B$3)),"")</f>
        <v/>
      </c>
      <c r="W103" s="355" t="str">
        <f>IF(W$3&lt;=time,'Attributable fraction'!AV47*(1+Economics!$B$4)^(W$3-$B$3)/((1+Economics!$B$3)^(W$3-$B$3)),"")</f>
        <v/>
      </c>
      <c r="X103" s="355" t="str">
        <f>IF(X$3&lt;=time,'Attributable fraction'!AW47*(1+Economics!$B$4)^(X$3-$B$3)/((1+Economics!$B$3)^(X$3-$B$3)),"")</f>
        <v/>
      </c>
      <c r="Y103" s="355" t="str">
        <f>IF(Y$3&lt;=time,'Attributable fraction'!AX47*(1+Economics!$B$4)^(Y$3-$B$3)/((1+Economics!$B$3)^(Y$3-$B$3)),"")</f>
        <v/>
      </c>
      <c r="Z103" s="356" t="str">
        <f>IF(Z$3&lt;=time,'Attributable fraction'!AY47*(1+Economics!$B$4)^(Z$3-$B$3)/((1+Economics!$B$3)^(Z$3-$B$3)),"")</f>
        <v/>
      </c>
      <c r="AC103" s="142">
        <f t="shared" si="19"/>
        <v>1.3494142998280256</v>
      </c>
      <c r="AE103" s="376">
        <v>3</v>
      </c>
      <c r="AF103" s="176" t="e">
        <f t="array" ref="AF103">STDEV(IF(B103:Z103&lt;&gt;0,B103:Z103))</f>
        <v>#DIV/0!</v>
      </c>
      <c r="AG103" s="176">
        <v>1.96</v>
      </c>
      <c r="AH103" s="176" t="e">
        <f t="shared" si="20"/>
        <v>#DIV/0!</v>
      </c>
      <c r="AI103" s="176">
        <f t="shared" si="14"/>
        <v>0</v>
      </c>
    </row>
    <row r="104" spans="1:35" hidden="1">
      <c r="A104" s="378" t="str">
        <f>Costs!A48</f>
        <v>Probation</v>
      </c>
      <c r="B104" s="355">
        <f>IF(B$3&lt;=time,'Attributable fraction'!AA48*(1+Economics!$B$4)^(B$3-$B$3)/((1+Economics!$B$3)^(B$3-$B$3)),"")</f>
        <v>0</v>
      </c>
      <c r="C104" s="355">
        <f>IF(C$3&lt;=time,'Attributable fraction'!AB48*(1+Economics!$B$4)^(C$3-$B$3)/((1+Economics!$B$3)^(C$3-$B$3)),"")</f>
        <v>0</v>
      </c>
      <c r="D104" s="355">
        <f>IF(D$3&lt;=time,'Attributable fraction'!AC48*(1+Economics!$B$4)^(D$3-$B$3)/((1+Economics!$B$3)^(D$3-$B$3)),"")</f>
        <v>0</v>
      </c>
      <c r="E104" s="355">
        <f>IF(E$3&lt;=time,'Attributable fraction'!AD48*(1+Economics!$B$4)^(E$3-$B$3)/((1+Economics!$B$3)^(E$3-$B$3)),"")</f>
        <v>0</v>
      </c>
      <c r="F104" s="355">
        <f>IF(F$3&lt;=time,'Attributable fraction'!AE48*(1+Economics!$B$4)^(F$3-$B$3)/((1+Economics!$B$3)^(F$3-$B$3)),"")</f>
        <v>0</v>
      </c>
      <c r="G104" s="355" t="str">
        <f>IF(G$3&lt;=time,'Attributable fraction'!AF48*(1+Economics!$B$4)^(G$3-$B$3)/((1+Economics!$B$3)^(G$3-$B$3)),"")</f>
        <v/>
      </c>
      <c r="H104" s="355" t="str">
        <f>IF(H$3&lt;=time,'Attributable fraction'!AG48*(1+Economics!$B$4)^(H$3-$B$3)/((1+Economics!$B$3)^(H$3-$B$3)),"")</f>
        <v/>
      </c>
      <c r="I104" s="355" t="str">
        <f>IF(I$3&lt;=time,'Attributable fraction'!AH48*(1+Economics!$B$4)^(I$3-$B$3)/((1+Economics!$B$3)^(I$3-$B$3)),"")</f>
        <v/>
      </c>
      <c r="J104" s="355" t="str">
        <f>IF(J$3&lt;=time,'Attributable fraction'!AI48*(1+Economics!$B$4)^(J$3-$B$3)/((1+Economics!$B$3)^(J$3-$B$3)),"")</f>
        <v/>
      </c>
      <c r="K104" s="355" t="str">
        <f>IF(K$3&lt;=time,'Attributable fraction'!AJ48*(1+Economics!$B$4)^(K$3-$B$3)/((1+Economics!$B$3)^(K$3-$B$3)),"")</f>
        <v/>
      </c>
      <c r="L104" s="355" t="str">
        <f>IF(L$3&lt;=time,'Attributable fraction'!AK48*(1+Economics!$B$4)^(L$3-$B$3)/((1+Economics!$B$3)^(L$3-$B$3)),"")</f>
        <v/>
      </c>
      <c r="M104" s="355" t="str">
        <f>IF(M$3&lt;=time,'Attributable fraction'!AL48*(1+Economics!$B$4)^(M$3-$B$3)/((1+Economics!$B$3)^(M$3-$B$3)),"")</f>
        <v/>
      </c>
      <c r="N104" s="355" t="str">
        <f>IF(N$3&lt;=time,'Attributable fraction'!AM48*(1+Economics!$B$4)^(N$3-$B$3)/((1+Economics!$B$3)^(N$3-$B$3)),"")</f>
        <v/>
      </c>
      <c r="O104" s="355" t="str">
        <f>IF(O$3&lt;=time,'Attributable fraction'!AN48*(1+Economics!$B$4)^(O$3-$B$3)/((1+Economics!$B$3)^(O$3-$B$3)),"")</f>
        <v/>
      </c>
      <c r="P104" s="355" t="str">
        <f>IF(P$3&lt;=time,'Attributable fraction'!AO48*(1+Economics!$B$4)^(P$3-$B$3)/((1+Economics!$B$3)^(P$3-$B$3)),"")</f>
        <v/>
      </c>
      <c r="Q104" s="355" t="str">
        <f>IF(Q$3&lt;=time,'Attributable fraction'!AP48*(1+Economics!$B$4)^(Q$3-$B$3)/((1+Economics!$B$3)^(Q$3-$B$3)),"")</f>
        <v/>
      </c>
      <c r="R104" s="355" t="str">
        <f>IF(R$3&lt;=time,'Attributable fraction'!AQ48*(1+Economics!$B$4)^(R$3-$B$3)/((1+Economics!$B$3)^(R$3-$B$3)),"")</f>
        <v/>
      </c>
      <c r="S104" s="355" t="str">
        <f>IF(S$3&lt;=time,'Attributable fraction'!AR48*(1+Economics!$B$4)^(S$3-$B$3)/((1+Economics!$B$3)^(S$3-$B$3)),"")</f>
        <v/>
      </c>
      <c r="T104" s="355" t="str">
        <f>IF(T$3&lt;=time,'Attributable fraction'!AS48*(1+Economics!$B$4)^(T$3-$B$3)/((1+Economics!$B$3)^(T$3-$B$3)),"")</f>
        <v/>
      </c>
      <c r="U104" s="355" t="str">
        <f>IF(U$3&lt;=time,'Attributable fraction'!AT48*(1+Economics!$B$4)^(U$3-$B$3)/((1+Economics!$B$3)^(U$3-$B$3)),"")</f>
        <v/>
      </c>
      <c r="V104" s="355" t="str">
        <f>IF(V$3&lt;=time,'Attributable fraction'!AU48*(1+Economics!$B$4)^(V$3-$B$3)/((1+Economics!$B$3)^(V$3-$B$3)),"")</f>
        <v/>
      </c>
      <c r="W104" s="355" t="str">
        <f>IF(W$3&lt;=time,'Attributable fraction'!AV48*(1+Economics!$B$4)^(W$3-$B$3)/((1+Economics!$B$3)^(W$3-$B$3)),"")</f>
        <v/>
      </c>
      <c r="X104" s="355" t="str">
        <f>IF(X$3&lt;=time,'Attributable fraction'!AW48*(1+Economics!$B$4)^(X$3-$B$3)/((1+Economics!$B$3)^(X$3-$B$3)),"")</f>
        <v/>
      </c>
      <c r="Y104" s="355" t="str">
        <f>IF(Y$3&lt;=time,'Attributable fraction'!AX48*(1+Economics!$B$4)^(Y$3-$B$3)/((1+Economics!$B$3)^(Y$3-$B$3)),"")</f>
        <v/>
      </c>
      <c r="Z104" s="356" t="str">
        <f>IF(Z$3&lt;=time,'Attributable fraction'!AY48*(1+Economics!$B$4)^(Z$3-$B$3)/((1+Economics!$B$3)^(Z$3-$B$3)),"")</f>
        <v/>
      </c>
      <c r="AC104" s="142">
        <f t="shared" si="19"/>
        <v>0</v>
      </c>
      <c r="AE104" s="376">
        <v>4</v>
      </c>
      <c r="AF104" s="176" t="e">
        <f t="array" ref="AF104">STDEV(IF(B104:Z104&lt;&gt;0,B104:Z104))</f>
        <v>#DIV/0!</v>
      </c>
      <c r="AG104" s="176">
        <v>1.96</v>
      </c>
      <c r="AH104" s="176" t="e">
        <f t="shared" si="20"/>
        <v>#DIV/0!</v>
      </c>
      <c r="AI104" s="176">
        <f t="shared" si="14"/>
        <v>0</v>
      </c>
    </row>
    <row r="105" spans="1:35" hidden="1">
      <c r="A105" s="378" t="str">
        <f>Costs!A49</f>
        <v>Prison</v>
      </c>
      <c r="B105" s="355">
        <f>IF(B$3&lt;=time,'Attributable fraction'!AA49*(1+Economics!$B$4)^(B$3-$B$3)/((1+Economics!$B$3)^(B$3-$B$3)),"")</f>
        <v>0</v>
      </c>
      <c r="C105" s="355">
        <f>IF(C$3&lt;=time,'Attributable fraction'!AB49*(1+Economics!$B$4)^(C$3-$B$3)/((1+Economics!$B$3)^(C$3-$B$3)),"")</f>
        <v>0</v>
      </c>
      <c r="D105" s="355">
        <f>IF(D$3&lt;=time,'Attributable fraction'!AC49*(1+Economics!$B$4)^(D$3-$B$3)/((1+Economics!$B$3)^(D$3-$B$3)),"")</f>
        <v>0</v>
      </c>
      <c r="E105" s="355">
        <f>IF(E$3&lt;=time,'Attributable fraction'!AD49*(1+Economics!$B$4)^(E$3-$B$3)/((1+Economics!$B$3)^(E$3-$B$3)),"")</f>
        <v>0</v>
      </c>
      <c r="F105" s="355">
        <f>IF(F$3&lt;=time,'Attributable fraction'!AE49*(1+Economics!$B$4)^(F$3-$B$3)/((1+Economics!$B$3)^(F$3-$B$3)),"")</f>
        <v>0</v>
      </c>
      <c r="G105" s="355" t="str">
        <f>IF(G$3&lt;=time,'Attributable fraction'!AF49*(1+Economics!$B$4)^(G$3-$B$3)/((1+Economics!$B$3)^(G$3-$B$3)),"")</f>
        <v/>
      </c>
      <c r="H105" s="355" t="str">
        <f>IF(H$3&lt;=time,'Attributable fraction'!AG49*(1+Economics!$B$4)^(H$3-$B$3)/((1+Economics!$B$3)^(H$3-$B$3)),"")</f>
        <v/>
      </c>
      <c r="I105" s="355" t="str">
        <f>IF(I$3&lt;=time,'Attributable fraction'!AH49*(1+Economics!$B$4)^(I$3-$B$3)/((1+Economics!$B$3)^(I$3-$B$3)),"")</f>
        <v/>
      </c>
      <c r="J105" s="355" t="str">
        <f>IF(J$3&lt;=time,'Attributable fraction'!AI49*(1+Economics!$B$4)^(J$3-$B$3)/((1+Economics!$B$3)^(J$3-$B$3)),"")</f>
        <v/>
      </c>
      <c r="K105" s="355" t="str">
        <f>IF(K$3&lt;=time,'Attributable fraction'!AJ49*(1+Economics!$B$4)^(K$3-$B$3)/((1+Economics!$B$3)^(K$3-$B$3)),"")</f>
        <v/>
      </c>
      <c r="L105" s="355" t="str">
        <f>IF(L$3&lt;=time,'Attributable fraction'!AK49*(1+Economics!$B$4)^(L$3-$B$3)/((1+Economics!$B$3)^(L$3-$B$3)),"")</f>
        <v/>
      </c>
      <c r="M105" s="355" t="str">
        <f>IF(M$3&lt;=time,'Attributable fraction'!AL49*(1+Economics!$B$4)^(M$3-$B$3)/((1+Economics!$B$3)^(M$3-$B$3)),"")</f>
        <v/>
      </c>
      <c r="N105" s="355" t="str">
        <f>IF(N$3&lt;=time,'Attributable fraction'!AM49*(1+Economics!$B$4)^(N$3-$B$3)/((1+Economics!$B$3)^(N$3-$B$3)),"")</f>
        <v/>
      </c>
      <c r="O105" s="355" t="str">
        <f>IF(O$3&lt;=time,'Attributable fraction'!AN49*(1+Economics!$B$4)^(O$3-$B$3)/((1+Economics!$B$3)^(O$3-$B$3)),"")</f>
        <v/>
      </c>
      <c r="P105" s="355" t="str">
        <f>IF(P$3&lt;=time,'Attributable fraction'!AO49*(1+Economics!$B$4)^(P$3-$B$3)/((1+Economics!$B$3)^(P$3-$B$3)),"")</f>
        <v/>
      </c>
      <c r="Q105" s="355" t="str">
        <f>IF(Q$3&lt;=time,'Attributable fraction'!AP49*(1+Economics!$B$4)^(Q$3-$B$3)/((1+Economics!$B$3)^(Q$3-$B$3)),"")</f>
        <v/>
      </c>
      <c r="R105" s="355" t="str">
        <f>IF(R$3&lt;=time,'Attributable fraction'!AQ49*(1+Economics!$B$4)^(R$3-$B$3)/((1+Economics!$B$3)^(R$3-$B$3)),"")</f>
        <v/>
      </c>
      <c r="S105" s="355" t="str">
        <f>IF(S$3&lt;=time,'Attributable fraction'!AR49*(1+Economics!$B$4)^(S$3-$B$3)/((1+Economics!$B$3)^(S$3-$B$3)),"")</f>
        <v/>
      </c>
      <c r="T105" s="355" t="str">
        <f>IF(T$3&lt;=time,'Attributable fraction'!AS49*(1+Economics!$B$4)^(T$3-$B$3)/((1+Economics!$B$3)^(T$3-$B$3)),"")</f>
        <v/>
      </c>
      <c r="U105" s="355" t="str">
        <f>IF(U$3&lt;=time,'Attributable fraction'!AT49*(1+Economics!$B$4)^(U$3-$B$3)/((1+Economics!$B$3)^(U$3-$B$3)),"")</f>
        <v/>
      </c>
      <c r="V105" s="355" t="str">
        <f>IF(V$3&lt;=time,'Attributable fraction'!AU49*(1+Economics!$B$4)^(V$3-$B$3)/((1+Economics!$B$3)^(V$3-$B$3)),"")</f>
        <v/>
      </c>
      <c r="W105" s="355" t="str">
        <f>IF(W$3&lt;=time,'Attributable fraction'!AV49*(1+Economics!$B$4)^(W$3-$B$3)/((1+Economics!$B$3)^(W$3-$B$3)),"")</f>
        <v/>
      </c>
      <c r="X105" s="355" t="str">
        <f>IF(X$3&lt;=time,'Attributable fraction'!AW49*(1+Economics!$B$4)^(X$3-$B$3)/((1+Economics!$B$3)^(X$3-$B$3)),"")</f>
        <v/>
      </c>
      <c r="Y105" s="355" t="str">
        <f>IF(Y$3&lt;=time,'Attributable fraction'!AX49*(1+Economics!$B$4)^(Y$3-$B$3)/((1+Economics!$B$3)^(Y$3-$B$3)),"")</f>
        <v/>
      </c>
      <c r="Z105" s="356" t="str">
        <f>IF(Z$3&lt;=time,'Attributable fraction'!AY49*(1+Economics!$B$4)^(Z$3-$B$3)/((1+Economics!$B$3)^(Z$3-$B$3)),"")</f>
        <v/>
      </c>
      <c r="AC105" s="142">
        <f t="shared" si="19"/>
        <v>0</v>
      </c>
      <c r="AE105" s="376">
        <v>5</v>
      </c>
      <c r="AF105" s="176" t="e">
        <f t="array" ref="AF105">STDEV(IF(B105:Z105&lt;&gt;0,B105:Z105))</f>
        <v>#DIV/0!</v>
      </c>
      <c r="AG105" s="176">
        <v>1.96</v>
      </c>
      <c r="AH105" s="176" t="e">
        <f t="shared" si="20"/>
        <v>#DIV/0!</v>
      </c>
      <c r="AI105" s="176">
        <f t="shared" si="14"/>
        <v>0</v>
      </c>
    </row>
    <row r="106" spans="1:35" hidden="1">
      <c r="A106" s="378" t="str">
        <f>Costs!A50</f>
        <v>Wages for Existing Employee 6</v>
      </c>
      <c r="B106" s="355">
        <f>IF(B$3&lt;=time,'Attributable fraction'!AA50*(1+Economics!$B$4)^(B$3-$B$3)/((1+Economics!$B$3)^(B$3-$B$3)),"")</f>
        <v>0</v>
      </c>
      <c r="C106" s="355">
        <f>IF(C$3&lt;=time,'Attributable fraction'!AB50*(1+Economics!$B$4)^(C$3-$B$3)/((1+Economics!$B$3)^(C$3-$B$3)),"")</f>
        <v>0</v>
      </c>
      <c r="D106" s="355">
        <f>IF(D$3&lt;=time,'Attributable fraction'!AC50*(1+Economics!$B$4)^(D$3-$B$3)/((1+Economics!$B$3)^(D$3-$B$3)),"")</f>
        <v>0</v>
      </c>
      <c r="E106" s="355">
        <f>IF(E$3&lt;=time,'Attributable fraction'!AD50*(1+Economics!$B$4)^(E$3-$B$3)/((1+Economics!$B$3)^(E$3-$B$3)),"")</f>
        <v>0</v>
      </c>
      <c r="F106" s="355">
        <f>IF(F$3&lt;=time,'Attributable fraction'!AE50*(1+Economics!$B$4)^(F$3-$B$3)/((1+Economics!$B$3)^(F$3-$B$3)),"")</f>
        <v>0</v>
      </c>
      <c r="G106" s="355" t="str">
        <f>IF(G$3&lt;=time,'Attributable fraction'!AF50*(1+Economics!$B$4)^(G$3-$B$3)/((1+Economics!$B$3)^(G$3-$B$3)),"")</f>
        <v/>
      </c>
      <c r="H106" s="355" t="str">
        <f>IF(H$3&lt;=time,'Attributable fraction'!AG50*(1+Economics!$B$4)^(H$3-$B$3)/((1+Economics!$B$3)^(H$3-$B$3)),"")</f>
        <v/>
      </c>
      <c r="I106" s="355" t="str">
        <f>IF(I$3&lt;=time,'Attributable fraction'!AH50*(1+Economics!$B$4)^(I$3-$B$3)/((1+Economics!$B$3)^(I$3-$B$3)),"")</f>
        <v/>
      </c>
      <c r="J106" s="355" t="str">
        <f>IF(J$3&lt;=time,'Attributable fraction'!AI50*(1+Economics!$B$4)^(J$3-$B$3)/((1+Economics!$B$3)^(J$3-$B$3)),"")</f>
        <v/>
      </c>
      <c r="K106" s="355" t="str">
        <f>IF(K$3&lt;=time,'Attributable fraction'!AJ50*(1+Economics!$B$4)^(K$3-$B$3)/((1+Economics!$B$3)^(K$3-$B$3)),"")</f>
        <v/>
      </c>
      <c r="L106" s="355" t="str">
        <f>IF(L$3&lt;=time,'Attributable fraction'!AK50*(1+Economics!$B$4)^(L$3-$B$3)/((1+Economics!$B$3)^(L$3-$B$3)),"")</f>
        <v/>
      </c>
      <c r="M106" s="355" t="str">
        <f>IF(M$3&lt;=time,'Attributable fraction'!AL50*(1+Economics!$B$4)^(M$3-$B$3)/((1+Economics!$B$3)^(M$3-$B$3)),"")</f>
        <v/>
      </c>
      <c r="N106" s="355" t="str">
        <f>IF(N$3&lt;=time,'Attributable fraction'!AM50*(1+Economics!$B$4)^(N$3-$B$3)/((1+Economics!$B$3)^(N$3-$B$3)),"")</f>
        <v/>
      </c>
      <c r="O106" s="355" t="str">
        <f>IF(O$3&lt;=time,'Attributable fraction'!AN50*(1+Economics!$B$4)^(O$3-$B$3)/((1+Economics!$B$3)^(O$3-$B$3)),"")</f>
        <v/>
      </c>
      <c r="P106" s="355" t="str">
        <f>IF(P$3&lt;=time,'Attributable fraction'!AO50*(1+Economics!$B$4)^(P$3-$B$3)/((1+Economics!$B$3)^(P$3-$B$3)),"")</f>
        <v/>
      </c>
      <c r="Q106" s="355" t="str">
        <f>IF(Q$3&lt;=time,'Attributable fraction'!AP50*(1+Economics!$B$4)^(Q$3-$B$3)/((1+Economics!$B$3)^(Q$3-$B$3)),"")</f>
        <v/>
      </c>
      <c r="R106" s="355" t="str">
        <f>IF(R$3&lt;=time,'Attributable fraction'!AQ50*(1+Economics!$B$4)^(R$3-$B$3)/((1+Economics!$B$3)^(R$3-$B$3)),"")</f>
        <v/>
      </c>
      <c r="S106" s="355" t="str">
        <f>IF(S$3&lt;=time,'Attributable fraction'!AR50*(1+Economics!$B$4)^(S$3-$B$3)/((1+Economics!$B$3)^(S$3-$B$3)),"")</f>
        <v/>
      </c>
      <c r="T106" s="355" t="str">
        <f>IF(T$3&lt;=time,'Attributable fraction'!AS50*(1+Economics!$B$4)^(T$3-$B$3)/((1+Economics!$B$3)^(T$3-$B$3)),"")</f>
        <v/>
      </c>
      <c r="U106" s="355" t="str">
        <f>IF(U$3&lt;=time,'Attributable fraction'!AT50*(1+Economics!$B$4)^(U$3-$B$3)/((1+Economics!$B$3)^(U$3-$B$3)),"")</f>
        <v/>
      </c>
      <c r="V106" s="355" t="str">
        <f>IF(V$3&lt;=time,'Attributable fraction'!AU50*(1+Economics!$B$4)^(V$3-$B$3)/((1+Economics!$B$3)^(V$3-$B$3)),"")</f>
        <v/>
      </c>
      <c r="W106" s="355" t="str">
        <f>IF(W$3&lt;=time,'Attributable fraction'!AV50*(1+Economics!$B$4)^(W$3-$B$3)/((1+Economics!$B$3)^(W$3-$B$3)),"")</f>
        <v/>
      </c>
      <c r="X106" s="355" t="str">
        <f>IF(X$3&lt;=time,'Attributable fraction'!AW50*(1+Economics!$B$4)^(X$3-$B$3)/((1+Economics!$B$3)^(X$3-$B$3)),"")</f>
        <v/>
      </c>
      <c r="Y106" s="355" t="str">
        <f>IF(Y$3&lt;=time,'Attributable fraction'!AX50*(1+Economics!$B$4)^(Y$3-$B$3)/((1+Economics!$B$3)^(Y$3-$B$3)),"")</f>
        <v/>
      </c>
      <c r="Z106" s="356" t="str">
        <f>IF(Z$3&lt;=time,'Attributable fraction'!AY50*(1+Economics!$B$4)^(Z$3-$B$3)/((1+Economics!$B$3)^(Z$3-$B$3)),"")</f>
        <v/>
      </c>
      <c r="AC106" s="142">
        <f t="shared" si="19"/>
        <v>0</v>
      </c>
      <c r="AE106" s="376">
        <v>6</v>
      </c>
      <c r="AF106" s="176" t="e">
        <f t="array" ref="AF106">STDEV(IF(B106:Z106&lt;&gt;0,B106:Z106))</f>
        <v>#DIV/0!</v>
      </c>
      <c r="AG106" s="176">
        <v>1.96</v>
      </c>
      <c r="AH106" s="176" t="e">
        <f t="shared" si="20"/>
        <v>#DIV/0!</v>
      </c>
      <c r="AI106" s="176">
        <f t="shared" si="14"/>
        <v>0</v>
      </c>
    </row>
    <row r="107" spans="1:35" hidden="1">
      <c r="A107" s="378" t="str">
        <f>Costs!A51</f>
        <v>Wages for Existing Employee 7</v>
      </c>
      <c r="B107" s="355">
        <f>IF(B$3&lt;=time,'Attributable fraction'!AA51*(1+Economics!$B$4)^(B$3-$B$3)/((1+Economics!$B$3)^(B$3-$B$3)),"")</f>
        <v>0</v>
      </c>
      <c r="C107" s="355">
        <f>IF(C$3&lt;=time,'Attributable fraction'!AB51*(1+Economics!$B$4)^(C$3-$B$3)/((1+Economics!$B$3)^(C$3-$B$3)),"")</f>
        <v>0</v>
      </c>
      <c r="D107" s="355">
        <f>IF(D$3&lt;=time,'Attributable fraction'!AC51*(1+Economics!$B$4)^(D$3-$B$3)/((1+Economics!$B$3)^(D$3-$B$3)),"")</f>
        <v>0</v>
      </c>
      <c r="E107" s="355">
        <f>IF(E$3&lt;=time,'Attributable fraction'!AD51*(1+Economics!$B$4)^(E$3-$B$3)/((1+Economics!$B$3)^(E$3-$B$3)),"")</f>
        <v>0</v>
      </c>
      <c r="F107" s="355">
        <f>IF(F$3&lt;=time,'Attributable fraction'!AE51*(1+Economics!$B$4)^(F$3-$B$3)/((1+Economics!$B$3)^(F$3-$B$3)),"")</f>
        <v>0</v>
      </c>
      <c r="G107" s="355" t="str">
        <f>IF(G$3&lt;=time,'Attributable fraction'!AF51*(1+Economics!$B$4)^(G$3-$B$3)/((1+Economics!$B$3)^(G$3-$B$3)),"")</f>
        <v/>
      </c>
      <c r="H107" s="355" t="str">
        <f>IF(H$3&lt;=time,'Attributable fraction'!AG51*(1+Economics!$B$4)^(H$3-$B$3)/((1+Economics!$B$3)^(H$3-$B$3)),"")</f>
        <v/>
      </c>
      <c r="I107" s="355" t="str">
        <f>IF(I$3&lt;=time,'Attributable fraction'!AH51*(1+Economics!$B$4)^(I$3-$B$3)/((1+Economics!$B$3)^(I$3-$B$3)),"")</f>
        <v/>
      </c>
      <c r="J107" s="355" t="str">
        <f>IF(J$3&lt;=time,'Attributable fraction'!AI51*(1+Economics!$B$4)^(J$3-$B$3)/((1+Economics!$B$3)^(J$3-$B$3)),"")</f>
        <v/>
      </c>
      <c r="K107" s="355" t="str">
        <f>IF(K$3&lt;=time,'Attributable fraction'!AJ51*(1+Economics!$B$4)^(K$3-$B$3)/((1+Economics!$B$3)^(K$3-$B$3)),"")</f>
        <v/>
      </c>
      <c r="L107" s="355" t="str">
        <f>IF(L$3&lt;=time,'Attributable fraction'!AK51*(1+Economics!$B$4)^(L$3-$B$3)/((1+Economics!$B$3)^(L$3-$B$3)),"")</f>
        <v/>
      </c>
      <c r="M107" s="355" t="str">
        <f>IF(M$3&lt;=time,'Attributable fraction'!AL51*(1+Economics!$B$4)^(M$3-$B$3)/((1+Economics!$B$3)^(M$3-$B$3)),"")</f>
        <v/>
      </c>
      <c r="N107" s="355" t="str">
        <f>IF(N$3&lt;=time,'Attributable fraction'!AM51*(1+Economics!$B$4)^(N$3-$B$3)/((1+Economics!$B$3)^(N$3-$B$3)),"")</f>
        <v/>
      </c>
      <c r="O107" s="355" t="str">
        <f>IF(O$3&lt;=time,'Attributable fraction'!AN51*(1+Economics!$B$4)^(O$3-$B$3)/((1+Economics!$B$3)^(O$3-$B$3)),"")</f>
        <v/>
      </c>
      <c r="P107" s="355" t="str">
        <f>IF(P$3&lt;=time,'Attributable fraction'!AO51*(1+Economics!$B$4)^(P$3-$B$3)/((1+Economics!$B$3)^(P$3-$B$3)),"")</f>
        <v/>
      </c>
      <c r="Q107" s="355" t="str">
        <f>IF(Q$3&lt;=time,'Attributable fraction'!AP51*(1+Economics!$B$4)^(Q$3-$B$3)/((1+Economics!$B$3)^(Q$3-$B$3)),"")</f>
        <v/>
      </c>
      <c r="R107" s="355" t="str">
        <f>IF(R$3&lt;=time,'Attributable fraction'!AQ51*(1+Economics!$B$4)^(R$3-$B$3)/((1+Economics!$B$3)^(R$3-$B$3)),"")</f>
        <v/>
      </c>
      <c r="S107" s="355" t="str">
        <f>IF(S$3&lt;=time,'Attributable fraction'!AR51*(1+Economics!$B$4)^(S$3-$B$3)/((1+Economics!$B$3)^(S$3-$B$3)),"")</f>
        <v/>
      </c>
      <c r="T107" s="355" t="str">
        <f>IF(T$3&lt;=time,'Attributable fraction'!AS51*(1+Economics!$B$4)^(T$3-$B$3)/((1+Economics!$B$3)^(T$3-$B$3)),"")</f>
        <v/>
      </c>
      <c r="U107" s="355" t="str">
        <f>IF(U$3&lt;=time,'Attributable fraction'!AT51*(1+Economics!$B$4)^(U$3-$B$3)/((1+Economics!$B$3)^(U$3-$B$3)),"")</f>
        <v/>
      </c>
      <c r="V107" s="355" t="str">
        <f>IF(V$3&lt;=time,'Attributable fraction'!AU51*(1+Economics!$B$4)^(V$3-$B$3)/((1+Economics!$B$3)^(V$3-$B$3)),"")</f>
        <v/>
      </c>
      <c r="W107" s="355" t="str">
        <f>IF(W$3&lt;=time,'Attributable fraction'!AV51*(1+Economics!$B$4)^(W$3-$B$3)/((1+Economics!$B$3)^(W$3-$B$3)),"")</f>
        <v/>
      </c>
      <c r="X107" s="355" t="str">
        <f>IF(X$3&lt;=time,'Attributable fraction'!AW51*(1+Economics!$B$4)^(X$3-$B$3)/((1+Economics!$B$3)^(X$3-$B$3)),"")</f>
        <v/>
      </c>
      <c r="Y107" s="355" t="str">
        <f>IF(Y$3&lt;=time,'Attributable fraction'!AX51*(1+Economics!$B$4)^(Y$3-$B$3)/((1+Economics!$B$3)^(Y$3-$B$3)),"")</f>
        <v/>
      </c>
      <c r="Z107" s="356" t="str">
        <f>IF(Z$3&lt;=time,'Attributable fraction'!AY51*(1+Economics!$B$4)^(Z$3-$B$3)/((1+Economics!$B$3)^(Z$3-$B$3)),"")</f>
        <v/>
      </c>
      <c r="AC107" s="142">
        <f t="shared" si="19"/>
        <v>0</v>
      </c>
      <c r="AE107" s="376">
        <v>7</v>
      </c>
      <c r="AF107" s="176" t="e">
        <f t="array" ref="AF107">STDEV(IF(B107:Z107&lt;&gt;0,B107:Z107))</f>
        <v>#DIV/0!</v>
      </c>
      <c r="AG107" s="176">
        <v>1.96</v>
      </c>
      <c r="AH107" s="176" t="e">
        <f t="shared" si="20"/>
        <v>#DIV/0!</v>
      </c>
      <c r="AI107" s="176">
        <f t="shared" si="14"/>
        <v>0</v>
      </c>
    </row>
    <row r="108" spans="1:35" hidden="1">
      <c r="A108" s="378" t="str">
        <f>Costs!A52</f>
        <v>Wages for Existing Employee 8</v>
      </c>
      <c r="B108" s="355">
        <f>IF(B$3&lt;=time,'Attributable fraction'!AA52*(1+Economics!$B$4)^(B$3-$B$3)/((1+Economics!$B$3)^(B$3-$B$3)),"")</f>
        <v>0</v>
      </c>
      <c r="C108" s="355">
        <f>IF(C$3&lt;=time,'Attributable fraction'!AB52*(1+Economics!$B$4)^(C$3-$B$3)/((1+Economics!$B$3)^(C$3-$B$3)),"")</f>
        <v>0</v>
      </c>
      <c r="D108" s="355">
        <f>IF(D$3&lt;=time,'Attributable fraction'!AC52*(1+Economics!$B$4)^(D$3-$B$3)/((1+Economics!$B$3)^(D$3-$B$3)),"")</f>
        <v>0</v>
      </c>
      <c r="E108" s="355">
        <f>IF(E$3&lt;=time,'Attributable fraction'!AD52*(1+Economics!$B$4)^(E$3-$B$3)/((1+Economics!$B$3)^(E$3-$B$3)),"")</f>
        <v>0</v>
      </c>
      <c r="F108" s="355">
        <f>IF(F$3&lt;=time,'Attributable fraction'!AE52*(1+Economics!$B$4)^(F$3-$B$3)/((1+Economics!$B$3)^(F$3-$B$3)),"")</f>
        <v>0</v>
      </c>
      <c r="G108" s="355" t="str">
        <f>IF(G$3&lt;=time,'Attributable fraction'!AF52*(1+Economics!$B$4)^(G$3-$B$3)/((1+Economics!$B$3)^(G$3-$B$3)),"")</f>
        <v/>
      </c>
      <c r="H108" s="355" t="str">
        <f>IF(H$3&lt;=time,'Attributable fraction'!AG52*(1+Economics!$B$4)^(H$3-$B$3)/((1+Economics!$B$3)^(H$3-$B$3)),"")</f>
        <v/>
      </c>
      <c r="I108" s="355" t="str">
        <f>IF(I$3&lt;=time,'Attributable fraction'!AH52*(1+Economics!$B$4)^(I$3-$B$3)/((1+Economics!$B$3)^(I$3-$B$3)),"")</f>
        <v/>
      </c>
      <c r="J108" s="355" t="str">
        <f>IF(J$3&lt;=time,'Attributable fraction'!AI52*(1+Economics!$B$4)^(J$3-$B$3)/((1+Economics!$B$3)^(J$3-$B$3)),"")</f>
        <v/>
      </c>
      <c r="K108" s="355" t="str">
        <f>IF(K$3&lt;=time,'Attributable fraction'!AJ52*(1+Economics!$B$4)^(K$3-$B$3)/((1+Economics!$B$3)^(K$3-$B$3)),"")</f>
        <v/>
      </c>
      <c r="L108" s="355" t="str">
        <f>IF(L$3&lt;=time,'Attributable fraction'!AK52*(1+Economics!$B$4)^(L$3-$B$3)/((1+Economics!$B$3)^(L$3-$B$3)),"")</f>
        <v/>
      </c>
      <c r="M108" s="355" t="str">
        <f>IF(M$3&lt;=time,'Attributable fraction'!AL52*(1+Economics!$B$4)^(M$3-$B$3)/((1+Economics!$B$3)^(M$3-$B$3)),"")</f>
        <v/>
      </c>
      <c r="N108" s="355" t="str">
        <f>IF(N$3&lt;=time,'Attributable fraction'!AM52*(1+Economics!$B$4)^(N$3-$B$3)/((1+Economics!$B$3)^(N$3-$B$3)),"")</f>
        <v/>
      </c>
      <c r="O108" s="355" t="str">
        <f>IF(O$3&lt;=time,'Attributable fraction'!AN52*(1+Economics!$B$4)^(O$3-$B$3)/((1+Economics!$B$3)^(O$3-$B$3)),"")</f>
        <v/>
      </c>
      <c r="P108" s="355" t="str">
        <f>IF(P$3&lt;=time,'Attributable fraction'!AO52*(1+Economics!$B$4)^(P$3-$B$3)/((1+Economics!$B$3)^(P$3-$B$3)),"")</f>
        <v/>
      </c>
      <c r="Q108" s="355" t="str">
        <f>IF(Q$3&lt;=time,'Attributable fraction'!AP52*(1+Economics!$B$4)^(Q$3-$B$3)/((1+Economics!$B$3)^(Q$3-$B$3)),"")</f>
        <v/>
      </c>
      <c r="R108" s="355" t="str">
        <f>IF(R$3&lt;=time,'Attributable fraction'!AQ52*(1+Economics!$B$4)^(R$3-$B$3)/((1+Economics!$B$3)^(R$3-$B$3)),"")</f>
        <v/>
      </c>
      <c r="S108" s="355" t="str">
        <f>IF(S$3&lt;=time,'Attributable fraction'!AR52*(1+Economics!$B$4)^(S$3-$B$3)/((1+Economics!$B$3)^(S$3-$B$3)),"")</f>
        <v/>
      </c>
      <c r="T108" s="355" t="str">
        <f>IF(T$3&lt;=time,'Attributable fraction'!AS52*(1+Economics!$B$4)^(T$3-$B$3)/((1+Economics!$B$3)^(T$3-$B$3)),"")</f>
        <v/>
      </c>
      <c r="U108" s="355" t="str">
        <f>IF(U$3&lt;=time,'Attributable fraction'!AT52*(1+Economics!$B$4)^(U$3-$B$3)/((1+Economics!$B$3)^(U$3-$B$3)),"")</f>
        <v/>
      </c>
      <c r="V108" s="355" t="str">
        <f>IF(V$3&lt;=time,'Attributable fraction'!AU52*(1+Economics!$B$4)^(V$3-$B$3)/((1+Economics!$B$3)^(V$3-$B$3)),"")</f>
        <v/>
      </c>
      <c r="W108" s="355" t="str">
        <f>IF(W$3&lt;=time,'Attributable fraction'!AV52*(1+Economics!$B$4)^(W$3-$B$3)/((1+Economics!$B$3)^(W$3-$B$3)),"")</f>
        <v/>
      </c>
      <c r="X108" s="355" t="str">
        <f>IF(X$3&lt;=time,'Attributable fraction'!AW52*(1+Economics!$B$4)^(X$3-$B$3)/((1+Economics!$B$3)^(X$3-$B$3)),"")</f>
        <v/>
      </c>
      <c r="Y108" s="355" t="str">
        <f>IF(Y$3&lt;=time,'Attributable fraction'!AX52*(1+Economics!$B$4)^(Y$3-$B$3)/((1+Economics!$B$3)^(Y$3-$B$3)),"")</f>
        <v/>
      </c>
      <c r="Z108" s="356" t="str">
        <f>IF(Z$3&lt;=time,'Attributable fraction'!AY52*(1+Economics!$B$4)^(Z$3-$B$3)/((1+Economics!$B$3)^(Z$3-$B$3)),"")</f>
        <v/>
      </c>
      <c r="AC108" s="142">
        <f t="shared" si="19"/>
        <v>0</v>
      </c>
      <c r="AE108" s="376">
        <v>8</v>
      </c>
      <c r="AF108" s="176" t="e">
        <f t="array" ref="AF108">STDEV(IF(B108:Z108&lt;&gt;0,B108:Z108))</f>
        <v>#DIV/0!</v>
      </c>
      <c r="AG108" s="176">
        <v>1.96</v>
      </c>
      <c r="AH108" s="176" t="e">
        <f t="shared" si="20"/>
        <v>#DIV/0!</v>
      </c>
      <c r="AI108" s="176">
        <f t="shared" si="14"/>
        <v>0</v>
      </c>
    </row>
    <row r="109" spans="1:35" hidden="1">
      <c r="A109" s="378" t="str">
        <f>Costs!A53</f>
        <v>Wages for Existing Employee 9</v>
      </c>
      <c r="B109" s="355">
        <f>IF(B$3&lt;=time,'Attributable fraction'!AA53*(1+Economics!$B$4)^(B$3-$B$3)/((1+Economics!$B$3)^(B$3-$B$3)),"")</f>
        <v>0</v>
      </c>
      <c r="C109" s="355">
        <f>IF(C$3&lt;=time,'Attributable fraction'!AB53*(1+Economics!$B$4)^(C$3-$B$3)/((1+Economics!$B$3)^(C$3-$B$3)),"")</f>
        <v>0</v>
      </c>
      <c r="D109" s="355">
        <f>IF(D$3&lt;=time,'Attributable fraction'!AC53*(1+Economics!$B$4)^(D$3-$B$3)/((1+Economics!$B$3)^(D$3-$B$3)),"")</f>
        <v>0</v>
      </c>
      <c r="E109" s="355">
        <f>IF(E$3&lt;=time,'Attributable fraction'!AD53*(1+Economics!$B$4)^(E$3-$B$3)/((1+Economics!$B$3)^(E$3-$B$3)),"")</f>
        <v>0</v>
      </c>
      <c r="F109" s="355">
        <f>IF(F$3&lt;=time,'Attributable fraction'!AE53*(1+Economics!$B$4)^(F$3-$B$3)/((1+Economics!$B$3)^(F$3-$B$3)),"")</f>
        <v>0</v>
      </c>
      <c r="G109" s="355" t="str">
        <f>IF(G$3&lt;=time,'Attributable fraction'!AF53*(1+Economics!$B$4)^(G$3-$B$3)/((1+Economics!$B$3)^(G$3-$B$3)),"")</f>
        <v/>
      </c>
      <c r="H109" s="355" t="str">
        <f>IF(H$3&lt;=time,'Attributable fraction'!AG53*(1+Economics!$B$4)^(H$3-$B$3)/((1+Economics!$B$3)^(H$3-$B$3)),"")</f>
        <v/>
      </c>
      <c r="I109" s="355" t="str">
        <f>IF(I$3&lt;=time,'Attributable fraction'!AH53*(1+Economics!$B$4)^(I$3-$B$3)/((1+Economics!$B$3)^(I$3-$B$3)),"")</f>
        <v/>
      </c>
      <c r="J109" s="355" t="str">
        <f>IF(J$3&lt;=time,'Attributable fraction'!AI53*(1+Economics!$B$4)^(J$3-$B$3)/((1+Economics!$B$3)^(J$3-$B$3)),"")</f>
        <v/>
      </c>
      <c r="K109" s="355" t="str">
        <f>IF(K$3&lt;=time,'Attributable fraction'!AJ53*(1+Economics!$B$4)^(K$3-$B$3)/((1+Economics!$B$3)^(K$3-$B$3)),"")</f>
        <v/>
      </c>
      <c r="L109" s="355" t="str">
        <f>IF(L$3&lt;=time,'Attributable fraction'!AK53*(1+Economics!$B$4)^(L$3-$B$3)/((1+Economics!$B$3)^(L$3-$B$3)),"")</f>
        <v/>
      </c>
      <c r="M109" s="355" t="str">
        <f>IF(M$3&lt;=time,'Attributable fraction'!AL53*(1+Economics!$B$4)^(M$3-$B$3)/((1+Economics!$B$3)^(M$3-$B$3)),"")</f>
        <v/>
      </c>
      <c r="N109" s="355" t="str">
        <f>IF(N$3&lt;=time,'Attributable fraction'!AM53*(1+Economics!$B$4)^(N$3-$B$3)/((1+Economics!$B$3)^(N$3-$B$3)),"")</f>
        <v/>
      </c>
      <c r="O109" s="355" t="str">
        <f>IF(O$3&lt;=time,'Attributable fraction'!AN53*(1+Economics!$B$4)^(O$3-$B$3)/((1+Economics!$B$3)^(O$3-$B$3)),"")</f>
        <v/>
      </c>
      <c r="P109" s="355" t="str">
        <f>IF(P$3&lt;=time,'Attributable fraction'!AO53*(1+Economics!$B$4)^(P$3-$B$3)/((1+Economics!$B$3)^(P$3-$B$3)),"")</f>
        <v/>
      </c>
      <c r="Q109" s="355" t="str">
        <f>IF(Q$3&lt;=time,'Attributable fraction'!AP53*(1+Economics!$B$4)^(Q$3-$B$3)/((1+Economics!$B$3)^(Q$3-$B$3)),"")</f>
        <v/>
      </c>
      <c r="R109" s="355" t="str">
        <f>IF(R$3&lt;=time,'Attributable fraction'!AQ53*(1+Economics!$B$4)^(R$3-$B$3)/((1+Economics!$B$3)^(R$3-$B$3)),"")</f>
        <v/>
      </c>
      <c r="S109" s="355" t="str">
        <f>IF(S$3&lt;=time,'Attributable fraction'!AR53*(1+Economics!$B$4)^(S$3-$B$3)/((1+Economics!$B$3)^(S$3-$B$3)),"")</f>
        <v/>
      </c>
      <c r="T109" s="355" t="str">
        <f>IF(T$3&lt;=time,'Attributable fraction'!AS53*(1+Economics!$B$4)^(T$3-$B$3)/((1+Economics!$B$3)^(T$3-$B$3)),"")</f>
        <v/>
      </c>
      <c r="U109" s="355" t="str">
        <f>IF(U$3&lt;=time,'Attributable fraction'!AT53*(1+Economics!$B$4)^(U$3-$B$3)/((1+Economics!$B$3)^(U$3-$B$3)),"")</f>
        <v/>
      </c>
      <c r="V109" s="355" t="str">
        <f>IF(V$3&lt;=time,'Attributable fraction'!AU53*(1+Economics!$B$4)^(V$3-$B$3)/((1+Economics!$B$3)^(V$3-$B$3)),"")</f>
        <v/>
      </c>
      <c r="W109" s="355" t="str">
        <f>IF(W$3&lt;=time,'Attributable fraction'!AV53*(1+Economics!$B$4)^(W$3-$B$3)/((1+Economics!$B$3)^(W$3-$B$3)),"")</f>
        <v/>
      </c>
      <c r="X109" s="355" t="str">
        <f>IF(X$3&lt;=time,'Attributable fraction'!AW53*(1+Economics!$B$4)^(X$3-$B$3)/((1+Economics!$B$3)^(X$3-$B$3)),"")</f>
        <v/>
      </c>
      <c r="Y109" s="355" t="str">
        <f>IF(Y$3&lt;=time,'Attributable fraction'!AX53*(1+Economics!$B$4)^(Y$3-$B$3)/((1+Economics!$B$3)^(Y$3-$B$3)),"")</f>
        <v/>
      </c>
      <c r="Z109" s="356" t="str">
        <f>IF(Z$3&lt;=time,'Attributable fraction'!AY53*(1+Economics!$B$4)^(Z$3-$B$3)/((1+Economics!$B$3)^(Z$3-$B$3)),"")</f>
        <v/>
      </c>
      <c r="AC109" s="142">
        <f t="shared" si="19"/>
        <v>0</v>
      </c>
      <c r="AE109" s="376">
        <v>9</v>
      </c>
      <c r="AF109" s="176" t="e">
        <f t="array" ref="AF109">STDEV(IF(B109:Z109&lt;&gt;0,B109:Z109))</f>
        <v>#DIV/0!</v>
      </c>
      <c r="AG109" s="176">
        <v>1.96</v>
      </c>
      <c r="AH109" s="176" t="e">
        <f t="shared" si="20"/>
        <v>#DIV/0!</v>
      </c>
      <c r="AI109" s="176">
        <f t="shared" si="14"/>
        <v>0</v>
      </c>
    </row>
    <row r="110" spans="1:35" hidden="1">
      <c r="A110" s="378" t="str">
        <f>Costs!A54</f>
        <v>Wages for Existing Employee 10</v>
      </c>
      <c r="B110" s="355">
        <f>IF(B$3&lt;=time,'Attributable fraction'!AA54*(1+Economics!$B$4)^(B$3-$B$3)/((1+Economics!$B$3)^(B$3-$B$3)),"")</f>
        <v>0</v>
      </c>
      <c r="C110" s="355">
        <f>IF(C$3&lt;=time,'Attributable fraction'!AB54*(1+Economics!$B$4)^(C$3-$B$3)/((1+Economics!$B$3)^(C$3-$B$3)),"")</f>
        <v>0</v>
      </c>
      <c r="D110" s="355">
        <f>IF(D$3&lt;=time,'Attributable fraction'!AC54*(1+Economics!$B$4)^(D$3-$B$3)/((1+Economics!$B$3)^(D$3-$B$3)),"")</f>
        <v>0</v>
      </c>
      <c r="E110" s="355">
        <f>IF(E$3&lt;=time,'Attributable fraction'!AD54*(1+Economics!$B$4)^(E$3-$B$3)/((1+Economics!$B$3)^(E$3-$B$3)),"")</f>
        <v>0</v>
      </c>
      <c r="F110" s="355">
        <f>IF(F$3&lt;=time,'Attributable fraction'!AE54*(1+Economics!$B$4)^(F$3-$B$3)/((1+Economics!$B$3)^(F$3-$B$3)),"")</f>
        <v>0</v>
      </c>
      <c r="G110" s="355" t="str">
        <f>IF(G$3&lt;=time,'Attributable fraction'!AF54*(1+Economics!$B$4)^(G$3-$B$3)/((1+Economics!$B$3)^(G$3-$B$3)),"")</f>
        <v/>
      </c>
      <c r="H110" s="355" t="str">
        <f>IF(H$3&lt;=time,'Attributable fraction'!AG54*(1+Economics!$B$4)^(H$3-$B$3)/((1+Economics!$B$3)^(H$3-$B$3)),"")</f>
        <v/>
      </c>
      <c r="I110" s="355" t="str">
        <f>IF(I$3&lt;=time,'Attributable fraction'!AH54*(1+Economics!$B$4)^(I$3-$B$3)/((1+Economics!$B$3)^(I$3-$B$3)),"")</f>
        <v/>
      </c>
      <c r="J110" s="355" t="str">
        <f>IF(J$3&lt;=time,'Attributable fraction'!AI54*(1+Economics!$B$4)^(J$3-$B$3)/((1+Economics!$B$3)^(J$3-$B$3)),"")</f>
        <v/>
      </c>
      <c r="K110" s="355" t="str">
        <f>IF(K$3&lt;=time,'Attributable fraction'!AJ54*(1+Economics!$B$4)^(K$3-$B$3)/((1+Economics!$B$3)^(K$3-$B$3)),"")</f>
        <v/>
      </c>
      <c r="L110" s="355" t="str">
        <f>IF(L$3&lt;=time,'Attributable fraction'!AK54*(1+Economics!$B$4)^(L$3-$B$3)/((1+Economics!$B$3)^(L$3-$B$3)),"")</f>
        <v/>
      </c>
      <c r="M110" s="355" t="str">
        <f>IF(M$3&lt;=time,'Attributable fraction'!AL54*(1+Economics!$B$4)^(M$3-$B$3)/((1+Economics!$B$3)^(M$3-$B$3)),"")</f>
        <v/>
      </c>
      <c r="N110" s="355" t="str">
        <f>IF(N$3&lt;=time,'Attributable fraction'!AM54*(1+Economics!$B$4)^(N$3-$B$3)/((1+Economics!$B$3)^(N$3-$B$3)),"")</f>
        <v/>
      </c>
      <c r="O110" s="355" t="str">
        <f>IF(O$3&lt;=time,'Attributable fraction'!AN54*(1+Economics!$B$4)^(O$3-$B$3)/((1+Economics!$B$3)^(O$3-$B$3)),"")</f>
        <v/>
      </c>
      <c r="P110" s="355" t="str">
        <f>IF(P$3&lt;=time,'Attributable fraction'!AO54*(1+Economics!$B$4)^(P$3-$B$3)/((1+Economics!$B$3)^(P$3-$B$3)),"")</f>
        <v/>
      </c>
      <c r="Q110" s="355" t="str">
        <f>IF(Q$3&lt;=time,'Attributable fraction'!AP54*(1+Economics!$B$4)^(Q$3-$B$3)/((1+Economics!$B$3)^(Q$3-$B$3)),"")</f>
        <v/>
      </c>
      <c r="R110" s="355" t="str">
        <f>IF(R$3&lt;=time,'Attributable fraction'!AQ54*(1+Economics!$B$4)^(R$3-$B$3)/((1+Economics!$B$3)^(R$3-$B$3)),"")</f>
        <v/>
      </c>
      <c r="S110" s="355" t="str">
        <f>IF(S$3&lt;=time,'Attributable fraction'!AR54*(1+Economics!$B$4)^(S$3-$B$3)/((1+Economics!$B$3)^(S$3-$B$3)),"")</f>
        <v/>
      </c>
      <c r="T110" s="355" t="str">
        <f>IF(T$3&lt;=time,'Attributable fraction'!AS54*(1+Economics!$B$4)^(T$3-$B$3)/((1+Economics!$B$3)^(T$3-$B$3)),"")</f>
        <v/>
      </c>
      <c r="U110" s="355" t="str">
        <f>IF(U$3&lt;=time,'Attributable fraction'!AT54*(1+Economics!$B$4)^(U$3-$B$3)/((1+Economics!$B$3)^(U$3-$B$3)),"")</f>
        <v/>
      </c>
      <c r="V110" s="355" t="str">
        <f>IF(V$3&lt;=time,'Attributable fraction'!AU54*(1+Economics!$B$4)^(V$3-$B$3)/((1+Economics!$B$3)^(V$3-$B$3)),"")</f>
        <v/>
      </c>
      <c r="W110" s="355" t="str">
        <f>IF(W$3&lt;=time,'Attributable fraction'!AV54*(1+Economics!$B$4)^(W$3-$B$3)/((1+Economics!$B$3)^(W$3-$B$3)),"")</f>
        <v/>
      </c>
      <c r="X110" s="355" t="str">
        <f>IF(X$3&lt;=time,'Attributable fraction'!AW54*(1+Economics!$B$4)^(X$3-$B$3)/((1+Economics!$B$3)^(X$3-$B$3)),"")</f>
        <v/>
      </c>
      <c r="Y110" s="355" t="str">
        <f>IF(Y$3&lt;=time,'Attributable fraction'!AX54*(1+Economics!$B$4)^(Y$3-$B$3)/((1+Economics!$B$3)^(Y$3-$B$3)),"")</f>
        <v/>
      </c>
      <c r="Z110" s="356" t="str">
        <f>IF(Z$3&lt;=time,'Attributable fraction'!AY54*(1+Economics!$B$4)^(Z$3-$B$3)/((1+Economics!$B$3)^(Z$3-$B$3)),"")</f>
        <v/>
      </c>
      <c r="AC110" s="142">
        <f t="shared" si="19"/>
        <v>0</v>
      </c>
      <c r="AE110" s="376">
        <v>10</v>
      </c>
      <c r="AF110" s="176" t="e">
        <f t="array" ref="AF110">STDEV(IF(B110:Z110&lt;&gt;0,B110:Z110))</f>
        <v>#DIV/0!</v>
      </c>
      <c r="AG110" s="176">
        <v>1.96</v>
      </c>
      <c r="AH110" s="176" t="e">
        <f t="shared" si="20"/>
        <v>#DIV/0!</v>
      </c>
      <c r="AI110" s="176">
        <f t="shared" si="14"/>
        <v>0</v>
      </c>
    </row>
    <row r="111" spans="1:35" s="196" customFormat="1" hidden="1">
      <c r="A111" s="302" t="s">
        <v>15</v>
      </c>
      <c r="B111" s="379"/>
      <c r="C111" s="379"/>
      <c r="D111" s="379"/>
      <c r="E111" s="379"/>
      <c r="F111" s="379"/>
      <c r="G111" s="379"/>
      <c r="H111" s="379"/>
      <c r="I111" s="379"/>
      <c r="J111" s="379"/>
      <c r="K111" s="379"/>
      <c r="L111" s="379"/>
      <c r="M111" s="379"/>
      <c r="N111" s="379"/>
      <c r="O111" s="379"/>
      <c r="P111" s="379"/>
      <c r="Q111" s="379"/>
      <c r="R111" s="379"/>
      <c r="S111" s="379"/>
      <c r="T111" s="379"/>
      <c r="U111" s="379"/>
      <c r="V111" s="379"/>
      <c r="W111" s="379"/>
      <c r="X111" s="379"/>
      <c r="Y111" s="379"/>
      <c r="Z111" s="380"/>
      <c r="AB111" s="114"/>
      <c r="AD111" s="114"/>
    </row>
    <row r="112" spans="1:35" hidden="1">
      <c r="A112" s="374" t="str">
        <f>Costs!A56</f>
        <v>Hiring New Staff 1</v>
      </c>
      <c r="B112" s="355">
        <f>IF(B$3&lt;=time,'Attributable fraction'!AA56*(1+Economics!$B$4)^(B$3-$B$3)/((1+Economics!$B$3)^(B$3-$B$3)),"")</f>
        <v>0</v>
      </c>
      <c r="C112" s="355">
        <f>IF(C$3&lt;=time,'Attributable fraction'!AB56*(1+Economics!$B$4)^(C$3-$B$3)/((1+Economics!$B$3)^(C$3-$B$3)),"")</f>
        <v>0</v>
      </c>
      <c r="D112" s="355">
        <f>IF(D$3&lt;=time,'Attributable fraction'!AC56*(1+Economics!$B$4)^(D$3-$B$3)/((1+Economics!$B$3)^(D$3-$B$3)),"")</f>
        <v>0</v>
      </c>
      <c r="E112" s="355">
        <f>IF(E$3&lt;=time,'Attributable fraction'!AD56*(1+Economics!$B$4)^(E$3-$B$3)/((1+Economics!$B$3)^(E$3-$B$3)),"")</f>
        <v>0</v>
      </c>
      <c r="F112" s="355">
        <f>IF(F$3&lt;=time,'Attributable fraction'!AE56*(1+Economics!$B$4)^(F$3-$B$3)/((1+Economics!$B$3)^(F$3-$B$3)),"")</f>
        <v>0</v>
      </c>
      <c r="G112" s="355" t="str">
        <f>IF(G$3&lt;=time,'Attributable fraction'!AF56*(1+Economics!$B$4)^(G$3-$B$3)/((1+Economics!$B$3)^(G$3-$B$3)),"")</f>
        <v/>
      </c>
      <c r="H112" s="355" t="str">
        <f>IF(H$3&lt;=time,'Attributable fraction'!AG56*(1+Economics!$B$4)^(H$3-$B$3)/((1+Economics!$B$3)^(H$3-$B$3)),"")</f>
        <v/>
      </c>
      <c r="I112" s="355" t="str">
        <f>IF(I$3&lt;=time,'Attributable fraction'!AH56*(1+Economics!$B$4)^(I$3-$B$3)/((1+Economics!$B$3)^(I$3-$B$3)),"")</f>
        <v/>
      </c>
      <c r="J112" s="355" t="str">
        <f>IF(J$3&lt;=time,'Attributable fraction'!AI56*(1+Economics!$B$4)^(J$3-$B$3)/((1+Economics!$B$3)^(J$3-$B$3)),"")</f>
        <v/>
      </c>
      <c r="K112" s="355" t="str">
        <f>IF(K$3&lt;=time,'Attributable fraction'!AJ56*(1+Economics!$B$4)^(K$3-$B$3)/((1+Economics!$B$3)^(K$3-$B$3)),"")</f>
        <v/>
      </c>
      <c r="L112" s="355" t="str">
        <f>IF(L$3&lt;=time,'Attributable fraction'!AK56*(1+Economics!$B$4)^(L$3-$B$3)/((1+Economics!$B$3)^(L$3-$B$3)),"")</f>
        <v/>
      </c>
      <c r="M112" s="355" t="str">
        <f>IF(M$3&lt;=time,'Attributable fraction'!AL56*(1+Economics!$B$4)^(M$3-$B$3)/((1+Economics!$B$3)^(M$3-$B$3)),"")</f>
        <v/>
      </c>
      <c r="N112" s="355" t="str">
        <f>IF(N$3&lt;=time,'Attributable fraction'!AM56*(1+Economics!$B$4)^(N$3-$B$3)/((1+Economics!$B$3)^(N$3-$B$3)),"")</f>
        <v/>
      </c>
      <c r="O112" s="355" t="str">
        <f>IF(O$3&lt;=time,'Attributable fraction'!AN56*(1+Economics!$B$4)^(O$3-$B$3)/((1+Economics!$B$3)^(O$3-$B$3)),"")</f>
        <v/>
      </c>
      <c r="P112" s="355" t="str">
        <f>IF(P$3&lt;=time,'Attributable fraction'!AO56*(1+Economics!$B$4)^(P$3-$B$3)/((1+Economics!$B$3)^(P$3-$B$3)),"")</f>
        <v/>
      </c>
      <c r="Q112" s="355" t="str">
        <f>IF(Q$3&lt;=time,'Attributable fraction'!AP56*(1+Economics!$B$4)^(Q$3-$B$3)/((1+Economics!$B$3)^(Q$3-$B$3)),"")</f>
        <v/>
      </c>
      <c r="R112" s="355" t="str">
        <f>IF(R$3&lt;=time,'Attributable fraction'!AQ56*(1+Economics!$B$4)^(R$3-$B$3)/((1+Economics!$B$3)^(R$3-$B$3)),"")</f>
        <v/>
      </c>
      <c r="S112" s="355" t="str">
        <f>IF(S$3&lt;=time,'Attributable fraction'!AR56*(1+Economics!$B$4)^(S$3-$B$3)/((1+Economics!$B$3)^(S$3-$B$3)),"")</f>
        <v/>
      </c>
      <c r="T112" s="355" t="str">
        <f>IF(T$3&lt;=time,'Attributable fraction'!AS56*(1+Economics!$B$4)^(T$3-$B$3)/((1+Economics!$B$3)^(T$3-$B$3)),"")</f>
        <v/>
      </c>
      <c r="U112" s="355" t="str">
        <f>IF(U$3&lt;=time,'Attributable fraction'!AT56*(1+Economics!$B$4)^(U$3-$B$3)/((1+Economics!$B$3)^(U$3-$B$3)),"")</f>
        <v/>
      </c>
      <c r="V112" s="355" t="str">
        <f>IF(V$3&lt;=time,'Attributable fraction'!AU56*(1+Economics!$B$4)^(V$3-$B$3)/((1+Economics!$B$3)^(V$3-$B$3)),"")</f>
        <v/>
      </c>
      <c r="W112" s="355" t="str">
        <f>IF(W$3&lt;=time,'Attributable fraction'!AV56*(1+Economics!$B$4)^(W$3-$B$3)/((1+Economics!$B$3)^(W$3-$B$3)),"")</f>
        <v/>
      </c>
      <c r="X112" s="355" t="str">
        <f>IF(X$3&lt;=time,'Attributable fraction'!AW56*(1+Economics!$B$4)^(X$3-$B$3)/((1+Economics!$B$3)^(X$3-$B$3)),"")</f>
        <v/>
      </c>
      <c r="Y112" s="355" t="str">
        <f>IF(Y$3&lt;=time,'Attributable fraction'!AX56*(1+Economics!$B$4)^(Y$3-$B$3)/((1+Economics!$B$3)^(Y$3-$B$3)),"")</f>
        <v/>
      </c>
      <c r="Z112" s="356" t="str">
        <f>IF(Z$3&lt;=time,'Attributable fraction'!AY56*(1+Economics!$B$4)^(Z$3-$B$3)/((1+Economics!$B$3)^(Z$3-$B$3)),"")</f>
        <v/>
      </c>
      <c r="AC112" s="142">
        <f t="shared" ref="AC112:AC121" si="21">(SUM(IF(ISERROR(Z112),"0",Z112),IF(ISERROR(Y112),"0",Y112),IF(ISERROR(X112),"0",X112),IF(ISERROR(W112),"0",W112),IF(ISERROR(V112),"0",V112),IF(ISERROR(U112),"0",U112),IF(ISERROR(T112),"0",T112),IF(ISERROR(S112),"0",S112),IF(ISERROR(R112),"0",R112),IF(ISERROR(Q112),"0",Q112), IF(ISERROR(P112),"0",P112),IF(ISERROR(O112),"0",O112),IF(ISERROR(N112),"0",N112),IF(ISERROR(M112),"0",M112),IF(ISERROR(L112),"0",L112),IF(ISERROR(K112),"0",K112),IF(ISERROR(J112),"0",J112),IF(ISERROR(I112),"0",I112),IF(ISERROR(H112),"0",H112),IF(ISERROR(G112),"0",G112),IF(ISERROR(F112),"0",F112),IF(ISERROR(E112),"0",E112),IF(ISERROR(D112),"0",D112),IF(ISERROR(C112),"0",C112),IF(ISERROR(B112),"0",B112)))/time</f>
        <v>0</v>
      </c>
      <c r="AE112" s="375">
        <v>1</v>
      </c>
      <c r="AF112" s="176" t="e">
        <f t="array" ref="AF112">STDEV(IF(B112:Z112&lt;&gt;0,B112:Z112))</f>
        <v>#DIV/0!</v>
      </c>
      <c r="AG112" s="176">
        <v>1.96</v>
      </c>
      <c r="AH112" s="176" t="e">
        <f t="shared" ref="AH112:AH121" si="22">(AG112*AF112)/(time^0.5)</f>
        <v>#DIV/0!</v>
      </c>
      <c r="AI112" s="176">
        <f t="shared" si="14"/>
        <v>0</v>
      </c>
    </row>
    <row r="113" spans="1:35" hidden="1">
      <c r="A113" s="374" t="str">
        <f>Costs!A57</f>
        <v>Hiring New Staff 2</v>
      </c>
      <c r="B113" s="355">
        <f>IF(B$3&lt;=time,'Attributable fraction'!AA57*(1+Economics!$B$4)^(B$3-$B$3)/((1+Economics!$B$3)^(B$3-$B$3)),"")</f>
        <v>0</v>
      </c>
      <c r="C113" s="355">
        <f>IF(C$3&lt;=time,'Attributable fraction'!AB57*(1+Economics!$B$4)^(C$3-$B$3)/((1+Economics!$B$3)^(C$3-$B$3)),"")</f>
        <v>0</v>
      </c>
      <c r="D113" s="355">
        <f>IF(D$3&lt;=time,'Attributable fraction'!AC57*(1+Economics!$B$4)^(D$3-$B$3)/((1+Economics!$B$3)^(D$3-$B$3)),"")</f>
        <v>0</v>
      </c>
      <c r="E113" s="355">
        <f>IF(E$3&lt;=time,'Attributable fraction'!AD57*(1+Economics!$B$4)^(E$3-$B$3)/((1+Economics!$B$3)^(E$3-$B$3)),"")</f>
        <v>0</v>
      </c>
      <c r="F113" s="355">
        <f>IF(F$3&lt;=time,'Attributable fraction'!AE57*(1+Economics!$B$4)^(F$3-$B$3)/((1+Economics!$B$3)^(F$3-$B$3)),"")</f>
        <v>0</v>
      </c>
      <c r="G113" s="355" t="str">
        <f>IF(G$3&lt;=time,'Attributable fraction'!AF57*(1+Economics!$B$4)^(G$3-$B$3)/((1+Economics!$B$3)^(G$3-$B$3)),"")</f>
        <v/>
      </c>
      <c r="H113" s="355" t="str">
        <f>IF(H$3&lt;=time,'Attributable fraction'!AG57*(1+Economics!$B$4)^(H$3-$B$3)/((1+Economics!$B$3)^(H$3-$B$3)),"")</f>
        <v/>
      </c>
      <c r="I113" s="355" t="str">
        <f>IF(I$3&lt;=time,'Attributable fraction'!AH57*(1+Economics!$B$4)^(I$3-$B$3)/((1+Economics!$B$3)^(I$3-$B$3)),"")</f>
        <v/>
      </c>
      <c r="J113" s="355" t="str">
        <f>IF(J$3&lt;=time,'Attributable fraction'!AI57*(1+Economics!$B$4)^(J$3-$B$3)/((1+Economics!$B$3)^(J$3-$B$3)),"")</f>
        <v/>
      </c>
      <c r="K113" s="355" t="str">
        <f>IF(K$3&lt;=time,'Attributable fraction'!AJ57*(1+Economics!$B$4)^(K$3-$B$3)/((1+Economics!$B$3)^(K$3-$B$3)),"")</f>
        <v/>
      </c>
      <c r="L113" s="355" t="str">
        <f>IF(L$3&lt;=time,'Attributable fraction'!AK57*(1+Economics!$B$4)^(L$3-$B$3)/((1+Economics!$B$3)^(L$3-$B$3)),"")</f>
        <v/>
      </c>
      <c r="M113" s="355" t="str">
        <f>IF(M$3&lt;=time,'Attributable fraction'!AL57*(1+Economics!$B$4)^(M$3-$B$3)/((1+Economics!$B$3)^(M$3-$B$3)),"")</f>
        <v/>
      </c>
      <c r="N113" s="355" t="str">
        <f>IF(N$3&lt;=time,'Attributable fraction'!AM57*(1+Economics!$B$4)^(N$3-$B$3)/((1+Economics!$B$3)^(N$3-$B$3)),"")</f>
        <v/>
      </c>
      <c r="O113" s="355" t="str">
        <f>IF(O$3&lt;=time,'Attributable fraction'!AN57*(1+Economics!$B$4)^(O$3-$B$3)/((1+Economics!$B$3)^(O$3-$B$3)),"")</f>
        <v/>
      </c>
      <c r="P113" s="355" t="str">
        <f>IF(P$3&lt;=time,'Attributable fraction'!AO57*(1+Economics!$B$4)^(P$3-$B$3)/((1+Economics!$B$3)^(P$3-$B$3)),"")</f>
        <v/>
      </c>
      <c r="Q113" s="355" t="str">
        <f>IF(Q$3&lt;=time,'Attributable fraction'!AP57*(1+Economics!$B$4)^(Q$3-$B$3)/((1+Economics!$B$3)^(Q$3-$B$3)),"")</f>
        <v/>
      </c>
      <c r="R113" s="355" t="str">
        <f>IF(R$3&lt;=time,'Attributable fraction'!AQ57*(1+Economics!$B$4)^(R$3-$B$3)/((1+Economics!$B$3)^(R$3-$B$3)),"")</f>
        <v/>
      </c>
      <c r="S113" s="355" t="str">
        <f>IF(S$3&lt;=time,'Attributable fraction'!AR57*(1+Economics!$B$4)^(S$3-$B$3)/((1+Economics!$B$3)^(S$3-$B$3)),"")</f>
        <v/>
      </c>
      <c r="T113" s="355" t="str">
        <f>IF(T$3&lt;=time,'Attributable fraction'!AS57*(1+Economics!$B$4)^(T$3-$B$3)/((1+Economics!$B$3)^(T$3-$B$3)),"")</f>
        <v/>
      </c>
      <c r="U113" s="355" t="str">
        <f>IF(U$3&lt;=time,'Attributable fraction'!AT57*(1+Economics!$B$4)^(U$3-$B$3)/((1+Economics!$B$3)^(U$3-$B$3)),"")</f>
        <v/>
      </c>
      <c r="V113" s="355" t="str">
        <f>IF(V$3&lt;=time,'Attributable fraction'!AU57*(1+Economics!$B$4)^(V$3-$B$3)/((1+Economics!$B$3)^(V$3-$B$3)),"")</f>
        <v/>
      </c>
      <c r="W113" s="355" t="str">
        <f>IF(W$3&lt;=time,'Attributable fraction'!AV57*(1+Economics!$B$4)^(W$3-$B$3)/((1+Economics!$B$3)^(W$3-$B$3)),"")</f>
        <v/>
      </c>
      <c r="X113" s="355" t="str">
        <f>IF(X$3&lt;=time,'Attributable fraction'!AW57*(1+Economics!$B$4)^(X$3-$B$3)/((1+Economics!$B$3)^(X$3-$B$3)),"")</f>
        <v/>
      </c>
      <c r="Y113" s="355" t="str">
        <f>IF(Y$3&lt;=time,'Attributable fraction'!AX57*(1+Economics!$B$4)^(Y$3-$B$3)/((1+Economics!$B$3)^(Y$3-$B$3)),"")</f>
        <v/>
      </c>
      <c r="Z113" s="356" t="str">
        <f>IF(Z$3&lt;=time,'Attributable fraction'!AY57*(1+Economics!$B$4)^(Z$3-$B$3)/((1+Economics!$B$3)^(Z$3-$B$3)),"")</f>
        <v/>
      </c>
      <c r="AC113" s="142">
        <f t="shared" si="21"/>
        <v>0</v>
      </c>
      <c r="AE113" s="376">
        <v>2</v>
      </c>
      <c r="AF113" s="176" t="e">
        <f t="array" ref="AF113">STDEV(IF(B113:Z113&lt;&gt;0,B113:Z113))</f>
        <v>#DIV/0!</v>
      </c>
      <c r="AG113" s="176">
        <v>1.96</v>
      </c>
      <c r="AH113" s="176" t="e">
        <f t="shared" si="22"/>
        <v>#DIV/0!</v>
      </c>
      <c r="AI113" s="176">
        <f t="shared" si="14"/>
        <v>0</v>
      </c>
    </row>
    <row r="114" spans="1:35" hidden="1">
      <c r="A114" s="374" t="str">
        <f>Costs!A58</f>
        <v>Hiring New Staff 3</v>
      </c>
      <c r="B114" s="355">
        <f>IF(B$3&lt;=time,'Attributable fraction'!AA58*(1+Economics!$B$4)^(B$3-$B$3)/((1+Economics!$B$3)^(B$3-$B$3)),"")</f>
        <v>0</v>
      </c>
      <c r="C114" s="355">
        <f>IF(C$3&lt;=time,'Attributable fraction'!AB58*(1+Economics!$B$4)^(C$3-$B$3)/((1+Economics!$B$3)^(C$3-$B$3)),"")</f>
        <v>0</v>
      </c>
      <c r="D114" s="355">
        <f>IF(D$3&lt;=time,'Attributable fraction'!AC58*(1+Economics!$B$4)^(D$3-$B$3)/((1+Economics!$B$3)^(D$3-$B$3)),"")</f>
        <v>0</v>
      </c>
      <c r="E114" s="355">
        <f>IF(E$3&lt;=time,'Attributable fraction'!AD58*(1+Economics!$B$4)^(E$3-$B$3)/((1+Economics!$B$3)^(E$3-$B$3)),"")</f>
        <v>0</v>
      </c>
      <c r="F114" s="355">
        <f>IF(F$3&lt;=time,'Attributable fraction'!AE58*(1+Economics!$B$4)^(F$3-$B$3)/((1+Economics!$B$3)^(F$3-$B$3)),"")</f>
        <v>0</v>
      </c>
      <c r="G114" s="355" t="str">
        <f>IF(G$3&lt;=time,'Attributable fraction'!AF58*(1+Economics!$B$4)^(G$3-$B$3)/((1+Economics!$B$3)^(G$3-$B$3)),"")</f>
        <v/>
      </c>
      <c r="H114" s="355" t="str">
        <f>IF(H$3&lt;=time,'Attributable fraction'!AG58*(1+Economics!$B$4)^(H$3-$B$3)/((1+Economics!$B$3)^(H$3-$B$3)),"")</f>
        <v/>
      </c>
      <c r="I114" s="355" t="str">
        <f>IF(I$3&lt;=time,'Attributable fraction'!AH58*(1+Economics!$B$4)^(I$3-$B$3)/((1+Economics!$B$3)^(I$3-$B$3)),"")</f>
        <v/>
      </c>
      <c r="J114" s="355" t="str">
        <f>IF(J$3&lt;=time,'Attributable fraction'!AI58*(1+Economics!$B$4)^(J$3-$B$3)/((1+Economics!$B$3)^(J$3-$B$3)),"")</f>
        <v/>
      </c>
      <c r="K114" s="355" t="str">
        <f>IF(K$3&lt;=time,'Attributable fraction'!AJ58*(1+Economics!$B$4)^(K$3-$B$3)/((1+Economics!$B$3)^(K$3-$B$3)),"")</f>
        <v/>
      </c>
      <c r="L114" s="355" t="str">
        <f>IF(L$3&lt;=time,'Attributable fraction'!AK58*(1+Economics!$B$4)^(L$3-$B$3)/((1+Economics!$B$3)^(L$3-$B$3)),"")</f>
        <v/>
      </c>
      <c r="M114" s="355" t="str">
        <f>IF(M$3&lt;=time,'Attributable fraction'!AL58*(1+Economics!$B$4)^(M$3-$B$3)/((1+Economics!$B$3)^(M$3-$B$3)),"")</f>
        <v/>
      </c>
      <c r="N114" s="355" t="str">
        <f>IF(N$3&lt;=time,'Attributable fraction'!AM58*(1+Economics!$B$4)^(N$3-$B$3)/((1+Economics!$B$3)^(N$3-$B$3)),"")</f>
        <v/>
      </c>
      <c r="O114" s="355" t="str">
        <f>IF(O$3&lt;=time,'Attributable fraction'!AN58*(1+Economics!$B$4)^(O$3-$B$3)/((1+Economics!$B$3)^(O$3-$B$3)),"")</f>
        <v/>
      </c>
      <c r="P114" s="355" t="str">
        <f>IF(P$3&lt;=time,'Attributable fraction'!AO58*(1+Economics!$B$4)^(P$3-$B$3)/((1+Economics!$B$3)^(P$3-$B$3)),"")</f>
        <v/>
      </c>
      <c r="Q114" s="355" t="str">
        <f>IF(Q$3&lt;=time,'Attributable fraction'!AP58*(1+Economics!$B$4)^(Q$3-$B$3)/((1+Economics!$B$3)^(Q$3-$B$3)),"")</f>
        <v/>
      </c>
      <c r="R114" s="355" t="str">
        <f>IF(R$3&lt;=time,'Attributable fraction'!AQ58*(1+Economics!$B$4)^(R$3-$B$3)/((1+Economics!$B$3)^(R$3-$B$3)),"")</f>
        <v/>
      </c>
      <c r="S114" s="355" t="str">
        <f>IF(S$3&lt;=time,'Attributable fraction'!AR58*(1+Economics!$B$4)^(S$3-$B$3)/((1+Economics!$B$3)^(S$3-$B$3)),"")</f>
        <v/>
      </c>
      <c r="T114" s="355" t="str">
        <f>IF(T$3&lt;=time,'Attributable fraction'!AS58*(1+Economics!$B$4)^(T$3-$B$3)/((1+Economics!$B$3)^(T$3-$B$3)),"")</f>
        <v/>
      </c>
      <c r="U114" s="355" t="str">
        <f>IF(U$3&lt;=time,'Attributable fraction'!AT58*(1+Economics!$B$4)^(U$3-$B$3)/((1+Economics!$B$3)^(U$3-$B$3)),"")</f>
        <v/>
      </c>
      <c r="V114" s="355" t="str">
        <f>IF(V$3&lt;=time,'Attributable fraction'!AU58*(1+Economics!$B$4)^(V$3-$B$3)/((1+Economics!$B$3)^(V$3-$B$3)),"")</f>
        <v/>
      </c>
      <c r="W114" s="355" t="str">
        <f>IF(W$3&lt;=time,'Attributable fraction'!AV58*(1+Economics!$B$4)^(W$3-$B$3)/((1+Economics!$B$3)^(W$3-$B$3)),"")</f>
        <v/>
      </c>
      <c r="X114" s="355" t="str">
        <f>IF(X$3&lt;=time,'Attributable fraction'!AW58*(1+Economics!$B$4)^(X$3-$B$3)/((1+Economics!$B$3)^(X$3-$B$3)),"")</f>
        <v/>
      </c>
      <c r="Y114" s="355" t="str">
        <f>IF(Y$3&lt;=time,'Attributable fraction'!AX58*(1+Economics!$B$4)^(Y$3-$B$3)/((1+Economics!$B$3)^(Y$3-$B$3)),"")</f>
        <v/>
      </c>
      <c r="Z114" s="356" t="str">
        <f>IF(Z$3&lt;=time,'Attributable fraction'!AY58*(1+Economics!$B$4)^(Z$3-$B$3)/((1+Economics!$B$3)^(Z$3-$B$3)),"")</f>
        <v/>
      </c>
      <c r="AC114" s="142">
        <f t="shared" si="21"/>
        <v>0</v>
      </c>
      <c r="AE114" s="376">
        <v>3</v>
      </c>
      <c r="AF114" s="176" t="e">
        <f t="array" ref="AF114">STDEV(IF(B114:Z114&lt;&gt;0,B114:Z114))</f>
        <v>#DIV/0!</v>
      </c>
      <c r="AG114" s="176">
        <v>1.96</v>
      </c>
      <c r="AH114" s="176" t="e">
        <f t="shared" si="22"/>
        <v>#DIV/0!</v>
      </c>
      <c r="AI114" s="176">
        <f t="shared" si="14"/>
        <v>0</v>
      </c>
    </row>
    <row r="115" spans="1:35" hidden="1">
      <c r="A115" s="374" t="str">
        <f>Costs!A59</f>
        <v>Hiring New Staff 4</v>
      </c>
      <c r="B115" s="355">
        <f>IF(B$3&lt;=time,'Attributable fraction'!AA59*(1+Economics!$B$4)^(B$3-$B$3)/((1+Economics!$B$3)^(B$3-$B$3)),"")</f>
        <v>0</v>
      </c>
      <c r="C115" s="355">
        <f>IF(C$3&lt;=time,'Attributable fraction'!AB59*(1+Economics!$B$4)^(C$3-$B$3)/((1+Economics!$B$3)^(C$3-$B$3)),"")</f>
        <v>0</v>
      </c>
      <c r="D115" s="355">
        <f>IF(D$3&lt;=time,'Attributable fraction'!AC59*(1+Economics!$B$4)^(D$3-$B$3)/((1+Economics!$B$3)^(D$3-$B$3)),"")</f>
        <v>0</v>
      </c>
      <c r="E115" s="355">
        <f>IF(E$3&lt;=time,'Attributable fraction'!AD59*(1+Economics!$B$4)^(E$3-$B$3)/((1+Economics!$B$3)^(E$3-$B$3)),"")</f>
        <v>0</v>
      </c>
      <c r="F115" s="355">
        <f>IF(F$3&lt;=time,'Attributable fraction'!AE59*(1+Economics!$B$4)^(F$3-$B$3)/((1+Economics!$B$3)^(F$3-$B$3)),"")</f>
        <v>0</v>
      </c>
      <c r="G115" s="355" t="str">
        <f>IF(G$3&lt;=time,'Attributable fraction'!AF59*(1+Economics!$B$4)^(G$3-$B$3)/((1+Economics!$B$3)^(G$3-$B$3)),"")</f>
        <v/>
      </c>
      <c r="H115" s="355" t="str">
        <f>IF(H$3&lt;=time,'Attributable fraction'!AG59*(1+Economics!$B$4)^(H$3-$B$3)/((1+Economics!$B$3)^(H$3-$B$3)),"")</f>
        <v/>
      </c>
      <c r="I115" s="355" t="str">
        <f>IF(I$3&lt;=time,'Attributable fraction'!AH59*(1+Economics!$B$4)^(I$3-$B$3)/((1+Economics!$B$3)^(I$3-$B$3)),"")</f>
        <v/>
      </c>
      <c r="J115" s="355" t="str">
        <f>IF(J$3&lt;=time,'Attributable fraction'!AI59*(1+Economics!$B$4)^(J$3-$B$3)/((1+Economics!$B$3)^(J$3-$B$3)),"")</f>
        <v/>
      </c>
      <c r="K115" s="355" t="str">
        <f>IF(K$3&lt;=time,'Attributable fraction'!AJ59*(1+Economics!$B$4)^(K$3-$B$3)/((1+Economics!$B$3)^(K$3-$B$3)),"")</f>
        <v/>
      </c>
      <c r="L115" s="355" t="str">
        <f>IF(L$3&lt;=time,'Attributable fraction'!AK59*(1+Economics!$B$4)^(L$3-$B$3)/((1+Economics!$B$3)^(L$3-$B$3)),"")</f>
        <v/>
      </c>
      <c r="M115" s="355" t="str">
        <f>IF(M$3&lt;=time,'Attributable fraction'!AL59*(1+Economics!$B$4)^(M$3-$B$3)/((1+Economics!$B$3)^(M$3-$B$3)),"")</f>
        <v/>
      </c>
      <c r="N115" s="355" t="str">
        <f>IF(N$3&lt;=time,'Attributable fraction'!AM59*(1+Economics!$B$4)^(N$3-$B$3)/((1+Economics!$B$3)^(N$3-$B$3)),"")</f>
        <v/>
      </c>
      <c r="O115" s="355" t="str">
        <f>IF(O$3&lt;=time,'Attributable fraction'!AN59*(1+Economics!$B$4)^(O$3-$B$3)/((1+Economics!$B$3)^(O$3-$B$3)),"")</f>
        <v/>
      </c>
      <c r="P115" s="355" t="str">
        <f>IF(P$3&lt;=time,'Attributable fraction'!AO59*(1+Economics!$B$4)^(P$3-$B$3)/((1+Economics!$B$3)^(P$3-$B$3)),"")</f>
        <v/>
      </c>
      <c r="Q115" s="355" t="str">
        <f>IF(Q$3&lt;=time,'Attributable fraction'!AP59*(1+Economics!$B$4)^(Q$3-$B$3)/((1+Economics!$B$3)^(Q$3-$B$3)),"")</f>
        <v/>
      </c>
      <c r="R115" s="355" t="str">
        <f>IF(R$3&lt;=time,'Attributable fraction'!AQ59*(1+Economics!$B$4)^(R$3-$B$3)/((1+Economics!$B$3)^(R$3-$B$3)),"")</f>
        <v/>
      </c>
      <c r="S115" s="355" t="str">
        <f>IF(S$3&lt;=time,'Attributable fraction'!AR59*(1+Economics!$B$4)^(S$3-$B$3)/((1+Economics!$B$3)^(S$3-$B$3)),"")</f>
        <v/>
      </c>
      <c r="T115" s="355" t="str">
        <f>IF(T$3&lt;=time,'Attributable fraction'!AS59*(1+Economics!$B$4)^(T$3-$B$3)/((1+Economics!$B$3)^(T$3-$B$3)),"")</f>
        <v/>
      </c>
      <c r="U115" s="355" t="str">
        <f>IF(U$3&lt;=time,'Attributable fraction'!AT59*(1+Economics!$B$4)^(U$3-$B$3)/((1+Economics!$B$3)^(U$3-$B$3)),"")</f>
        <v/>
      </c>
      <c r="V115" s="355" t="str">
        <f>IF(V$3&lt;=time,'Attributable fraction'!AU59*(1+Economics!$B$4)^(V$3-$B$3)/((1+Economics!$B$3)^(V$3-$B$3)),"")</f>
        <v/>
      </c>
      <c r="W115" s="355" t="str">
        <f>IF(W$3&lt;=time,'Attributable fraction'!AV59*(1+Economics!$B$4)^(W$3-$B$3)/((1+Economics!$B$3)^(W$3-$B$3)),"")</f>
        <v/>
      </c>
      <c r="X115" s="355" t="str">
        <f>IF(X$3&lt;=time,'Attributable fraction'!AW59*(1+Economics!$B$4)^(X$3-$B$3)/((1+Economics!$B$3)^(X$3-$B$3)),"")</f>
        <v/>
      </c>
      <c r="Y115" s="355" t="str">
        <f>IF(Y$3&lt;=time,'Attributable fraction'!AX59*(1+Economics!$B$4)^(Y$3-$B$3)/((1+Economics!$B$3)^(Y$3-$B$3)),"")</f>
        <v/>
      </c>
      <c r="Z115" s="356" t="str">
        <f>IF(Z$3&lt;=time,'Attributable fraction'!AY59*(1+Economics!$B$4)^(Z$3-$B$3)/((1+Economics!$B$3)^(Z$3-$B$3)),"")</f>
        <v/>
      </c>
      <c r="AC115" s="142">
        <f t="shared" si="21"/>
        <v>0</v>
      </c>
      <c r="AE115" s="376">
        <v>4</v>
      </c>
      <c r="AF115" s="176" t="e">
        <f t="array" ref="AF115">STDEV(IF(B115:Z115&lt;&gt;0,B115:Z115))</f>
        <v>#DIV/0!</v>
      </c>
      <c r="AG115" s="176">
        <v>1.96</v>
      </c>
      <c r="AH115" s="176" t="e">
        <f t="shared" si="22"/>
        <v>#DIV/0!</v>
      </c>
      <c r="AI115" s="176">
        <f t="shared" si="14"/>
        <v>0</v>
      </c>
    </row>
    <row r="116" spans="1:35" hidden="1">
      <c r="A116" s="374" t="str">
        <f>Costs!A60</f>
        <v>Hiring New Staff 5</v>
      </c>
      <c r="B116" s="355">
        <f>IF(B$3&lt;=time,'Attributable fraction'!AA60*(1+Economics!$B$4)^(B$3-$B$3)/((1+Economics!$B$3)^(B$3-$B$3)),"")</f>
        <v>0</v>
      </c>
      <c r="C116" s="355">
        <f>IF(C$3&lt;=time,'Attributable fraction'!AB60*(1+Economics!$B$4)^(C$3-$B$3)/((1+Economics!$B$3)^(C$3-$B$3)),"")</f>
        <v>0</v>
      </c>
      <c r="D116" s="355">
        <f>IF(D$3&lt;=time,'Attributable fraction'!AC60*(1+Economics!$B$4)^(D$3-$B$3)/((1+Economics!$B$3)^(D$3-$B$3)),"")</f>
        <v>0</v>
      </c>
      <c r="E116" s="355">
        <f>IF(E$3&lt;=time,'Attributable fraction'!AD60*(1+Economics!$B$4)^(E$3-$B$3)/((1+Economics!$B$3)^(E$3-$B$3)),"")</f>
        <v>0</v>
      </c>
      <c r="F116" s="355">
        <f>IF(F$3&lt;=time,'Attributable fraction'!AE60*(1+Economics!$B$4)^(F$3-$B$3)/((1+Economics!$B$3)^(F$3-$B$3)),"")</f>
        <v>0</v>
      </c>
      <c r="G116" s="355" t="str">
        <f>IF(G$3&lt;=time,'Attributable fraction'!AF60*(1+Economics!$B$4)^(G$3-$B$3)/((1+Economics!$B$3)^(G$3-$B$3)),"")</f>
        <v/>
      </c>
      <c r="H116" s="355" t="str">
        <f>IF(H$3&lt;=time,'Attributable fraction'!AG60*(1+Economics!$B$4)^(H$3-$B$3)/((1+Economics!$B$3)^(H$3-$B$3)),"")</f>
        <v/>
      </c>
      <c r="I116" s="355" t="str">
        <f>IF(I$3&lt;=time,'Attributable fraction'!AH60*(1+Economics!$B$4)^(I$3-$B$3)/((1+Economics!$B$3)^(I$3-$B$3)),"")</f>
        <v/>
      </c>
      <c r="J116" s="355" t="str">
        <f>IF(J$3&lt;=time,'Attributable fraction'!AI60*(1+Economics!$B$4)^(J$3-$B$3)/((1+Economics!$B$3)^(J$3-$B$3)),"")</f>
        <v/>
      </c>
      <c r="K116" s="355" t="str">
        <f>IF(K$3&lt;=time,'Attributable fraction'!AJ60*(1+Economics!$B$4)^(K$3-$B$3)/((1+Economics!$B$3)^(K$3-$B$3)),"")</f>
        <v/>
      </c>
      <c r="L116" s="355" t="str">
        <f>IF(L$3&lt;=time,'Attributable fraction'!AK60*(1+Economics!$B$4)^(L$3-$B$3)/((1+Economics!$B$3)^(L$3-$B$3)),"")</f>
        <v/>
      </c>
      <c r="M116" s="355" t="str">
        <f>IF(M$3&lt;=time,'Attributable fraction'!AL60*(1+Economics!$B$4)^(M$3-$B$3)/((1+Economics!$B$3)^(M$3-$B$3)),"")</f>
        <v/>
      </c>
      <c r="N116" s="355" t="str">
        <f>IF(N$3&lt;=time,'Attributable fraction'!AM60*(1+Economics!$B$4)^(N$3-$B$3)/((1+Economics!$B$3)^(N$3-$B$3)),"")</f>
        <v/>
      </c>
      <c r="O116" s="355" t="str">
        <f>IF(O$3&lt;=time,'Attributable fraction'!AN60*(1+Economics!$B$4)^(O$3-$B$3)/((1+Economics!$B$3)^(O$3-$B$3)),"")</f>
        <v/>
      </c>
      <c r="P116" s="355" t="str">
        <f>IF(P$3&lt;=time,'Attributable fraction'!AO60*(1+Economics!$B$4)^(P$3-$B$3)/((1+Economics!$B$3)^(P$3-$B$3)),"")</f>
        <v/>
      </c>
      <c r="Q116" s="355" t="str">
        <f>IF(Q$3&lt;=time,'Attributable fraction'!AP60*(1+Economics!$B$4)^(Q$3-$B$3)/((1+Economics!$B$3)^(Q$3-$B$3)),"")</f>
        <v/>
      </c>
      <c r="R116" s="355" t="str">
        <f>IF(R$3&lt;=time,'Attributable fraction'!AQ60*(1+Economics!$B$4)^(R$3-$B$3)/((1+Economics!$B$3)^(R$3-$B$3)),"")</f>
        <v/>
      </c>
      <c r="S116" s="355" t="str">
        <f>IF(S$3&lt;=time,'Attributable fraction'!AR60*(1+Economics!$B$4)^(S$3-$B$3)/((1+Economics!$B$3)^(S$3-$B$3)),"")</f>
        <v/>
      </c>
      <c r="T116" s="355" t="str">
        <f>IF(T$3&lt;=time,'Attributable fraction'!AS60*(1+Economics!$B$4)^(T$3-$B$3)/((1+Economics!$B$3)^(T$3-$B$3)),"")</f>
        <v/>
      </c>
      <c r="U116" s="355" t="str">
        <f>IF(U$3&lt;=time,'Attributable fraction'!AT60*(1+Economics!$B$4)^(U$3-$B$3)/((1+Economics!$B$3)^(U$3-$B$3)),"")</f>
        <v/>
      </c>
      <c r="V116" s="355" t="str">
        <f>IF(V$3&lt;=time,'Attributable fraction'!AU60*(1+Economics!$B$4)^(V$3-$B$3)/((1+Economics!$B$3)^(V$3-$B$3)),"")</f>
        <v/>
      </c>
      <c r="W116" s="355" t="str">
        <f>IF(W$3&lt;=time,'Attributable fraction'!AV60*(1+Economics!$B$4)^(W$3-$B$3)/((1+Economics!$B$3)^(W$3-$B$3)),"")</f>
        <v/>
      </c>
      <c r="X116" s="355" t="str">
        <f>IF(X$3&lt;=time,'Attributable fraction'!AW60*(1+Economics!$B$4)^(X$3-$B$3)/((1+Economics!$B$3)^(X$3-$B$3)),"")</f>
        <v/>
      </c>
      <c r="Y116" s="355" t="str">
        <f>IF(Y$3&lt;=time,'Attributable fraction'!AX60*(1+Economics!$B$4)^(Y$3-$B$3)/((1+Economics!$B$3)^(Y$3-$B$3)),"")</f>
        <v/>
      </c>
      <c r="Z116" s="356" t="str">
        <f>IF(Z$3&lt;=time,'Attributable fraction'!AY60*(1+Economics!$B$4)^(Z$3-$B$3)/((1+Economics!$B$3)^(Z$3-$B$3)),"")</f>
        <v/>
      </c>
      <c r="AC116" s="142">
        <f t="shared" si="21"/>
        <v>0</v>
      </c>
      <c r="AE116" s="376">
        <v>5</v>
      </c>
      <c r="AF116" s="176" t="e">
        <f t="array" ref="AF116">STDEV(IF(B116:Z116&lt;&gt;0,B116:Z116))</f>
        <v>#DIV/0!</v>
      </c>
      <c r="AG116" s="176">
        <v>1.96</v>
      </c>
      <c r="AH116" s="176" t="e">
        <f t="shared" si="22"/>
        <v>#DIV/0!</v>
      </c>
      <c r="AI116" s="176">
        <f t="shared" si="14"/>
        <v>0</v>
      </c>
    </row>
    <row r="117" spans="1:35" hidden="1">
      <c r="A117" s="374" t="str">
        <f>Costs!A61</f>
        <v>Hiring New Staff 6</v>
      </c>
      <c r="B117" s="355">
        <f>IF(B$3&lt;=time,'Attributable fraction'!AA61*(1+Economics!$B$4)^(B$3-$B$3)/((1+Economics!$B$3)^(B$3-$B$3)),"")</f>
        <v>0</v>
      </c>
      <c r="C117" s="355">
        <f>IF(C$3&lt;=time,'Attributable fraction'!AB61*(1+Economics!$B$4)^(C$3-$B$3)/((1+Economics!$B$3)^(C$3-$B$3)),"")</f>
        <v>0</v>
      </c>
      <c r="D117" s="355">
        <f>IF(D$3&lt;=time,'Attributable fraction'!AC61*(1+Economics!$B$4)^(D$3-$B$3)/((1+Economics!$B$3)^(D$3-$B$3)),"")</f>
        <v>0</v>
      </c>
      <c r="E117" s="355">
        <f>IF(E$3&lt;=time,'Attributable fraction'!AD61*(1+Economics!$B$4)^(E$3-$B$3)/((1+Economics!$B$3)^(E$3-$B$3)),"")</f>
        <v>0</v>
      </c>
      <c r="F117" s="355">
        <f>IF(F$3&lt;=time,'Attributable fraction'!AE61*(1+Economics!$B$4)^(F$3-$B$3)/((1+Economics!$B$3)^(F$3-$B$3)),"")</f>
        <v>0</v>
      </c>
      <c r="G117" s="355" t="str">
        <f>IF(G$3&lt;=time,'Attributable fraction'!AF61*(1+Economics!$B$4)^(G$3-$B$3)/((1+Economics!$B$3)^(G$3-$B$3)),"")</f>
        <v/>
      </c>
      <c r="H117" s="355" t="str">
        <f>IF(H$3&lt;=time,'Attributable fraction'!AG61*(1+Economics!$B$4)^(H$3-$B$3)/((1+Economics!$B$3)^(H$3-$B$3)),"")</f>
        <v/>
      </c>
      <c r="I117" s="355" t="str">
        <f>IF(I$3&lt;=time,'Attributable fraction'!AH61*(1+Economics!$B$4)^(I$3-$B$3)/((1+Economics!$B$3)^(I$3-$B$3)),"")</f>
        <v/>
      </c>
      <c r="J117" s="355" t="str">
        <f>IF(J$3&lt;=time,'Attributable fraction'!AI61*(1+Economics!$B$4)^(J$3-$B$3)/((1+Economics!$B$3)^(J$3-$B$3)),"")</f>
        <v/>
      </c>
      <c r="K117" s="355" t="str">
        <f>IF(K$3&lt;=time,'Attributable fraction'!AJ61*(1+Economics!$B$4)^(K$3-$B$3)/((1+Economics!$B$3)^(K$3-$B$3)),"")</f>
        <v/>
      </c>
      <c r="L117" s="355" t="str">
        <f>IF(L$3&lt;=time,'Attributable fraction'!AK61*(1+Economics!$B$4)^(L$3-$B$3)/((1+Economics!$B$3)^(L$3-$B$3)),"")</f>
        <v/>
      </c>
      <c r="M117" s="355" t="str">
        <f>IF(M$3&lt;=time,'Attributable fraction'!AL61*(1+Economics!$B$4)^(M$3-$B$3)/((1+Economics!$B$3)^(M$3-$B$3)),"")</f>
        <v/>
      </c>
      <c r="N117" s="355" t="str">
        <f>IF(N$3&lt;=time,'Attributable fraction'!AM61*(1+Economics!$B$4)^(N$3-$B$3)/((1+Economics!$B$3)^(N$3-$B$3)),"")</f>
        <v/>
      </c>
      <c r="O117" s="355" t="str">
        <f>IF(O$3&lt;=time,'Attributable fraction'!AN61*(1+Economics!$B$4)^(O$3-$B$3)/((1+Economics!$B$3)^(O$3-$B$3)),"")</f>
        <v/>
      </c>
      <c r="P117" s="355" t="str">
        <f>IF(P$3&lt;=time,'Attributable fraction'!AO61*(1+Economics!$B$4)^(P$3-$B$3)/((1+Economics!$B$3)^(P$3-$B$3)),"")</f>
        <v/>
      </c>
      <c r="Q117" s="355" t="str">
        <f>IF(Q$3&lt;=time,'Attributable fraction'!AP61*(1+Economics!$B$4)^(Q$3-$B$3)/((1+Economics!$B$3)^(Q$3-$B$3)),"")</f>
        <v/>
      </c>
      <c r="R117" s="355" t="str">
        <f>IF(R$3&lt;=time,'Attributable fraction'!AQ61*(1+Economics!$B$4)^(R$3-$B$3)/((1+Economics!$B$3)^(R$3-$B$3)),"")</f>
        <v/>
      </c>
      <c r="S117" s="355" t="str">
        <f>IF(S$3&lt;=time,'Attributable fraction'!AR61*(1+Economics!$B$4)^(S$3-$B$3)/((1+Economics!$B$3)^(S$3-$B$3)),"")</f>
        <v/>
      </c>
      <c r="T117" s="355" t="str">
        <f>IF(T$3&lt;=time,'Attributable fraction'!AS61*(1+Economics!$B$4)^(T$3-$B$3)/((1+Economics!$B$3)^(T$3-$B$3)),"")</f>
        <v/>
      </c>
      <c r="U117" s="355" t="str">
        <f>IF(U$3&lt;=time,'Attributable fraction'!AT61*(1+Economics!$B$4)^(U$3-$B$3)/((1+Economics!$B$3)^(U$3-$B$3)),"")</f>
        <v/>
      </c>
      <c r="V117" s="355" t="str">
        <f>IF(V$3&lt;=time,'Attributable fraction'!AU61*(1+Economics!$B$4)^(V$3-$B$3)/((1+Economics!$B$3)^(V$3-$B$3)),"")</f>
        <v/>
      </c>
      <c r="W117" s="355" t="str">
        <f>IF(W$3&lt;=time,'Attributable fraction'!AV61*(1+Economics!$B$4)^(W$3-$B$3)/((1+Economics!$B$3)^(W$3-$B$3)),"")</f>
        <v/>
      </c>
      <c r="X117" s="355" t="str">
        <f>IF(X$3&lt;=time,'Attributable fraction'!AW61*(1+Economics!$B$4)^(X$3-$B$3)/((1+Economics!$B$3)^(X$3-$B$3)),"")</f>
        <v/>
      </c>
      <c r="Y117" s="355" t="str">
        <f>IF(Y$3&lt;=time,'Attributable fraction'!AX61*(1+Economics!$B$4)^(Y$3-$B$3)/((1+Economics!$B$3)^(Y$3-$B$3)),"")</f>
        <v/>
      </c>
      <c r="Z117" s="356" t="str">
        <f>IF(Z$3&lt;=time,'Attributable fraction'!AY61*(1+Economics!$B$4)^(Z$3-$B$3)/((1+Economics!$B$3)^(Z$3-$B$3)),"")</f>
        <v/>
      </c>
      <c r="AC117" s="142">
        <f t="shared" si="21"/>
        <v>0</v>
      </c>
      <c r="AE117" s="376">
        <v>6</v>
      </c>
      <c r="AF117" s="176" t="e">
        <f t="array" ref="AF117">STDEV(IF(B117:Z117&lt;&gt;0,B117:Z117))</f>
        <v>#DIV/0!</v>
      </c>
      <c r="AG117" s="176">
        <v>1.96</v>
      </c>
      <c r="AH117" s="176" t="e">
        <f t="shared" si="22"/>
        <v>#DIV/0!</v>
      </c>
      <c r="AI117" s="176">
        <f t="shared" si="14"/>
        <v>0</v>
      </c>
    </row>
    <row r="118" spans="1:35" hidden="1">
      <c r="A118" s="374" t="str">
        <f>Costs!A62</f>
        <v>Hiring New Staff 7</v>
      </c>
      <c r="B118" s="355">
        <f>IF(B$3&lt;=time,'Attributable fraction'!AA62*(1+Economics!$B$4)^(B$3-$B$3)/((1+Economics!$B$3)^(B$3-$B$3)),"")</f>
        <v>0</v>
      </c>
      <c r="C118" s="355">
        <f>IF(C$3&lt;=time,'Attributable fraction'!AB62*(1+Economics!$B$4)^(C$3-$B$3)/((1+Economics!$B$3)^(C$3-$B$3)),"")</f>
        <v>0</v>
      </c>
      <c r="D118" s="355">
        <f>IF(D$3&lt;=time,'Attributable fraction'!AC62*(1+Economics!$B$4)^(D$3-$B$3)/((1+Economics!$B$3)^(D$3-$B$3)),"")</f>
        <v>0</v>
      </c>
      <c r="E118" s="355">
        <f>IF(E$3&lt;=time,'Attributable fraction'!AD62*(1+Economics!$B$4)^(E$3-$B$3)/((1+Economics!$B$3)^(E$3-$B$3)),"")</f>
        <v>0</v>
      </c>
      <c r="F118" s="355">
        <f>IF(F$3&lt;=time,'Attributable fraction'!AE62*(1+Economics!$B$4)^(F$3-$B$3)/((1+Economics!$B$3)^(F$3-$B$3)),"")</f>
        <v>0</v>
      </c>
      <c r="G118" s="355" t="str">
        <f>IF(G$3&lt;=time,'Attributable fraction'!AF62*(1+Economics!$B$4)^(G$3-$B$3)/((1+Economics!$B$3)^(G$3-$B$3)),"")</f>
        <v/>
      </c>
      <c r="H118" s="355" t="str">
        <f>IF(H$3&lt;=time,'Attributable fraction'!AG62*(1+Economics!$B$4)^(H$3-$B$3)/((1+Economics!$B$3)^(H$3-$B$3)),"")</f>
        <v/>
      </c>
      <c r="I118" s="355" t="str">
        <f>IF(I$3&lt;=time,'Attributable fraction'!AH62*(1+Economics!$B$4)^(I$3-$B$3)/((1+Economics!$B$3)^(I$3-$B$3)),"")</f>
        <v/>
      </c>
      <c r="J118" s="355" t="str">
        <f>IF(J$3&lt;=time,'Attributable fraction'!AI62*(1+Economics!$B$4)^(J$3-$B$3)/((1+Economics!$B$3)^(J$3-$B$3)),"")</f>
        <v/>
      </c>
      <c r="K118" s="355" t="str">
        <f>IF(K$3&lt;=time,'Attributable fraction'!AJ62*(1+Economics!$B$4)^(K$3-$B$3)/((1+Economics!$B$3)^(K$3-$B$3)),"")</f>
        <v/>
      </c>
      <c r="L118" s="355" t="str">
        <f>IF(L$3&lt;=time,'Attributable fraction'!AK62*(1+Economics!$B$4)^(L$3-$B$3)/((1+Economics!$B$3)^(L$3-$B$3)),"")</f>
        <v/>
      </c>
      <c r="M118" s="355" t="str">
        <f>IF(M$3&lt;=time,'Attributable fraction'!AL62*(1+Economics!$B$4)^(M$3-$B$3)/((1+Economics!$B$3)^(M$3-$B$3)),"")</f>
        <v/>
      </c>
      <c r="N118" s="355" t="str">
        <f>IF(N$3&lt;=time,'Attributable fraction'!AM62*(1+Economics!$B$4)^(N$3-$B$3)/((1+Economics!$B$3)^(N$3-$B$3)),"")</f>
        <v/>
      </c>
      <c r="O118" s="355" t="str">
        <f>IF(O$3&lt;=time,'Attributable fraction'!AN62*(1+Economics!$B$4)^(O$3-$B$3)/((1+Economics!$B$3)^(O$3-$B$3)),"")</f>
        <v/>
      </c>
      <c r="P118" s="355" t="str">
        <f>IF(P$3&lt;=time,'Attributable fraction'!AO62*(1+Economics!$B$4)^(P$3-$B$3)/((1+Economics!$B$3)^(P$3-$B$3)),"")</f>
        <v/>
      </c>
      <c r="Q118" s="355" t="str">
        <f>IF(Q$3&lt;=time,'Attributable fraction'!AP62*(1+Economics!$B$4)^(Q$3-$B$3)/((1+Economics!$B$3)^(Q$3-$B$3)),"")</f>
        <v/>
      </c>
      <c r="R118" s="355" t="str">
        <f>IF(R$3&lt;=time,'Attributable fraction'!AQ62*(1+Economics!$B$4)^(R$3-$B$3)/((1+Economics!$B$3)^(R$3-$B$3)),"")</f>
        <v/>
      </c>
      <c r="S118" s="355" t="str">
        <f>IF(S$3&lt;=time,'Attributable fraction'!AR62*(1+Economics!$B$4)^(S$3-$B$3)/((1+Economics!$B$3)^(S$3-$B$3)),"")</f>
        <v/>
      </c>
      <c r="T118" s="355" t="str">
        <f>IF(T$3&lt;=time,'Attributable fraction'!AS62*(1+Economics!$B$4)^(T$3-$B$3)/((1+Economics!$B$3)^(T$3-$B$3)),"")</f>
        <v/>
      </c>
      <c r="U118" s="355" t="str">
        <f>IF(U$3&lt;=time,'Attributable fraction'!AT62*(1+Economics!$B$4)^(U$3-$B$3)/((1+Economics!$B$3)^(U$3-$B$3)),"")</f>
        <v/>
      </c>
      <c r="V118" s="355" t="str">
        <f>IF(V$3&lt;=time,'Attributable fraction'!AU62*(1+Economics!$B$4)^(V$3-$B$3)/((1+Economics!$B$3)^(V$3-$B$3)),"")</f>
        <v/>
      </c>
      <c r="W118" s="355" t="str">
        <f>IF(W$3&lt;=time,'Attributable fraction'!AV62*(1+Economics!$B$4)^(W$3-$B$3)/((1+Economics!$B$3)^(W$3-$B$3)),"")</f>
        <v/>
      </c>
      <c r="X118" s="355" t="str">
        <f>IF(X$3&lt;=time,'Attributable fraction'!AW62*(1+Economics!$B$4)^(X$3-$B$3)/((1+Economics!$B$3)^(X$3-$B$3)),"")</f>
        <v/>
      </c>
      <c r="Y118" s="355" t="str">
        <f>IF(Y$3&lt;=time,'Attributable fraction'!AX62*(1+Economics!$B$4)^(Y$3-$B$3)/((1+Economics!$B$3)^(Y$3-$B$3)),"")</f>
        <v/>
      </c>
      <c r="Z118" s="356" t="str">
        <f>IF(Z$3&lt;=time,'Attributable fraction'!AY62*(1+Economics!$B$4)^(Z$3-$B$3)/((1+Economics!$B$3)^(Z$3-$B$3)),"")</f>
        <v/>
      </c>
      <c r="AC118" s="142">
        <f t="shared" si="21"/>
        <v>0</v>
      </c>
      <c r="AE118" s="376">
        <v>7</v>
      </c>
      <c r="AF118" s="176" t="e">
        <f t="array" ref="AF118">STDEV(IF(B118:Z118&lt;&gt;0,B118:Z118))</f>
        <v>#DIV/0!</v>
      </c>
      <c r="AG118" s="176">
        <v>1.96</v>
      </c>
      <c r="AH118" s="176" t="e">
        <f t="shared" si="22"/>
        <v>#DIV/0!</v>
      </c>
      <c r="AI118" s="176">
        <f t="shared" si="14"/>
        <v>0</v>
      </c>
    </row>
    <row r="119" spans="1:35" hidden="1">
      <c r="A119" s="374" t="str">
        <f>Costs!A63</f>
        <v>Hiring New Staff 8</v>
      </c>
      <c r="B119" s="355">
        <f>IF(B$3&lt;=time,'Attributable fraction'!AA63*(1+Economics!$B$4)^(B$3-$B$3)/((1+Economics!$B$3)^(B$3-$B$3)),"")</f>
        <v>0</v>
      </c>
      <c r="C119" s="355">
        <f>IF(C$3&lt;=time,'Attributable fraction'!AB63*(1+Economics!$B$4)^(C$3-$B$3)/((1+Economics!$B$3)^(C$3-$B$3)),"")</f>
        <v>0</v>
      </c>
      <c r="D119" s="355">
        <f>IF(D$3&lt;=time,'Attributable fraction'!AC63*(1+Economics!$B$4)^(D$3-$B$3)/((1+Economics!$B$3)^(D$3-$B$3)),"")</f>
        <v>0</v>
      </c>
      <c r="E119" s="355">
        <f>IF(E$3&lt;=time,'Attributable fraction'!AD63*(1+Economics!$B$4)^(E$3-$B$3)/((1+Economics!$B$3)^(E$3-$B$3)),"")</f>
        <v>0</v>
      </c>
      <c r="F119" s="355">
        <f>IF(F$3&lt;=time,'Attributable fraction'!AE63*(1+Economics!$B$4)^(F$3-$B$3)/((1+Economics!$B$3)^(F$3-$B$3)),"")</f>
        <v>0</v>
      </c>
      <c r="G119" s="355" t="str">
        <f>IF(G$3&lt;=time,'Attributable fraction'!AF63*(1+Economics!$B$4)^(G$3-$B$3)/((1+Economics!$B$3)^(G$3-$B$3)),"")</f>
        <v/>
      </c>
      <c r="H119" s="355" t="str">
        <f>IF(H$3&lt;=time,'Attributable fraction'!AG63*(1+Economics!$B$4)^(H$3-$B$3)/((1+Economics!$B$3)^(H$3-$B$3)),"")</f>
        <v/>
      </c>
      <c r="I119" s="355" t="str">
        <f>IF(I$3&lt;=time,'Attributable fraction'!AH63*(1+Economics!$B$4)^(I$3-$B$3)/((1+Economics!$B$3)^(I$3-$B$3)),"")</f>
        <v/>
      </c>
      <c r="J119" s="355" t="str">
        <f>IF(J$3&lt;=time,'Attributable fraction'!AI63*(1+Economics!$B$4)^(J$3-$B$3)/((1+Economics!$B$3)^(J$3-$B$3)),"")</f>
        <v/>
      </c>
      <c r="K119" s="355" t="str">
        <f>IF(K$3&lt;=time,'Attributable fraction'!AJ63*(1+Economics!$B$4)^(K$3-$B$3)/((1+Economics!$B$3)^(K$3-$B$3)),"")</f>
        <v/>
      </c>
      <c r="L119" s="355" t="str">
        <f>IF(L$3&lt;=time,'Attributable fraction'!AK63*(1+Economics!$B$4)^(L$3-$B$3)/((1+Economics!$B$3)^(L$3-$B$3)),"")</f>
        <v/>
      </c>
      <c r="M119" s="355" t="str">
        <f>IF(M$3&lt;=time,'Attributable fraction'!AL63*(1+Economics!$B$4)^(M$3-$B$3)/((1+Economics!$B$3)^(M$3-$B$3)),"")</f>
        <v/>
      </c>
      <c r="N119" s="355" t="str">
        <f>IF(N$3&lt;=time,'Attributable fraction'!AM63*(1+Economics!$B$4)^(N$3-$B$3)/((1+Economics!$B$3)^(N$3-$B$3)),"")</f>
        <v/>
      </c>
      <c r="O119" s="355" t="str">
        <f>IF(O$3&lt;=time,'Attributable fraction'!AN63*(1+Economics!$B$4)^(O$3-$B$3)/((1+Economics!$B$3)^(O$3-$B$3)),"")</f>
        <v/>
      </c>
      <c r="P119" s="355" t="str">
        <f>IF(P$3&lt;=time,'Attributable fraction'!AO63*(1+Economics!$B$4)^(P$3-$B$3)/((1+Economics!$B$3)^(P$3-$B$3)),"")</f>
        <v/>
      </c>
      <c r="Q119" s="355" t="str">
        <f>IF(Q$3&lt;=time,'Attributable fraction'!AP63*(1+Economics!$B$4)^(Q$3-$B$3)/((1+Economics!$B$3)^(Q$3-$B$3)),"")</f>
        <v/>
      </c>
      <c r="R119" s="355" t="str">
        <f>IF(R$3&lt;=time,'Attributable fraction'!AQ63*(1+Economics!$B$4)^(R$3-$B$3)/((1+Economics!$B$3)^(R$3-$B$3)),"")</f>
        <v/>
      </c>
      <c r="S119" s="355" t="str">
        <f>IF(S$3&lt;=time,'Attributable fraction'!AR63*(1+Economics!$B$4)^(S$3-$B$3)/((1+Economics!$B$3)^(S$3-$B$3)),"")</f>
        <v/>
      </c>
      <c r="T119" s="355" t="str">
        <f>IF(T$3&lt;=time,'Attributable fraction'!AS63*(1+Economics!$B$4)^(T$3-$B$3)/((1+Economics!$B$3)^(T$3-$B$3)),"")</f>
        <v/>
      </c>
      <c r="U119" s="355" t="str">
        <f>IF(U$3&lt;=time,'Attributable fraction'!AT63*(1+Economics!$B$4)^(U$3-$B$3)/((1+Economics!$B$3)^(U$3-$B$3)),"")</f>
        <v/>
      </c>
      <c r="V119" s="355" t="str">
        <f>IF(V$3&lt;=time,'Attributable fraction'!AU63*(1+Economics!$B$4)^(V$3-$B$3)/((1+Economics!$B$3)^(V$3-$B$3)),"")</f>
        <v/>
      </c>
      <c r="W119" s="355" t="str">
        <f>IF(W$3&lt;=time,'Attributable fraction'!AV63*(1+Economics!$B$4)^(W$3-$B$3)/((1+Economics!$B$3)^(W$3-$B$3)),"")</f>
        <v/>
      </c>
      <c r="X119" s="355" t="str">
        <f>IF(X$3&lt;=time,'Attributable fraction'!AW63*(1+Economics!$B$4)^(X$3-$B$3)/((1+Economics!$B$3)^(X$3-$B$3)),"")</f>
        <v/>
      </c>
      <c r="Y119" s="355" t="str">
        <f>IF(Y$3&lt;=time,'Attributable fraction'!AX63*(1+Economics!$B$4)^(Y$3-$B$3)/((1+Economics!$B$3)^(Y$3-$B$3)),"")</f>
        <v/>
      </c>
      <c r="Z119" s="356" t="str">
        <f>IF(Z$3&lt;=time,'Attributable fraction'!AY63*(1+Economics!$B$4)^(Z$3-$B$3)/((1+Economics!$B$3)^(Z$3-$B$3)),"")</f>
        <v/>
      </c>
      <c r="AC119" s="142">
        <f t="shared" si="21"/>
        <v>0</v>
      </c>
      <c r="AE119" s="376">
        <v>8</v>
      </c>
      <c r="AF119" s="176" t="e">
        <f t="array" ref="AF119">STDEV(IF(B119:Z119&lt;&gt;0,B119:Z119))</f>
        <v>#DIV/0!</v>
      </c>
      <c r="AG119" s="176">
        <v>1.96</v>
      </c>
      <c r="AH119" s="176" t="e">
        <f t="shared" si="22"/>
        <v>#DIV/0!</v>
      </c>
      <c r="AI119" s="176">
        <f t="shared" si="14"/>
        <v>0</v>
      </c>
    </row>
    <row r="120" spans="1:35" hidden="1">
      <c r="A120" s="374" t="str">
        <f>Costs!A64</f>
        <v>Hiring New Staff 9</v>
      </c>
      <c r="B120" s="355">
        <f>IF(B$3&lt;=time,'Attributable fraction'!AA64*(1+Economics!$B$4)^(B$3-$B$3)/((1+Economics!$B$3)^(B$3-$B$3)),"")</f>
        <v>0</v>
      </c>
      <c r="C120" s="355">
        <f>IF(C$3&lt;=time,'Attributable fraction'!AB64*(1+Economics!$B$4)^(C$3-$B$3)/((1+Economics!$B$3)^(C$3-$B$3)),"")</f>
        <v>0</v>
      </c>
      <c r="D120" s="355">
        <f>IF(D$3&lt;=time,'Attributable fraction'!AC64*(1+Economics!$B$4)^(D$3-$B$3)/((1+Economics!$B$3)^(D$3-$B$3)),"")</f>
        <v>0</v>
      </c>
      <c r="E120" s="355">
        <f>IF(E$3&lt;=time,'Attributable fraction'!AD64*(1+Economics!$B$4)^(E$3-$B$3)/((1+Economics!$B$3)^(E$3-$B$3)),"")</f>
        <v>0</v>
      </c>
      <c r="F120" s="355">
        <f>IF(F$3&lt;=time,'Attributable fraction'!AE64*(1+Economics!$B$4)^(F$3-$B$3)/((1+Economics!$B$3)^(F$3-$B$3)),"")</f>
        <v>0</v>
      </c>
      <c r="G120" s="355" t="str">
        <f>IF(G$3&lt;=time,'Attributable fraction'!AF64*(1+Economics!$B$4)^(G$3-$B$3)/((1+Economics!$B$3)^(G$3-$B$3)),"")</f>
        <v/>
      </c>
      <c r="H120" s="355" t="str">
        <f>IF(H$3&lt;=time,'Attributable fraction'!AG64*(1+Economics!$B$4)^(H$3-$B$3)/((1+Economics!$B$3)^(H$3-$B$3)),"")</f>
        <v/>
      </c>
      <c r="I120" s="355" t="str">
        <f>IF(I$3&lt;=time,'Attributable fraction'!AH64*(1+Economics!$B$4)^(I$3-$B$3)/((1+Economics!$B$3)^(I$3-$B$3)),"")</f>
        <v/>
      </c>
      <c r="J120" s="355" t="str">
        <f>IF(J$3&lt;=time,'Attributable fraction'!AI64*(1+Economics!$B$4)^(J$3-$B$3)/((1+Economics!$B$3)^(J$3-$B$3)),"")</f>
        <v/>
      </c>
      <c r="K120" s="355" t="str">
        <f>IF(K$3&lt;=time,'Attributable fraction'!AJ64*(1+Economics!$B$4)^(K$3-$B$3)/((1+Economics!$B$3)^(K$3-$B$3)),"")</f>
        <v/>
      </c>
      <c r="L120" s="355" t="str">
        <f>IF(L$3&lt;=time,'Attributable fraction'!AK64*(1+Economics!$B$4)^(L$3-$B$3)/((1+Economics!$B$3)^(L$3-$B$3)),"")</f>
        <v/>
      </c>
      <c r="M120" s="355" t="str">
        <f>IF(M$3&lt;=time,'Attributable fraction'!AL64*(1+Economics!$B$4)^(M$3-$B$3)/((1+Economics!$B$3)^(M$3-$B$3)),"")</f>
        <v/>
      </c>
      <c r="N120" s="355" t="str">
        <f>IF(N$3&lt;=time,'Attributable fraction'!AM64*(1+Economics!$B$4)^(N$3-$B$3)/((1+Economics!$B$3)^(N$3-$B$3)),"")</f>
        <v/>
      </c>
      <c r="O120" s="355" t="str">
        <f>IF(O$3&lt;=time,'Attributable fraction'!AN64*(1+Economics!$B$4)^(O$3-$B$3)/((1+Economics!$B$3)^(O$3-$B$3)),"")</f>
        <v/>
      </c>
      <c r="P120" s="355" t="str">
        <f>IF(P$3&lt;=time,'Attributable fraction'!AO64*(1+Economics!$B$4)^(P$3-$B$3)/((1+Economics!$B$3)^(P$3-$B$3)),"")</f>
        <v/>
      </c>
      <c r="Q120" s="355" t="str">
        <f>IF(Q$3&lt;=time,'Attributable fraction'!AP64*(1+Economics!$B$4)^(Q$3-$B$3)/((1+Economics!$B$3)^(Q$3-$B$3)),"")</f>
        <v/>
      </c>
      <c r="R120" s="355" t="str">
        <f>IF(R$3&lt;=time,'Attributable fraction'!AQ64*(1+Economics!$B$4)^(R$3-$B$3)/((1+Economics!$B$3)^(R$3-$B$3)),"")</f>
        <v/>
      </c>
      <c r="S120" s="355" t="str">
        <f>IF(S$3&lt;=time,'Attributable fraction'!AR64*(1+Economics!$B$4)^(S$3-$B$3)/((1+Economics!$B$3)^(S$3-$B$3)),"")</f>
        <v/>
      </c>
      <c r="T120" s="355" t="str">
        <f>IF(T$3&lt;=time,'Attributable fraction'!AS64*(1+Economics!$B$4)^(T$3-$B$3)/((1+Economics!$B$3)^(T$3-$B$3)),"")</f>
        <v/>
      </c>
      <c r="U120" s="355" t="str">
        <f>IF(U$3&lt;=time,'Attributable fraction'!AT64*(1+Economics!$B$4)^(U$3-$B$3)/((1+Economics!$B$3)^(U$3-$B$3)),"")</f>
        <v/>
      </c>
      <c r="V120" s="355" t="str">
        <f>IF(V$3&lt;=time,'Attributable fraction'!AU64*(1+Economics!$B$4)^(V$3-$B$3)/((1+Economics!$B$3)^(V$3-$B$3)),"")</f>
        <v/>
      </c>
      <c r="W120" s="355" t="str">
        <f>IF(W$3&lt;=time,'Attributable fraction'!AV64*(1+Economics!$B$4)^(W$3-$B$3)/((1+Economics!$B$3)^(W$3-$B$3)),"")</f>
        <v/>
      </c>
      <c r="X120" s="355" t="str">
        <f>IF(X$3&lt;=time,'Attributable fraction'!AW64*(1+Economics!$B$4)^(X$3-$B$3)/((1+Economics!$B$3)^(X$3-$B$3)),"")</f>
        <v/>
      </c>
      <c r="Y120" s="355" t="str">
        <f>IF(Y$3&lt;=time,'Attributable fraction'!AX64*(1+Economics!$B$4)^(Y$3-$B$3)/((1+Economics!$B$3)^(Y$3-$B$3)),"")</f>
        <v/>
      </c>
      <c r="Z120" s="356" t="str">
        <f>IF(Z$3&lt;=time,'Attributable fraction'!AY64*(1+Economics!$B$4)^(Z$3-$B$3)/((1+Economics!$B$3)^(Z$3-$B$3)),"")</f>
        <v/>
      </c>
      <c r="AC120" s="142">
        <f t="shared" si="21"/>
        <v>0</v>
      </c>
      <c r="AE120" s="376">
        <v>9</v>
      </c>
      <c r="AF120" s="176" t="e">
        <f t="array" ref="AF120">STDEV(IF(B120:Z120&lt;&gt;0,B120:Z120))</f>
        <v>#DIV/0!</v>
      </c>
      <c r="AG120" s="176">
        <v>1.96</v>
      </c>
      <c r="AH120" s="176" t="e">
        <f t="shared" si="22"/>
        <v>#DIV/0!</v>
      </c>
      <c r="AI120" s="176">
        <f t="shared" si="14"/>
        <v>0</v>
      </c>
    </row>
    <row r="121" spans="1:35" hidden="1">
      <c r="A121" s="374" t="str">
        <f>Costs!A65</f>
        <v>Hiring New Staff 10</v>
      </c>
      <c r="B121" s="355">
        <f>IF(B$3&lt;=time,'Attributable fraction'!AA65*(1+Economics!$B$4)^(B$3-$B$3)/((1+Economics!$B$3)^(B$3-$B$3)),"")</f>
        <v>0</v>
      </c>
      <c r="C121" s="355">
        <f>IF(C$3&lt;=time,'Attributable fraction'!AB65*(1+Economics!$B$4)^(C$3-$B$3)/((1+Economics!$B$3)^(C$3-$B$3)),"")</f>
        <v>0</v>
      </c>
      <c r="D121" s="355">
        <f>IF(D$3&lt;=time,'Attributable fraction'!AC65*(1+Economics!$B$4)^(D$3-$B$3)/((1+Economics!$B$3)^(D$3-$B$3)),"")</f>
        <v>0</v>
      </c>
      <c r="E121" s="355">
        <f>IF(E$3&lt;=time,'Attributable fraction'!AD65*(1+Economics!$B$4)^(E$3-$B$3)/((1+Economics!$B$3)^(E$3-$B$3)),"")</f>
        <v>0</v>
      </c>
      <c r="F121" s="355">
        <f>IF(F$3&lt;=time,'Attributable fraction'!AE65*(1+Economics!$B$4)^(F$3-$B$3)/((1+Economics!$B$3)^(F$3-$B$3)),"")</f>
        <v>0</v>
      </c>
      <c r="G121" s="355" t="str">
        <f>IF(G$3&lt;=time,'Attributable fraction'!AF65*(1+Economics!$B$4)^(G$3-$B$3)/((1+Economics!$B$3)^(G$3-$B$3)),"")</f>
        <v/>
      </c>
      <c r="H121" s="355" t="str">
        <f>IF(H$3&lt;=time,'Attributable fraction'!AG65*(1+Economics!$B$4)^(H$3-$B$3)/((1+Economics!$B$3)^(H$3-$B$3)),"")</f>
        <v/>
      </c>
      <c r="I121" s="355" t="str">
        <f>IF(I$3&lt;=time,'Attributable fraction'!AH65*(1+Economics!$B$4)^(I$3-$B$3)/((1+Economics!$B$3)^(I$3-$B$3)),"")</f>
        <v/>
      </c>
      <c r="J121" s="355" t="str">
        <f>IF(J$3&lt;=time,'Attributable fraction'!AI65*(1+Economics!$B$4)^(J$3-$B$3)/((1+Economics!$B$3)^(J$3-$B$3)),"")</f>
        <v/>
      </c>
      <c r="K121" s="355" t="str">
        <f>IF(K$3&lt;=time,'Attributable fraction'!AJ65*(1+Economics!$B$4)^(K$3-$B$3)/((1+Economics!$B$3)^(K$3-$B$3)),"")</f>
        <v/>
      </c>
      <c r="L121" s="355" t="str">
        <f>IF(L$3&lt;=time,'Attributable fraction'!AK65*(1+Economics!$B$4)^(L$3-$B$3)/((1+Economics!$B$3)^(L$3-$B$3)),"")</f>
        <v/>
      </c>
      <c r="M121" s="355" t="str">
        <f>IF(M$3&lt;=time,'Attributable fraction'!AL65*(1+Economics!$B$4)^(M$3-$B$3)/((1+Economics!$B$3)^(M$3-$B$3)),"")</f>
        <v/>
      </c>
      <c r="N121" s="355" t="str">
        <f>IF(N$3&lt;=time,'Attributable fraction'!AM65*(1+Economics!$B$4)^(N$3-$B$3)/((1+Economics!$B$3)^(N$3-$B$3)),"")</f>
        <v/>
      </c>
      <c r="O121" s="355" t="str">
        <f>IF(O$3&lt;=time,'Attributable fraction'!AN65*(1+Economics!$B$4)^(O$3-$B$3)/((1+Economics!$B$3)^(O$3-$B$3)),"")</f>
        <v/>
      </c>
      <c r="P121" s="355" t="str">
        <f>IF(P$3&lt;=time,'Attributable fraction'!AO65*(1+Economics!$B$4)^(P$3-$B$3)/((1+Economics!$B$3)^(P$3-$B$3)),"")</f>
        <v/>
      </c>
      <c r="Q121" s="355" t="str">
        <f>IF(Q$3&lt;=time,'Attributable fraction'!AP65*(1+Economics!$B$4)^(Q$3-$B$3)/((1+Economics!$B$3)^(Q$3-$B$3)),"")</f>
        <v/>
      </c>
      <c r="R121" s="355" t="str">
        <f>IF(R$3&lt;=time,'Attributable fraction'!AQ65*(1+Economics!$B$4)^(R$3-$B$3)/((1+Economics!$B$3)^(R$3-$B$3)),"")</f>
        <v/>
      </c>
      <c r="S121" s="355" t="str">
        <f>IF(S$3&lt;=time,'Attributable fraction'!AR65*(1+Economics!$B$4)^(S$3-$B$3)/((1+Economics!$B$3)^(S$3-$B$3)),"")</f>
        <v/>
      </c>
      <c r="T121" s="355" t="str">
        <f>IF(T$3&lt;=time,'Attributable fraction'!AS65*(1+Economics!$B$4)^(T$3-$B$3)/((1+Economics!$B$3)^(T$3-$B$3)),"")</f>
        <v/>
      </c>
      <c r="U121" s="355" t="str">
        <f>IF(U$3&lt;=time,'Attributable fraction'!AT65*(1+Economics!$B$4)^(U$3-$B$3)/((1+Economics!$B$3)^(U$3-$B$3)),"")</f>
        <v/>
      </c>
      <c r="V121" s="355" t="str">
        <f>IF(V$3&lt;=time,'Attributable fraction'!AU65*(1+Economics!$B$4)^(V$3-$B$3)/((1+Economics!$B$3)^(V$3-$B$3)),"")</f>
        <v/>
      </c>
      <c r="W121" s="355" t="str">
        <f>IF(W$3&lt;=time,'Attributable fraction'!AV65*(1+Economics!$B$4)^(W$3-$B$3)/((1+Economics!$B$3)^(W$3-$B$3)),"")</f>
        <v/>
      </c>
      <c r="X121" s="355" t="str">
        <f>IF(X$3&lt;=time,'Attributable fraction'!AW65*(1+Economics!$B$4)^(X$3-$B$3)/((1+Economics!$B$3)^(X$3-$B$3)),"")</f>
        <v/>
      </c>
      <c r="Y121" s="355" t="str">
        <f>IF(Y$3&lt;=time,'Attributable fraction'!AX65*(1+Economics!$B$4)^(Y$3-$B$3)/((1+Economics!$B$3)^(Y$3-$B$3)),"")</f>
        <v/>
      </c>
      <c r="Z121" s="356" t="str">
        <f>IF(Z$3&lt;=time,'Attributable fraction'!AY65*(1+Economics!$B$4)^(Z$3-$B$3)/((1+Economics!$B$3)^(Z$3-$B$3)),"")</f>
        <v/>
      </c>
      <c r="AC121" s="142">
        <f t="shared" si="21"/>
        <v>0</v>
      </c>
      <c r="AE121" s="376">
        <v>10</v>
      </c>
      <c r="AF121" s="176" t="e">
        <f t="array" ref="AF121">STDEV(IF(B121:Z121&lt;&gt;0,B121:Z121))</f>
        <v>#DIV/0!</v>
      </c>
      <c r="AG121" s="176">
        <v>1.96</v>
      </c>
      <c r="AH121" s="176" t="e">
        <f t="shared" si="22"/>
        <v>#DIV/0!</v>
      </c>
      <c r="AI121" s="176">
        <f t="shared" si="14"/>
        <v>0</v>
      </c>
    </row>
    <row r="122" spans="1:35" s="196" customFormat="1" hidden="1">
      <c r="A122" s="292" t="s">
        <v>16</v>
      </c>
      <c r="B122" s="354"/>
      <c r="C122" s="354"/>
      <c r="D122" s="354"/>
      <c r="E122" s="354"/>
      <c r="F122" s="354"/>
      <c r="G122" s="354"/>
      <c r="H122" s="354"/>
      <c r="I122" s="354"/>
      <c r="J122" s="354"/>
      <c r="K122" s="354"/>
      <c r="L122" s="354"/>
      <c r="M122" s="354"/>
      <c r="N122" s="354"/>
      <c r="O122" s="354"/>
      <c r="P122" s="354"/>
      <c r="Q122" s="354"/>
      <c r="R122" s="354"/>
      <c r="S122" s="354"/>
      <c r="T122" s="354"/>
      <c r="U122" s="354"/>
      <c r="V122" s="354"/>
      <c r="W122" s="354"/>
      <c r="X122" s="354"/>
      <c r="Y122" s="354"/>
      <c r="Z122" s="357"/>
      <c r="AB122" s="114"/>
      <c r="AD122" s="114"/>
    </row>
    <row r="123" spans="1:35" hidden="1">
      <c r="A123" s="378" t="str">
        <f>Costs!A67</f>
        <v>Volunteers 1</v>
      </c>
      <c r="B123" s="355">
        <f>IF(B$3&lt;=time,'Attributable fraction'!AA67*(1+Economics!$B$4)^(B$3-$B$3)/((1+Economics!$B$3)^(B$3-$B$3)),"")</f>
        <v>0</v>
      </c>
      <c r="C123" s="355">
        <f>IF(C$3&lt;=time,'Attributable fraction'!AB67*(1+Economics!$B$4)^(C$3-$B$3)/((1+Economics!$B$3)^(C$3-$B$3)),"")</f>
        <v>0</v>
      </c>
      <c r="D123" s="355">
        <f>IF(D$3&lt;=time,'Attributable fraction'!AC67*(1+Economics!$B$4)^(D$3-$B$3)/((1+Economics!$B$3)^(D$3-$B$3)),"")</f>
        <v>0</v>
      </c>
      <c r="E123" s="355">
        <f>IF(E$3&lt;=time,'Attributable fraction'!AD67*(1+Economics!$B$4)^(E$3-$B$3)/((1+Economics!$B$3)^(E$3-$B$3)),"")</f>
        <v>0</v>
      </c>
      <c r="F123" s="355">
        <f>IF(F$3&lt;=time,'Attributable fraction'!AE67*(1+Economics!$B$4)^(F$3-$B$3)/((1+Economics!$B$3)^(F$3-$B$3)),"")</f>
        <v>0</v>
      </c>
      <c r="G123" s="355" t="str">
        <f>IF(G$3&lt;=time,'Attributable fraction'!AF67*(1+Economics!$B$4)^(G$3-$B$3)/((1+Economics!$B$3)^(G$3-$B$3)),"")</f>
        <v/>
      </c>
      <c r="H123" s="355" t="str">
        <f>IF(H$3&lt;=time,'Attributable fraction'!AG67*(1+Economics!$B$4)^(H$3-$B$3)/((1+Economics!$B$3)^(H$3-$B$3)),"")</f>
        <v/>
      </c>
      <c r="I123" s="355" t="str">
        <f>IF(I$3&lt;=time,'Attributable fraction'!AH67*(1+Economics!$B$4)^(I$3-$B$3)/((1+Economics!$B$3)^(I$3-$B$3)),"")</f>
        <v/>
      </c>
      <c r="J123" s="355" t="str">
        <f>IF(J$3&lt;=time,'Attributable fraction'!AI67*(1+Economics!$B$4)^(J$3-$B$3)/((1+Economics!$B$3)^(J$3-$B$3)),"")</f>
        <v/>
      </c>
      <c r="K123" s="355" t="str">
        <f>IF(K$3&lt;=time,'Attributable fraction'!AJ67*(1+Economics!$B$4)^(K$3-$B$3)/((1+Economics!$B$3)^(K$3-$B$3)),"")</f>
        <v/>
      </c>
      <c r="L123" s="355" t="str">
        <f>IF(L$3&lt;=time,'Attributable fraction'!AK67*(1+Economics!$B$4)^(L$3-$B$3)/((1+Economics!$B$3)^(L$3-$B$3)),"")</f>
        <v/>
      </c>
      <c r="M123" s="355" t="str">
        <f>IF(M$3&lt;=time,'Attributable fraction'!AL67*(1+Economics!$B$4)^(M$3-$B$3)/((1+Economics!$B$3)^(M$3-$B$3)),"")</f>
        <v/>
      </c>
      <c r="N123" s="355" t="str">
        <f>IF(N$3&lt;=time,'Attributable fraction'!AM67*(1+Economics!$B$4)^(N$3-$B$3)/((1+Economics!$B$3)^(N$3-$B$3)),"")</f>
        <v/>
      </c>
      <c r="O123" s="355" t="str">
        <f>IF(O$3&lt;=time,'Attributable fraction'!AN67*(1+Economics!$B$4)^(O$3-$B$3)/((1+Economics!$B$3)^(O$3-$B$3)),"")</f>
        <v/>
      </c>
      <c r="P123" s="355" t="str">
        <f>IF(P$3&lt;=time,'Attributable fraction'!AO67*(1+Economics!$B$4)^(P$3-$B$3)/((1+Economics!$B$3)^(P$3-$B$3)),"")</f>
        <v/>
      </c>
      <c r="Q123" s="355" t="str">
        <f>IF(Q$3&lt;=time,'Attributable fraction'!AP67*(1+Economics!$B$4)^(Q$3-$B$3)/((1+Economics!$B$3)^(Q$3-$B$3)),"")</f>
        <v/>
      </c>
      <c r="R123" s="355" t="str">
        <f>IF(R$3&lt;=time,'Attributable fraction'!AQ67*(1+Economics!$B$4)^(R$3-$B$3)/((1+Economics!$B$3)^(R$3-$B$3)),"")</f>
        <v/>
      </c>
      <c r="S123" s="355" t="str">
        <f>IF(S$3&lt;=time,'Attributable fraction'!AR67*(1+Economics!$B$4)^(S$3-$B$3)/((1+Economics!$B$3)^(S$3-$B$3)),"")</f>
        <v/>
      </c>
      <c r="T123" s="355" t="str">
        <f>IF(T$3&lt;=time,'Attributable fraction'!AS67*(1+Economics!$B$4)^(T$3-$B$3)/((1+Economics!$B$3)^(T$3-$B$3)),"")</f>
        <v/>
      </c>
      <c r="U123" s="355" t="str">
        <f>IF(U$3&lt;=time,'Attributable fraction'!AT67*(1+Economics!$B$4)^(U$3-$B$3)/((1+Economics!$B$3)^(U$3-$B$3)),"")</f>
        <v/>
      </c>
      <c r="V123" s="355" t="str">
        <f>IF(V$3&lt;=time,'Attributable fraction'!AU67*(1+Economics!$B$4)^(V$3-$B$3)/((1+Economics!$B$3)^(V$3-$B$3)),"")</f>
        <v/>
      </c>
      <c r="W123" s="355" t="str">
        <f>IF(W$3&lt;=time,'Attributable fraction'!AV67*(1+Economics!$B$4)^(W$3-$B$3)/((1+Economics!$B$3)^(W$3-$B$3)),"")</f>
        <v/>
      </c>
      <c r="X123" s="355" t="str">
        <f>IF(X$3&lt;=time,'Attributable fraction'!AW67*(1+Economics!$B$4)^(X$3-$B$3)/((1+Economics!$B$3)^(X$3-$B$3)),"")</f>
        <v/>
      </c>
      <c r="Y123" s="355" t="str">
        <f>IF(Y$3&lt;=time,'Attributable fraction'!AX67*(1+Economics!$B$4)^(Y$3-$B$3)/((1+Economics!$B$3)^(Y$3-$B$3)),"")</f>
        <v/>
      </c>
      <c r="Z123" s="356" t="str">
        <f>IF(Z$3&lt;=time,'Attributable fraction'!AY67*(1+Economics!$B$4)^(Z$3-$B$3)/((1+Economics!$B$3)^(Z$3-$B$3)),"")</f>
        <v/>
      </c>
      <c r="AC123" s="142">
        <f t="shared" ref="AC123:AC132" si="23">(SUM(IF(ISERROR(Z123),"0",Z123),IF(ISERROR(Y123),"0",Y123),IF(ISERROR(X123),"0",X123),IF(ISERROR(W123),"0",W123),IF(ISERROR(V123),"0",V123),IF(ISERROR(U123),"0",U123),IF(ISERROR(T123),"0",T123),IF(ISERROR(S123),"0",S123),IF(ISERROR(R123),"0",R123),IF(ISERROR(Q123),"0",Q123), IF(ISERROR(P123),"0",P123),IF(ISERROR(O123),"0",O123),IF(ISERROR(N123),"0",N123),IF(ISERROR(M123),"0",M123),IF(ISERROR(L123),"0",L123),IF(ISERROR(K123),"0",K123),IF(ISERROR(J123),"0",J123),IF(ISERROR(I123),"0",I123),IF(ISERROR(H123),"0",H123),IF(ISERROR(G123),"0",G123),IF(ISERROR(F123),"0",F123),IF(ISERROR(E123),"0",E123),IF(ISERROR(D123),"0",D123),IF(ISERROR(C123),"0",C123),IF(ISERROR(B123),"0",B123)))/time</f>
        <v>0</v>
      </c>
      <c r="AE123" s="375">
        <v>1</v>
      </c>
      <c r="AF123" s="176" t="e">
        <f t="array" ref="AF123">STDEV(IF(B123:Z123&lt;&gt;0,B123:Z123))</f>
        <v>#DIV/0!</v>
      </c>
      <c r="AG123" s="176">
        <v>1.96</v>
      </c>
      <c r="AH123" s="176" t="e">
        <f t="shared" ref="AH123:AH132" si="24">(AG123*AF123)/(time^0.5)</f>
        <v>#DIV/0!</v>
      </c>
      <c r="AI123" s="176">
        <f t="shared" si="14"/>
        <v>0</v>
      </c>
    </row>
    <row r="124" spans="1:35" hidden="1">
      <c r="A124" s="378" t="str">
        <f>Costs!A68</f>
        <v>Volunteers 2</v>
      </c>
      <c r="B124" s="355">
        <f>IF(B$3&lt;=time,'Attributable fraction'!AA68*(1+Economics!$B$4)^(B$3-$B$3)/((1+Economics!$B$3)^(B$3-$B$3)),"")</f>
        <v>0</v>
      </c>
      <c r="C124" s="355">
        <f>IF(C$3&lt;=time,'Attributable fraction'!AB68*(1+Economics!$B$4)^(C$3-$B$3)/((1+Economics!$B$3)^(C$3-$B$3)),"")</f>
        <v>0</v>
      </c>
      <c r="D124" s="355">
        <f>IF(D$3&lt;=time,'Attributable fraction'!AC68*(1+Economics!$B$4)^(D$3-$B$3)/((1+Economics!$B$3)^(D$3-$B$3)),"")</f>
        <v>0</v>
      </c>
      <c r="E124" s="355">
        <f>IF(E$3&lt;=time,'Attributable fraction'!AD68*(1+Economics!$B$4)^(E$3-$B$3)/((1+Economics!$B$3)^(E$3-$B$3)),"")</f>
        <v>0</v>
      </c>
      <c r="F124" s="355">
        <f>IF(F$3&lt;=time,'Attributable fraction'!AE68*(1+Economics!$B$4)^(F$3-$B$3)/((1+Economics!$B$3)^(F$3-$B$3)),"")</f>
        <v>0</v>
      </c>
      <c r="G124" s="355" t="str">
        <f>IF(G$3&lt;=time,'Attributable fraction'!AF68*(1+Economics!$B$4)^(G$3-$B$3)/((1+Economics!$B$3)^(G$3-$B$3)),"")</f>
        <v/>
      </c>
      <c r="H124" s="355" t="str">
        <f>IF(H$3&lt;=time,'Attributable fraction'!AG68*(1+Economics!$B$4)^(H$3-$B$3)/((1+Economics!$B$3)^(H$3-$B$3)),"")</f>
        <v/>
      </c>
      <c r="I124" s="355" t="str">
        <f>IF(I$3&lt;=time,'Attributable fraction'!AH68*(1+Economics!$B$4)^(I$3-$B$3)/((1+Economics!$B$3)^(I$3-$B$3)),"")</f>
        <v/>
      </c>
      <c r="J124" s="355" t="str">
        <f>IF(J$3&lt;=time,'Attributable fraction'!AI68*(1+Economics!$B$4)^(J$3-$B$3)/((1+Economics!$B$3)^(J$3-$B$3)),"")</f>
        <v/>
      </c>
      <c r="K124" s="355" t="str">
        <f>IF(K$3&lt;=time,'Attributable fraction'!AJ68*(1+Economics!$B$4)^(K$3-$B$3)/((1+Economics!$B$3)^(K$3-$B$3)),"")</f>
        <v/>
      </c>
      <c r="L124" s="355" t="str">
        <f>IF(L$3&lt;=time,'Attributable fraction'!AK68*(1+Economics!$B$4)^(L$3-$B$3)/((1+Economics!$B$3)^(L$3-$B$3)),"")</f>
        <v/>
      </c>
      <c r="M124" s="355" t="str">
        <f>IF(M$3&lt;=time,'Attributable fraction'!AL68*(1+Economics!$B$4)^(M$3-$B$3)/((1+Economics!$B$3)^(M$3-$B$3)),"")</f>
        <v/>
      </c>
      <c r="N124" s="355" t="str">
        <f>IF(N$3&lt;=time,'Attributable fraction'!AM68*(1+Economics!$B$4)^(N$3-$B$3)/((1+Economics!$B$3)^(N$3-$B$3)),"")</f>
        <v/>
      </c>
      <c r="O124" s="355" t="str">
        <f>IF(O$3&lt;=time,'Attributable fraction'!AN68*(1+Economics!$B$4)^(O$3-$B$3)/((1+Economics!$B$3)^(O$3-$B$3)),"")</f>
        <v/>
      </c>
      <c r="P124" s="355" t="str">
        <f>IF(P$3&lt;=time,'Attributable fraction'!AO68*(1+Economics!$B$4)^(P$3-$B$3)/((1+Economics!$B$3)^(P$3-$B$3)),"")</f>
        <v/>
      </c>
      <c r="Q124" s="355" t="str">
        <f>IF(Q$3&lt;=time,'Attributable fraction'!AP68*(1+Economics!$B$4)^(Q$3-$B$3)/((1+Economics!$B$3)^(Q$3-$B$3)),"")</f>
        <v/>
      </c>
      <c r="R124" s="355" t="str">
        <f>IF(R$3&lt;=time,'Attributable fraction'!AQ68*(1+Economics!$B$4)^(R$3-$B$3)/((1+Economics!$B$3)^(R$3-$B$3)),"")</f>
        <v/>
      </c>
      <c r="S124" s="355" t="str">
        <f>IF(S$3&lt;=time,'Attributable fraction'!AR68*(1+Economics!$B$4)^(S$3-$B$3)/((1+Economics!$B$3)^(S$3-$B$3)),"")</f>
        <v/>
      </c>
      <c r="T124" s="355" t="str">
        <f>IF(T$3&lt;=time,'Attributable fraction'!AS68*(1+Economics!$B$4)^(T$3-$B$3)/((1+Economics!$B$3)^(T$3-$B$3)),"")</f>
        <v/>
      </c>
      <c r="U124" s="355" t="str">
        <f>IF(U$3&lt;=time,'Attributable fraction'!AT68*(1+Economics!$B$4)^(U$3-$B$3)/((1+Economics!$B$3)^(U$3-$B$3)),"")</f>
        <v/>
      </c>
      <c r="V124" s="355" t="str">
        <f>IF(V$3&lt;=time,'Attributable fraction'!AU68*(1+Economics!$B$4)^(V$3-$B$3)/((1+Economics!$B$3)^(V$3-$B$3)),"")</f>
        <v/>
      </c>
      <c r="W124" s="355" t="str">
        <f>IF(W$3&lt;=time,'Attributable fraction'!AV68*(1+Economics!$B$4)^(W$3-$B$3)/((1+Economics!$B$3)^(W$3-$B$3)),"")</f>
        <v/>
      </c>
      <c r="X124" s="355" t="str">
        <f>IF(X$3&lt;=time,'Attributable fraction'!AW68*(1+Economics!$B$4)^(X$3-$B$3)/((1+Economics!$B$3)^(X$3-$B$3)),"")</f>
        <v/>
      </c>
      <c r="Y124" s="355" t="str">
        <f>IF(Y$3&lt;=time,'Attributable fraction'!AX68*(1+Economics!$B$4)^(Y$3-$B$3)/((1+Economics!$B$3)^(Y$3-$B$3)),"")</f>
        <v/>
      </c>
      <c r="Z124" s="356" t="str">
        <f>IF(Z$3&lt;=time,'Attributable fraction'!AY68*(1+Economics!$B$4)^(Z$3-$B$3)/((1+Economics!$B$3)^(Z$3-$B$3)),"")</f>
        <v/>
      </c>
      <c r="AC124" s="142">
        <f t="shared" si="23"/>
        <v>0</v>
      </c>
      <c r="AE124" s="376">
        <v>2</v>
      </c>
      <c r="AF124" s="176" t="e">
        <f t="array" ref="AF124">STDEV(IF(B124:Z124&lt;&gt;0,B124:Z124))</f>
        <v>#DIV/0!</v>
      </c>
      <c r="AG124" s="176">
        <v>1.96</v>
      </c>
      <c r="AH124" s="176" t="e">
        <f t="shared" si="24"/>
        <v>#DIV/0!</v>
      </c>
      <c r="AI124" s="176">
        <f t="shared" si="14"/>
        <v>0</v>
      </c>
    </row>
    <row r="125" spans="1:35" hidden="1">
      <c r="A125" s="378" t="str">
        <f>Costs!A69</f>
        <v>Volunteers 3</v>
      </c>
      <c r="B125" s="355">
        <f>IF(B$3&lt;=time,'Attributable fraction'!AA69*(1+Economics!$B$4)^(B$3-$B$3)/((1+Economics!$B$3)^(B$3-$B$3)),"")</f>
        <v>0</v>
      </c>
      <c r="C125" s="355">
        <f>IF(C$3&lt;=time,'Attributable fraction'!AB69*(1+Economics!$B$4)^(C$3-$B$3)/((1+Economics!$B$3)^(C$3-$B$3)),"")</f>
        <v>0</v>
      </c>
      <c r="D125" s="355">
        <f>IF(D$3&lt;=time,'Attributable fraction'!AC69*(1+Economics!$B$4)^(D$3-$B$3)/((1+Economics!$B$3)^(D$3-$B$3)),"")</f>
        <v>0</v>
      </c>
      <c r="E125" s="355">
        <f>IF(E$3&lt;=time,'Attributable fraction'!AD69*(1+Economics!$B$4)^(E$3-$B$3)/((1+Economics!$B$3)^(E$3-$B$3)),"")</f>
        <v>0</v>
      </c>
      <c r="F125" s="355">
        <f>IF(F$3&lt;=time,'Attributable fraction'!AE69*(1+Economics!$B$4)^(F$3-$B$3)/((1+Economics!$B$3)^(F$3-$B$3)),"")</f>
        <v>0</v>
      </c>
      <c r="G125" s="355" t="str">
        <f>IF(G$3&lt;=time,'Attributable fraction'!AF69*(1+Economics!$B$4)^(G$3-$B$3)/((1+Economics!$B$3)^(G$3-$B$3)),"")</f>
        <v/>
      </c>
      <c r="H125" s="355" t="str">
        <f>IF(H$3&lt;=time,'Attributable fraction'!AG69*(1+Economics!$B$4)^(H$3-$B$3)/((1+Economics!$B$3)^(H$3-$B$3)),"")</f>
        <v/>
      </c>
      <c r="I125" s="355" t="str">
        <f>IF(I$3&lt;=time,'Attributable fraction'!AH69*(1+Economics!$B$4)^(I$3-$B$3)/((1+Economics!$B$3)^(I$3-$B$3)),"")</f>
        <v/>
      </c>
      <c r="J125" s="355" t="str">
        <f>IF(J$3&lt;=time,'Attributable fraction'!AI69*(1+Economics!$B$4)^(J$3-$B$3)/((1+Economics!$B$3)^(J$3-$B$3)),"")</f>
        <v/>
      </c>
      <c r="K125" s="355" t="str">
        <f>IF(K$3&lt;=time,'Attributable fraction'!AJ69*(1+Economics!$B$4)^(K$3-$B$3)/((1+Economics!$B$3)^(K$3-$B$3)),"")</f>
        <v/>
      </c>
      <c r="L125" s="355" t="str">
        <f>IF(L$3&lt;=time,'Attributable fraction'!AK69*(1+Economics!$B$4)^(L$3-$B$3)/((1+Economics!$B$3)^(L$3-$B$3)),"")</f>
        <v/>
      </c>
      <c r="M125" s="355" t="str">
        <f>IF(M$3&lt;=time,'Attributable fraction'!AL69*(1+Economics!$B$4)^(M$3-$B$3)/((1+Economics!$B$3)^(M$3-$B$3)),"")</f>
        <v/>
      </c>
      <c r="N125" s="355" t="str">
        <f>IF(N$3&lt;=time,'Attributable fraction'!AM69*(1+Economics!$B$4)^(N$3-$B$3)/((1+Economics!$B$3)^(N$3-$B$3)),"")</f>
        <v/>
      </c>
      <c r="O125" s="355" t="str">
        <f>IF(O$3&lt;=time,'Attributable fraction'!AN69*(1+Economics!$B$4)^(O$3-$B$3)/((1+Economics!$B$3)^(O$3-$B$3)),"")</f>
        <v/>
      </c>
      <c r="P125" s="355" t="str">
        <f>IF(P$3&lt;=time,'Attributable fraction'!AO69*(1+Economics!$B$4)^(P$3-$B$3)/((1+Economics!$B$3)^(P$3-$B$3)),"")</f>
        <v/>
      </c>
      <c r="Q125" s="355" t="str">
        <f>IF(Q$3&lt;=time,'Attributable fraction'!AP69*(1+Economics!$B$4)^(Q$3-$B$3)/((1+Economics!$B$3)^(Q$3-$B$3)),"")</f>
        <v/>
      </c>
      <c r="R125" s="355" t="str">
        <f>IF(R$3&lt;=time,'Attributable fraction'!AQ69*(1+Economics!$B$4)^(R$3-$B$3)/((1+Economics!$B$3)^(R$3-$B$3)),"")</f>
        <v/>
      </c>
      <c r="S125" s="355" t="str">
        <f>IF(S$3&lt;=time,'Attributable fraction'!AR69*(1+Economics!$B$4)^(S$3-$B$3)/((1+Economics!$B$3)^(S$3-$B$3)),"")</f>
        <v/>
      </c>
      <c r="T125" s="355" t="str">
        <f>IF(T$3&lt;=time,'Attributable fraction'!AS69*(1+Economics!$B$4)^(T$3-$B$3)/((1+Economics!$B$3)^(T$3-$B$3)),"")</f>
        <v/>
      </c>
      <c r="U125" s="355" t="str">
        <f>IF(U$3&lt;=time,'Attributable fraction'!AT69*(1+Economics!$B$4)^(U$3-$B$3)/((1+Economics!$B$3)^(U$3-$B$3)),"")</f>
        <v/>
      </c>
      <c r="V125" s="355" t="str">
        <f>IF(V$3&lt;=time,'Attributable fraction'!AU69*(1+Economics!$B$4)^(V$3-$B$3)/((1+Economics!$B$3)^(V$3-$B$3)),"")</f>
        <v/>
      </c>
      <c r="W125" s="355" t="str">
        <f>IF(W$3&lt;=time,'Attributable fraction'!AV69*(1+Economics!$B$4)^(W$3-$B$3)/((1+Economics!$B$3)^(W$3-$B$3)),"")</f>
        <v/>
      </c>
      <c r="X125" s="355" t="str">
        <f>IF(X$3&lt;=time,'Attributable fraction'!AW69*(1+Economics!$B$4)^(X$3-$B$3)/((1+Economics!$B$3)^(X$3-$B$3)),"")</f>
        <v/>
      </c>
      <c r="Y125" s="355" t="str">
        <f>IF(Y$3&lt;=time,'Attributable fraction'!AX69*(1+Economics!$B$4)^(Y$3-$B$3)/((1+Economics!$B$3)^(Y$3-$B$3)),"")</f>
        <v/>
      </c>
      <c r="Z125" s="356" t="str">
        <f>IF(Z$3&lt;=time,'Attributable fraction'!AY69*(1+Economics!$B$4)^(Z$3-$B$3)/((1+Economics!$B$3)^(Z$3-$B$3)),"")</f>
        <v/>
      </c>
      <c r="AC125" s="142">
        <f t="shared" si="23"/>
        <v>0</v>
      </c>
      <c r="AE125" s="376">
        <v>3</v>
      </c>
      <c r="AF125" s="176" t="e">
        <f t="array" ref="AF125">STDEV(IF(B125:Z125&lt;&gt;0,B125:Z125))</f>
        <v>#DIV/0!</v>
      </c>
      <c r="AG125" s="176">
        <v>1.96</v>
      </c>
      <c r="AH125" s="176" t="e">
        <f t="shared" si="24"/>
        <v>#DIV/0!</v>
      </c>
      <c r="AI125" s="176">
        <f t="shared" si="14"/>
        <v>0</v>
      </c>
    </row>
    <row r="126" spans="1:35" hidden="1">
      <c r="A126" s="378" t="str">
        <f>Costs!A70</f>
        <v>Volunteers 4</v>
      </c>
      <c r="B126" s="355">
        <f>IF(B$3&lt;=time,'Attributable fraction'!AA70*(1+Economics!$B$4)^(B$3-$B$3)/((1+Economics!$B$3)^(B$3-$B$3)),"")</f>
        <v>0</v>
      </c>
      <c r="C126" s="355">
        <f>IF(C$3&lt;=time,'Attributable fraction'!AB70*(1+Economics!$B$4)^(C$3-$B$3)/((1+Economics!$B$3)^(C$3-$B$3)),"")</f>
        <v>0</v>
      </c>
      <c r="D126" s="355">
        <f>IF(D$3&lt;=time,'Attributable fraction'!AC70*(1+Economics!$B$4)^(D$3-$B$3)/((1+Economics!$B$3)^(D$3-$B$3)),"")</f>
        <v>0</v>
      </c>
      <c r="E126" s="355">
        <f>IF(E$3&lt;=time,'Attributable fraction'!AD70*(1+Economics!$B$4)^(E$3-$B$3)/((1+Economics!$B$3)^(E$3-$B$3)),"")</f>
        <v>0</v>
      </c>
      <c r="F126" s="355">
        <f>IF(F$3&lt;=time,'Attributable fraction'!AE70*(1+Economics!$B$4)^(F$3-$B$3)/((1+Economics!$B$3)^(F$3-$B$3)),"")</f>
        <v>0</v>
      </c>
      <c r="G126" s="355" t="str">
        <f>IF(G$3&lt;=time,'Attributable fraction'!AF70*(1+Economics!$B$4)^(G$3-$B$3)/((1+Economics!$B$3)^(G$3-$B$3)),"")</f>
        <v/>
      </c>
      <c r="H126" s="355" t="str">
        <f>IF(H$3&lt;=time,'Attributable fraction'!AG70*(1+Economics!$B$4)^(H$3-$B$3)/((1+Economics!$B$3)^(H$3-$B$3)),"")</f>
        <v/>
      </c>
      <c r="I126" s="355" t="str">
        <f>IF(I$3&lt;=time,'Attributable fraction'!AH70*(1+Economics!$B$4)^(I$3-$B$3)/((1+Economics!$B$3)^(I$3-$B$3)),"")</f>
        <v/>
      </c>
      <c r="J126" s="355" t="str">
        <f>IF(J$3&lt;=time,'Attributable fraction'!AI70*(1+Economics!$B$4)^(J$3-$B$3)/((1+Economics!$B$3)^(J$3-$B$3)),"")</f>
        <v/>
      </c>
      <c r="K126" s="355" t="str">
        <f>IF(K$3&lt;=time,'Attributable fraction'!AJ70*(1+Economics!$B$4)^(K$3-$B$3)/((1+Economics!$B$3)^(K$3-$B$3)),"")</f>
        <v/>
      </c>
      <c r="L126" s="355" t="str">
        <f>IF(L$3&lt;=time,'Attributable fraction'!AK70*(1+Economics!$B$4)^(L$3-$B$3)/((1+Economics!$B$3)^(L$3-$B$3)),"")</f>
        <v/>
      </c>
      <c r="M126" s="355" t="str">
        <f>IF(M$3&lt;=time,'Attributable fraction'!AL70*(1+Economics!$B$4)^(M$3-$B$3)/((1+Economics!$B$3)^(M$3-$B$3)),"")</f>
        <v/>
      </c>
      <c r="N126" s="355" t="str">
        <f>IF(N$3&lt;=time,'Attributable fraction'!AM70*(1+Economics!$B$4)^(N$3-$B$3)/((1+Economics!$B$3)^(N$3-$B$3)),"")</f>
        <v/>
      </c>
      <c r="O126" s="355" t="str">
        <f>IF(O$3&lt;=time,'Attributable fraction'!AN70*(1+Economics!$B$4)^(O$3-$B$3)/((1+Economics!$B$3)^(O$3-$B$3)),"")</f>
        <v/>
      </c>
      <c r="P126" s="355" t="str">
        <f>IF(P$3&lt;=time,'Attributable fraction'!AO70*(1+Economics!$B$4)^(P$3-$B$3)/((1+Economics!$B$3)^(P$3-$B$3)),"")</f>
        <v/>
      </c>
      <c r="Q126" s="355" t="str">
        <f>IF(Q$3&lt;=time,'Attributable fraction'!AP70*(1+Economics!$B$4)^(Q$3-$B$3)/((1+Economics!$B$3)^(Q$3-$B$3)),"")</f>
        <v/>
      </c>
      <c r="R126" s="355" t="str">
        <f>IF(R$3&lt;=time,'Attributable fraction'!AQ70*(1+Economics!$B$4)^(R$3-$B$3)/((1+Economics!$B$3)^(R$3-$B$3)),"")</f>
        <v/>
      </c>
      <c r="S126" s="355" t="str">
        <f>IF(S$3&lt;=time,'Attributable fraction'!AR70*(1+Economics!$B$4)^(S$3-$B$3)/((1+Economics!$B$3)^(S$3-$B$3)),"")</f>
        <v/>
      </c>
      <c r="T126" s="355" t="str">
        <f>IF(T$3&lt;=time,'Attributable fraction'!AS70*(1+Economics!$B$4)^(T$3-$B$3)/((1+Economics!$B$3)^(T$3-$B$3)),"")</f>
        <v/>
      </c>
      <c r="U126" s="355" t="str">
        <f>IF(U$3&lt;=time,'Attributable fraction'!AT70*(1+Economics!$B$4)^(U$3-$B$3)/((1+Economics!$B$3)^(U$3-$B$3)),"")</f>
        <v/>
      </c>
      <c r="V126" s="355" t="str">
        <f>IF(V$3&lt;=time,'Attributable fraction'!AU70*(1+Economics!$B$4)^(V$3-$B$3)/((1+Economics!$B$3)^(V$3-$B$3)),"")</f>
        <v/>
      </c>
      <c r="W126" s="355" t="str">
        <f>IF(W$3&lt;=time,'Attributable fraction'!AV70*(1+Economics!$B$4)^(W$3-$B$3)/((1+Economics!$B$3)^(W$3-$B$3)),"")</f>
        <v/>
      </c>
      <c r="X126" s="355" t="str">
        <f>IF(X$3&lt;=time,'Attributable fraction'!AW70*(1+Economics!$B$4)^(X$3-$B$3)/((1+Economics!$B$3)^(X$3-$B$3)),"")</f>
        <v/>
      </c>
      <c r="Y126" s="355" t="str">
        <f>IF(Y$3&lt;=time,'Attributable fraction'!AX70*(1+Economics!$B$4)^(Y$3-$B$3)/((1+Economics!$B$3)^(Y$3-$B$3)),"")</f>
        <v/>
      </c>
      <c r="Z126" s="356" t="str">
        <f>IF(Z$3&lt;=time,'Attributable fraction'!AY70*(1+Economics!$B$4)^(Z$3-$B$3)/((1+Economics!$B$3)^(Z$3-$B$3)),"")</f>
        <v/>
      </c>
      <c r="AC126" s="142">
        <f t="shared" si="23"/>
        <v>0</v>
      </c>
      <c r="AE126" s="376">
        <v>4</v>
      </c>
      <c r="AF126" s="176" t="e">
        <f t="array" ref="AF126">STDEV(IF(B126:Z126&lt;&gt;0,B126:Z126))</f>
        <v>#DIV/0!</v>
      </c>
      <c r="AG126" s="176">
        <v>1.96</v>
      </c>
      <c r="AH126" s="176" t="e">
        <f t="shared" si="24"/>
        <v>#DIV/0!</v>
      </c>
      <c r="AI126" s="176">
        <f t="shared" si="14"/>
        <v>0</v>
      </c>
    </row>
    <row r="127" spans="1:35" hidden="1">
      <c r="A127" s="378" t="str">
        <f>Costs!A71</f>
        <v>Volunteers 5</v>
      </c>
      <c r="B127" s="355">
        <f>IF(B$3&lt;=time,'Attributable fraction'!AA71*(1+Economics!$B$4)^(B$3-$B$3)/((1+Economics!$B$3)^(B$3-$B$3)),"")</f>
        <v>0</v>
      </c>
      <c r="C127" s="355">
        <f>IF(C$3&lt;=time,'Attributable fraction'!AB71*(1+Economics!$B$4)^(C$3-$B$3)/((1+Economics!$B$3)^(C$3-$B$3)),"")</f>
        <v>0</v>
      </c>
      <c r="D127" s="355">
        <f>IF(D$3&lt;=time,'Attributable fraction'!AC71*(1+Economics!$B$4)^(D$3-$B$3)/((1+Economics!$B$3)^(D$3-$B$3)),"")</f>
        <v>0</v>
      </c>
      <c r="E127" s="355">
        <f>IF(E$3&lt;=time,'Attributable fraction'!AD71*(1+Economics!$B$4)^(E$3-$B$3)/((1+Economics!$B$3)^(E$3-$B$3)),"")</f>
        <v>0</v>
      </c>
      <c r="F127" s="355">
        <f>IF(F$3&lt;=time,'Attributable fraction'!AE71*(1+Economics!$B$4)^(F$3-$B$3)/((1+Economics!$B$3)^(F$3-$B$3)),"")</f>
        <v>0</v>
      </c>
      <c r="G127" s="355" t="str">
        <f>IF(G$3&lt;=time,'Attributable fraction'!AF71*(1+Economics!$B$4)^(G$3-$B$3)/((1+Economics!$B$3)^(G$3-$B$3)),"")</f>
        <v/>
      </c>
      <c r="H127" s="355" t="str">
        <f>IF(H$3&lt;=time,'Attributable fraction'!AG71*(1+Economics!$B$4)^(H$3-$B$3)/((1+Economics!$B$3)^(H$3-$B$3)),"")</f>
        <v/>
      </c>
      <c r="I127" s="355" t="str">
        <f>IF(I$3&lt;=time,'Attributable fraction'!AH71*(1+Economics!$B$4)^(I$3-$B$3)/((1+Economics!$B$3)^(I$3-$B$3)),"")</f>
        <v/>
      </c>
      <c r="J127" s="355" t="str">
        <f>IF(J$3&lt;=time,'Attributable fraction'!AI71*(1+Economics!$B$4)^(J$3-$B$3)/((1+Economics!$B$3)^(J$3-$B$3)),"")</f>
        <v/>
      </c>
      <c r="K127" s="355" t="str">
        <f>IF(K$3&lt;=time,'Attributable fraction'!AJ71*(1+Economics!$B$4)^(K$3-$B$3)/((1+Economics!$B$3)^(K$3-$B$3)),"")</f>
        <v/>
      </c>
      <c r="L127" s="355" t="str">
        <f>IF(L$3&lt;=time,'Attributable fraction'!AK71*(1+Economics!$B$4)^(L$3-$B$3)/((1+Economics!$B$3)^(L$3-$B$3)),"")</f>
        <v/>
      </c>
      <c r="M127" s="355" t="str">
        <f>IF(M$3&lt;=time,'Attributable fraction'!AL71*(1+Economics!$B$4)^(M$3-$B$3)/((1+Economics!$B$3)^(M$3-$B$3)),"")</f>
        <v/>
      </c>
      <c r="N127" s="355" t="str">
        <f>IF(N$3&lt;=time,'Attributable fraction'!AM71*(1+Economics!$B$4)^(N$3-$B$3)/((1+Economics!$B$3)^(N$3-$B$3)),"")</f>
        <v/>
      </c>
      <c r="O127" s="355" t="str">
        <f>IF(O$3&lt;=time,'Attributable fraction'!AN71*(1+Economics!$B$4)^(O$3-$B$3)/((1+Economics!$B$3)^(O$3-$B$3)),"")</f>
        <v/>
      </c>
      <c r="P127" s="355" t="str">
        <f>IF(P$3&lt;=time,'Attributable fraction'!AO71*(1+Economics!$B$4)^(P$3-$B$3)/((1+Economics!$B$3)^(P$3-$B$3)),"")</f>
        <v/>
      </c>
      <c r="Q127" s="355" t="str">
        <f>IF(Q$3&lt;=time,'Attributable fraction'!AP71*(1+Economics!$B$4)^(Q$3-$B$3)/((1+Economics!$B$3)^(Q$3-$B$3)),"")</f>
        <v/>
      </c>
      <c r="R127" s="355" t="str">
        <f>IF(R$3&lt;=time,'Attributable fraction'!AQ71*(1+Economics!$B$4)^(R$3-$B$3)/((1+Economics!$B$3)^(R$3-$B$3)),"")</f>
        <v/>
      </c>
      <c r="S127" s="355" t="str">
        <f>IF(S$3&lt;=time,'Attributable fraction'!AR71*(1+Economics!$B$4)^(S$3-$B$3)/((1+Economics!$B$3)^(S$3-$B$3)),"")</f>
        <v/>
      </c>
      <c r="T127" s="355" t="str">
        <f>IF(T$3&lt;=time,'Attributable fraction'!AS71*(1+Economics!$B$4)^(T$3-$B$3)/((1+Economics!$B$3)^(T$3-$B$3)),"")</f>
        <v/>
      </c>
      <c r="U127" s="355" t="str">
        <f>IF(U$3&lt;=time,'Attributable fraction'!AT71*(1+Economics!$B$4)^(U$3-$B$3)/((1+Economics!$B$3)^(U$3-$B$3)),"")</f>
        <v/>
      </c>
      <c r="V127" s="355" t="str">
        <f>IF(V$3&lt;=time,'Attributable fraction'!AU71*(1+Economics!$B$4)^(V$3-$B$3)/((1+Economics!$B$3)^(V$3-$B$3)),"")</f>
        <v/>
      </c>
      <c r="W127" s="355" t="str">
        <f>IF(W$3&lt;=time,'Attributable fraction'!AV71*(1+Economics!$B$4)^(W$3-$B$3)/((1+Economics!$B$3)^(W$3-$B$3)),"")</f>
        <v/>
      </c>
      <c r="X127" s="355" t="str">
        <f>IF(X$3&lt;=time,'Attributable fraction'!AW71*(1+Economics!$B$4)^(X$3-$B$3)/((1+Economics!$B$3)^(X$3-$B$3)),"")</f>
        <v/>
      </c>
      <c r="Y127" s="355" t="str">
        <f>IF(Y$3&lt;=time,'Attributable fraction'!AX71*(1+Economics!$B$4)^(Y$3-$B$3)/((1+Economics!$B$3)^(Y$3-$B$3)),"")</f>
        <v/>
      </c>
      <c r="Z127" s="356" t="str">
        <f>IF(Z$3&lt;=time,'Attributable fraction'!AY71*(1+Economics!$B$4)^(Z$3-$B$3)/((1+Economics!$B$3)^(Z$3-$B$3)),"")</f>
        <v/>
      </c>
      <c r="AC127" s="142">
        <f t="shared" si="23"/>
        <v>0</v>
      </c>
      <c r="AE127" s="376">
        <v>5</v>
      </c>
      <c r="AF127" s="176" t="e">
        <f t="array" ref="AF127">STDEV(IF(B127:Z127&lt;&gt;0,B127:Z127))</f>
        <v>#DIV/0!</v>
      </c>
      <c r="AG127" s="176">
        <v>1.96</v>
      </c>
      <c r="AH127" s="176" t="e">
        <f t="shared" si="24"/>
        <v>#DIV/0!</v>
      </c>
      <c r="AI127" s="176">
        <f t="shared" si="14"/>
        <v>0</v>
      </c>
    </row>
    <row r="128" spans="1:35" hidden="1">
      <c r="A128" s="378" t="str">
        <f>Costs!A72</f>
        <v>Volunteers 6</v>
      </c>
      <c r="B128" s="355">
        <f>IF(B$3&lt;=time,'Attributable fraction'!AA72*(1+Economics!$B$4)^(B$3-$B$3)/((1+Economics!$B$3)^(B$3-$B$3)),"")</f>
        <v>0</v>
      </c>
      <c r="C128" s="355">
        <f>IF(C$3&lt;=time,'Attributable fraction'!AB72*(1+Economics!$B$4)^(C$3-$B$3)/((1+Economics!$B$3)^(C$3-$B$3)),"")</f>
        <v>0</v>
      </c>
      <c r="D128" s="355">
        <f>IF(D$3&lt;=time,'Attributable fraction'!AC72*(1+Economics!$B$4)^(D$3-$B$3)/((1+Economics!$B$3)^(D$3-$B$3)),"")</f>
        <v>0</v>
      </c>
      <c r="E128" s="355">
        <f>IF(E$3&lt;=time,'Attributable fraction'!AD72*(1+Economics!$B$4)^(E$3-$B$3)/((1+Economics!$B$3)^(E$3-$B$3)),"")</f>
        <v>0</v>
      </c>
      <c r="F128" s="355">
        <f>IF(F$3&lt;=time,'Attributable fraction'!AE72*(1+Economics!$B$4)^(F$3-$B$3)/((1+Economics!$B$3)^(F$3-$B$3)),"")</f>
        <v>0</v>
      </c>
      <c r="G128" s="355" t="str">
        <f>IF(G$3&lt;=time,'Attributable fraction'!AF72*(1+Economics!$B$4)^(G$3-$B$3)/((1+Economics!$B$3)^(G$3-$B$3)),"")</f>
        <v/>
      </c>
      <c r="H128" s="355" t="str">
        <f>IF(H$3&lt;=time,'Attributable fraction'!AG72*(1+Economics!$B$4)^(H$3-$B$3)/((1+Economics!$B$3)^(H$3-$B$3)),"")</f>
        <v/>
      </c>
      <c r="I128" s="355" t="str">
        <f>IF(I$3&lt;=time,'Attributable fraction'!AH72*(1+Economics!$B$4)^(I$3-$B$3)/((1+Economics!$B$3)^(I$3-$B$3)),"")</f>
        <v/>
      </c>
      <c r="J128" s="355" t="str">
        <f>IF(J$3&lt;=time,'Attributable fraction'!AI72*(1+Economics!$B$4)^(J$3-$B$3)/((1+Economics!$B$3)^(J$3-$B$3)),"")</f>
        <v/>
      </c>
      <c r="K128" s="355" t="str">
        <f>IF(K$3&lt;=time,'Attributable fraction'!AJ72*(1+Economics!$B$4)^(K$3-$B$3)/((1+Economics!$B$3)^(K$3-$B$3)),"")</f>
        <v/>
      </c>
      <c r="L128" s="355" t="str">
        <f>IF(L$3&lt;=time,'Attributable fraction'!AK72*(1+Economics!$B$4)^(L$3-$B$3)/((1+Economics!$B$3)^(L$3-$B$3)),"")</f>
        <v/>
      </c>
      <c r="M128" s="355" t="str">
        <f>IF(M$3&lt;=time,'Attributable fraction'!AL72*(1+Economics!$B$4)^(M$3-$B$3)/((1+Economics!$B$3)^(M$3-$B$3)),"")</f>
        <v/>
      </c>
      <c r="N128" s="355" t="str">
        <f>IF(N$3&lt;=time,'Attributable fraction'!AM72*(1+Economics!$B$4)^(N$3-$B$3)/((1+Economics!$B$3)^(N$3-$B$3)),"")</f>
        <v/>
      </c>
      <c r="O128" s="355" t="str">
        <f>IF(O$3&lt;=time,'Attributable fraction'!AN72*(1+Economics!$B$4)^(O$3-$B$3)/((1+Economics!$B$3)^(O$3-$B$3)),"")</f>
        <v/>
      </c>
      <c r="P128" s="355" t="str">
        <f>IF(P$3&lt;=time,'Attributable fraction'!AO72*(1+Economics!$B$4)^(P$3-$B$3)/((1+Economics!$B$3)^(P$3-$B$3)),"")</f>
        <v/>
      </c>
      <c r="Q128" s="355" t="str">
        <f>IF(Q$3&lt;=time,'Attributable fraction'!AP72*(1+Economics!$B$4)^(Q$3-$B$3)/((1+Economics!$B$3)^(Q$3-$B$3)),"")</f>
        <v/>
      </c>
      <c r="R128" s="355" t="str">
        <f>IF(R$3&lt;=time,'Attributable fraction'!AQ72*(1+Economics!$B$4)^(R$3-$B$3)/((1+Economics!$B$3)^(R$3-$B$3)),"")</f>
        <v/>
      </c>
      <c r="S128" s="355" t="str">
        <f>IF(S$3&lt;=time,'Attributable fraction'!AR72*(1+Economics!$B$4)^(S$3-$B$3)/((1+Economics!$B$3)^(S$3-$B$3)),"")</f>
        <v/>
      </c>
      <c r="T128" s="355" t="str">
        <f>IF(T$3&lt;=time,'Attributable fraction'!AS72*(1+Economics!$B$4)^(T$3-$B$3)/((1+Economics!$B$3)^(T$3-$B$3)),"")</f>
        <v/>
      </c>
      <c r="U128" s="355" t="str">
        <f>IF(U$3&lt;=time,'Attributable fraction'!AT72*(1+Economics!$B$4)^(U$3-$B$3)/((1+Economics!$B$3)^(U$3-$B$3)),"")</f>
        <v/>
      </c>
      <c r="V128" s="355" t="str">
        <f>IF(V$3&lt;=time,'Attributable fraction'!AU72*(1+Economics!$B$4)^(V$3-$B$3)/((1+Economics!$B$3)^(V$3-$B$3)),"")</f>
        <v/>
      </c>
      <c r="W128" s="355" t="str">
        <f>IF(W$3&lt;=time,'Attributable fraction'!AV72*(1+Economics!$B$4)^(W$3-$B$3)/((1+Economics!$B$3)^(W$3-$B$3)),"")</f>
        <v/>
      </c>
      <c r="X128" s="355" t="str">
        <f>IF(X$3&lt;=time,'Attributable fraction'!AW72*(1+Economics!$B$4)^(X$3-$B$3)/((1+Economics!$B$3)^(X$3-$B$3)),"")</f>
        <v/>
      </c>
      <c r="Y128" s="355" t="str">
        <f>IF(Y$3&lt;=time,'Attributable fraction'!AX72*(1+Economics!$B$4)^(Y$3-$B$3)/((1+Economics!$B$3)^(Y$3-$B$3)),"")</f>
        <v/>
      </c>
      <c r="Z128" s="356" t="str">
        <f>IF(Z$3&lt;=time,'Attributable fraction'!AY72*(1+Economics!$B$4)^(Z$3-$B$3)/((1+Economics!$B$3)^(Z$3-$B$3)),"")</f>
        <v/>
      </c>
      <c r="AC128" s="142">
        <f t="shared" si="23"/>
        <v>0</v>
      </c>
      <c r="AE128" s="376">
        <v>6</v>
      </c>
      <c r="AF128" s="176" t="e">
        <f t="array" ref="AF128">STDEV(IF(B128:Z128&lt;&gt;0,B128:Z128))</f>
        <v>#DIV/0!</v>
      </c>
      <c r="AG128" s="176">
        <v>1.96</v>
      </c>
      <c r="AH128" s="176" t="e">
        <f t="shared" si="24"/>
        <v>#DIV/0!</v>
      </c>
      <c r="AI128" s="176">
        <f t="shared" si="14"/>
        <v>0</v>
      </c>
    </row>
    <row r="129" spans="1:35" hidden="1">
      <c r="A129" s="378" t="str">
        <f>Costs!A73</f>
        <v>Volunteers 7</v>
      </c>
      <c r="B129" s="355">
        <f>IF(B$3&lt;=time,'Attributable fraction'!AA73*(1+Economics!$B$4)^(B$3-$B$3)/((1+Economics!$B$3)^(B$3-$B$3)),"")</f>
        <v>0</v>
      </c>
      <c r="C129" s="355">
        <f>IF(C$3&lt;=time,'Attributable fraction'!AB73*(1+Economics!$B$4)^(C$3-$B$3)/((1+Economics!$B$3)^(C$3-$B$3)),"")</f>
        <v>0</v>
      </c>
      <c r="D129" s="355">
        <f>IF(D$3&lt;=time,'Attributable fraction'!AC73*(1+Economics!$B$4)^(D$3-$B$3)/((1+Economics!$B$3)^(D$3-$B$3)),"")</f>
        <v>0</v>
      </c>
      <c r="E129" s="355">
        <f>IF(E$3&lt;=time,'Attributable fraction'!AD73*(1+Economics!$B$4)^(E$3-$B$3)/((1+Economics!$B$3)^(E$3-$B$3)),"")</f>
        <v>0</v>
      </c>
      <c r="F129" s="355">
        <f>IF(F$3&lt;=time,'Attributable fraction'!AE73*(1+Economics!$B$4)^(F$3-$B$3)/((1+Economics!$B$3)^(F$3-$B$3)),"")</f>
        <v>0</v>
      </c>
      <c r="G129" s="355" t="str">
        <f>IF(G$3&lt;=time,'Attributable fraction'!AF73*(1+Economics!$B$4)^(G$3-$B$3)/((1+Economics!$B$3)^(G$3-$B$3)),"")</f>
        <v/>
      </c>
      <c r="H129" s="355" t="str">
        <f>IF(H$3&lt;=time,'Attributable fraction'!AG73*(1+Economics!$B$4)^(H$3-$B$3)/((1+Economics!$B$3)^(H$3-$B$3)),"")</f>
        <v/>
      </c>
      <c r="I129" s="355" t="str">
        <f>IF(I$3&lt;=time,'Attributable fraction'!AH73*(1+Economics!$B$4)^(I$3-$B$3)/((1+Economics!$B$3)^(I$3-$B$3)),"")</f>
        <v/>
      </c>
      <c r="J129" s="355" t="str">
        <f>IF(J$3&lt;=time,'Attributable fraction'!AI73*(1+Economics!$B$4)^(J$3-$B$3)/((1+Economics!$B$3)^(J$3-$B$3)),"")</f>
        <v/>
      </c>
      <c r="K129" s="355" t="str">
        <f>IF(K$3&lt;=time,'Attributable fraction'!AJ73*(1+Economics!$B$4)^(K$3-$B$3)/((1+Economics!$B$3)^(K$3-$B$3)),"")</f>
        <v/>
      </c>
      <c r="L129" s="355" t="str">
        <f>IF(L$3&lt;=time,'Attributable fraction'!AK73*(1+Economics!$B$4)^(L$3-$B$3)/((1+Economics!$B$3)^(L$3-$B$3)),"")</f>
        <v/>
      </c>
      <c r="M129" s="355" t="str">
        <f>IF(M$3&lt;=time,'Attributable fraction'!AL73*(1+Economics!$B$4)^(M$3-$B$3)/((1+Economics!$B$3)^(M$3-$B$3)),"")</f>
        <v/>
      </c>
      <c r="N129" s="355" t="str">
        <f>IF(N$3&lt;=time,'Attributable fraction'!AM73*(1+Economics!$B$4)^(N$3-$B$3)/((1+Economics!$B$3)^(N$3-$B$3)),"")</f>
        <v/>
      </c>
      <c r="O129" s="355" t="str">
        <f>IF(O$3&lt;=time,'Attributable fraction'!AN73*(1+Economics!$B$4)^(O$3-$B$3)/((1+Economics!$B$3)^(O$3-$B$3)),"")</f>
        <v/>
      </c>
      <c r="P129" s="355" t="str">
        <f>IF(P$3&lt;=time,'Attributable fraction'!AO73*(1+Economics!$B$4)^(P$3-$B$3)/((1+Economics!$B$3)^(P$3-$B$3)),"")</f>
        <v/>
      </c>
      <c r="Q129" s="355" t="str">
        <f>IF(Q$3&lt;=time,'Attributable fraction'!AP73*(1+Economics!$B$4)^(Q$3-$B$3)/((1+Economics!$B$3)^(Q$3-$B$3)),"")</f>
        <v/>
      </c>
      <c r="R129" s="355" t="str">
        <f>IF(R$3&lt;=time,'Attributable fraction'!AQ73*(1+Economics!$B$4)^(R$3-$B$3)/((1+Economics!$B$3)^(R$3-$B$3)),"")</f>
        <v/>
      </c>
      <c r="S129" s="355" t="str">
        <f>IF(S$3&lt;=time,'Attributable fraction'!AR73*(1+Economics!$B$4)^(S$3-$B$3)/((1+Economics!$B$3)^(S$3-$B$3)),"")</f>
        <v/>
      </c>
      <c r="T129" s="355" t="str">
        <f>IF(T$3&lt;=time,'Attributable fraction'!AS73*(1+Economics!$B$4)^(T$3-$B$3)/((1+Economics!$B$3)^(T$3-$B$3)),"")</f>
        <v/>
      </c>
      <c r="U129" s="355" t="str">
        <f>IF(U$3&lt;=time,'Attributable fraction'!AT73*(1+Economics!$B$4)^(U$3-$B$3)/((1+Economics!$B$3)^(U$3-$B$3)),"")</f>
        <v/>
      </c>
      <c r="V129" s="355" t="str">
        <f>IF(V$3&lt;=time,'Attributable fraction'!AU73*(1+Economics!$B$4)^(V$3-$B$3)/((1+Economics!$B$3)^(V$3-$B$3)),"")</f>
        <v/>
      </c>
      <c r="W129" s="355" t="str">
        <f>IF(W$3&lt;=time,'Attributable fraction'!AV73*(1+Economics!$B$4)^(W$3-$B$3)/((1+Economics!$B$3)^(W$3-$B$3)),"")</f>
        <v/>
      </c>
      <c r="X129" s="355" t="str">
        <f>IF(X$3&lt;=time,'Attributable fraction'!AW73*(1+Economics!$B$4)^(X$3-$B$3)/((1+Economics!$B$3)^(X$3-$B$3)),"")</f>
        <v/>
      </c>
      <c r="Y129" s="355" t="str">
        <f>IF(Y$3&lt;=time,'Attributable fraction'!AX73*(1+Economics!$B$4)^(Y$3-$B$3)/((1+Economics!$B$3)^(Y$3-$B$3)),"")</f>
        <v/>
      </c>
      <c r="Z129" s="356" t="str">
        <f>IF(Z$3&lt;=time,'Attributable fraction'!AY73*(1+Economics!$B$4)^(Z$3-$B$3)/((1+Economics!$B$3)^(Z$3-$B$3)),"")</f>
        <v/>
      </c>
      <c r="AC129" s="142">
        <f t="shared" si="23"/>
        <v>0</v>
      </c>
      <c r="AE129" s="376">
        <v>7</v>
      </c>
      <c r="AF129" s="176" t="e">
        <f t="array" ref="AF129">STDEV(IF(B129:Z129&lt;&gt;0,B129:Z129))</f>
        <v>#DIV/0!</v>
      </c>
      <c r="AG129" s="176">
        <v>1.96</v>
      </c>
      <c r="AH129" s="176" t="e">
        <f t="shared" si="24"/>
        <v>#DIV/0!</v>
      </c>
      <c r="AI129" s="176">
        <f t="shared" ref="AI129:AI192" si="25">IFERROR(AF129,0)</f>
        <v>0</v>
      </c>
    </row>
    <row r="130" spans="1:35" hidden="1">
      <c r="A130" s="378" t="str">
        <f>Costs!A74</f>
        <v>Volunteers 8</v>
      </c>
      <c r="B130" s="355">
        <f>IF(B$3&lt;=time,'Attributable fraction'!AA74*(1+Economics!$B$4)^(B$3-$B$3)/((1+Economics!$B$3)^(B$3-$B$3)),"")</f>
        <v>0</v>
      </c>
      <c r="C130" s="355">
        <f>IF(C$3&lt;=time,'Attributable fraction'!AB74*(1+Economics!$B$4)^(C$3-$B$3)/((1+Economics!$B$3)^(C$3-$B$3)),"")</f>
        <v>0</v>
      </c>
      <c r="D130" s="355">
        <f>IF(D$3&lt;=time,'Attributable fraction'!AC74*(1+Economics!$B$4)^(D$3-$B$3)/((1+Economics!$B$3)^(D$3-$B$3)),"")</f>
        <v>0</v>
      </c>
      <c r="E130" s="355">
        <f>IF(E$3&lt;=time,'Attributable fraction'!AD74*(1+Economics!$B$4)^(E$3-$B$3)/((1+Economics!$B$3)^(E$3-$B$3)),"")</f>
        <v>0</v>
      </c>
      <c r="F130" s="355">
        <f>IF(F$3&lt;=time,'Attributable fraction'!AE74*(1+Economics!$B$4)^(F$3-$B$3)/((1+Economics!$B$3)^(F$3-$B$3)),"")</f>
        <v>0</v>
      </c>
      <c r="G130" s="355" t="str">
        <f>IF(G$3&lt;=time,'Attributable fraction'!AF74*(1+Economics!$B$4)^(G$3-$B$3)/((1+Economics!$B$3)^(G$3-$B$3)),"")</f>
        <v/>
      </c>
      <c r="H130" s="355" t="str">
        <f>IF(H$3&lt;=time,'Attributable fraction'!AG74*(1+Economics!$B$4)^(H$3-$B$3)/((1+Economics!$B$3)^(H$3-$B$3)),"")</f>
        <v/>
      </c>
      <c r="I130" s="355" t="str">
        <f>IF(I$3&lt;=time,'Attributable fraction'!AH74*(1+Economics!$B$4)^(I$3-$B$3)/((1+Economics!$B$3)^(I$3-$B$3)),"")</f>
        <v/>
      </c>
      <c r="J130" s="355" t="str">
        <f>IF(J$3&lt;=time,'Attributable fraction'!AI74*(1+Economics!$B$4)^(J$3-$B$3)/((1+Economics!$B$3)^(J$3-$B$3)),"")</f>
        <v/>
      </c>
      <c r="K130" s="355" t="str">
        <f>IF(K$3&lt;=time,'Attributable fraction'!AJ74*(1+Economics!$B$4)^(K$3-$B$3)/((1+Economics!$B$3)^(K$3-$B$3)),"")</f>
        <v/>
      </c>
      <c r="L130" s="355" t="str">
        <f>IF(L$3&lt;=time,'Attributable fraction'!AK74*(1+Economics!$B$4)^(L$3-$B$3)/((1+Economics!$B$3)^(L$3-$B$3)),"")</f>
        <v/>
      </c>
      <c r="M130" s="355" t="str">
        <f>IF(M$3&lt;=time,'Attributable fraction'!AL74*(1+Economics!$B$4)^(M$3-$B$3)/((1+Economics!$B$3)^(M$3-$B$3)),"")</f>
        <v/>
      </c>
      <c r="N130" s="355" t="str">
        <f>IF(N$3&lt;=time,'Attributable fraction'!AM74*(1+Economics!$B$4)^(N$3-$B$3)/((1+Economics!$B$3)^(N$3-$B$3)),"")</f>
        <v/>
      </c>
      <c r="O130" s="355" t="str">
        <f>IF(O$3&lt;=time,'Attributable fraction'!AN74*(1+Economics!$B$4)^(O$3-$B$3)/((1+Economics!$B$3)^(O$3-$B$3)),"")</f>
        <v/>
      </c>
      <c r="P130" s="355" t="str">
        <f>IF(P$3&lt;=time,'Attributable fraction'!AO74*(1+Economics!$B$4)^(P$3-$B$3)/((1+Economics!$B$3)^(P$3-$B$3)),"")</f>
        <v/>
      </c>
      <c r="Q130" s="355" t="str">
        <f>IF(Q$3&lt;=time,'Attributable fraction'!AP74*(1+Economics!$B$4)^(Q$3-$B$3)/((1+Economics!$B$3)^(Q$3-$B$3)),"")</f>
        <v/>
      </c>
      <c r="R130" s="355" t="str">
        <f>IF(R$3&lt;=time,'Attributable fraction'!AQ74*(1+Economics!$B$4)^(R$3-$B$3)/((1+Economics!$B$3)^(R$3-$B$3)),"")</f>
        <v/>
      </c>
      <c r="S130" s="355" t="str">
        <f>IF(S$3&lt;=time,'Attributable fraction'!AR74*(1+Economics!$B$4)^(S$3-$B$3)/((1+Economics!$B$3)^(S$3-$B$3)),"")</f>
        <v/>
      </c>
      <c r="T130" s="355" t="str">
        <f>IF(T$3&lt;=time,'Attributable fraction'!AS74*(1+Economics!$B$4)^(T$3-$B$3)/((1+Economics!$B$3)^(T$3-$B$3)),"")</f>
        <v/>
      </c>
      <c r="U130" s="355" t="str">
        <f>IF(U$3&lt;=time,'Attributable fraction'!AT74*(1+Economics!$B$4)^(U$3-$B$3)/((1+Economics!$B$3)^(U$3-$B$3)),"")</f>
        <v/>
      </c>
      <c r="V130" s="355" t="str">
        <f>IF(V$3&lt;=time,'Attributable fraction'!AU74*(1+Economics!$B$4)^(V$3-$B$3)/((1+Economics!$B$3)^(V$3-$B$3)),"")</f>
        <v/>
      </c>
      <c r="W130" s="355" t="str">
        <f>IF(W$3&lt;=time,'Attributable fraction'!AV74*(1+Economics!$B$4)^(W$3-$B$3)/((1+Economics!$B$3)^(W$3-$B$3)),"")</f>
        <v/>
      </c>
      <c r="X130" s="355" t="str">
        <f>IF(X$3&lt;=time,'Attributable fraction'!AW74*(1+Economics!$B$4)^(X$3-$B$3)/((1+Economics!$B$3)^(X$3-$B$3)),"")</f>
        <v/>
      </c>
      <c r="Y130" s="355" t="str">
        <f>IF(Y$3&lt;=time,'Attributable fraction'!AX74*(1+Economics!$B$4)^(Y$3-$B$3)/((1+Economics!$B$3)^(Y$3-$B$3)),"")</f>
        <v/>
      </c>
      <c r="Z130" s="356" t="str">
        <f>IF(Z$3&lt;=time,'Attributable fraction'!AY74*(1+Economics!$B$4)^(Z$3-$B$3)/((1+Economics!$B$3)^(Z$3-$B$3)),"")</f>
        <v/>
      </c>
      <c r="AC130" s="142">
        <f t="shared" si="23"/>
        <v>0</v>
      </c>
      <c r="AE130" s="376">
        <v>8</v>
      </c>
      <c r="AF130" s="176" t="e">
        <f t="array" ref="AF130">STDEV(IF(B130:Z130&lt;&gt;0,B130:Z130))</f>
        <v>#DIV/0!</v>
      </c>
      <c r="AG130" s="176">
        <v>1.96</v>
      </c>
      <c r="AH130" s="176" t="e">
        <f t="shared" si="24"/>
        <v>#DIV/0!</v>
      </c>
      <c r="AI130" s="176">
        <f t="shared" si="25"/>
        <v>0</v>
      </c>
    </row>
    <row r="131" spans="1:35" hidden="1">
      <c r="A131" s="378" t="str">
        <f>Costs!A75</f>
        <v>Volunteers 9</v>
      </c>
      <c r="B131" s="355">
        <f>IF(B$3&lt;=time,'Attributable fraction'!AA75*(1+Economics!$B$4)^(B$3-$B$3)/((1+Economics!$B$3)^(B$3-$B$3)),"")</f>
        <v>0</v>
      </c>
      <c r="C131" s="355">
        <f>IF(C$3&lt;=time,'Attributable fraction'!AB75*(1+Economics!$B$4)^(C$3-$B$3)/((1+Economics!$B$3)^(C$3-$B$3)),"")</f>
        <v>0</v>
      </c>
      <c r="D131" s="355">
        <f>IF(D$3&lt;=time,'Attributable fraction'!AC75*(1+Economics!$B$4)^(D$3-$B$3)/((1+Economics!$B$3)^(D$3-$B$3)),"")</f>
        <v>0</v>
      </c>
      <c r="E131" s="355">
        <f>IF(E$3&lt;=time,'Attributable fraction'!AD75*(1+Economics!$B$4)^(E$3-$B$3)/((1+Economics!$B$3)^(E$3-$B$3)),"")</f>
        <v>0</v>
      </c>
      <c r="F131" s="355">
        <f>IF(F$3&lt;=time,'Attributable fraction'!AE75*(1+Economics!$B$4)^(F$3-$B$3)/((1+Economics!$B$3)^(F$3-$B$3)),"")</f>
        <v>0</v>
      </c>
      <c r="G131" s="355" t="str">
        <f>IF(G$3&lt;=time,'Attributable fraction'!AF75*(1+Economics!$B$4)^(G$3-$B$3)/((1+Economics!$B$3)^(G$3-$B$3)),"")</f>
        <v/>
      </c>
      <c r="H131" s="355" t="str">
        <f>IF(H$3&lt;=time,'Attributable fraction'!AG75*(1+Economics!$B$4)^(H$3-$B$3)/((1+Economics!$B$3)^(H$3-$B$3)),"")</f>
        <v/>
      </c>
      <c r="I131" s="355" t="str">
        <f>IF(I$3&lt;=time,'Attributable fraction'!AH75*(1+Economics!$B$4)^(I$3-$B$3)/((1+Economics!$B$3)^(I$3-$B$3)),"")</f>
        <v/>
      </c>
      <c r="J131" s="355" t="str">
        <f>IF(J$3&lt;=time,'Attributable fraction'!AI75*(1+Economics!$B$4)^(J$3-$B$3)/((1+Economics!$B$3)^(J$3-$B$3)),"")</f>
        <v/>
      </c>
      <c r="K131" s="355" t="str">
        <f>IF(K$3&lt;=time,'Attributable fraction'!AJ75*(1+Economics!$B$4)^(K$3-$B$3)/((1+Economics!$B$3)^(K$3-$B$3)),"")</f>
        <v/>
      </c>
      <c r="L131" s="355" t="str">
        <f>IF(L$3&lt;=time,'Attributable fraction'!AK75*(1+Economics!$B$4)^(L$3-$B$3)/((1+Economics!$B$3)^(L$3-$B$3)),"")</f>
        <v/>
      </c>
      <c r="M131" s="355" t="str">
        <f>IF(M$3&lt;=time,'Attributable fraction'!AL75*(1+Economics!$B$4)^(M$3-$B$3)/((1+Economics!$B$3)^(M$3-$B$3)),"")</f>
        <v/>
      </c>
      <c r="N131" s="355" t="str">
        <f>IF(N$3&lt;=time,'Attributable fraction'!AM75*(1+Economics!$B$4)^(N$3-$B$3)/((1+Economics!$B$3)^(N$3-$B$3)),"")</f>
        <v/>
      </c>
      <c r="O131" s="355" t="str">
        <f>IF(O$3&lt;=time,'Attributable fraction'!AN75*(1+Economics!$B$4)^(O$3-$B$3)/((1+Economics!$B$3)^(O$3-$B$3)),"")</f>
        <v/>
      </c>
      <c r="P131" s="355" t="str">
        <f>IF(P$3&lt;=time,'Attributable fraction'!AO75*(1+Economics!$B$4)^(P$3-$B$3)/((1+Economics!$B$3)^(P$3-$B$3)),"")</f>
        <v/>
      </c>
      <c r="Q131" s="355" t="str">
        <f>IF(Q$3&lt;=time,'Attributable fraction'!AP75*(1+Economics!$B$4)^(Q$3-$B$3)/((1+Economics!$B$3)^(Q$3-$B$3)),"")</f>
        <v/>
      </c>
      <c r="R131" s="355" t="str">
        <f>IF(R$3&lt;=time,'Attributable fraction'!AQ75*(1+Economics!$B$4)^(R$3-$B$3)/((1+Economics!$B$3)^(R$3-$B$3)),"")</f>
        <v/>
      </c>
      <c r="S131" s="355" t="str">
        <f>IF(S$3&lt;=time,'Attributable fraction'!AR75*(1+Economics!$B$4)^(S$3-$B$3)/((1+Economics!$B$3)^(S$3-$B$3)),"")</f>
        <v/>
      </c>
      <c r="T131" s="355" t="str">
        <f>IF(T$3&lt;=time,'Attributable fraction'!AS75*(1+Economics!$B$4)^(T$3-$B$3)/((1+Economics!$B$3)^(T$3-$B$3)),"")</f>
        <v/>
      </c>
      <c r="U131" s="355" t="str">
        <f>IF(U$3&lt;=time,'Attributable fraction'!AT75*(1+Economics!$B$4)^(U$3-$B$3)/((1+Economics!$B$3)^(U$3-$B$3)),"")</f>
        <v/>
      </c>
      <c r="V131" s="355" t="str">
        <f>IF(V$3&lt;=time,'Attributable fraction'!AU75*(1+Economics!$B$4)^(V$3-$B$3)/((1+Economics!$B$3)^(V$3-$B$3)),"")</f>
        <v/>
      </c>
      <c r="W131" s="355" t="str">
        <f>IF(W$3&lt;=time,'Attributable fraction'!AV75*(1+Economics!$B$4)^(W$3-$B$3)/((1+Economics!$B$3)^(W$3-$B$3)),"")</f>
        <v/>
      </c>
      <c r="X131" s="355" t="str">
        <f>IF(X$3&lt;=time,'Attributable fraction'!AW75*(1+Economics!$B$4)^(X$3-$B$3)/((1+Economics!$B$3)^(X$3-$B$3)),"")</f>
        <v/>
      </c>
      <c r="Y131" s="355" t="str">
        <f>IF(Y$3&lt;=time,'Attributable fraction'!AX75*(1+Economics!$B$4)^(Y$3-$B$3)/((1+Economics!$B$3)^(Y$3-$B$3)),"")</f>
        <v/>
      </c>
      <c r="Z131" s="356" t="str">
        <f>IF(Z$3&lt;=time,'Attributable fraction'!AY75*(1+Economics!$B$4)^(Z$3-$B$3)/((1+Economics!$B$3)^(Z$3-$B$3)),"")</f>
        <v/>
      </c>
      <c r="AC131" s="142">
        <f t="shared" si="23"/>
        <v>0</v>
      </c>
      <c r="AE131" s="376">
        <v>9</v>
      </c>
      <c r="AF131" s="176" t="e">
        <f t="array" ref="AF131">STDEV(IF(B131:Z131&lt;&gt;0,B131:Z131))</f>
        <v>#DIV/0!</v>
      </c>
      <c r="AG131" s="176">
        <v>1.96</v>
      </c>
      <c r="AH131" s="176" t="e">
        <f t="shared" si="24"/>
        <v>#DIV/0!</v>
      </c>
      <c r="AI131" s="176">
        <f t="shared" si="25"/>
        <v>0</v>
      </c>
    </row>
    <row r="132" spans="1:35" hidden="1">
      <c r="A132" s="378" t="str">
        <f>Costs!A76</f>
        <v>Volunteers 10</v>
      </c>
      <c r="B132" s="355">
        <f>IF(B$3&lt;=time,'Attributable fraction'!AA76*(1+Economics!$B$4)^(B$3-$B$3)/((1+Economics!$B$3)^(B$3-$B$3)),"")</f>
        <v>0</v>
      </c>
      <c r="C132" s="355">
        <f>IF(C$3&lt;=time,'Attributable fraction'!AB76*(1+Economics!$B$4)^(C$3-$B$3)/((1+Economics!$B$3)^(C$3-$B$3)),"")</f>
        <v>0</v>
      </c>
      <c r="D132" s="355">
        <f>IF(D$3&lt;=time,'Attributable fraction'!AC76*(1+Economics!$B$4)^(D$3-$B$3)/((1+Economics!$B$3)^(D$3-$B$3)),"")</f>
        <v>0</v>
      </c>
      <c r="E132" s="355">
        <f>IF(E$3&lt;=time,'Attributable fraction'!AD76*(1+Economics!$B$4)^(E$3-$B$3)/((1+Economics!$B$3)^(E$3-$B$3)),"")</f>
        <v>0</v>
      </c>
      <c r="F132" s="355">
        <f>IF(F$3&lt;=time,'Attributable fraction'!AE76*(1+Economics!$B$4)^(F$3-$B$3)/((1+Economics!$B$3)^(F$3-$B$3)),"")</f>
        <v>0</v>
      </c>
      <c r="G132" s="355" t="str">
        <f>IF(G$3&lt;=time,'Attributable fraction'!AF76*(1+Economics!$B$4)^(G$3-$B$3)/((1+Economics!$B$3)^(G$3-$B$3)),"")</f>
        <v/>
      </c>
      <c r="H132" s="355" t="str">
        <f>IF(H$3&lt;=time,'Attributable fraction'!AG76*(1+Economics!$B$4)^(H$3-$B$3)/((1+Economics!$B$3)^(H$3-$B$3)),"")</f>
        <v/>
      </c>
      <c r="I132" s="355" t="str">
        <f>IF(I$3&lt;=time,'Attributable fraction'!AH76*(1+Economics!$B$4)^(I$3-$B$3)/((1+Economics!$B$3)^(I$3-$B$3)),"")</f>
        <v/>
      </c>
      <c r="J132" s="355" t="str">
        <f>IF(J$3&lt;=time,'Attributable fraction'!AI76*(1+Economics!$B$4)^(J$3-$B$3)/((1+Economics!$B$3)^(J$3-$B$3)),"")</f>
        <v/>
      </c>
      <c r="K132" s="355" t="str">
        <f>IF(K$3&lt;=time,'Attributable fraction'!AJ76*(1+Economics!$B$4)^(K$3-$B$3)/((1+Economics!$B$3)^(K$3-$B$3)),"")</f>
        <v/>
      </c>
      <c r="L132" s="355" t="str">
        <f>IF(L$3&lt;=time,'Attributable fraction'!AK76*(1+Economics!$B$4)^(L$3-$B$3)/((1+Economics!$B$3)^(L$3-$B$3)),"")</f>
        <v/>
      </c>
      <c r="M132" s="355" t="str">
        <f>IF(M$3&lt;=time,'Attributable fraction'!AL76*(1+Economics!$B$4)^(M$3-$B$3)/((1+Economics!$B$3)^(M$3-$B$3)),"")</f>
        <v/>
      </c>
      <c r="N132" s="355" t="str">
        <f>IF(N$3&lt;=time,'Attributable fraction'!AM76*(1+Economics!$B$4)^(N$3-$B$3)/((1+Economics!$B$3)^(N$3-$B$3)),"")</f>
        <v/>
      </c>
      <c r="O132" s="355" t="str">
        <f>IF(O$3&lt;=time,'Attributable fraction'!AN76*(1+Economics!$B$4)^(O$3-$B$3)/((1+Economics!$B$3)^(O$3-$B$3)),"")</f>
        <v/>
      </c>
      <c r="P132" s="355" t="str">
        <f>IF(P$3&lt;=time,'Attributable fraction'!AO76*(1+Economics!$B$4)^(P$3-$B$3)/((1+Economics!$B$3)^(P$3-$B$3)),"")</f>
        <v/>
      </c>
      <c r="Q132" s="355" t="str">
        <f>IF(Q$3&lt;=time,'Attributable fraction'!AP76*(1+Economics!$B$4)^(Q$3-$B$3)/((1+Economics!$B$3)^(Q$3-$B$3)),"")</f>
        <v/>
      </c>
      <c r="R132" s="355" t="str">
        <f>IF(R$3&lt;=time,'Attributable fraction'!AQ76*(1+Economics!$B$4)^(R$3-$B$3)/((1+Economics!$B$3)^(R$3-$B$3)),"")</f>
        <v/>
      </c>
      <c r="S132" s="355" t="str">
        <f>IF(S$3&lt;=time,'Attributable fraction'!AR76*(1+Economics!$B$4)^(S$3-$B$3)/((1+Economics!$B$3)^(S$3-$B$3)),"")</f>
        <v/>
      </c>
      <c r="T132" s="355" t="str">
        <f>IF(T$3&lt;=time,'Attributable fraction'!AS76*(1+Economics!$B$4)^(T$3-$B$3)/((1+Economics!$B$3)^(T$3-$B$3)),"")</f>
        <v/>
      </c>
      <c r="U132" s="355" t="str">
        <f>IF(U$3&lt;=time,'Attributable fraction'!AT76*(1+Economics!$B$4)^(U$3-$B$3)/((1+Economics!$B$3)^(U$3-$B$3)),"")</f>
        <v/>
      </c>
      <c r="V132" s="355" t="str">
        <f>IF(V$3&lt;=time,'Attributable fraction'!AU76*(1+Economics!$B$4)^(V$3-$B$3)/((1+Economics!$B$3)^(V$3-$B$3)),"")</f>
        <v/>
      </c>
      <c r="W132" s="355" t="str">
        <f>IF(W$3&lt;=time,'Attributable fraction'!AV76*(1+Economics!$B$4)^(W$3-$B$3)/((1+Economics!$B$3)^(W$3-$B$3)),"")</f>
        <v/>
      </c>
      <c r="X132" s="355" t="str">
        <f>IF(X$3&lt;=time,'Attributable fraction'!AW76*(1+Economics!$B$4)^(X$3-$B$3)/((1+Economics!$B$3)^(X$3-$B$3)),"")</f>
        <v/>
      </c>
      <c r="Y132" s="355" t="str">
        <f>IF(Y$3&lt;=time,'Attributable fraction'!AX76*(1+Economics!$B$4)^(Y$3-$B$3)/((1+Economics!$B$3)^(Y$3-$B$3)),"")</f>
        <v/>
      </c>
      <c r="Z132" s="356" t="str">
        <f>IF(Z$3&lt;=time,'Attributable fraction'!AY76*(1+Economics!$B$4)^(Z$3-$B$3)/((1+Economics!$B$3)^(Z$3-$B$3)),"")</f>
        <v/>
      </c>
      <c r="AC132" s="142">
        <f t="shared" si="23"/>
        <v>0</v>
      </c>
      <c r="AE132" s="376">
        <v>10</v>
      </c>
      <c r="AF132" s="176" t="e">
        <f t="array" ref="AF132">STDEV(IF(B132:Z132&lt;&gt;0,B132:Z132))</f>
        <v>#DIV/0!</v>
      </c>
      <c r="AG132" s="176">
        <v>1.96</v>
      </c>
      <c r="AH132" s="176" t="e">
        <f t="shared" si="24"/>
        <v>#DIV/0!</v>
      </c>
      <c r="AI132" s="176">
        <f t="shared" si="25"/>
        <v>0</v>
      </c>
    </row>
    <row r="133" spans="1:35" s="196" customFormat="1" ht="18" hidden="1">
      <c r="A133" s="290" t="s">
        <v>193</v>
      </c>
      <c r="B133" s="255"/>
      <c r="C133" s="255"/>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377"/>
      <c r="AB133" s="114"/>
      <c r="AD133" s="114"/>
    </row>
    <row r="134" spans="1:35" hidden="1">
      <c r="A134" s="378" t="str">
        <f>Costs!A78</f>
        <v>Supplies 1</v>
      </c>
      <c r="B134" s="355">
        <f>IF(B$3&lt;=time,'Attributable fraction'!AA78*(1+Economics!$B$4)^(B$3-$B$3)/((1+Economics!$B$3)^(B$3-$B$3)),"")</f>
        <v>0</v>
      </c>
      <c r="C134" s="355">
        <f>IF(C$3&lt;=time,'Attributable fraction'!AB78*(1+Economics!$B$4)^(C$3-$B$3)/((1+Economics!$B$3)^(C$3-$B$3)),"")</f>
        <v>0</v>
      </c>
      <c r="D134" s="355">
        <f>IF(D$3&lt;=time,'Attributable fraction'!AC78*(1+Economics!$B$4)^(D$3-$B$3)/((1+Economics!$B$3)^(D$3-$B$3)),"")</f>
        <v>0</v>
      </c>
      <c r="E134" s="355">
        <f>IF(E$3&lt;=time,'Attributable fraction'!AD78*(1+Economics!$B$4)^(E$3-$B$3)/((1+Economics!$B$3)^(E$3-$B$3)),"")</f>
        <v>0</v>
      </c>
      <c r="F134" s="355">
        <f>IF(F$3&lt;=time,'Attributable fraction'!AE78*(1+Economics!$B$4)^(F$3-$B$3)/((1+Economics!$B$3)^(F$3-$B$3)),"")</f>
        <v>0</v>
      </c>
      <c r="G134" s="355" t="str">
        <f>IF(G$3&lt;=time,'Attributable fraction'!AF78*(1+Economics!$B$4)^(G$3-$B$3)/((1+Economics!$B$3)^(G$3-$B$3)),"")</f>
        <v/>
      </c>
      <c r="H134" s="355" t="str">
        <f>IF(H$3&lt;=time,'Attributable fraction'!AG78*(1+Economics!$B$4)^(H$3-$B$3)/((1+Economics!$B$3)^(H$3-$B$3)),"")</f>
        <v/>
      </c>
      <c r="I134" s="355" t="str">
        <f>IF(I$3&lt;=time,'Attributable fraction'!AH78*(1+Economics!$B$4)^(I$3-$B$3)/((1+Economics!$B$3)^(I$3-$B$3)),"")</f>
        <v/>
      </c>
      <c r="J134" s="355" t="str">
        <f>IF(J$3&lt;=time,'Attributable fraction'!AI78*(1+Economics!$B$4)^(J$3-$B$3)/((1+Economics!$B$3)^(J$3-$B$3)),"")</f>
        <v/>
      </c>
      <c r="K134" s="355" t="str">
        <f>IF(K$3&lt;=time,'Attributable fraction'!AJ78*(1+Economics!$B$4)^(K$3-$B$3)/((1+Economics!$B$3)^(K$3-$B$3)),"")</f>
        <v/>
      </c>
      <c r="L134" s="355" t="str">
        <f>IF(L$3&lt;=time,'Attributable fraction'!AK78*(1+Economics!$B$4)^(L$3-$B$3)/((1+Economics!$B$3)^(L$3-$B$3)),"")</f>
        <v/>
      </c>
      <c r="M134" s="355" t="str">
        <f>IF(M$3&lt;=time,'Attributable fraction'!AL78*(1+Economics!$B$4)^(M$3-$B$3)/((1+Economics!$B$3)^(M$3-$B$3)),"")</f>
        <v/>
      </c>
      <c r="N134" s="355" t="str">
        <f>IF(N$3&lt;=time,'Attributable fraction'!AM78*(1+Economics!$B$4)^(N$3-$B$3)/((1+Economics!$B$3)^(N$3-$B$3)),"")</f>
        <v/>
      </c>
      <c r="O134" s="355" t="str">
        <f>IF(O$3&lt;=time,'Attributable fraction'!AN78*(1+Economics!$B$4)^(O$3-$B$3)/((1+Economics!$B$3)^(O$3-$B$3)),"")</f>
        <v/>
      </c>
      <c r="P134" s="355" t="str">
        <f>IF(P$3&lt;=time,'Attributable fraction'!AO78*(1+Economics!$B$4)^(P$3-$B$3)/((1+Economics!$B$3)^(P$3-$B$3)),"")</f>
        <v/>
      </c>
      <c r="Q134" s="355" t="str">
        <f>IF(Q$3&lt;=time,'Attributable fraction'!AP78*(1+Economics!$B$4)^(Q$3-$B$3)/((1+Economics!$B$3)^(Q$3-$B$3)),"")</f>
        <v/>
      </c>
      <c r="R134" s="355" t="str">
        <f>IF(R$3&lt;=time,'Attributable fraction'!AQ78*(1+Economics!$B$4)^(R$3-$B$3)/((1+Economics!$B$3)^(R$3-$B$3)),"")</f>
        <v/>
      </c>
      <c r="S134" s="355" t="str">
        <f>IF(S$3&lt;=time,'Attributable fraction'!AR78*(1+Economics!$B$4)^(S$3-$B$3)/((1+Economics!$B$3)^(S$3-$B$3)),"")</f>
        <v/>
      </c>
      <c r="T134" s="355" t="str">
        <f>IF(T$3&lt;=time,'Attributable fraction'!AS78*(1+Economics!$B$4)^(T$3-$B$3)/((1+Economics!$B$3)^(T$3-$B$3)),"")</f>
        <v/>
      </c>
      <c r="U134" s="355" t="str">
        <f>IF(U$3&lt;=time,'Attributable fraction'!AT78*(1+Economics!$B$4)^(U$3-$B$3)/((1+Economics!$B$3)^(U$3-$B$3)),"")</f>
        <v/>
      </c>
      <c r="V134" s="355" t="str">
        <f>IF(V$3&lt;=time,'Attributable fraction'!AU78*(1+Economics!$B$4)^(V$3-$B$3)/((1+Economics!$B$3)^(V$3-$B$3)),"")</f>
        <v/>
      </c>
      <c r="W134" s="355" t="str">
        <f>IF(W$3&lt;=time,'Attributable fraction'!AV78*(1+Economics!$B$4)^(W$3-$B$3)/((1+Economics!$B$3)^(W$3-$B$3)),"")</f>
        <v/>
      </c>
      <c r="X134" s="355" t="str">
        <f>IF(X$3&lt;=time,'Attributable fraction'!AW78*(1+Economics!$B$4)^(X$3-$B$3)/((1+Economics!$B$3)^(X$3-$B$3)),"")</f>
        <v/>
      </c>
      <c r="Y134" s="355" t="str">
        <f>IF(Y$3&lt;=time,'Attributable fraction'!AX78*(1+Economics!$B$4)^(Y$3-$B$3)/((1+Economics!$B$3)^(Y$3-$B$3)),"")</f>
        <v/>
      </c>
      <c r="Z134" s="356" t="str">
        <f>IF(Z$3&lt;=time,'Attributable fraction'!AY78*(1+Economics!$B$4)^(Z$3-$B$3)/((1+Economics!$B$3)^(Z$3-$B$3)),"")</f>
        <v/>
      </c>
      <c r="AC134" s="142">
        <f t="shared" ref="AC134:AC143" si="26">(SUM(IF(ISERROR(Z134),"0",Z134),IF(ISERROR(Y134),"0",Y134),IF(ISERROR(X134),"0",X134),IF(ISERROR(W134),"0",W134),IF(ISERROR(V134),"0",V134),IF(ISERROR(U134),"0",U134),IF(ISERROR(T134),"0",T134),IF(ISERROR(S134),"0",S134),IF(ISERROR(R134),"0",R134),IF(ISERROR(Q134),"0",Q134), IF(ISERROR(P134),"0",P134),IF(ISERROR(O134),"0",O134),IF(ISERROR(N134),"0",N134),IF(ISERROR(M134),"0",M134),IF(ISERROR(L134),"0",L134),IF(ISERROR(K134),"0",K134),IF(ISERROR(J134),"0",J134),IF(ISERROR(I134),"0",I134),IF(ISERROR(H134),"0",H134),IF(ISERROR(G134),"0",G134),IF(ISERROR(F134),"0",F134),IF(ISERROR(E134),"0",E134),IF(ISERROR(D134),"0",D134),IF(ISERROR(C134),"0",C134),IF(ISERROR(B134),"0",B134)))/time</f>
        <v>0</v>
      </c>
      <c r="AE134" s="375">
        <v>1</v>
      </c>
      <c r="AF134" s="176" t="e">
        <f t="array" ref="AF134">STDEV(IF(B134:Z134&lt;&gt;0,B134:Z134))</f>
        <v>#DIV/0!</v>
      </c>
      <c r="AG134" s="176">
        <v>1.96</v>
      </c>
      <c r="AH134" s="176" t="e">
        <f t="shared" ref="AH134:AH143" si="27">(AG134*AF134)/(time^0.5)</f>
        <v>#DIV/0!</v>
      </c>
      <c r="AI134" s="176">
        <f t="shared" si="25"/>
        <v>0</v>
      </c>
    </row>
    <row r="135" spans="1:35" hidden="1">
      <c r="A135" s="378" t="str">
        <f>Costs!A79</f>
        <v>Supplies 2</v>
      </c>
      <c r="B135" s="355">
        <f>IF(B$3&lt;=time,'Attributable fraction'!AA79*(1+Economics!$B$4)^(B$3-$B$3)/((1+Economics!$B$3)^(B$3-$B$3)),"")</f>
        <v>0</v>
      </c>
      <c r="C135" s="355">
        <f>IF(C$3&lt;=time,'Attributable fraction'!AB79*(1+Economics!$B$4)^(C$3-$B$3)/((1+Economics!$B$3)^(C$3-$B$3)),"")</f>
        <v>0</v>
      </c>
      <c r="D135" s="355">
        <f>IF(D$3&lt;=time,'Attributable fraction'!AC79*(1+Economics!$B$4)^(D$3-$B$3)/((1+Economics!$B$3)^(D$3-$B$3)),"")</f>
        <v>0</v>
      </c>
      <c r="E135" s="355">
        <f>IF(E$3&lt;=time,'Attributable fraction'!AD79*(1+Economics!$B$4)^(E$3-$B$3)/((1+Economics!$B$3)^(E$3-$B$3)),"")</f>
        <v>0</v>
      </c>
      <c r="F135" s="355">
        <f>IF(F$3&lt;=time,'Attributable fraction'!AE79*(1+Economics!$B$4)^(F$3-$B$3)/((1+Economics!$B$3)^(F$3-$B$3)),"")</f>
        <v>0</v>
      </c>
      <c r="G135" s="355" t="str">
        <f>IF(G$3&lt;=time,'Attributable fraction'!AF79*(1+Economics!$B$4)^(G$3-$B$3)/((1+Economics!$B$3)^(G$3-$B$3)),"")</f>
        <v/>
      </c>
      <c r="H135" s="355" t="str">
        <f>IF(H$3&lt;=time,'Attributable fraction'!AG79*(1+Economics!$B$4)^(H$3-$B$3)/((1+Economics!$B$3)^(H$3-$B$3)),"")</f>
        <v/>
      </c>
      <c r="I135" s="355" t="str">
        <f>IF(I$3&lt;=time,'Attributable fraction'!AH79*(1+Economics!$B$4)^(I$3-$B$3)/((1+Economics!$B$3)^(I$3-$B$3)),"")</f>
        <v/>
      </c>
      <c r="J135" s="355" t="str">
        <f>IF(J$3&lt;=time,'Attributable fraction'!AI79*(1+Economics!$B$4)^(J$3-$B$3)/((1+Economics!$B$3)^(J$3-$B$3)),"")</f>
        <v/>
      </c>
      <c r="K135" s="355" t="str">
        <f>IF(K$3&lt;=time,'Attributable fraction'!AJ79*(1+Economics!$B$4)^(K$3-$B$3)/((1+Economics!$B$3)^(K$3-$B$3)),"")</f>
        <v/>
      </c>
      <c r="L135" s="355" t="str">
        <f>IF(L$3&lt;=time,'Attributable fraction'!AK79*(1+Economics!$B$4)^(L$3-$B$3)/((1+Economics!$B$3)^(L$3-$B$3)),"")</f>
        <v/>
      </c>
      <c r="M135" s="355" t="str">
        <f>IF(M$3&lt;=time,'Attributable fraction'!AL79*(1+Economics!$B$4)^(M$3-$B$3)/((1+Economics!$B$3)^(M$3-$B$3)),"")</f>
        <v/>
      </c>
      <c r="N135" s="355" t="str">
        <f>IF(N$3&lt;=time,'Attributable fraction'!AM79*(1+Economics!$B$4)^(N$3-$B$3)/((1+Economics!$B$3)^(N$3-$B$3)),"")</f>
        <v/>
      </c>
      <c r="O135" s="355" t="str">
        <f>IF(O$3&lt;=time,'Attributable fraction'!AN79*(1+Economics!$B$4)^(O$3-$B$3)/((1+Economics!$B$3)^(O$3-$B$3)),"")</f>
        <v/>
      </c>
      <c r="P135" s="355" t="str">
        <f>IF(P$3&lt;=time,'Attributable fraction'!AO79*(1+Economics!$B$4)^(P$3-$B$3)/((1+Economics!$B$3)^(P$3-$B$3)),"")</f>
        <v/>
      </c>
      <c r="Q135" s="355" t="str">
        <f>IF(Q$3&lt;=time,'Attributable fraction'!AP79*(1+Economics!$B$4)^(Q$3-$B$3)/((1+Economics!$B$3)^(Q$3-$B$3)),"")</f>
        <v/>
      </c>
      <c r="R135" s="355" t="str">
        <f>IF(R$3&lt;=time,'Attributable fraction'!AQ79*(1+Economics!$B$4)^(R$3-$B$3)/((1+Economics!$B$3)^(R$3-$B$3)),"")</f>
        <v/>
      </c>
      <c r="S135" s="355" t="str">
        <f>IF(S$3&lt;=time,'Attributable fraction'!AR79*(1+Economics!$B$4)^(S$3-$B$3)/((1+Economics!$B$3)^(S$3-$B$3)),"")</f>
        <v/>
      </c>
      <c r="T135" s="355" t="str">
        <f>IF(T$3&lt;=time,'Attributable fraction'!AS79*(1+Economics!$B$4)^(T$3-$B$3)/((1+Economics!$B$3)^(T$3-$B$3)),"")</f>
        <v/>
      </c>
      <c r="U135" s="355" t="str">
        <f>IF(U$3&lt;=time,'Attributable fraction'!AT79*(1+Economics!$B$4)^(U$3-$B$3)/((1+Economics!$B$3)^(U$3-$B$3)),"")</f>
        <v/>
      </c>
      <c r="V135" s="355" t="str">
        <f>IF(V$3&lt;=time,'Attributable fraction'!AU79*(1+Economics!$B$4)^(V$3-$B$3)/((1+Economics!$B$3)^(V$3-$B$3)),"")</f>
        <v/>
      </c>
      <c r="W135" s="355" t="str">
        <f>IF(W$3&lt;=time,'Attributable fraction'!AV79*(1+Economics!$B$4)^(W$3-$B$3)/((1+Economics!$B$3)^(W$3-$B$3)),"")</f>
        <v/>
      </c>
      <c r="X135" s="355" t="str">
        <f>IF(X$3&lt;=time,'Attributable fraction'!AW79*(1+Economics!$B$4)^(X$3-$B$3)/((1+Economics!$B$3)^(X$3-$B$3)),"")</f>
        <v/>
      </c>
      <c r="Y135" s="355" t="str">
        <f>IF(Y$3&lt;=time,'Attributable fraction'!AX79*(1+Economics!$B$4)^(Y$3-$B$3)/((1+Economics!$B$3)^(Y$3-$B$3)),"")</f>
        <v/>
      </c>
      <c r="Z135" s="356" t="str">
        <f>IF(Z$3&lt;=time,'Attributable fraction'!AY79*(1+Economics!$B$4)^(Z$3-$B$3)/((1+Economics!$B$3)^(Z$3-$B$3)),"")</f>
        <v/>
      </c>
      <c r="AC135" s="142">
        <f t="shared" si="26"/>
        <v>0</v>
      </c>
      <c r="AE135" s="376">
        <v>2</v>
      </c>
      <c r="AF135" s="176" t="e">
        <f t="array" ref="AF135">STDEV(IF(B135:Z135&lt;&gt;0,B135:Z135))</f>
        <v>#DIV/0!</v>
      </c>
      <c r="AG135" s="176">
        <v>1.96</v>
      </c>
      <c r="AH135" s="176" t="e">
        <f t="shared" si="27"/>
        <v>#DIV/0!</v>
      </c>
      <c r="AI135" s="176">
        <f t="shared" si="25"/>
        <v>0</v>
      </c>
    </row>
    <row r="136" spans="1:35" hidden="1">
      <c r="A136" s="378" t="str">
        <f>Costs!A80</f>
        <v>Supplies 3</v>
      </c>
      <c r="B136" s="355">
        <f>IF(B$3&lt;=time,'Attributable fraction'!AA80*(1+Economics!$B$4)^(B$3-$B$3)/((1+Economics!$B$3)^(B$3-$B$3)),"")</f>
        <v>0</v>
      </c>
      <c r="C136" s="355">
        <f>IF(C$3&lt;=time,'Attributable fraction'!AB80*(1+Economics!$B$4)^(C$3-$B$3)/((1+Economics!$B$3)^(C$3-$B$3)),"")</f>
        <v>0</v>
      </c>
      <c r="D136" s="355">
        <f>IF(D$3&lt;=time,'Attributable fraction'!AC80*(1+Economics!$B$4)^(D$3-$B$3)/((1+Economics!$B$3)^(D$3-$B$3)),"")</f>
        <v>0</v>
      </c>
      <c r="E136" s="355">
        <f>IF(E$3&lt;=time,'Attributable fraction'!AD80*(1+Economics!$B$4)^(E$3-$B$3)/((1+Economics!$B$3)^(E$3-$B$3)),"")</f>
        <v>0</v>
      </c>
      <c r="F136" s="355">
        <f>IF(F$3&lt;=time,'Attributable fraction'!AE80*(1+Economics!$B$4)^(F$3-$B$3)/((1+Economics!$B$3)^(F$3-$B$3)),"")</f>
        <v>0</v>
      </c>
      <c r="G136" s="355" t="str">
        <f>IF(G$3&lt;=time,'Attributable fraction'!AF80*(1+Economics!$B$4)^(G$3-$B$3)/((1+Economics!$B$3)^(G$3-$B$3)),"")</f>
        <v/>
      </c>
      <c r="H136" s="355" t="str">
        <f>IF(H$3&lt;=time,'Attributable fraction'!AG80*(1+Economics!$B$4)^(H$3-$B$3)/((1+Economics!$B$3)^(H$3-$B$3)),"")</f>
        <v/>
      </c>
      <c r="I136" s="355" t="str">
        <f>IF(I$3&lt;=time,'Attributable fraction'!AH80*(1+Economics!$B$4)^(I$3-$B$3)/((1+Economics!$B$3)^(I$3-$B$3)),"")</f>
        <v/>
      </c>
      <c r="J136" s="355" t="str">
        <f>IF(J$3&lt;=time,'Attributable fraction'!AI80*(1+Economics!$B$4)^(J$3-$B$3)/((1+Economics!$B$3)^(J$3-$B$3)),"")</f>
        <v/>
      </c>
      <c r="K136" s="355" t="str">
        <f>IF(K$3&lt;=time,'Attributable fraction'!AJ80*(1+Economics!$B$4)^(K$3-$B$3)/((1+Economics!$B$3)^(K$3-$B$3)),"")</f>
        <v/>
      </c>
      <c r="L136" s="355" t="str">
        <f>IF(L$3&lt;=time,'Attributable fraction'!AK80*(1+Economics!$B$4)^(L$3-$B$3)/((1+Economics!$B$3)^(L$3-$B$3)),"")</f>
        <v/>
      </c>
      <c r="M136" s="355" t="str">
        <f>IF(M$3&lt;=time,'Attributable fraction'!AL80*(1+Economics!$B$4)^(M$3-$B$3)/((1+Economics!$B$3)^(M$3-$B$3)),"")</f>
        <v/>
      </c>
      <c r="N136" s="355" t="str">
        <f>IF(N$3&lt;=time,'Attributable fraction'!AM80*(1+Economics!$B$4)^(N$3-$B$3)/((1+Economics!$B$3)^(N$3-$B$3)),"")</f>
        <v/>
      </c>
      <c r="O136" s="355" t="str">
        <f>IF(O$3&lt;=time,'Attributable fraction'!AN80*(1+Economics!$B$4)^(O$3-$B$3)/((1+Economics!$B$3)^(O$3-$B$3)),"")</f>
        <v/>
      </c>
      <c r="P136" s="355" t="str">
        <f>IF(P$3&lt;=time,'Attributable fraction'!AO80*(1+Economics!$B$4)^(P$3-$B$3)/((1+Economics!$B$3)^(P$3-$B$3)),"")</f>
        <v/>
      </c>
      <c r="Q136" s="355" t="str">
        <f>IF(Q$3&lt;=time,'Attributable fraction'!AP80*(1+Economics!$B$4)^(Q$3-$B$3)/((1+Economics!$B$3)^(Q$3-$B$3)),"")</f>
        <v/>
      </c>
      <c r="R136" s="355" t="str">
        <f>IF(R$3&lt;=time,'Attributable fraction'!AQ80*(1+Economics!$B$4)^(R$3-$B$3)/((1+Economics!$B$3)^(R$3-$B$3)),"")</f>
        <v/>
      </c>
      <c r="S136" s="355" t="str">
        <f>IF(S$3&lt;=time,'Attributable fraction'!AR80*(1+Economics!$B$4)^(S$3-$B$3)/((1+Economics!$B$3)^(S$3-$B$3)),"")</f>
        <v/>
      </c>
      <c r="T136" s="355" t="str">
        <f>IF(T$3&lt;=time,'Attributable fraction'!AS80*(1+Economics!$B$4)^(T$3-$B$3)/((1+Economics!$B$3)^(T$3-$B$3)),"")</f>
        <v/>
      </c>
      <c r="U136" s="355" t="str">
        <f>IF(U$3&lt;=time,'Attributable fraction'!AT80*(1+Economics!$B$4)^(U$3-$B$3)/((1+Economics!$B$3)^(U$3-$B$3)),"")</f>
        <v/>
      </c>
      <c r="V136" s="355" t="str">
        <f>IF(V$3&lt;=time,'Attributable fraction'!AU80*(1+Economics!$B$4)^(V$3-$B$3)/((1+Economics!$B$3)^(V$3-$B$3)),"")</f>
        <v/>
      </c>
      <c r="W136" s="355" t="str">
        <f>IF(W$3&lt;=time,'Attributable fraction'!AV80*(1+Economics!$B$4)^(W$3-$B$3)/((1+Economics!$B$3)^(W$3-$B$3)),"")</f>
        <v/>
      </c>
      <c r="X136" s="355" t="str">
        <f>IF(X$3&lt;=time,'Attributable fraction'!AW80*(1+Economics!$B$4)^(X$3-$B$3)/((1+Economics!$B$3)^(X$3-$B$3)),"")</f>
        <v/>
      </c>
      <c r="Y136" s="355" t="str">
        <f>IF(Y$3&lt;=time,'Attributable fraction'!AX80*(1+Economics!$B$4)^(Y$3-$B$3)/((1+Economics!$B$3)^(Y$3-$B$3)),"")</f>
        <v/>
      </c>
      <c r="Z136" s="356" t="str">
        <f>IF(Z$3&lt;=time,'Attributable fraction'!AY80*(1+Economics!$B$4)^(Z$3-$B$3)/((1+Economics!$B$3)^(Z$3-$B$3)),"")</f>
        <v/>
      </c>
      <c r="AC136" s="142">
        <f t="shared" si="26"/>
        <v>0</v>
      </c>
      <c r="AE136" s="376">
        <v>3</v>
      </c>
      <c r="AF136" s="176" t="e">
        <f t="array" ref="AF136">STDEV(IF(B136:Z136&lt;&gt;0,B136:Z136))</f>
        <v>#DIV/0!</v>
      </c>
      <c r="AG136" s="176">
        <v>1.96</v>
      </c>
      <c r="AH136" s="176" t="e">
        <f t="shared" si="27"/>
        <v>#DIV/0!</v>
      </c>
      <c r="AI136" s="176">
        <f t="shared" si="25"/>
        <v>0</v>
      </c>
    </row>
    <row r="137" spans="1:35" hidden="1">
      <c r="A137" s="378" t="str">
        <f>Costs!A81</f>
        <v>Supplies 4</v>
      </c>
      <c r="B137" s="355">
        <f>IF(B$3&lt;=time,'Attributable fraction'!AA81*(1+Economics!$B$4)^(B$3-$B$3)/((1+Economics!$B$3)^(B$3-$B$3)),"")</f>
        <v>0</v>
      </c>
      <c r="C137" s="355">
        <f>IF(C$3&lt;=time,'Attributable fraction'!AB81*(1+Economics!$B$4)^(C$3-$B$3)/((1+Economics!$B$3)^(C$3-$B$3)),"")</f>
        <v>0</v>
      </c>
      <c r="D137" s="355">
        <f>IF(D$3&lt;=time,'Attributable fraction'!AC81*(1+Economics!$B$4)^(D$3-$B$3)/((1+Economics!$B$3)^(D$3-$B$3)),"")</f>
        <v>0</v>
      </c>
      <c r="E137" s="355">
        <f>IF(E$3&lt;=time,'Attributable fraction'!AD81*(1+Economics!$B$4)^(E$3-$B$3)/((1+Economics!$B$3)^(E$3-$B$3)),"")</f>
        <v>0</v>
      </c>
      <c r="F137" s="355">
        <f>IF(F$3&lt;=time,'Attributable fraction'!AE81*(1+Economics!$B$4)^(F$3-$B$3)/((1+Economics!$B$3)^(F$3-$B$3)),"")</f>
        <v>0</v>
      </c>
      <c r="G137" s="355" t="str">
        <f>IF(G$3&lt;=time,'Attributable fraction'!AF81*(1+Economics!$B$4)^(G$3-$B$3)/((1+Economics!$B$3)^(G$3-$B$3)),"")</f>
        <v/>
      </c>
      <c r="H137" s="355" t="str">
        <f>IF(H$3&lt;=time,'Attributable fraction'!AG81*(1+Economics!$B$4)^(H$3-$B$3)/((1+Economics!$B$3)^(H$3-$B$3)),"")</f>
        <v/>
      </c>
      <c r="I137" s="355" t="str">
        <f>IF(I$3&lt;=time,'Attributable fraction'!AH81*(1+Economics!$B$4)^(I$3-$B$3)/((1+Economics!$B$3)^(I$3-$B$3)),"")</f>
        <v/>
      </c>
      <c r="J137" s="355" t="str">
        <f>IF(J$3&lt;=time,'Attributable fraction'!AI81*(1+Economics!$B$4)^(J$3-$B$3)/((1+Economics!$B$3)^(J$3-$B$3)),"")</f>
        <v/>
      </c>
      <c r="K137" s="355" t="str">
        <f>IF(K$3&lt;=time,'Attributable fraction'!AJ81*(1+Economics!$B$4)^(K$3-$B$3)/((1+Economics!$B$3)^(K$3-$B$3)),"")</f>
        <v/>
      </c>
      <c r="L137" s="355" t="str">
        <f>IF(L$3&lt;=time,'Attributable fraction'!AK81*(1+Economics!$B$4)^(L$3-$B$3)/((1+Economics!$B$3)^(L$3-$B$3)),"")</f>
        <v/>
      </c>
      <c r="M137" s="355" t="str">
        <f>IF(M$3&lt;=time,'Attributable fraction'!AL81*(1+Economics!$B$4)^(M$3-$B$3)/((1+Economics!$B$3)^(M$3-$B$3)),"")</f>
        <v/>
      </c>
      <c r="N137" s="355" t="str">
        <f>IF(N$3&lt;=time,'Attributable fraction'!AM81*(1+Economics!$B$4)^(N$3-$B$3)/((1+Economics!$B$3)^(N$3-$B$3)),"")</f>
        <v/>
      </c>
      <c r="O137" s="355" t="str">
        <f>IF(O$3&lt;=time,'Attributable fraction'!AN81*(1+Economics!$B$4)^(O$3-$B$3)/((1+Economics!$B$3)^(O$3-$B$3)),"")</f>
        <v/>
      </c>
      <c r="P137" s="355" t="str">
        <f>IF(P$3&lt;=time,'Attributable fraction'!AO81*(1+Economics!$B$4)^(P$3-$B$3)/((1+Economics!$B$3)^(P$3-$B$3)),"")</f>
        <v/>
      </c>
      <c r="Q137" s="355" t="str">
        <f>IF(Q$3&lt;=time,'Attributable fraction'!AP81*(1+Economics!$B$4)^(Q$3-$B$3)/((1+Economics!$B$3)^(Q$3-$B$3)),"")</f>
        <v/>
      </c>
      <c r="R137" s="355" t="str">
        <f>IF(R$3&lt;=time,'Attributable fraction'!AQ81*(1+Economics!$B$4)^(R$3-$B$3)/((1+Economics!$B$3)^(R$3-$B$3)),"")</f>
        <v/>
      </c>
      <c r="S137" s="355" t="str">
        <f>IF(S$3&lt;=time,'Attributable fraction'!AR81*(1+Economics!$B$4)^(S$3-$B$3)/((1+Economics!$B$3)^(S$3-$B$3)),"")</f>
        <v/>
      </c>
      <c r="T137" s="355" t="str">
        <f>IF(T$3&lt;=time,'Attributable fraction'!AS81*(1+Economics!$B$4)^(T$3-$B$3)/((1+Economics!$B$3)^(T$3-$B$3)),"")</f>
        <v/>
      </c>
      <c r="U137" s="355" t="str">
        <f>IF(U$3&lt;=time,'Attributable fraction'!AT81*(1+Economics!$B$4)^(U$3-$B$3)/((1+Economics!$B$3)^(U$3-$B$3)),"")</f>
        <v/>
      </c>
      <c r="V137" s="355" t="str">
        <f>IF(V$3&lt;=time,'Attributable fraction'!AU81*(1+Economics!$B$4)^(V$3-$B$3)/((1+Economics!$B$3)^(V$3-$B$3)),"")</f>
        <v/>
      </c>
      <c r="W137" s="355" t="str">
        <f>IF(W$3&lt;=time,'Attributable fraction'!AV81*(1+Economics!$B$4)^(W$3-$B$3)/((1+Economics!$B$3)^(W$3-$B$3)),"")</f>
        <v/>
      </c>
      <c r="X137" s="355" t="str">
        <f>IF(X$3&lt;=time,'Attributable fraction'!AW81*(1+Economics!$B$4)^(X$3-$B$3)/((1+Economics!$B$3)^(X$3-$B$3)),"")</f>
        <v/>
      </c>
      <c r="Y137" s="355" t="str">
        <f>IF(Y$3&lt;=time,'Attributable fraction'!AX81*(1+Economics!$B$4)^(Y$3-$B$3)/((1+Economics!$B$3)^(Y$3-$B$3)),"")</f>
        <v/>
      </c>
      <c r="Z137" s="356" t="str">
        <f>IF(Z$3&lt;=time,'Attributable fraction'!AY81*(1+Economics!$B$4)^(Z$3-$B$3)/((1+Economics!$B$3)^(Z$3-$B$3)),"")</f>
        <v/>
      </c>
      <c r="AC137" s="142">
        <f t="shared" si="26"/>
        <v>0</v>
      </c>
      <c r="AE137" s="376">
        <v>4</v>
      </c>
      <c r="AF137" s="176" t="e">
        <f t="array" ref="AF137">STDEV(IF(B137:Z137&lt;&gt;0,B137:Z137))</f>
        <v>#DIV/0!</v>
      </c>
      <c r="AG137" s="176">
        <v>1.96</v>
      </c>
      <c r="AH137" s="176" t="e">
        <f t="shared" si="27"/>
        <v>#DIV/0!</v>
      </c>
      <c r="AI137" s="176">
        <f t="shared" si="25"/>
        <v>0</v>
      </c>
    </row>
    <row r="138" spans="1:35" hidden="1">
      <c r="A138" s="378" t="str">
        <f>Costs!A82</f>
        <v>Supplies 5</v>
      </c>
      <c r="B138" s="355">
        <f>IF(B$3&lt;=time,'Attributable fraction'!AA82*(1+Economics!$B$4)^(B$3-$B$3)/((1+Economics!$B$3)^(B$3-$B$3)),"")</f>
        <v>0</v>
      </c>
      <c r="C138" s="355">
        <f>IF(C$3&lt;=time,'Attributable fraction'!AB82*(1+Economics!$B$4)^(C$3-$B$3)/((1+Economics!$B$3)^(C$3-$B$3)),"")</f>
        <v>0</v>
      </c>
      <c r="D138" s="355">
        <f>IF(D$3&lt;=time,'Attributable fraction'!AC82*(1+Economics!$B$4)^(D$3-$B$3)/((1+Economics!$B$3)^(D$3-$B$3)),"")</f>
        <v>0</v>
      </c>
      <c r="E138" s="355">
        <f>IF(E$3&lt;=time,'Attributable fraction'!AD82*(1+Economics!$B$4)^(E$3-$B$3)/((1+Economics!$B$3)^(E$3-$B$3)),"")</f>
        <v>0</v>
      </c>
      <c r="F138" s="355">
        <f>IF(F$3&lt;=time,'Attributable fraction'!AE82*(1+Economics!$B$4)^(F$3-$B$3)/((1+Economics!$B$3)^(F$3-$B$3)),"")</f>
        <v>0</v>
      </c>
      <c r="G138" s="355" t="str">
        <f>IF(G$3&lt;=time,'Attributable fraction'!AF82*(1+Economics!$B$4)^(G$3-$B$3)/((1+Economics!$B$3)^(G$3-$B$3)),"")</f>
        <v/>
      </c>
      <c r="H138" s="355" t="str">
        <f>IF(H$3&lt;=time,'Attributable fraction'!AG82*(1+Economics!$B$4)^(H$3-$B$3)/((1+Economics!$B$3)^(H$3-$B$3)),"")</f>
        <v/>
      </c>
      <c r="I138" s="355" t="str">
        <f>IF(I$3&lt;=time,'Attributable fraction'!AH82*(1+Economics!$B$4)^(I$3-$B$3)/((1+Economics!$B$3)^(I$3-$B$3)),"")</f>
        <v/>
      </c>
      <c r="J138" s="355" t="str">
        <f>IF(J$3&lt;=time,'Attributable fraction'!AI82*(1+Economics!$B$4)^(J$3-$B$3)/((1+Economics!$B$3)^(J$3-$B$3)),"")</f>
        <v/>
      </c>
      <c r="K138" s="355" t="str">
        <f>IF(K$3&lt;=time,'Attributable fraction'!AJ82*(1+Economics!$B$4)^(K$3-$B$3)/((1+Economics!$B$3)^(K$3-$B$3)),"")</f>
        <v/>
      </c>
      <c r="L138" s="355" t="str">
        <f>IF(L$3&lt;=time,'Attributable fraction'!AK82*(1+Economics!$B$4)^(L$3-$B$3)/((1+Economics!$B$3)^(L$3-$B$3)),"")</f>
        <v/>
      </c>
      <c r="M138" s="355" t="str">
        <f>IF(M$3&lt;=time,'Attributable fraction'!AL82*(1+Economics!$B$4)^(M$3-$B$3)/((1+Economics!$B$3)^(M$3-$B$3)),"")</f>
        <v/>
      </c>
      <c r="N138" s="355" t="str">
        <f>IF(N$3&lt;=time,'Attributable fraction'!AM82*(1+Economics!$B$4)^(N$3-$B$3)/((1+Economics!$B$3)^(N$3-$B$3)),"")</f>
        <v/>
      </c>
      <c r="O138" s="355" t="str">
        <f>IF(O$3&lt;=time,'Attributable fraction'!AN82*(1+Economics!$B$4)^(O$3-$B$3)/((1+Economics!$B$3)^(O$3-$B$3)),"")</f>
        <v/>
      </c>
      <c r="P138" s="355" t="str">
        <f>IF(P$3&lt;=time,'Attributable fraction'!AO82*(1+Economics!$B$4)^(P$3-$B$3)/((1+Economics!$B$3)^(P$3-$B$3)),"")</f>
        <v/>
      </c>
      <c r="Q138" s="355" t="str">
        <f>IF(Q$3&lt;=time,'Attributable fraction'!AP82*(1+Economics!$B$4)^(Q$3-$B$3)/((1+Economics!$B$3)^(Q$3-$B$3)),"")</f>
        <v/>
      </c>
      <c r="R138" s="355" t="str">
        <f>IF(R$3&lt;=time,'Attributable fraction'!AQ82*(1+Economics!$B$4)^(R$3-$B$3)/((1+Economics!$B$3)^(R$3-$B$3)),"")</f>
        <v/>
      </c>
      <c r="S138" s="355" t="str">
        <f>IF(S$3&lt;=time,'Attributable fraction'!AR82*(1+Economics!$B$4)^(S$3-$B$3)/((1+Economics!$B$3)^(S$3-$B$3)),"")</f>
        <v/>
      </c>
      <c r="T138" s="355" t="str">
        <f>IF(T$3&lt;=time,'Attributable fraction'!AS82*(1+Economics!$B$4)^(T$3-$B$3)/((1+Economics!$B$3)^(T$3-$B$3)),"")</f>
        <v/>
      </c>
      <c r="U138" s="355" t="str">
        <f>IF(U$3&lt;=time,'Attributable fraction'!AT82*(1+Economics!$B$4)^(U$3-$B$3)/((1+Economics!$B$3)^(U$3-$B$3)),"")</f>
        <v/>
      </c>
      <c r="V138" s="355" t="str">
        <f>IF(V$3&lt;=time,'Attributable fraction'!AU82*(1+Economics!$B$4)^(V$3-$B$3)/((1+Economics!$B$3)^(V$3-$B$3)),"")</f>
        <v/>
      </c>
      <c r="W138" s="355" t="str">
        <f>IF(W$3&lt;=time,'Attributable fraction'!AV82*(1+Economics!$B$4)^(W$3-$B$3)/((1+Economics!$B$3)^(W$3-$B$3)),"")</f>
        <v/>
      </c>
      <c r="X138" s="355" t="str">
        <f>IF(X$3&lt;=time,'Attributable fraction'!AW82*(1+Economics!$B$4)^(X$3-$B$3)/((1+Economics!$B$3)^(X$3-$B$3)),"")</f>
        <v/>
      </c>
      <c r="Y138" s="355" t="str">
        <f>IF(Y$3&lt;=time,'Attributable fraction'!AX82*(1+Economics!$B$4)^(Y$3-$B$3)/((1+Economics!$B$3)^(Y$3-$B$3)),"")</f>
        <v/>
      </c>
      <c r="Z138" s="356" t="str">
        <f>IF(Z$3&lt;=time,'Attributable fraction'!AY82*(1+Economics!$B$4)^(Z$3-$B$3)/((1+Economics!$B$3)^(Z$3-$B$3)),"")</f>
        <v/>
      </c>
      <c r="AC138" s="142">
        <f t="shared" si="26"/>
        <v>0</v>
      </c>
      <c r="AE138" s="376">
        <v>5</v>
      </c>
      <c r="AF138" s="176" t="e">
        <f t="array" ref="AF138">STDEV(IF(B138:Z138&lt;&gt;0,B138:Z138))</f>
        <v>#DIV/0!</v>
      </c>
      <c r="AG138" s="176">
        <v>1.96</v>
      </c>
      <c r="AH138" s="176" t="e">
        <f t="shared" si="27"/>
        <v>#DIV/0!</v>
      </c>
      <c r="AI138" s="176">
        <f t="shared" si="25"/>
        <v>0</v>
      </c>
    </row>
    <row r="139" spans="1:35" hidden="1">
      <c r="A139" s="378" t="str">
        <f>Costs!A83</f>
        <v>Supplies 6</v>
      </c>
      <c r="B139" s="355">
        <f>IF(B$3&lt;=time,'Attributable fraction'!AA83*(1+Economics!$B$4)^(B$3-$B$3)/((1+Economics!$B$3)^(B$3-$B$3)),"")</f>
        <v>0</v>
      </c>
      <c r="C139" s="355">
        <f>IF(C$3&lt;=time,'Attributable fraction'!AB83*(1+Economics!$B$4)^(C$3-$B$3)/((1+Economics!$B$3)^(C$3-$B$3)),"")</f>
        <v>0</v>
      </c>
      <c r="D139" s="355">
        <f>IF(D$3&lt;=time,'Attributable fraction'!AC83*(1+Economics!$B$4)^(D$3-$B$3)/((1+Economics!$B$3)^(D$3-$B$3)),"")</f>
        <v>0</v>
      </c>
      <c r="E139" s="355">
        <f>IF(E$3&lt;=time,'Attributable fraction'!AD83*(1+Economics!$B$4)^(E$3-$B$3)/((1+Economics!$B$3)^(E$3-$B$3)),"")</f>
        <v>0</v>
      </c>
      <c r="F139" s="355">
        <f>IF(F$3&lt;=time,'Attributable fraction'!AE83*(1+Economics!$B$4)^(F$3-$B$3)/((1+Economics!$B$3)^(F$3-$B$3)),"")</f>
        <v>0</v>
      </c>
      <c r="G139" s="355" t="str">
        <f>IF(G$3&lt;=time,'Attributable fraction'!AF83*(1+Economics!$B$4)^(G$3-$B$3)/((1+Economics!$B$3)^(G$3-$B$3)),"")</f>
        <v/>
      </c>
      <c r="H139" s="355" t="str">
        <f>IF(H$3&lt;=time,'Attributable fraction'!AG83*(1+Economics!$B$4)^(H$3-$B$3)/((1+Economics!$B$3)^(H$3-$B$3)),"")</f>
        <v/>
      </c>
      <c r="I139" s="355" t="str">
        <f>IF(I$3&lt;=time,'Attributable fraction'!AH83*(1+Economics!$B$4)^(I$3-$B$3)/((1+Economics!$B$3)^(I$3-$B$3)),"")</f>
        <v/>
      </c>
      <c r="J139" s="355" t="str">
        <f>IF(J$3&lt;=time,'Attributable fraction'!AI83*(1+Economics!$B$4)^(J$3-$B$3)/((1+Economics!$B$3)^(J$3-$B$3)),"")</f>
        <v/>
      </c>
      <c r="K139" s="355" t="str">
        <f>IF(K$3&lt;=time,'Attributable fraction'!AJ83*(1+Economics!$B$4)^(K$3-$B$3)/((1+Economics!$B$3)^(K$3-$B$3)),"")</f>
        <v/>
      </c>
      <c r="L139" s="355" t="str">
        <f>IF(L$3&lt;=time,'Attributable fraction'!AK83*(1+Economics!$B$4)^(L$3-$B$3)/((1+Economics!$B$3)^(L$3-$B$3)),"")</f>
        <v/>
      </c>
      <c r="M139" s="355" t="str">
        <f>IF(M$3&lt;=time,'Attributable fraction'!AL83*(1+Economics!$B$4)^(M$3-$B$3)/((1+Economics!$B$3)^(M$3-$B$3)),"")</f>
        <v/>
      </c>
      <c r="N139" s="355" t="str">
        <f>IF(N$3&lt;=time,'Attributable fraction'!AM83*(1+Economics!$B$4)^(N$3-$B$3)/((1+Economics!$B$3)^(N$3-$B$3)),"")</f>
        <v/>
      </c>
      <c r="O139" s="355" t="str">
        <f>IF(O$3&lt;=time,'Attributable fraction'!AN83*(1+Economics!$B$4)^(O$3-$B$3)/((1+Economics!$B$3)^(O$3-$B$3)),"")</f>
        <v/>
      </c>
      <c r="P139" s="355" t="str">
        <f>IF(P$3&lt;=time,'Attributable fraction'!AO83*(1+Economics!$B$4)^(P$3-$B$3)/((1+Economics!$B$3)^(P$3-$B$3)),"")</f>
        <v/>
      </c>
      <c r="Q139" s="355" t="str">
        <f>IF(Q$3&lt;=time,'Attributable fraction'!AP83*(1+Economics!$B$4)^(Q$3-$B$3)/((1+Economics!$B$3)^(Q$3-$B$3)),"")</f>
        <v/>
      </c>
      <c r="R139" s="355" t="str">
        <f>IF(R$3&lt;=time,'Attributable fraction'!AQ83*(1+Economics!$B$4)^(R$3-$B$3)/((1+Economics!$B$3)^(R$3-$B$3)),"")</f>
        <v/>
      </c>
      <c r="S139" s="355" t="str">
        <f>IF(S$3&lt;=time,'Attributable fraction'!AR83*(1+Economics!$B$4)^(S$3-$B$3)/((1+Economics!$B$3)^(S$3-$B$3)),"")</f>
        <v/>
      </c>
      <c r="T139" s="355" t="str">
        <f>IF(T$3&lt;=time,'Attributable fraction'!AS83*(1+Economics!$B$4)^(T$3-$B$3)/((1+Economics!$B$3)^(T$3-$B$3)),"")</f>
        <v/>
      </c>
      <c r="U139" s="355" t="str">
        <f>IF(U$3&lt;=time,'Attributable fraction'!AT83*(1+Economics!$B$4)^(U$3-$B$3)/((1+Economics!$B$3)^(U$3-$B$3)),"")</f>
        <v/>
      </c>
      <c r="V139" s="355" t="str">
        <f>IF(V$3&lt;=time,'Attributable fraction'!AU83*(1+Economics!$B$4)^(V$3-$B$3)/((1+Economics!$B$3)^(V$3-$B$3)),"")</f>
        <v/>
      </c>
      <c r="W139" s="355" t="str">
        <f>IF(W$3&lt;=time,'Attributable fraction'!AV83*(1+Economics!$B$4)^(W$3-$B$3)/((1+Economics!$B$3)^(W$3-$B$3)),"")</f>
        <v/>
      </c>
      <c r="X139" s="355" t="str">
        <f>IF(X$3&lt;=time,'Attributable fraction'!AW83*(1+Economics!$B$4)^(X$3-$B$3)/((1+Economics!$B$3)^(X$3-$B$3)),"")</f>
        <v/>
      </c>
      <c r="Y139" s="355" t="str">
        <f>IF(Y$3&lt;=time,'Attributable fraction'!AX83*(1+Economics!$B$4)^(Y$3-$B$3)/((1+Economics!$B$3)^(Y$3-$B$3)),"")</f>
        <v/>
      </c>
      <c r="Z139" s="356" t="str">
        <f>IF(Z$3&lt;=time,'Attributable fraction'!AY83*(1+Economics!$B$4)^(Z$3-$B$3)/((1+Economics!$B$3)^(Z$3-$B$3)),"")</f>
        <v/>
      </c>
      <c r="AC139" s="142">
        <f t="shared" si="26"/>
        <v>0</v>
      </c>
      <c r="AE139" s="376">
        <v>6</v>
      </c>
      <c r="AF139" s="176" t="e">
        <f t="array" ref="AF139">STDEV(IF(B139:Z139&lt;&gt;0,B139:Z139))</f>
        <v>#DIV/0!</v>
      </c>
      <c r="AG139" s="176">
        <v>1.96</v>
      </c>
      <c r="AH139" s="176" t="e">
        <f t="shared" si="27"/>
        <v>#DIV/0!</v>
      </c>
      <c r="AI139" s="176">
        <f t="shared" si="25"/>
        <v>0</v>
      </c>
    </row>
    <row r="140" spans="1:35" hidden="1">
      <c r="A140" s="378" t="str">
        <f>Costs!A84</f>
        <v>Supplies 7</v>
      </c>
      <c r="B140" s="355">
        <f>IF(B$3&lt;=time,'Attributable fraction'!AA84*(1+Economics!$B$4)^(B$3-$B$3)/((1+Economics!$B$3)^(B$3-$B$3)),"")</f>
        <v>0</v>
      </c>
      <c r="C140" s="355">
        <f>IF(C$3&lt;=time,'Attributable fraction'!AB84*(1+Economics!$B$4)^(C$3-$B$3)/((1+Economics!$B$3)^(C$3-$B$3)),"")</f>
        <v>0</v>
      </c>
      <c r="D140" s="355">
        <f>IF(D$3&lt;=time,'Attributable fraction'!AC84*(1+Economics!$B$4)^(D$3-$B$3)/((1+Economics!$B$3)^(D$3-$B$3)),"")</f>
        <v>0</v>
      </c>
      <c r="E140" s="355">
        <f>IF(E$3&lt;=time,'Attributable fraction'!AD84*(1+Economics!$B$4)^(E$3-$B$3)/((1+Economics!$B$3)^(E$3-$B$3)),"")</f>
        <v>0</v>
      </c>
      <c r="F140" s="355">
        <f>IF(F$3&lt;=time,'Attributable fraction'!AE84*(1+Economics!$B$4)^(F$3-$B$3)/((1+Economics!$B$3)^(F$3-$B$3)),"")</f>
        <v>0</v>
      </c>
      <c r="G140" s="355" t="str">
        <f>IF(G$3&lt;=time,'Attributable fraction'!AF84*(1+Economics!$B$4)^(G$3-$B$3)/((1+Economics!$B$3)^(G$3-$B$3)),"")</f>
        <v/>
      </c>
      <c r="H140" s="355" t="str">
        <f>IF(H$3&lt;=time,'Attributable fraction'!AG84*(1+Economics!$B$4)^(H$3-$B$3)/((1+Economics!$B$3)^(H$3-$B$3)),"")</f>
        <v/>
      </c>
      <c r="I140" s="355" t="str">
        <f>IF(I$3&lt;=time,'Attributable fraction'!AH84*(1+Economics!$B$4)^(I$3-$B$3)/((1+Economics!$B$3)^(I$3-$B$3)),"")</f>
        <v/>
      </c>
      <c r="J140" s="355" t="str">
        <f>IF(J$3&lt;=time,'Attributable fraction'!AI84*(1+Economics!$B$4)^(J$3-$B$3)/((1+Economics!$B$3)^(J$3-$B$3)),"")</f>
        <v/>
      </c>
      <c r="K140" s="355" t="str">
        <f>IF(K$3&lt;=time,'Attributable fraction'!AJ84*(1+Economics!$B$4)^(K$3-$B$3)/((1+Economics!$B$3)^(K$3-$B$3)),"")</f>
        <v/>
      </c>
      <c r="L140" s="355" t="str">
        <f>IF(L$3&lt;=time,'Attributable fraction'!AK84*(1+Economics!$B$4)^(L$3-$B$3)/((1+Economics!$B$3)^(L$3-$B$3)),"")</f>
        <v/>
      </c>
      <c r="M140" s="355" t="str">
        <f>IF(M$3&lt;=time,'Attributable fraction'!AL84*(1+Economics!$B$4)^(M$3-$B$3)/((1+Economics!$B$3)^(M$3-$B$3)),"")</f>
        <v/>
      </c>
      <c r="N140" s="355" t="str">
        <f>IF(N$3&lt;=time,'Attributable fraction'!AM84*(1+Economics!$B$4)^(N$3-$B$3)/((1+Economics!$B$3)^(N$3-$B$3)),"")</f>
        <v/>
      </c>
      <c r="O140" s="355" t="str">
        <f>IF(O$3&lt;=time,'Attributable fraction'!AN84*(1+Economics!$B$4)^(O$3-$B$3)/((1+Economics!$B$3)^(O$3-$B$3)),"")</f>
        <v/>
      </c>
      <c r="P140" s="355" t="str">
        <f>IF(P$3&lt;=time,'Attributable fraction'!AO84*(1+Economics!$B$4)^(P$3-$B$3)/((1+Economics!$B$3)^(P$3-$B$3)),"")</f>
        <v/>
      </c>
      <c r="Q140" s="355" t="str">
        <f>IF(Q$3&lt;=time,'Attributable fraction'!AP84*(1+Economics!$B$4)^(Q$3-$B$3)/((1+Economics!$B$3)^(Q$3-$B$3)),"")</f>
        <v/>
      </c>
      <c r="R140" s="355" t="str">
        <f>IF(R$3&lt;=time,'Attributable fraction'!AQ84*(1+Economics!$B$4)^(R$3-$B$3)/((1+Economics!$B$3)^(R$3-$B$3)),"")</f>
        <v/>
      </c>
      <c r="S140" s="355" t="str">
        <f>IF(S$3&lt;=time,'Attributable fraction'!AR84*(1+Economics!$B$4)^(S$3-$B$3)/((1+Economics!$B$3)^(S$3-$B$3)),"")</f>
        <v/>
      </c>
      <c r="T140" s="355" t="str">
        <f>IF(T$3&lt;=time,'Attributable fraction'!AS84*(1+Economics!$B$4)^(T$3-$B$3)/((1+Economics!$B$3)^(T$3-$B$3)),"")</f>
        <v/>
      </c>
      <c r="U140" s="355" t="str">
        <f>IF(U$3&lt;=time,'Attributable fraction'!AT84*(1+Economics!$B$4)^(U$3-$B$3)/((1+Economics!$B$3)^(U$3-$B$3)),"")</f>
        <v/>
      </c>
      <c r="V140" s="355" t="str">
        <f>IF(V$3&lt;=time,'Attributable fraction'!AU84*(1+Economics!$B$4)^(V$3-$B$3)/((1+Economics!$B$3)^(V$3-$B$3)),"")</f>
        <v/>
      </c>
      <c r="W140" s="355" t="str">
        <f>IF(W$3&lt;=time,'Attributable fraction'!AV84*(1+Economics!$B$4)^(W$3-$B$3)/((1+Economics!$B$3)^(W$3-$B$3)),"")</f>
        <v/>
      </c>
      <c r="X140" s="355" t="str">
        <f>IF(X$3&lt;=time,'Attributable fraction'!AW84*(1+Economics!$B$4)^(X$3-$B$3)/((1+Economics!$B$3)^(X$3-$B$3)),"")</f>
        <v/>
      </c>
      <c r="Y140" s="355" t="str">
        <f>IF(Y$3&lt;=time,'Attributable fraction'!AX84*(1+Economics!$B$4)^(Y$3-$B$3)/((1+Economics!$B$3)^(Y$3-$B$3)),"")</f>
        <v/>
      </c>
      <c r="Z140" s="356" t="str">
        <f>IF(Z$3&lt;=time,'Attributable fraction'!AY84*(1+Economics!$B$4)^(Z$3-$B$3)/((1+Economics!$B$3)^(Z$3-$B$3)),"")</f>
        <v/>
      </c>
      <c r="AC140" s="142">
        <f t="shared" si="26"/>
        <v>0</v>
      </c>
      <c r="AE140" s="376">
        <v>7</v>
      </c>
      <c r="AF140" s="176" t="e">
        <f t="array" ref="AF140">STDEV(IF(B140:Z140&lt;&gt;0,B140:Z140))</f>
        <v>#DIV/0!</v>
      </c>
      <c r="AG140" s="176">
        <v>1.96</v>
      </c>
      <c r="AH140" s="176" t="e">
        <f t="shared" si="27"/>
        <v>#DIV/0!</v>
      </c>
      <c r="AI140" s="176">
        <f t="shared" si="25"/>
        <v>0</v>
      </c>
    </row>
    <row r="141" spans="1:35" hidden="1">
      <c r="A141" s="378" t="str">
        <f>Costs!A85</f>
        <v>Supplies 8</v>
      </c>
      <c r="B141" s="355">
        <f>IF(B$3&lt;=time,'Attributable fraction'!AA85*(1+Economics!$B$4)^(B$3-$B$3)/((1+Economics!$B$3)^(B$3-$B$3)),"")</f>
        <v>0</v>
      </c>
      <c r="C141" s="355">
        <f>IF(C$3&lt;=time,'Attributable fraction'!AB85*(1+Economics!$B$4)^(C$3-$B$3)/((1+Economics!$B$3)^(C$3-$B$3)),"")</f>
        <v>0</v>
      </c>
      <c r="D141" s="355">
        <f>IF(D$3&lt;=time,'Attributable fraction'!AC85*(1+Economics!$B$4)^(D$3-$B$3)/((1+Economics!$B$3)^(D$3-$B$3)),"")</f>
        <v>0</v>
      </c>
      <c r="E141" s="355">
        <f>IF(E$3&lt;=time,'Attributable fraction'!AD85*(1+Economics!$B$4)^(E$3-$B$3)/((1+Economics!$B$3)^(E$3-$B$3)),"")</f>
        <v>0</v>
      </c>
      <c r="F141" s="355">
        <f>IF(F$3&lt;=time,'Attributable fraction'!AE85*(1+Economics!$B$4)^(F$3-$B$3)/((1+Economics!$B$3)^(F$3-$B$3)),"")</f>
        <v>0</v>
      </c>
      <c r="G141" s="355" t="str">
        <f>IF(G$3&lt;=time,'Attributable fraction'!AF85*(1+Economics!$B$4)^(G$3-$B$3)/((1+Economics!$B$3)^(G$3-$B$3)),"")</f>
        <v/>
      </c>
      <c r="H141" s="355" t="str">
        <f>IF(H$3&lt;=time,'Attributable fraction'!AG85*(1+Economics!$B$4)^(H$3-$B$3)/((1+Economics!$B$3)^(H$3-$B$3)),"")</f>
        <v/>
      </c>
      <c r="I141" s="355" t="str">
        <f>IF(I$3&lt;=time,'Attributable fraction'!AH85*(1+Economics!$B$4)^(I$3-$B$3)/((1+Economics!$B$3)^(I$3-$B$3)),"")</f>
        <v/>
      </c>
      <c r="J141" s="355" t="str">
        <f>IF(J$3&lt;=time,'Attributable fraction'!AI85*(1+Economics!$B$4)^(J$3-$B$3)/((1+Economics!$B$3)^(J$3-$B$3)),"")</f>
        <v/>
      </c>
      <c r="K141" s="355" t="str">
        <f>IF(K$3&lt;=time,'Attributable fraction'!AJ85*(1+Economics!$B$4)^(K$3-$B$3)/((1+Economics!$B$3)^(K$3-$B$3)),"")</f>
        <v/>
      </c>
      <c r="L141" s="355" t="str">
        <f>IF(L$3&lt;=time,'Attributable fraction'!AK85*(1+Economics!$B$4)^(L$3-$B$3)/((1+Economics!$B$3)^(L$3-$B$3)),"")</f>
        <v/>
      </c>
      <c r="M141" s="355" t="str">
        <f>IF(M$3&lt;=time,'Attributable fraction'!AL85*(1+Economics!$B$4)^(M$3-$B$3)/((1+Economics!$B$3)^(M$3-$B$3)),"")</f>
        <v/>
      </c>
      <c r="N141" s="355" t="str">
        <f>IF(N$3&lt;=time,'Attributable fraction'!AM85*(1+Economics!$B$4)^(N$3-$B$3)/((1+Economics!$B$3)^(N$3-$B$3)),"")</f>
        <v/>
      </c>
      <c r="O141" s="355" t="str">
        <f>IF(O$3&lt;=time,'Attributable fraction'!AN85*(1+Economics!$B$4)^(O$3-$B$3)/((1+Economics!$B$3)^(O$3-$B$3)),"")</f>
        <v/>
      </c>
      <c r="P141" s="355" t="str">
        <f>IF(P$3&lt;=time,'Attributable fraction'!AO85*(1+Economics!$B$4)^(P$3-$B$3)/((1+Economics!$B$3)^(P$3-$B$3)),"")</f>
        <v/>
      </c>
      <c r="Q141" s="355" t="str">
        <f>IF(Q$3&lt;=time,'Attributable fraction'!AP85*(1+Economics!$B$4)^(Q$3-$B$3)/((1+Economics!$B$3)^(Q$3-$B$3)),"")</f>
        <v/>
      </c>
      <c r="R141" s="355" t="str">
        <f>IF(R$3&lt;=time,'Attributable fraction'!AQ85*(1+Economics!$B$4)^(R$3-$B$3)/((1+Economics!$B$3)^(R$3-$B$3)),"")</f>
        <v/>
      </c>
      <c r="S141" s="355" t="str">
        <f>IF(S$3&lt;=time,'Attributable fraction'!AR85*(1+Economics!$B$4)^(S$3-$B$3)/((1+Economics!$B$3)^(S$3-$B$3)),"")</f>
        <v/>
      </c>
      <c r="T141" s="355" t="str">
        <f>IF(T$3&lt;=time,'Attributable fraction'!AS85*(1+Economics!$B$4)^(T$3-$B$3)/((1+Economics!$B$3)^(T$3-$B$3)),"")</f>
        <v/>
      </c>
      <c r="U141" s="355" t="str">
        <f>IF(U$3&lt;=time,'Attributable fraction'!AT85*(1+Economics!$B$4)^(U$3-$B$3)/((1+Economics!$B$3)^(U$3-$B$3)),"")</f>
        <v/>
      </c>
      <c r="V141" s="355" t="str">
        <f>IF(V$3&lt;=time,'Attributable fraction'!AU85*(1+Economics!$B$4)^(V$3-$B$3)/((1+Economics!$B$3)^(V$3-$B$3)),"")</f>
        <v/>
      </c>
      <c r="W141" s="355" t="str">
        <f>IF(W$3&lt;=time,'Attributable fraction'!AV85*(1+Economics!$B$4)^(W$3-$B$3)/((1+Economics!$B$3)^(W$3-$B$3)),"")</f>
        <v/>
      </c>
      <c r="X141" s="355" t="str">
        <f>IF(X$3&lt;=time,'Attributable fraction'!AW85*(1+Economics!$B$4)^(X$3-$B$3)/((1+Economics!$B$3)^(X$3-$B$3)),"")</f>
        <v/>
      </c>
      <c r="Y141" s="355" t="str">
        <f>IF(Y$3&lt;=time,'Attributable fraction'!AX85*(1+Economics!$B$4)^(Y$3-$B$3)/((1+Economics!$B$3)^(Y$3-$B$3)),"")</f>
        <v/>
      </c>
      <c r="Z141" s="356" t="str">
        <f>IF(Z$3&lt;=time,'Attributable fraction'!AY85*(1+Economics!$B$4)^(Z$3-$B$3)/((1+Economics!$B$3)^(Z$3-$B$3)),"")</f>
        <v/>
      </c>
      <c r="AC141" s="142">
        <f t="shared" si="26"/>
        <v>0</v>
      </c>
      <c r="AE141" s="376">
        <v>8</v>
      </c>
      <c r="AF141" s="176" t="e">
        <f t="array" ref="AF141">STDEV(IF(B141:Z141&lt;&gt;0,B141:Z141))</f>
        <v>#DIV/0!</v>
      </c>
      <c r="AG141" s="176">
        <v>1.96</v>
      </c>
      <c r="AH141" s="176" t="e">
        <f t="shared" si="27"/>
        <v>#DIV/0!</v>
      </c>
      <c r="AI141" s="176">
        <f t="shared" si="25"/>
        <v>0</v>
      </c>
    </row>
    <row r="142" spans="1:35" hidden="1">
      <c r="A142" s="378" t="str">
        <f>Costs!A86</f>
        <v>Supplies 9</v>
      </c>
      <c r="B142" s="355">
        <f>IF(B$3&lt;=time,'Attributable fraction'!AA86*(1+Economics!$B$4)^(B$3-$B$3)/((1+Economics!$B$3)^(B$3-$B$3)),"")</f>
        <v>0</v>
      </c>
      <c r="C142" s="355">
        <f>IF(C$3&lt;=time,'Attributable fraction'!AB86*(1+Economics!$B$4)^(C$3-$B$3)/((1+Economics!$B$3)^(C$3-$B$3)),"")</f>
        <v>0</v>
      </c>
      <c r="D142" s="355">
        <f>IF(D$3&lt;=time,'Attributable fraction'!AC86*(1+Economics!$B$4)^(D$3-$B$3)/((1+Economics!$B$3)^(D$3-$B$3)),"")</f>
        <v>0</v>
      </c>
      <c r="E142" s="355">
        <f>IF(E$3&lt;=time,'Attributable fraction'!AD86*(1+Economics!$B$4)^(E$3-$B$3)/((1+Economics!$B$3)^(E$3-$B$3)),"")</f>
        <v>0</v>
      </c>
      <c r="F142" s="355">
        <f>IF(F$3&lt;=time,'Attributable fraction'!AE86*(1+Economics!$B$4)^(F$3-$B$3)/((1+Economics!$B$3)^(F$3-$B$3)),"")</f>
        <v>0</v>
      </c>
      <c r="G142" s="355" t="str">
        <f>IF(G$3&lt;=time,'Attributable fraction'!AF86*(1+Economics!$B$4)^(G$3-$B$3)/((1+Economics!$B$3)^(G$3-$B$3)),"")</f>
        <v/>
      </c>
      <c r="H142" s="355" t="str">
        <f>IF(H$3&lt;=time,'Attributable fraction'!AG86*(1+Economics!$B$4)^(H$3-$B$3)/((1+Economics!$B$3)^(H$3-$B$3)),"")</f>
        <v/>
      </c>
      <c r="I142" s="355" t="str">
        <f>IF(I$3&lt;=time,'Attributable fraction'!AH86*(1+Economics!$B$4)^(I$3-$B$3)/((1+Economics!$B$3)^(I$3-$B$3)),"")</f>
        <v/>
      </c>
      <c r="J142" s="355" t="str">
        <f>IF(J$3&lt;=time,'Attributable fraction'!AI86*(1+Economics!$B$4)^(J$3-$B$3)/((1+Economics!$B$3)^(J$3-$B$3)),"")</f>
        <v/>
      </c>
      <c r="K142" s="355" t="str">
        <f>IF(K$3&lt;=time,'Attributable fraction'!AJ86*(1+Economics!$B$4)^(K$3-$B$3)/((1+Economics!$B$3)^(K$3-$B$3)),"")</f>
        <v/>
      </c>
      <c r="L142" s="355" t="str">
        <f>IF(L$3&lt;=time,'Attributable fraction'!AK86*(1+Economics!$B$4)^(L$3-$B$3)/((1+Economics!$B$3)^(L$3-$B$3)),"")</f>
        <v/>
      </c>
      <c r="M142" s="355" t="str">
        <f>IF(M$3&lt;=time,'Attributable fraction'!AL86*(1+Economics!$B$4)^(M$3-$B$3)/((1+Economics!$B$3)^(M$3-$B$3)),"")</f>
        <v/>
      </c>
      <c r="N142" s="355" t="str">
        <f>IF(N$3&lt;=time,'Attributable fraction'!AM86*(1+Economics!$B$4)^(N$3-$B$3)/((1+Economics!$B$3)^(N$3-$B$3)),"")</f>
        <v/>
      </c>
      <c r="O142" s="355" t="str">
        <f>IF(O$3&lt;=time,'Attributable fraction'!AN86*(1+Economics!$B$4)^(O$3-$B$3)/((1+Economics!$B$3)^(O$3-$B$3)),"")</f>
        <v/>
      </c>
      <c r="P142" s="355" t="str">
        <f>IF(P$3&lt;=time,'Attributable fraction'!AO86*(1+Economics!$B$4)^(P$3-$B$3)/((1+Economics!$B$3)^(P$3-$B$3)),"")</f>
        <v/>
      </c>
      <c r="Q142" s="355" t="str">
        <f>IF(Q$3&lt;=time,'Attributable fraction'!AP86*(1+Economics!$B$4)^(Q$3-$B$3)/((1+Economics!$B$3)^(Q$3-$B$3)),"")</f>
        <v/>
      </c>
      <c r="R142" s="355" t="str">
        <f>IF(R$3&lt;=time,'Attributable fraction'!AQ86*(1+Economics!$B$4)^(R$3-$B$3)/((1+Economics!$B$3)^(R$3-$B$3)),"")</f>
        <v/>
      </c>
      <c r="S142" s="355" t="str">
        <f>IF(S$3&lt;=time,'Attributable fraction'!AR86*(1+Economics!$B$4)^(S$3-$B$3)/((1+Economics!$B$3)^(S$3-$B$3)),"")</f>
        <v/>
      </c>
      <c r="T142" s="355" t="str">
        <f>IF(T$3&lt;=time,'Attributable fraction'!AS86*(1+Economics!$B$4)^(T$3-$B$3)/((1+Economics!$B$3)^(T$3-$B$3)),"")</f>
        <v/>
      </c>
      <c r="U142" s="355" t="str">
        <f>IF(U$3&lt;=time,'Attributable fraction'!AT86*(1+Economics!$B$4)^(U$3-$B$3)/((1+Economics!$B$3)^(U$3-$B$3)),"")</f>
        <v/>
      </c>
      <c r="V142" s="355" t="str">
        <f>IF(V$3&lt;=time,'Attributable fraction'!AU86*(1+Economics!$B$4)^(V$3-$B$3)/((1+Economics!$B$3)^(V$3-$B$3)),"")</f>
        <v/>
      </c>
      <c r="W142" s="355" t="str">
        <f>IF(W$3&lt;=time,'Attributable fraction'!AV86*(1+Economics!$B$4)^(W$3-$B$3)/((1+Economics!$B$3)^(W$3-$B$3)),"")</f>
        <v/>
      </c>
      <c r="X142" s="355" t="str">
        <f>IF(X$3&lt;=time,'Attributable fraction'!AW86*(1+Economics!$B$4)^(X$3-$B$3)/((1+Economics!$B$3)^(X$3-$B$3)),"")</f>
        <v/>
      </c>
      <c r="Y142" s="355" t="str">
        <f>IF(Y$3&lt;=time,'Attributable fraction'!AX86*(1+Economics!$B$4)^(Y$3-$B$3)/((1+Economics!$B$3)^(Y$3-$B$3)),"")</f>
        <v/>
      </c>
      <c r="Z142" s="356" t="str">
        <f>IF(Z$3&lt;=time,'Attributable fraction'!AY86*(1+Economics!$B$4)^(Z$3-$B$3)/((1+Economics!$B$3)^(Z$3-$B$3)),"")</f>
        <v/>
      </c>
      <c r="AC142" s="142">
        <f t="shared" si="26"/>
        <v>0</v>
      </c>
      <c r="AE142" s="376">
        <v>9</v>
      </c>
      <c r="AF142" s="176" t="e">
        <f t="array" ref="AF142">STDEV(IF(B142:Z142&lt;&gt;0,B142:Z142))</f>
        <v>#DIV/0!</v>
      </c>
      <c r="AG142" s="176">
        <v>1.96</v>
      </c>
      <c r="AH142" s="176" t="e">
        <f t="shared" si="27"/>
        <v>#DIV/0!</v>
      </c>
      <c r="AI142" s="176">
        <f t="shared" si="25"/>
        <v>0</v>
      </c>
    </row>
    <row r="143" spans="1:35" hidden="1">
      <c r="A143" s="378" t="str">
        <f>Costs!A87</f>
        <v>Supplies 10</v>
      </c>
      <c r="B143" s="355">
        <f>IF(B$3&lt;=time,'Attributable fraction'!AA87*(1+Economics!$B$4)^(B$3-$B$3)/((1+Economics!$B$3)^(B$3-$B$3)),"")</f>
        <v>0</v>
      </c>
      <c r="C143" s="355">
        <f>IF(C$3&lt;=time,'Attributable fraction'!AB87*(1+Economics!$B$4)^(C$3-$B$3)/((1+Economics!$B$3)^(C$3-$B$3)),"")</f>
        <v>0</v>
      </c>
      <c r="D143" s="355">
        <f>IF(D$3&lt;=time,'Attributable fraction'!AC87*(1+Economics!$B$4)^(D$3-$B$3)/((1+Economics!$B$3)^(D$3-$B$3)),"")</f>
        <v>0</v>
      </c>
      <c r="E143" s="355">
        <f>IF(E$3&lt;=time,'Attributable fraction'!AD87*(1+Economics!$B$4)^(E$3-$B$3)/((1+Economics!$B$3)^(E$3-$B$3)),"")</f>
        <v>0</v>
      </c>
      <c r="F143" s="355">
        <f>IF(F$3&lt;=time,'Attributable fraction'!AE87*(1+Economics!$B$4)^(F$3-$B$3)/((1+Economics!$B$3)^(F$3-$B$3)),"")</f>
        <v>0</v>
      </c>
      <c r="G143" s="355" t="str">
        <f>IF(G$3&lt;=time,'Attributable fraction'!AF87*(1+Economics!$B$4)^(G$3-$B$3)/((1+Economics!$B$3)^(G$3-$B$3)),"")</f>
        <v/>
      </c>
      <c r="H143" s="355" t="str">
        <f>IF(H$3&lt;=time,'Attributable fraction'!AG87*(1+Economics!$B$4)^(H$3-$B$3)/((1+Economics!$B$3)^(H$3-$B$3)),"")</f>
        <v/>
      </c>
      <c r="I143" s="355" t="str">
        <f>IF(I$3&lt;=time,'Attributable fraction'!AH87*(1+Economics!$B$4)^(I$3-$B$3)/((1+Economics!$B$3)^(I$3-$B$3)),"")</f>
        <v/>
      </c>
      <c r="J143" s="355" t="str">
        <f>IF(J$3&lt;=time,'Attributable fraction'!AI87*(1+Economics!$B$4)^(J$3-$B$3)/((1+Economics!$B$3)^(J$3-$B$3)),"")</f>
        <v/>
      </c>
      <c r="K143" s="355" t="str">
        <f>IF(K$3&lt;=time,'Attributable fraction'!AJ87*(1+Economics!$B$4)^(K$3-$B$3)/((1+Economics!$B$3)^(K$3-$B$3)),"")</f>
        <v/>
      </c>
      <c r="L143" s="355" t="str">
        <f>IF(L$3&lt;=time,'Attributable fraction'!AK87*(1+Economics!$B$4)^(L$3-$B$3)/((1+Economics!$B$3)^(L$3-$B$3)),"")</f>
        <v/>
      </c>
      <c r="M143" s="355" t="str">
        <f>IF(M$3&lt;=time,'Attributable fraction'!AL87*(1+Economics!$B$4)^(M$3-$B$3)/((1+Economics!$B$3)^(M$3-$B$3)),"")</f>
        <v/>
      </c>
      <c r="N143" s="355" t="str">
        <f>IF(N$3&lt;=time,'Attributable fraction'!AM87*(1+Economics!$B$4)^(N$3-$B$3)/((1+Economics!$B$3)^(N$3-$B$3)),"")</f>
        <v/>
      </c>
      <c r="O143" s="355" t="str">
        <f>IF(O$3&lt;=time,'Attributable fraction'!AN87*(1+Economics!$B$4)^(O$3-$B$3)/((1+Economics!$B$3)^(O$3-$B$3)),"")</f>
        <v/>
      </c>
      <c r="P143" s="355" t="str">
        <f>IF(P$3&lt;=time,'Attributable fraction'!AO87*(1+Economics!$B$4)^(P$3-$B$3)/((1+Economics!$B$3)^(P$3-$B$3)),"")</f>
        <v/>
      </c>
      <c r="Q143" s="355" t="str">
        <f>IF(Q$3&lt;=time,'Attributable fraction'!AP87*(1+Economics!$B$4)^(Q$3-$B$3)/((1+Economics!$B$3)^(Q$3-$B$3)),"")</f>
        <v/>
      </c>
      <c r="R143" s="355" t="str">
        <f>IF(R$3&lt;=time,'Attributable fraction'!AQ87*(1+Economics!$B$4)^(R$3-$B$3)/((1+Economics!$B$3)^(R$3-$B$3)),"")</f>
        <v/>
      </c>
      <c r="S143" s="355" t="str">
        <f>IF(S$3&lt;=time,'Attributable fraction'!AR87*(1+Economics!$B$4)^(S$3-$B$3)/((1+Economics!$B$3)^(S$3-$B$3)),"")</f>
        <v/>
      </c>
      <c r="T143" s="355" t="str">
        <f>IF(T$3&lt;=time,'Attributable fraction'!AS87*(1+Economics!$B$4)^(T$3-$B$3)/((1+Economics!$B$3)^(T$3-$B$3)),"")</f>
        <v/>
      </c>
      <c r="U143" s="355" t="str">
        <f>IF(U$3&lt;=time,'Attributable fraction'!AT87*(1+Economics!$B$4)^(U$3-$B$3)/((1+Economics!$B$3)^(U$3-$B$3)),"")</f>
        <v/>
      </c>
      <c r="V143" s="355" t="str">
        <f>IF(V$3&lt;=time,'Attributable fraction'!AU87*(1+Economics!$B$4)^(V$3-$B$3)/((1+Economics!$B$3)^(V$3-$B$3)),"")</f>
        <v/>
      </c>
      <c r="W143" s="355" t="str">
        <f>IF(W$3&lt;=time,'Attributable fraction'!AV87*(1+Economics!$B$4)^(W$3-$B$3)/((1+Economics!$B$3)^(W$3-$B$3)),"")</f>
        <v/>
      </c>
      <c r="X143" s="355" t="str">
        <f>IF(X$3&lt;=time,'Attributable fraction'!AW87*(1+Economics!$B$4)^(X$3-$B$3)/((1+Economics!$B$3)^(X$3-$B$3)),"")</f>
        <v/>
      </c>
      <c r="Y143" s="355" t="str">
        <f>IF(Y$3&lt;=time,'Attributable fraction'!AX87*(1+Economics!$B$4)^(Y$3-$B$3)/((1+Economics!$B$3)^(Y$3-$B$3)),"")</f>
        <v/>
      </c>
      <c r="Z143" s="356" t="str">
        <f>IF(Z$3&lt;=time,'Attributable fraction'!AY87*(1+Economics!$B$4)^(Z$3-$B$3)/((1+Economics!$B$3)^(Z$3-$B$3)),"")</f>
        <v/>
      </c>
      <c r="AC143" s="142">
        <f t="shared" si="26"/>
        <v>0</v>
      </c>
      <c r="AE143" s="376">
        <v>10</v>
      </c>
      <c r="AF143" s="176" t="e">
        <f t="array" ref="AF143">STDEV(IF(B143:Z143&lt;&gt;0,B143:Z143))</f>
        <v>#DIV/0!</v>
      </c>
      <c r="AG143" s="176">
        <v>1.96</v>
      </c>
      <c r="AH143" s="176" t="e">
        <f t="shared" si="27"/>
        <v>#DIV/0!</v>
      </c>
      <c r="AI143" s="176">
        <f t="shared" si="25"/>
        <v>0</v>
      </c>
    </row>
    <row r="144" spans="1:35" s="196" customFormat="1" ht="18" hidden="1">
      <c r="A144" s="290" t="s">
        <v>194</v>
      </c>
      <c r="B144" s="255"/>
      <c r="C144" s="255"/>
      <c r="D144" s="255"/>
      <c r="E144" s="255"/>
      <c r="F144" s="255"/>
      <c r="G144" s="255"/>
      <c r="H144" s="255"/>
      <c r="I144" s="255"/>
      <c r="J144" s="255"/>
      <c r="K144" s="255"/>
      <c r="L144" s="255"/>
      <c r="M144" s="255"/>
      <c r="N144" s="255"/>
      <c r="O144" s="255"/>
      <c r="P144" s="255"/>
      <c r="Q144" s="255"/>
      <c r="R144" s="255"/>
      <c r="S144" s="255"/>
      <c r="T144" s="255"/>
      <c r="U144" s="255"/>
      <c r="V144" s="255"/>
      <c r="W144" s="255"/>
      <c r="X144" s="255"/>
      <c r="Y144" s="255"/>
      <c r="Z144" s="377"/>
      <c r="AB144" s="114"/>
      <c r="AD144" s="114"/>
    </row>
    <row r="145" spans="1:35" hidden="1">
      <c r="A145" s="378" t="str">
        <f>Costs!A89</f>
        <v>Services 1</v>
      </c>
      <c r="B145" s="355">
        <f>IF(B$3&lt;=time,'Attributable fraction'!AA89*(1+Economics!$B$4)^(B$3-$B$3)/((1+Economics!$B$3)^(B$3-$B$3)),"")</f>
        <v>0</v>
      </c>
      <c r="C145" s="355">
        <f>IF(C$3&lt;=time,'Attributable fraction'!AB89*(1+Economics!$B$4)^(C$3-$B$3)/((1+Economics!$B$3)^(C$3-$B$3)),"")</f>
        <v>0</v>
      </c>
      <c r="D145" s="355">
        <f>IF(D$3&lt;=time,'Attributable fraction'!AC89*(1+Economics!$B$4)^(D$3-$B$3)/((1+Economics!$B$3)^(D$3-$B$3)),"")</f>
        <v>0</v>
      </c>
      <c r="E145" s="355">
        <f>IF(E$3&lt;=time,'Attributable fraction'!AD89*(1+Economics!$B$4)^(E$3-$B$3)/((1+Economics!$B$3)^(E$3-$B$3)),"")</f>
        <v>0</v>
      </c>
      <c r="F145" s="355">
        <f>IF(F$3&lt;=time,'Attributable fraction'!AE89*(1+Economics!$B$4)^(F$3-$B$3)/((1+Economics!$B$3)^(F$3-$B$3)),"")</f>
        <v>0</v>
      </c>
      <c r="G145" s="355" t="str">
        <f>IF(G$3&lt;=time,'Attributable fraction'!AF89*(1+Economics!$B$4)^(G$3-$B$3)/((1+Economics!$B$3)^(G$3-$B$3)),"")</f>
        <v/>
      </c>
      <c r="H145" s="355" t="str">
        <f>IF(H$3&lt;=time,'Attributable fraction'!AG89*(1+Economics!$B$4)^(H$3-$B$3)/((1+Economics!$B$3)^(H$3-$B$3)),"")</f>
        <v/>
      </c>
      <c r="I145" s="355" t="str">
        <f>IF(I$3&lt;=time,'Attributable fraction'!AH89*(1+Economics!$B$4)^(I$3-$B$3)/((1+Economics!$B$3)^(I$3-$B$3)),"")</f>
        <v/>
      </c>
      <c r="J145" s="355" t="str">
        <f>IF(J$3&lt;=time,'Attributable fraction'!AI89*(1+Economics!$B$4)^(J$3-$B$3)/((1+Economics!$B$3)^(J$3-$B$3)),"")</f>
        <v/>
      </c>
      <c r="K145" s="355" t="str">
        <f>IF(K$3&lt;=time,'Attributable fraction'!AJ89*(1+Economics!$B$4)^(K$3-$B$3)/((1+Economics!$B$3)^(K$3-$B$3)),"")</f>
        <v/>
      </c>
      <c r="L145" s="355" t="str">
        <f>IF(L$3&lt;=time,'Attributable fraction'!AK89*(1+Economics!$B$4)^(L$3-$B$3)/((1+Economics!$B$3)^(L$3-$B$3)),"")</f>
        <v/>
      </c>
      <c r="M145" s="355" t="str">
        <f>IF(M$3&lt;=time,'Attributable fraction'!AL89*(1+Economics!$B$4)^(M$3-$B$3)/((1+Economics!$B$3)^(M$3-$B$3)),"")</f>
        <v/>
      </c>
      <c r="N145" s="355" t="str">
        <f>IF(N$3&lt;=time,'Attributable fraction'!AM89*(1+Economics!$B$4)^(N$3-$B$3)/((1+Economics!$B$3)^(N$3-$B$3)),"")</f>
        <v/>
      </c>
      <c r="O145" s="355" t="str">
        <f>IF(O$3&lt;=time,'Attributable fraction'!AN89*(1+Economics!$B$4)^(O$3-$B$3)/((1+Economics!$B$3)^(O$3-$B$3)),"")</f>
        <v/>
      </c>
      <c r="P145" s="355" t="str">
        <f>IF(P$3&lt;=time,'Attributable fraction'!AO89*(1+Economics!$B$4)^(P$3-$B$3)/((1+Economics!$B$3)^(P$3-$B$3)),"")</f>
        <v/>
      </c>
      <c r="Q145" s="355" t="str">
        <f>IF(Q$3&lt;=time,'Attributable fraction'!AP89*(1+Economics!$B$4)^(Q$3-$B$3)/((1+Economics!$B$3)^(Q$3-$B$3)),"")</f>
        <v/>
      </c>
      <c r="R145" s="355" t="str">
        <f>IF(R$3&lt;=time,'Attributable fraction'!AQ89*(1+Economics!$B$4)^(R$3-$B$3)/((1+Economics!$B$3)^(R$3-$B$3)),"")</f>
        <v/>
      </c>
      <c r="S145" s="355" t="str">
        <f>IF(S$3&lt;=time,'Attributable fraction'!AR89*(1+Economics!$B$4)^(S$3-$B$3)/((1+Economics!$B$3)^(S$3-$B$3)),"")</f>
        <v/>
      </c>
      <c r="T145" s="355" t="str">
        <f>IF(T$3&lt;=time,'Attributable fraction'!AS89*(1+Economics!$B$4)^(T$3-$B$3)/((1+Economics!$B$3)^(T$3-$B$3)),"")</f>
        <v/>
      </c>
      <c r="U145" s="355" t="str">
        <f>IF(U$3&lt;=time,'Attributable fraction'!AT89*(1+Economics!$B$4)^(U$3-$B$3)/((1+Economics!$B$3)^(U$3-$B$3)),"")</f>
        <v/>
      </c>
      <c r="V145" s="355" t="str">
        <f>IF(V$3&lt;=time,'Attributable fraction'!AU89*(1+Economics!$B$4)^(V$3-$B$3)/((1+Economics!$B$3)^(V$3-$B$3)),"")</f>
        <v/>
      </c>
      <c r="W145" s="355" t="str">
        <f>IF(W$3&lt;=time,'Attributable fraction'!AV89*(1+Economics!$B$4)^(W$3-$B$3)/((1+Economics!$B$3)^(W$3-$B$3)),"")</f>
        <v/>
      </c>
      <c r="X145" s="355" t="str">
        <f>IF(X$3&lt;=time,'Attributable fraction'!AW89*(1+Economics!$B$4)^(X$3-$B$3)/((1+Economics!$B$3)^(X$3-$B$3)),"")</f>
        <v/>
      </c>
      <c r="Y145" s="355" t="str">
        <f>IF(Y$3&lt;=time,'Attributable fraction'!AX89*(1+Economics!$B$4)^(Y$3-$B$3)/((1+Economics!$B$3)^(Y$3-$B$3)),"")</f>
        <v/>
      </c>
      <c r="Z145" s="356" t="str">
        <f>IF(Z$3&lt;=time,'Attributable fraction'!AY89*(1+Economics!$B$4)^(Z$3-$B$3)/((1+Economics!$B$3)^(Z$3-$B$3)),"")</f>
        <v/>
      </c>
      <c r="AC145" s="142">
        <f t="shared" ref="AC145:AC154" si="28">(SUM(IF(ISERROR(Z145),"0",Z145),IF(ISERROR(Y145),"0",Y145),IF(ISERROR(X145),"0",X145),IF(ISERROR(W145),"0",W145),IF(ISERROR(V145),"0",V145),IF(ISERROR(U145),"0",U145),IF(ISERROR(T145),"0",T145),IF(ISERROR(S145),"0",S145),IF(ISERROR(R145),"0",R145),IF(ISERROR(Q145),"0",Q145), IF(ISERROR(P145),"0",P145),IF(ISERROR(O145),"0",O145),IF(ISERROR(N145),"0",N145),IF(ISERROR(M145),"0",M145),IF(ISERROR(L145),"0",L145),IF(ISERROR(K145),"0",K145),IF(ISERROR(J145),"0",J145),IF(ISERROR(I145),"0",I145),IF(ISERROR(H145),"0",H145),IF(ISERROR(G145),"0",G145),IF(ISERROR(F145),"0",F145),IF(ISERROR(E145),"0",E145),IF(ISERROR(D145),"0",D145),IF(ISERROR(C145),"0",C145),IF(ISERROR(B145),"0",B145)))/time</f>
        <v>0</v>
      </c>
      <c r="AE145" s="375">
        <v>1</v>
      </c>
      <c r="AF145" s="176" t="e">
        <f t="array" ref="AF145">STDEV(IF(B145:Z145&lt;&gt;0,B145:Z145))</f>
        <v>#DIV/0!</v>
      </c>
      <c r="AG145" s="176">
        <v>1.96</v>
      </c>
      <c r="AH145" s="176" t="e">
        <f t="shared" ref="AH145:AH154" si="29">(AG145*AF145)/(time^0.5)</f>
        <v>#DIV/0!</v>
      </c>
      <c r="AI145" s="176">
        <f t="shared" si="25"/>
        <v>0</v>
      </c>
    </row>
    <row r="146" spans="1:35" hidden="1">
      <c r="A146" s="378" t="str">
        <f>Costs!A90</f>
        <v>Services 2</v>
      </c>
      <c r="B146" s="355">
        <f>IF(B$3&lt;=time,'Attributable fraction'!AA90*(1+Economics!$B$4)^(B$3-$B$3)/((1+Economics!$B$3)^(B$3-$B$3)),"")</f>
        <v>0</v>
      </c>
      <c r="C146" s="355">
        <f>IF(C$3&lt;=time,'Attributable fraction'!AB90*(1+Economics!$B$4)^(C$3-$B$3)/((1+Economics!$B$3)^(C$3-$B$3)),"")</f>
        <v>0</v>
      </c>
      <c r="D146" s="355">
        <f>IF(D$3&lt;=time,'Attributable fraction'!AC90*(1+Economics!$B$4)^(D$3-$B$3)/((1+Economics!$B$3)^(D$3-$B$3)),"")</f>
        <v>0</v>
      </c>
      <c r="E146" s="355">
        <f>IF(E$3&lt;=time,'Attributable fraction'!AD90*(1+Economics!$B$4)^(E$3-$B$3)/((1+Economics!$B$3)^(E$3-$B$3)),"")</f>
        <v>0</v>
      </c>
      <c r="F146" s="355">
        <f>IF(F$3&lt;=time,'Attributable fraction'!AE90*(1+Economics!$B$4)^(F$3-$B$3)/((1+Economics!$B$3)^(F$3-$B$3)),"")</f>
        <v>0</v>
      </c>
      <c r="G146" s="355" t="str">
        <f>IF(G$3&lt;=time,'Attributable fraction'!AF90*(1+Economics!$B$4)^(G$3-$B$3)/((1+Economics!$B$3)^(G$3-$B$3)),"")</f>
        <v/>
      </c>
      <c r="H146" s="355" t="str">
        <f>IF(H$3&lt;=time,'Attributable fraction'!AG90*(1+Economics!$B$4)^(H$3-$B$3)/((1+Economics!$B$3)^(H$3-$B$3)),"")</f>
        <v/>
      </c>
      <c r="I146" s="355" t="str">
        <f>IF(I$3&lt;=time,'Attributable fraction'!AH90*(1+Economics!$B$4)^(I$3-$B$3)/((1+Economics!$B$3)^(I$3-$B$3)),"")</f>
        <v/>
      </c>
      <c r="J146" s="355" t="str">
        <f>IF(J$3&lt;=time,'Attributable fraction'!AI90*(1+Economics!$B$4)^(J$3-$B$3)/((1+Economics!$B$3)^(J$3-$B$3)),"")</f>
        <v/>
      </c>
      <c r="K146" s="355" t="str">
        <f>IF(K$3&lt;=time,'Attributable fraction'!AJ90*(1+Economics!$B$4)^(K$3-$B$3)/((1+Economics!$B$3)^(K$3-$B$3)),"")</f>
        <v/>
      </c>
      <c r="L146" s="355" t="str">
        <f>IF(L$3&lt;=time,'Attributable fraction'!AK90*(1+Economics!$B$4)^(L$3-$B$3)/((1+Economics!$B$3)^(L$3-$B$3)),"")</f>
        <v/>
      </c>
      <c r="M146" s="355" t="str">
        <f>IF(M$3&lt;=time,'Attributable fraction'!AL90*(1+Economics!$B$4)^(M$3-$B$3)/((1+Economics!$B$3)^(M$3-$B$3)),"")</f>
        <v/>
      </c>
      <c r="N146" s="355" t="str">
        <f>IF(N$3&lt;=time,'Attributable fraction'!AM90*(1+Economics!$B$4)^(N$3-$B$3)/((1+Economics!$B$3)^(N$3-$B$3)),"")</f>
        <v/>
      </c>
      <c r="O146" s="355" t="str">
        <f>IF(O$3&lt;=time,'Attributable fraction'!AN90*(1+Economics!$B$4)^(O$3-$B$3)/((1+Economics!$B$3)^(O$3-$B$3)),"")</f>
        <v/>
      </c>
      <c r="P146" s="355" t="str">
        <f>IF(P$3&lt;=time,'Attributable fraction'!AO90*(1+Economics!$B$4)^(P$3-$B$3)/((1+Economics!$B$3)^(P$3-$B$3)),"")</f>
        <v/>
      </c>
      <c r="Q146" s="355" t="str">
        <f>IF(Q$3&lt;=time,'Attributable fraction'!AP90*(1+Economics!$B$4)^(Q$3-$B$3)/((1+Economics!$B$3)^(Q$3-$B$3)),"")</f>
        <v/>
      </c>
      <c r="R146" s="355" t="str">
        <f>IF(R$3&lt;=time,'Attributable fraction'!AQ90*(1+Economics!$B$4)^(R$3-$B$3)/((1+Economics!$B$3)^(R$3-$B$3)),"")</f>
        <v/>
      </c>
      <c r="S146" s="355" t="str">
        <f>IF(S$3&lt;=time,'Attributable fraction'!AR90*(1+Economics!$B$4)^(S$3-$B$3)/((1+Economics!$B$3)^(S$3-$B$3)),"")</f>
        <v/>
      </c>
      <c r="T146" s="355" t="str">
        <f>IF(T$3&lt;=time,'Attributable fraction'!AS90*(1+Economics!$B$4)^(T$3-$B$3)/((1+Economics!$B$3)^(T$3-$B$3)),"")</f>
        <v/>
      </c>
      <c r="U146" s="355" t="str">
        <f>IF(U$3&lt;=time,'Attributable fraction'!AT90*(1+Economics!$B$4)^(U$3-$B$3)/((1+Economics!$B$3)^(U$3-$B$3)),"")</f>
        <v/>
      </c>
      <c r="V146" s="355" t="str">
        <f>IF(V$3&lt;=time,'Attributable fraction'!AU90*(1+Economics!$B$4)^(V$3-$B$3)/((1+Economics!$B$3)^(V$3-$B$3)),"")</f>
        <v/>
      </c>
      <c r="W146" s="355" t="str">
        <f>IF(W$3&lt;=time,'Attributable fraction'!AV90*(1+Economics!$B$4)^(W$3-$B$3)/((1+Economics!$B$3)^(W$3-$B$3)),"")</f>
        <v/>
      </c>
      <c r="X146" s="355" t="str">
        <f>IF(X$3&lt;=time,'Attributable fraction'!AW90*(1+Economics!$B$4)^(X$3-$B$3)/((1+Economics!$B$3)^(X$3-$B$3)),"")</f>
        <v/>
      </c>
      <c r="Y146" s="355" t="str">
        <f>IF(Y$3&lt;=time,'Attributable fraction'!AX90*(1+Economics!$B$4)^(Y$3-$B$3)/((1+Economics!$B$3)^(Y$3-$B$3)),"")</f>
        <v/>
      </c>
      <c r="Z146" s="356" t="str">
        <f>IF(Z$3&lt;=time,'Attributable fraction'!AY90*(1+Economics!$B$4)^(Z$3-$B$3)/((1+Economics!$B$3)^(Z$3-$B$3)),"")</f>
        <v/>
      </c>
      <c r="AC146" s="142">
        <f t="shared" si="28"/>
        <v>0</v>
      </c>
      <c r="AE146" s="376">
        <v>2</v>
      </c>
      <c r="AF146" s="176" t="e">
        <f t="array" ref="AF146">STDEV(IF(B146:Z146&lt;&gt;0,B146:Z146))</f>
        <v>#DIV/0!</v>
      </c>
      <c r="AG146" s="176">
        <v>1.96</v>
      </c>
      <c r="AH146" s="176" t="e">
        <f t="shared" si="29"/>
        <v>#DIV/0!</v>
      </c>
      <c r="AI146" s="176">
        <f t="shared" si="25"/>
        <v>0</v>
      </c>
    </row>
    <row r="147" spans="1:35" hidden="1">
      <c r="A147" s="378" t="str">
        <f>Costs!A91</f>
        <v>Services 3</v>
      </c>
      <c r="B147" s="355">
        <f>IF(B$3&lt;=time,'Attributable fraction'!AA91*(1+Economics!$B$4)^(B$3-$B$3)/((1+Economics!$B$3)^(B$3-$B$3)),"")</f>
        <v>0</v>
      </c>
      <c r="C147" s="355">
        <f>IF(C$3&lt;=time,'Attributable fraction'!AB91*(1+Economics!$B$4)^(C$3-$B$3)/((1+Economics!$B$3)^(C$3-$B$3)),"")</f>
        <v>0</v>
      </c>
      <c r="D147" s="355">
        <f>IF(D$3&lt;=time,'Attributable fraction'!AC91*(1+Economics!$B$4)^(D$3-$B$3)/((1+Economics!$B$3)^(D$3-$B$3)),"")</f>
        <v>0</v>
      </c>
      <c r="E147" s="355">
        <f>IF(E$3&lt;=time,'Attributable fraction'!AD91*(1+Economics!$B$4)^(E$3-$B$3)/((1+Economics!$B$3)^(E$3-$B$3)),"")</f>
        <v>0</v>
      </c>
      <c r="F147" s="355">
        <f>IF(F$3&lt;=time,'Attributable fraction'!AE91*(1+Economics!$B$4)^(F$3-$B$3)/((1+Economics!$B$3)^(F$3-$B$3)),"")</f>
        <v>0</v>
      </c>
      <c r="G147" s="355" t="str">
        <f>IF(G$3&lt;=time,'Attributable fraction'!AF91*(1+Economics!$B$4)^(G$3-$B$3)/((1+Economics!$B$3)^(G$3-$B$3)),"")</f>
        <v/>
      </c>
      <c r="H147" s="355" t="str">
        <f>IF(H$3&lt;=time,'Attributable fraction'!AG91*(1+Economics!$B$4)^(H$3-$B$3)/((1+Economics!$B$3)^(H$3-$B$3)),"")</f>
        <v/>
      </c>
      <c r="I147" s="355" t="str">
        <f>IF(I$3&lt;=time,'Attributable fraction'!AH91*(1+Economics!$B$4)^(I$3-$B$3)/((1+Economics!$B$3)^(I$3-$B$3)),"")</f>
        <v/>
      </c>
      <c r="J147" s="355" t="str">
        <f>IF(J$3&lt;=time,'Attributable fraction'!AI91*(1+Economics!$B$4)^(J$3-$B$3)/((1+Economics!$B$3)^(J$3-$B$3)),"")</f>
        <v/>
      </c>
      <c r="K147" s="355" t="str">
        <f>IF(K$3&lt;=time,'Attributable fraction'!AJ91*(1+Economics!$B$4)^(K$3-$B$3)/((1+Economics!$B$3)^(K$3-$B$3)),"")</f>
        <v/>
      </c>
      <c r="L147" s="355" t="str">
        <f>IF(L$3&lt;=time,'Attributable fraction'!AK91*(1+Economics!$B$4)^(L$3-$B$3)/((1+Economics!$B$3)^(L$3-$B$3)),"")</f>
        <v/>
      </c>
      <c r="M147" s="355" t="str">
        <f>IF(M$3&lt;=time,'Attributable fraction'!AL91*(1+Economics!$B$4)^(M$3-$B$3)/((1+Economics!$B$3)^(M$3-$B$3)),"")</f>
        <v/>
      </c>
      <c r="N147" s="355" t="str">
        <f>IF(N$3&lt;=time,'Attributable fraction'!AM91*(1+Economics!$B$4)^(N$3-$B$3)/((1+Economics!$B$3)^(N$3-$B$3)),"")</f>
        <v/>
      </c>
      <c r="O147" s="355" t="str">
        <f>IF(O$3&lt;=time,'Attributable fraction'!AN91*(1+Economics!$B$4)^(O$3-$B$3)/((1+Economics!$B$3)^(O$3-$B$3)),"")</f>
        <v/>
      </c>
      <c r="P147" s="355" t="str">
        <f>IF(P$3&lt;=time,'Attributable fraction'!AO91*(1+Economics!$B$4)^(P$3-$B$3)/((1+Economics!$B$3)^(P$3-$B$3)),"")</f>
        <v/>
      </c>
      <c r="Q147" s="355" t="str">
        <f>IF(Q$3&lt;=time,'Attributable fraction'!AP91*(1+Economics!$B$4)^(Q$3-$B$3)/((1+Economics!$B$3)^(Q$3-$B$3)),"")</f>
        <v/>
      </c>
      <c r="R147" s="355" t="str">
        <f>IF(R$3&lt;=time,'Attributable fraction'!AQ91*(1+Economics!$B$4)^(R$3-$B$3)/((1+Economics!$B$3)^(R$3-$B$3)),"")</f>
        <v/>
      </c>
      <c r="S147" s="355" t="str">
        <f>IF(S$3&lt;=time,'Attributable fraction'!AR91*(1+Economics!$B$4)^(S$3-$B$3)/((1+Economics!$B$3)^(S$3-$B$3)),"")</f>
        <v/>
      </c>
      <c r="T147" s="355" t="str">
        <f>IF(T$3&lt;=time,'Attributable fraction'!AS91*(1+Economics!$B$4)^(T$3-$B$3)/((1+Economics!$B$3)^(T$3-$B$3)),"")</f>
        <v/>
      </c>
      <c r="U147" s="355" t="str">
        <f>IF(U$3&lt;=time,'Attributable fraction'!AT91*(1+Economics!$B$4)^(U$3-$B$3)/((1+Economics!$B$3)^(U$3-$B$3)),"")</f>
        <v/>
      </c>
      <c r="V147" s="355" t="str">
        <f>IF(V$3&lt;=time,'Attributable fraction'!AU91*(1+Economics!$B$4)^(V$3-$B$3)/((1+Economics!$B$3)^(V$3-$B$3)),"")</f>
        <v/>
      </c>
      <c r="W147" s="355" t="str">
        <f>IF(W$3&lt;=time,'Attributable fraction'!AV91*(1+Economics!$B$4)^(W$3-$B$3)/((1+Economics!$B$3)^(W$3-$B$3)),"")</f>
        <v/>
      </c>
      <c r="X147" s="355" t="str">
        <f>IF(X$3&lt;=time,'Attributable fraction'!AW91*(1+Economics!$B$4)^(X$3-$B$3)/((1+Economics!$B$3)^(X$3-$B$3)),"")</f>
        <v/>
      </c>
      <c r="Y147" s="355" t="str">
        <f>IF(Y$3&lt;=time,'Attributable fraction'!AX91*(1+Economics!$B$4)^(Y$3-$B$3)/((1+Economics!$B$3)^(Y$3-$B$3)),"")</f>
        <v/>
      </c>
      <c r="Z147" s="356" t="str">
        <f>IF(Z$3&lt;=time,'Attributable fraction'!AY91*(1+Economics!$B$4)^(Z$3-$B$3)/((1+Economics!$B$3)^(Z$3-$B$3)),"")</f>
        <v/>
      </c>
      <c r="AC147" s="142">
        <f t="shared" si="28"/>
        <v>0</v>
      </c>
      <c r="AE147" s="376">
        <v>3</v>
      </c>
      <c r="AF147" s="176" t="e">
        <f t="array" ref="AF147">STDEV(IF(B147:Z147&lt;&gt;0,B147:Z147))</f>
        <v>#DIV/0!</v>
      </c>
      <c r="AG147" s="176">
        <v>1.96</v>
      </c>
      <c r="AH147" s="176" t="e">
        <f t="shared" si="29"/>
        <v>#DIV/0!</v>
      </c>
      <c r="AI147" s="176">
        <f t="shared" si="25"/>
        <v>0</v>
      </c>
    </row>
    <row r="148" spans="1:35" hidden="1">
      <c r="A148" s="378" t="str">
        <f>Costs!A92</f>
        <v>Services 4</v>
      </c>
      <c r="B148" s="355">
        <f>IF(B$3&lt;=time,'Attributable fraction'!AA92*(1+Economics!$B$4)^(B$3-$B$3)/((1+Economics!$B$3)^(B$3-$B$3)),"")</f>
        <v>0</v>
      </c>
      <c r="C148" s="355">
        <f>IF(C$3&lt;=time,'Attributable fraction'!AB92*(1+Economics!$B$4)^(C$3-$B$3)/((1+Economics!$B$3)^(C$3-$B$3)),"")</f>
        <v>0</v>
      </c>
      <c r="D148" s="355">
        <f>IF(D$3&lt;=time,'Attributable fraction'!AC92*(1+Economics!$B$4)^(D$3-$B$3)/((1+Economics!$B$3)^(D$3-$B$3)),"")</f>
        <v>0</v>
      </c>
      <c r="E148" s="355">
        <f>IF(E$3&lt;=time,'Attributable fraction'!AD92*(1+Economics!$B$4)^(E$3-$B$3)/((1+Economics!$B$3)^(E$3-$B$3)),"")</f>
        <v>0</v>
      </c>
      <c r="F148" s="355">
        <f>IF(F$3&lt;=time,'Attributable fraction'!AE92*(1+Economics!$B$4)^(F$3-$B$3)/((1+Economics!$B$3)^(F$3-$B$3)),"")</f>
        <v>0</v>
      </c>
      <c r="G148" s="355" t="str">
        <f>IF(G$3&lt;=time,'Attributable fraction'!AF92*(1+Economics!$B$4)^(G$3-$B$3)/((1+Economics!$B$3)^(G$3-$B$3)),"")</f>
        <v/>
      </c>
      <c r="H148" s="355" t="str">
        <f>IF(H$3&lt;=time,'Attributable fraction'!AG92*(1+Economics!$B$4)^(H$3-$B$3)/((1+Economics!$B$3)^(H$3-$B$3)),"")</f>
        <v/>
      </c>
      <c r="I148" s="355" t="str">
        <f>IF(I$3&lt;=time,'Attributable fraction'!AH92*(1+Economics!$B$4)^(I$3-$B$3)/((1+Economics!$B$3)^(I$3-$B$3)),"")</f>
        <v/>
      </c>
      <c r="J148" s="355" t="str">
        <f>IF(J$3&lt;=time,'Attributable fraction'!AI92*(1+Economics!$B$4)^(J$3-$B$3)/((1+Economics!$B$3)^(J$3-$B$3)),"")</f>
        <v/>
      </c>
      <c r="K148" s="355" t="str">
        <f>IF(K$3&lt;=time,'Attributable fraction'!AJ92*(1+Economics!$B$4)^(K$3-$B$3)/((1+Economics!$B$3)^(K$3-$B$3)),"")</f>
        <v/>
      </c>
      <c r="L148" s="355" t="str">
        <f>IF(L$3&lt;=time,'Attributable fraction'!AK92*(1+Economics!$B$4)^(L$3-$B$3)/((1+Economics!$B$3)^(L$3-$B$3)),"")</f>
        <v/>
      </c>
      <c r="M148" s="355" t="str">
        <f>IF(M$3&lt;=time,'Attributable fraction'!AL92*(1+Economics!$B$4)^(M$3-$B$3)/((1+Economics!$B$3)^(M$3-$B$3)),"")</f>
        <v/>
      </c>
      <c r="N148" s="355" t="str">
        <f>IF(N$3&lt;=time,'Attributable fraction'!AM92*(1+Economics!$B$4)^(N$3-$B$3)/((1+Economics!$B$3)^(N$3-$B$3)),"")</f>
        <v/>
      </c>
      <c r="O148" s="355" t="str">
        <f>IF(O$3&lt;=time,'Attributable fraction'!AN92*(1+Economics!$B$4)^(O$3-$B$3)/((1+Economics!$B$3)^(O$3-$B$3)),"")</f>
        <v/>
      </c>
      <c r="P148" s="355" t="str">
        <f>IF(P$3&lt;=time,'Attributable fraction'!AO92*(1+Economics!$B$4)^(P$3-$B$3)/((1+Economics!$B$3)^(P$3-$B$3)),"")</f>
        <v/>
      </c>
      <c r="Q148" s="355" t="str">
        <f>IF(Q$3&lt;=time,'Attributable fraction'!AP92*(1+Economics!$B$4)^(Q$3-$B$3)/((1+Economics!$B$3)^(Q$3-$B$3)),"")</f>
        <v/>
      </c>
      <c r="R148" s="355" t="str">
        <f>IF(R$3&lt;=time,'Attributable fraction'!AQ92*(1+Economics!$B$4)^(R$3-$B$3)/((1+Economics!$B$3)^(R$3-$B$3)),"")</f>
        <v/>
      </c>
      <c r="S148" s="355" t="str">
        <f>IF(S$3&lt;=time,'Attributable fraction'!AR92*(1+Economics!$B$4)^(S$3-$B$3)/((1+Economics!$B$3)^(S$3-$B$3)),"")</f>
        <v/>
      </c>
      <c r="T148" s="355" t="str">
        <f>IF(T$3&lt;=time,'Attributable fraction'!AS92*(1+Economics!$B$4)^(T$3-$B$3)/((1+Economics!$B$3)^(T$3-$B$3)),"")</f>
        <v/>
      </c>
      <c r="U148" s="355" t="str">
        <f>IF(U$3&lt;=time,'Attributable fraction'!AT92*(1+Economics!$B$4)^(U$3-$B$3)/((1+Economics!$B$3)^(U$3-$B$3)),"")</f>
        <v/>
      </c>
      <c r="V148" s="355" t="str">
        <f>IF(V$3&lt;=time,'Attributable fraction'!AU92*(1+Economics!$B$4)^(V$3-$B$3)/((1+Economics!$B$3)^(V$3-$B$3)),"")</f>
        <v/>
      </c>
      <c r="W148" s="355" t="str">
        <f>IF(W$3&lt;=time,'Attributable fraction'!AV92*(1+Economics!$B$4)^(W$3-$B$3)/((1+Economics!$B$3)^(W$3-$B$3)),"")</f>
        <v/>
      </c>
      <c r="X148" s="355" t="str">
        <f>IF(X$3&lt;=time,'Attributable fraction'!AW92*(1+Economics!$B$4)^(X$3-$B$3)/((1+Economics!$B$3)^(X$3-$B$3)),"")</f>
        <v/>
      </c>
      <c r="Y148" s="355" t="str">
        <f>IF(Y$3&lt;=time,'Attributable fraction'!AX92*(1+Economics!$B$4)^(Y$3-$B$3)/((1+Economics!$B$3)^(Y$3-$B$3)),"")</f>
        <v/>
      </c>
      <c r="Z148" s="356" t="str">
        <f>IF(Z$3&lt;=time,'Attributable fraction'!AY92*(1+Economics!$B$4)^(Z$3-$B$3)/((1+Economics!$B$3)^(Z$3-$B$3)),"")</f>
        <v/>
      </c>
      <c r="AC148" s="142">
        <f t="shared" si="28"/>
        <v>0</v>
      </c>
      <c r="AE148" s="376">
        <v>4</v>
      </c>
      <c r="AF148" s="176" t="e">
        <f t="array" ref="AF148">STDEV(IF(B148:Z148&lt;&gt;0,B148:Z148))</f>
        <v>#DIV/0!</v>
      </c>
      <c r="AG148" s="176">
        <v>1.96</v>
      </c>
      <c r="AH148" s="176" t="e">
        <f t="shared" si="29"/>
        <v>#DIV/0!</v>
      </c>
      <c r="AI148" s="176">
        <f t="shared" si="25"/>
        <v>0</v>
      </c>
    </row>
    <row r="149" spans="1:35" hidden="1">
      <c r="A149" s="378" t="str">
        <f>Costs!A93</f>
        <v>Services 5</v>
      </c>
      <c r="B149" s="355">
        <f>IF(B$3&lt;=time,'Attributable fraction'!AA93*(1+Economics!$B$4)^(B$3-$B$3)/((1+Economics!$B$3)^(B$3-$B$3)),"")</f>
        <v>0</v>
      </c>
      <c r="C149" s="355">
        <f>IF(C$3&lt;=time,'Attributable fraction'!AB93*(1+Economics!$B$4)^(C$3-$B$3)/((1+Economics!$B$3)^(C$3-$B$3)),"")</f>
        <v>0</v>
      </c>
      <c r="D149" s="355">
        <f>IF(D$3&lt;=time,'Attributable fraction'!AC93*(1+Economics!$B$4)^(D$3-$B$3)/((1+Economics!$B$3)^(D$3-$B$3)),"")</f>
        <v>0</v>
      </c>
      <c r="E149" s="355">
        <f>IF(E$3&lt;=time,'Attributable fraction'!AD93*(1+Economics!$B$4)^(E$3-$B$3)/((1+Economics!$B$3)^(E$3-$B$3)),"")</f>
        <v>0</v>
      </c>
      <c r="F149" s="355">
        <f>IF(F$3&lt;=time,'Attributable fraction'!AE93*(1+Economics!$B$4)^(F$3-$B$3)/((1+Economics!$B$3)^(F$3-$B$3)),"")</f>
        <v>0</v>
      </c>
      <c r="G149" s="355" t="str">
        <f>IF(G$3&lt;=time,'Attributable fraction'!AF93*(1+Economics!$B$4)^(G$3-$B$3)/((1+Economics!$B$3)^(G$3-$B$3)),"")</f>
        <v/>
      </c>
      <c r="H149" s="355" t="str">
        <f>IF(H$3&lt;=time,'Attributable fraction'!AG93*(1+Economics!$B$4)^(H$3-$B$3)/((1+Economics!$B$3)^(H$3-$B$3)),"")</f>
        <v/>
      </c>
      <c r="I149" s="355" t="str">
        <f>IF(I$3&lt;=time,'Attributable fraction'!AH93*(1+Economics!$B$4)^(I$3-$B$3)/((1+Economics!$B$3)^(I$3-$B$3)),"")</f>
        <v/>
      </c>
      <c r="J149" s="355" t="str">
        <f>IF(J$3&lt;=time,'Attributable fraction'!AI93*(1+Economics!$B$4)^(J$3-$B$3)/((1+Economics!$B$3)^(J$3-$B$3)),"")</f>
        <v/>
      </c>
      <c r="K149" s="355" t="str">
        <f>IF(K$3&lt;=time,'Attributable fraction'!AJ93*(1+Economics!$B$4)^(K$3-$B$3)/((1+Economics!$B$3)^(K$3-$B$3)),"")</f>
        <v/>
      </c>
      <c r="L149" s="355" t="str">
        <f>IF(L$3&lt;=time,'Attributable fraction'!AK93*(1+Economics!$B$4)^(L$3-$B$3)/((1+Economics!$B$3)^(L$3-$B$3)),"")</f>
        <v/>
      </c>
      <c r="M149" s="355" t="str">
        <f>IF(M$3&lt;=time,'Attributable fraction'!AL93*(1+Economics!$B$4)^(M$3-$B$3)/((1+Economics!$B$3)^(M$3-$B$3)),"")</f>
        <v/>
      </c>
      <c r="N149" s="355" t="str">
        <f>IF(N$3&lt;=time,'Attributable fraction'!AM93*(1+Economics!$B$4)^(N$3-$B$3)/((1+Economics!$B$3)^(N$3-$B$3)),"")</f>
        <v/>
      </c>
      <c r="O149" s="355" t="str">
        <f>IF(O$3&lt;=time,'Attributable fraction'!AN93*(1+Economics!$B$4)^(O$3-$B$3)/((1+Economics!$B$3)^(O$3-$B$3)),"")</f>
        <v/>
      </c>
      <c r="P149" s="355" t="str">
        <f>IF(P$3&lt;=time,'Attributable fraction'!AO93*(1+Economics!$B$4)^(P$3-$B$3)/((1+Economics!$B$3)^(P$3-$B$3)),"")</f>
        <v/>
      </c>
      <c r="Q149" s="355" t="str">
        <f>IF(Q$3&lt;=time,'Attributable fraction'!AP93*(1+Economics!$B$4)^(Q$3-$B$3)/((1+Economics!$B$3)^(Q$3-$B$3)),"")</f>
        <v/>
      </c>
      <c r="R149" s="355" t="str">
        <f>IF(R$3&lt;=time,'Attributable fraction'!AQ93*(1+Economics!$B$4)^(R$3-$B$3)/((1+Economics!$B$3)^(R$3-$B$3)),"")</f>
        <v/>
      </c>
      <c r="S149" s="355" t="str">
        <f>IF(S$3&lt;=time,'Attributable fraction'!AR93*(1+Economics!$B$4)^(S$3-$B$3)/((1+Economics!$B$3)^(S$3-$B$3)),"")</f>
        <v/>
      </c>
      <c r="T149" s="355" t="str">
        <f>IF(T$3&lt;=time,'Attributable fraction'!AS93*(1+Economics!$B$4)^(T$3-$B$3)/((1+Economics!$B$3)^(T$3-$B$3)),"")</f>
        <v/>
      </c>
      <c r="U149" s="355" t="str">
        <f>IF(U$3&lt;=time,'Attributable fraction'!AT93*(1+Economics!$B$4)^(U$3-$B$3)/((1+Economics!$B$3)^(U$3-$B$3)),"")</f>
        <v/>
      </c>
      <c r="V149" s="355" t="str">
        <f>IF(V$3&lt;=time,'Attributable fraction'!AU93*(1+Economics!$B$4)^(V$3-$B$3)/((1+Economics!$B$3)^(V$3-$B$3)),"")</f>
        <v/>
      </c>
      <c r="W149" s="355" t="str">
        <f>IF(W$3&lt;=time,'Attributable fraction'!AV93*(1+Economics!$B$4)^(W$3-$B$3)/((1+Economics!$B$3)^(W$3-$B$3)),"")</f>
        <v/>
      </c>
      <c r="X149" s="355" t="str">
        <f>IF(X$3&lt;=time,'Attributable fraction'!AW93*(1+Economics!$B$4)^(X$3-$B$3)/((1+Economics!$B$3)^(X$3-$B$3)),"")</f>
        <v/>
      </c>
      <c r="Y149" s="355" t="str">
        <f>IF(Y$3&lt;=time,'Attributable fraction'!AX93*(1+Economics!$B$4)^(Y$3-$B$3)/((1+Economics!$B$3)^(Y$3-$B$3)),"")</f>
        <v/>
      </c>
      <c r="Z149" s="356" t="str">
        <f>IF(Z$3&lt;=time,'Attributable fraction'!AY93*(1+Economics!$B$4)^(Z$3-$B$3)/((1+Economics!$B$3)^(Z$3-$B$3)),"")</f>
        <v/>
      </c>
      <c r="AC149" s="142">
        <f t="shared" si="28"/>
        <v>0</v>
      </c>
      <c r="AE149" s="376">
        <v>5</v>
      </c>
      <c r="AF149" s="176" t="e">
        <f t="array" ref="AF149">STDEV(IF(B149:Z149&lt;&gt;0,B149:Z149))</f>
        <v>#DIV/0!</v>
      </c>
      <c r="AG149" s="176">
        <v>1.96</v>
      </c>
      <c r="AH149" s="176" t="e">
        <f t="shared" si="29"/>
        <v>#DIV/0!</v>
      </c>
      <c r="AI149" s="176">
        <f t="shared" si="25"/>
        <v>0</v>
      </c>
    </row>
    <row r="150" spans="1:35" hidden="1">
      <c r="A150" s="378" t="str">
        <f>Costs!A94</f>
        <v>Services 6</v>
      </c>
      <c r="B150" s="355">
        <f>IF(B$3&lt;=time,'Attributable fraction'!AA94*(1+Economics!$B$4)^(B$3-$B$3)/((1+Economics!$B$3)^(B$3-$B$3)),"")</f>
        <v>0</v>
      </c>
      <c r="C150" s="355">
        <f>IF(C$3&lt;=time,'Attributable fraction'!AB94*(1+Economics!$B$4)^(C$3-$B$3)/((1+Economics!$B$3)^(C$3-$B$3)),"")</f>
        <v>0</v>
      </c>
      <c r="D150" s="355">
        <f>IF(D$3&lt;=time,'Attributable fraction'!AC94*(1+Economics!$B$4)^(D$3-$B$3)/((1+Economics!$B$3)^(D$3-$B$3)),"")</f>
        <v>0</v>
      </c>
      <c r="E150" s="355">
        <f>IF(E$3&lt;=time,'Attributable fraction'!AD94*(1+Economics!$B$4)^(E$3-$B$3)/((1+Economics!$B$3)^(E$3-$B$3)),"")</f>
        <v>0</v>
      </c>
      <c r="F150" s="355">
        <f>IF(F$3&lt;=time,'Attributable fraction'!AE94*(1+Economics!$B$4)^(F$3-$B$3)/((1+Economics!$B$3)^(F$3-$B$3)),"")</f>
        <v>0</v>
      </c>
      <c r="G150" s="355" t="str">
        <f>IF(G$3&lt;=time,'Attributable fraction'!AF94*(1+Economics!$B$4)^(G$3-$B$3)/((1+Economics!$B$3)^(G$3-$B$3)),"")</f>
        <v/>
      </c>
      <c r="H150" s="355" t="str">
        <f>IF(H$3&lt;=time,'Attributable fraction'!AG94*(1+Economics!$B$4)^(H$3-$B$3)/((1+Economics!$B$3)^(H$3-$B$3)),"")</f>
        <v/>
      </c>
      <c r="I150" s="355" t="str">
        <f>IF(I$3&lt;=time,'Attributable fraction'!AH94*(1+Economics!$B$4)^(I$3-$B$3)/((1+Economics!$B$3)^(I$3-$B$3)),"")</f>
        <v/>
      </c>
      <c r="J150" s="355" t="str">
        <f>IF(J$3&lt;=time,'Attributable fraction'!AI94*(1+Economics!$B$4)^(J$3-$B$3)/((1+Economics!$B$3)^(J$3-$B$3)),"")</f>
        <v/>
      </c>
      <c r="K150" s="355" t="str">
        <f>IF(K$3&lt;=time,'Attributable fraction'!AJ94*(1+Economics!$B$4)^(K$3-$B$3)/((1+Economics!$B$3)^(K$3-$B$3)),"")</f>
        <v/>
      </c>
      <c r="L150" s="355" t="str">
        <f>IF(L$3&lt;=time,'Attributable fraction'!AK94*(1+Economics!$B$4)^(L$3-$B$3)/((1+Economics!$B$3)^(L$3-$B$3)),"")</f>
        <v/>
      </c>
      <c r="M150" s="355" t="str">
        <f>IF(M$3&lt;=time,'Attributable fraction'!AL94*(1+Economics!$B$4)^(M$3-$B$3)/((1+Economics!$B$3)^(M$3-$B$3)),"")</f>
        <v/>
      </c>
      <c r="N150" s="355" t="str">
        <f>IF(N$3&lt;=time,'Attributable fraction'!AM94*(1+Economics!$B$4)^(N$3-$B$3)/((1+Economics!$B$3)^(N$3-$B$3)),"")</f>
        <v/>
      </c>
      <c r="O150" s="355" t="str">
        <f>IF(O$3&lt;=time,'Attributable fraction'!AN94*(1+Economics!$B$4)^(O$3-$B$3)/((1+Economics!$B$3)^(O$3-$B$3)),"")</f>
        <v/>
      </c>
      <c r="P150" s="355" t="str">
        <f>IF(P$3&lt;=time,'Attributable fraction'!AO94*(1+Economics!$B$4)^(P$3-$B$3)/((1+Economics!$B$3)^(P$3-$B$3)),"")</f>
        <v/>
      </c>
      <c r="Q150" s="355" t="str">
        <f>IF(Q$3&lt;=time,'Attributable fraction'!AP94*(1+Economics!$B$4)^(Q$3-$B$3)/((1+Economics!$B$3)^(Q$3-$B$3)),"")</f>
        <v/>
      </c>
      <c r="R150" s="355" t="str">
        <f>IF(R$3&lt;=time,'Attributable fraction'!AQ94*(1+Economics!$B$4)^(R$3-$B$3)/((1+Economics!$B$3)^(R$3-$B$3)),"")</f>
        <v/>
      </c>
      <c r="S150" s="355" t="str">
        <f>IF(S$3&lt;=time,'Attributable fraction'!AR94*(1+Economics!$B$4)^(S$3-$B$3)/((1+Economics!$B$3)^(S$3-$B$3)),"")</f>
        <v/>
      </c>
      <c r="T150" s="355" t="str">
        <f>IF(T$3&lt;=time,'Attributable fraction'!AS94*(1+Economics!$B$4)^(T$3-$B$3)/((1+Economics!$B$3)^(T$3-$B$3)),"")</f>
        <v/>
      </c>
      <c r="U150" s="355" t="str">
        <f>IF(U$3&lt;=time,'Attributable fraction'!AT94*(1+Economics!$B$4)^(U$3-$B$3)/((1+Economics!$B$3)^(U$3-$B$3)),"")</f>
        <v/>
      </c>
      <c r="V150" s="355" t="str">
        <f>IF(V$3&lt;=time,'Attributable fraction'!AU94*(1+Economics!$B$4)^(V$3-$B$3)/((1+Economics!$B$3)^(V$3-$B$3)),"")</f>
        <v/>
      </c>
      <c r="W150" s="355" t="str">
        <f>IF(W$3&lt;=time,'Attributable fraction'!AV94*(1+Economics!$B$4)^(W$3-$B$3)/((1+Economics!$B$3)^(W$3-$B$3)),"")</f>
        <v/>
      </c>
      <c r="X150" s="355" t="str">
        <f>IF(X$3&lt;=time,'Attributable fraction'!AW94*(1+Economics!$B$4)^(X$3-$B$3)/((1+Economics!$B$3)^(X$3-$B$3)),"")</f>
        <v/>
      </c>
      <c r="Y150" s="355" t="str">
        <f>IF(Y$3&lt;=time,'Attributable fraction'!AX94*(1+Economics!$B$4)^(Y$3-$B$3)/((1+Economics!$B$3)^(Y$3-$B$3)),"")</f>
        <v/>
      </c>
      <c r="Z150" s="356" t="str">
        <f>IF(Z$3&lt;=time,'Attributable fraction'!AY94*(1+Economics!$B$4)^(Z$3-$B$3)/((1+Economics!$B$3)^(Z$3-$B$3)),"")</f>
        <v/>
      </c>
      <c r="AC150" s="142">
        <f t="shared" si="28"/>
        <v>0</v>
      </c>
      <c r="AE150" s="376">
        <v>6</v>
      </c>
      <c r="AF150" s="176" t="e">
        <f t="array" ref="AF150">STDEV(IF(B150:Z150&lt;&gt;0,B150:Z150))</f>
        <v>#DIV/0!</v>
      </c>
      <c r="AG150" s="176">
        <v>1.96</v>
      </c>
      <c r="AH150" s="176" t="e">
        <f t="shared" si="29"/>
        <v>#DIV/0!</v>
      </c>
      <c r="AI150" s="176">
        <f t="shared" si="25"/>
        <v>0</v>
      </c>
    </row>
    <row r="151" spans="1:35" hidden="1">
      <c r="A151" s="378" t="str">
        <f>Costs!A95</f>
        <v>Services 7</v>
      </c>
      <c r="B151" s="355">
        <f>IF(B$3&lt;=time,'Attributable fraction'!AA95*(1+Economics!$B$4)^(B$3-$B$3)/((1+Economics!$B$3)^(B$3-$B$3)),"")</f>
        <v>0</v>
      </c>
      <c r="C151" s="355">
        <f>IF(C$3&lt;=time,'Attributable fraction'!AB95*(1+Economics!$B$4)^(C$3-$B$3)/((1+Economics!$B$3)^(C$3-$B$3)),"")</f>
        <v>0</v>
      </c>
      <c r="D151" s="355">
        <f>IF(D$3&lt;=time,'Attributable fraction'!AC95*(1+Economics!$B$4)^(D$3-$B$3)/((1+Economics!$B$3)^(D$3-$B$3)),"")</f>
        <v>0</v>
      </c>
      <c r="E151" s="355">
        <f>IF(E$3&lt;=time,'Attributable fraction'!AD95*(1+Economics!$B$4)^(E$3-$B$3)/((1+Economics!$B$3)^(E$3-$B$3)),"")</f>
        <v>0</v>
      </c>
      <c r="F151" s="355">
        <f>IF(F$3&lt;=time,'Attributable fraction'!AE95*(1+Economics!$B$4)^(F$3-$B$3)/((1+Economics!$B$3)^(F$3-$B$3)),"")</f>
        <v>0</v>
      </c>
      <c r="G151" s="355" t="str">
        <f>IF(G$3&lt;=time,'Attributable fraction'!AF95*(1+Economics!$B$4)^(G$3-$B$3)/((1+Economics!$B$3)^(G$3-$B$3)),"")</f>
        <v/>
      </c>
      <c r="H151" s="355" t="str">
        <f>IF(H$3&lt;=time,'Attributable fraction'!AG95*(1+Economics!$B$4)^(H$3-$B$3)/((1+Economics!$B$3)^(H$3-$B$3)),"")</f>
        <v/>
      </c>
      <c r="I151" s="355" t="str">
        <f>IF(I$3&lt;=time,'Attributable fraction'!AH95*(1+Economics!$B$4)^(I$3-$B$3)/((1+Economics!$B$3)^(I$3-$B$3)),"")</f>
        <v/>
      </c>
      <c r="J151" s="355" t="str">
        <f>IF(J$3&lt;=time,'Attributable fraction'!AI95*(1+Economics!$B$4)^(J$3-$B$3)/((1+Economics!$B$3)^(J$3-$B$3)),"")</f>
        <v/>
      </c>
      <c r="K151" s="355" t="str">
        <f>IF(K$3&lt;=time,'Attributable fraction'!AJ95*(1+Economics!$B$4)^(K$3-$B$3)/((1+Economics!$B$3)^(K$3-$B$3)),"")</f>
        <v/>
      </c>
      <c r="L151" s="355" t="str">
        <f>IF(L$3&lt;=time,'Attributable fraction'!AK95*(1+Economics!$B$4)^(L$3-$B$3)/((1+Economics!$B$3)^(L$3-$B$3)),"")</f>
        <v/>
      </c>
      <c r="M151" s="355" t="str">
        <f>IF(M$3&lt;=time,'Attributable fraction'!AL95*(1+Economics!$B$4)^(M$3-$B$3)/((1+Economics!$B$3)^(M$3-$B$3)),"")</f>
        <v/>
      </c>
      <c r="N151" s="355" t="str">
        <f>IF(N$3&lt;=time,'Attributable fraction'!AM95*(1+Economics!$B$4)^(N$3-$B$3)/((1+Economics!$B$3)^(N$3-$B$3)),"")</f>
        <v/>
      </c>
      <c r="O151" s="355" t="str">
        <f>IF(O$3&lt;=time,'Attributable fraction'!AN95*(1+Economics!$B$4)^(O$3-$B$3)/((1+Economics!$B$3)^(O$3-$B$3)),"")</f>
        <v/>
      </c>
      <c r="P151" s="355" t="str">
        <f>IF(P$3&lt;=time,'Attributable fraction'!AO95*(1+Economics!$B$4)^(P$3-$B$3)/((1+Economics!$B$3)^(P$3-$B$3)),"")</f>
        <v/>
      </c>
      <c r="Q151" s="355" t="str">
        <f>IF(Q$3&lt;=time,'Attributable fraction'!AP95*(1+Economics!$B$4)^(Q$3-$B$3)/((1+Economics!$B$3)^(Q$3-$B$3)),"")</f>
        <v/>
      </c>
      <c r="R151" s="355" t="str">
        <f>IF(R$3&lt;=time,'Attributable fraction'!AQ95*(1+Economics!$B$4)^(R$3-$B$3)/((1+Economics!$B$3)^(R$3-$B$3)),"")</f>
        <v/>
      </c>
      <c r="S151" s="355" t="str">
        <f>IF(S$3&lt;=time,'Attributable fraction'!AR95*(1+Economics!$B$4)^(S$3-$B$3)/((1+Economics!$B$3)^(S$3-$B$3)),"")</f>
        <v/>
      </c>
      <c r="T151" s="355" t="str">
        <f>IF(T$3&lt;=time,'Attributable fraction'!AS95*(1+Economics!$B$4)^(T$3-$B$3)/((1+Economics!$B$3)^(T$3-$B$3)),"")</f>
        <v/>
      </c>
      <c r="U151" s="355" t="str">
        <f>IF(U$3&lt;=time,'Attributable fraction'!AT95*(1+Economics!$B$4)^(U$3-$B$3)/((1+Economics!$B$3)^(U$3-$B$3)),"")</f>
        <v/>
      </c>
      <c r="V151" s="355" t="str">
        <f>IF(V$3&lt;=time,'Attributable fraction'!AU95*(1+Economics!$B$4)^(V$3-$B$3)/((1+Economics!$B$3)^(V$3-$B$3)),"")</f>
        <v/>
      </c>
      <c r="W151" s="355" t="str">
        <f>IF(W$3&lt;=time,'Attributable fraction'!AV95*(1+Economics!$B$4)^(W$3-$B$3)/((1+Economics!$B$3)^(W$3-$B$3)),"")</f>
        <v/>
      </c>
      <c r="X151" s="355" t="str">
        <f>IF(X$3&lt;=time,'Attributable fraction'!AW95*(1+Economics!$B$4)^(X$3-$B$3)/((1+Economics!$B$3)^(X$3-$B$3)),"")</f>
        <v/>
      </c>
      <c r="Y151" s="355" t="str">
        <f>IF(Y$3&lt;=time,'Attributable fraction'!AX95*(1+Economics!$B$4)^(Y$3-$B$3)/((1+Economics!$B$3)^(Y$3-$B$3)),"")</f>
        <v/>
      </c>
      <c r="Z151" s="356" t="str">
        <f>IF(Z$3&lt;=time,'Attributable fraction'!AY95*(1+Economics!$B$4)^(Z$3-$B$3)/((1+Economics!$B$3)^(Z$3-$B$3)),"")</f>
        <v/>
      </c>
      <c r="AC151" s="142">
        <f t="shared" si="28"/>
        <v>0</v>
      </c>
      <c r="AE151" s="376">
        <v>7</v>
      </c>
      <c r="AF151" s="176" t="e">
        <f t="array" ref="AF151">STDEV(IF(B151:Z151&lt;&gt;0,B151:Z151))</f>
        <v>#DIV/0!</v>
      </c>
      <c r="AG151" s="176">
        <v>1.96</v>
      </c>
      <c r="AH151" s="176" t="e">
        <f t="shared" si="29"/>
        <v>#DIV/0!</v>
      </c>
      <c r="AI151" s="176">
        <f t="shared" si="25"/>
        <v>0</v>
      </c>
    </row>
    <row r="152" spans="1:35" hidden="1">
      <c r="A152" s="378" t="str">
        <f>Costs!A96</f>
        <v>Services 8</v>
      </c>
      <c r="B152" s="355">
        <f>IF(B$3&lt;=time,'Attributable fraction'!AA96*(1+Economics!$B$4)^(B$3-$B$3)/((1+Economics!$B$3)^(B$3-$B$3)),"")</f>
        <v>0</v>
      </c>
      <c r="C152" s="355">
        <f>IF(C$3&lt;=time,'Attributable fraction'!AB96*(1+Economics!$B$4)^(C$3-$B$3)/((1+Economics!$B$3)^(C$3-$B$3)),"")</f>
        <v>0</v>
      </c>
      <c r="D152" s="355">
        <f>IF(D$3&lt;=time,'Attributable fraction'!AC96*(1+Economics!$B$4)^(D$3-$B$3)/((1+Economics!$B$3)^(D$3-$B$3)),"")</f>
        <v>0</v>
      </c>
      <c r="E152" s="355">
        <f>IF(E$3&lt;=time,'Attributable fraction'!AD96*(1+Economics!$B$4)^(E$3-$B$3)/((1+Economics!$B$3)^(E$3-$B$3)),"")</f>
        <v>0</v>
      </c>
      <c r="F152" s="355">
        <f>IF(F$3&lt;=time,'Attributable fraction'!AE96*(1+Economics!$B$4)^(F$3-$B$3)/((1+Economics!$B$3)^(F$3-$B$3)),"")</f>
        <v>0</v>
      </c>
      <c r="G152" s="355" t="str">
        <f>IF(G$3&lt;=time,'Attributable fraction'!AF96*(1+Economics!$B$4)^(G$3-$B$3)/((1+Economics!$B$3)^(G$3-$B$3)),"")</f>
        <v/>
      </c>
      <c r="H152" s="355" t="str">
        <f>IF(H$3&lt;=time,'Attributable fraction'!AG96*(1+Economics!$B$4)^(H$3-$B$3)/((1+Economics!$B$3)^(H$3-$B$3)),"")</f>
        <v/>
      </c>
      <c r="I152" s="355" t="str">
        <f>IF(I$3&lt;=time,'Attributable fraction'!AH96*(1+Economics!$B$4)^(I$3-$B$3)/((1+Economics!$B$3)^(I$3-$B$3)),"")</f>
        <v/>
      </c>
      <c r="J152" s="355" t="str">
        <f>IF(J$3&lt;=time,'Attributable fraction'!AI96*(1+Economics!$B$4)^(J$3-$B$3)/((1+Economics!$B$3)^(J$3-$B$3)),"")</f>
        <v/>
      </c>
      <c r="K152" s="355" t="str">
        <f>IF(K$3&lt;=time,'Attributable fraction'!AJ96*(1+Economics!$B$4)^(K$3-$B$3)/((1+Economics!$B$3)^(K$3-$B$3)),"")</f>
        <v/>
      </c>
      <c r="L152" s="355" t="str">
        <f>IF(L$3&lt;=time,'Attributable fraction'!AK96*(1+Economics!$B$4)^(L$3-$B$3)/((1+Economics!$B$3)^(L$3-$B$3)),"")</f>
        <v/>
      </c>
      <c r="M152" s="355" t="str">
        <f>IF(M$3&lt;=time,'Attributable fraction'!AL96*(1+Economics!$B$4)^(M$3-$B$3)/((1+Economics!$B$3)^(M$3-$B$3)),"")</f>
        <v/>
      </c>
      <c r="N152" s="355" t="str">
        <f>IF(N$3&lt;=time,'Attributable fraction'!AM96*(1+Economics!$B$4)^(N$3-$B$3)/((1+Economics!$B$3)^(N$3-$B$3)),"")</f>
        <v/>
      </c>
      <c r="O152" s="355" t="str">
        <f>IF(O$3&lt;=time,'Attributable fraction'!AN96*(1+Economics!$B$4)^(O$3-$B$3)/((1+Economics!$B$3)^(O$3-$B$3)),"")</f>
        <v/>
      </c>
      <c r="P152" s="355" t="str">
        <f>IF(P$3&lt;=time,'Attributable fraction'!AO96*(1+Economics!$B$4)^(P$3-$B$3)/((1+Economics!$B$3)^(P$3-$B$3)),"")</f>
        <v/>
      </c>
      <c r="Q152" s="355" t="str">
        <f>IF(Q$3&lt;=time,'Attributable fraction'!AP96*(1+Economics!$B$4)^(Q$3-$B$3)/((1+Economics!$B$3)^(Q$3-$B$3)),"")</f>
        <v/>
      </c>
      <c r="R152" s="355" t="str">
        <f>IF(R$3&lt;=time,'Attributable fraction'!AQ96*(1+Economics!$B$4)^(R$3-$B$3)/((1+Economics!$B$3)^(R$3-$B$3)),"")</f>
        <v/>
      </c>
      <c r="S152" s="355" t="str">
        <f>IF(S$3&lt;=time,'Attributable fraction'!AR96*(1+Economics!$B$4)^(S$3-$B$3)/((1+Economics!$B$3)^(S$3-$B$3)),"")</f>
        <v/>
      </c>
      <c r="T152" s="355" t="str">
        <f>IF(T$3&lt;=time,'Attributable fraction'!AS96*(1+Economics!$B$4)^(T$3-$B$3)/((1+Economics!$B$3)^(T$3-$B$3)),"")</f>
        <v/>
      </c>
      <c r="U152" s="355" t="str">
        <f>IF(U$3&lt;=time,'Attributable fraction'!AT96*(1+Economics!$B$4)^(U$3-$B$3)/((1+Economics!$B$3)^(U$3-$B$3)),"")</f>
        <v/>
      </c>
      <c r="V152" s="355" t="str">
        <f>IF(V$3&lt;=time,'Attributable fraction'!AU96*(1+Economics!$B$4)^(V$3-$B$3)/((1+Economics!$B$3)^(V$3-$B$3)),"")</f>
        <v/>
      </c>
      <c r="W152" s="355" t="str">
        <f>IF(W$3&lt;=time,'Attributable fraction'!AV96*(1+Economics!$B$4)^(W$3-$B$3)/((1+Economics!$B$3)^(W$3-$B$3)),"")</f>
        <v/>
      </c>
      <c r="X152" s="355" t="str">
        <f>IF(X$3&lt;=time,'Attributable fraction'!AW96*(1+Economics!$B$4)^(X$3-$B$3)/((1+Economics!$B$3)^(X$3-$B$3)),"")</f>
        <v/>
      </c>
      <c r="Y152" s="355" t="str">
        <f>IF(Y$3&lt;=time,'Attributable fraction'!AX96*(1+Economics!$B$4)^(Y$3-$B$3)/((1+Economics!$B$3)^(Y$3-$B$3)),"")</f>
        <v/>
      </c>
      <c r="Z152" s="356" t="str">
        <f>IF(Z$3&lt;=time,'Attributable fraction'!AY96*(1+Economics!$B$4)^(Z$3-$B$3)/((1+Economics!$B$3)^(Z$3-$B$3)),"")</f>
        <v/>
      </c>
      <c r="AC152" s="142">
        <f t="shared" si="28"/>
        <v>0</v>
      </c>
      <c r="AE152" s="376">
        <v>8</v>
      </c>
      <c r="AF152" s="176" t="e">
        <f t="array" ref="AF152">STDEV(IF(B152:Z152&lt;&gt;0,B152:Z152))</f>
        <v>#DIV/0!</v>
      </c>
      <c r="AG152" s="176">
        <v>1.96</v>
      </c>
      <c r="AH152" s="176" t="e">
        <f t="shared" si="29"/>
        <v>#DIV/0!</v>
      </c>
      <c r="AI152" s="176">
        <f t="shared" si="25"/>
        <v>0</v>
      </c>
    </row>
    <row r="153" spans="1:35" hidden="1">
      <c r="A153" s="378" t="str">
        <f>Costs!A97</f>
        <v>Services 9</v>
      </c>
      <c r="B153" s="355">
        <f>IF(B$3&lt;=time,'Attributable fraction'!AA97*(1+Economics!$B$4)^(B$3-$B$3)/((1+Economics!$B$3)^(B$3-$B$3)),"")</f>
        <v>0</v>
      </c>
      <c r="C153" s="355">
        <f>IF(C$3&lt;=time,'Attributable fraction'!AB97*(1+Economics!$B$4)^(C$3-$B$3)/((1+Economics!$B$3)^(C$3-$B$3)),"")</f>
        <v>0</v>
      </c>
      <c r="D153" s="355">
        <f>IF(D$3&lt;=time,'Attributable fraction'!AC97*(1+Economics!$B$4)^(D$3-$B$3)/((1+Economics!$B$3)^(D$3-$B$3)),"")</f>
        <v>0</v>
      </c>
      <c r="E153" s="355">
        <f>IF(E$3&lt;=time,'Attributable fraction'!AD97*(1+Economics!$B$4)^(E$3-$B$3)/((1+Economics!$B$3)^(E$3-$B$3)),"")</f>
        <v>0</v>
      </c>
      <c r="F153" s="355">
        <f>IF(F$3&lt;=time,'Attributable fraction'!AE97*(1+Economics!$B$4)^(F$3-$B$3)/((1+Economics!$B$3)^(F$3-$B$3)),"")</f>
        <v>0</v>
      </c>
      <c r="G153" s="355" t="str">
        <f>IF(G$3&lt;=time,'Attributable fraction'!AF97*(1+Economics!$B$4)^(G$3-$B$3)/((1+Economics!$B$3)^(G$3-$B$3)),"")</f>
        <v/>
      </c>
      <c r="H153" s="355" t="str">
        <f>IF(H$3&lt;=time,'Attributable fraction'!AG97*(1+Economics!$B$4)^(H$3-$B$3)/((1+Economics!$B$3)^(H$3-$B$3)),"")</f>
        <v/>
      </c>
      <c r="I153" s="355" t="str">
        <f>IF(I$3&lt;=time,'Attributable fraction'!AH97*(1+Economics!$B$4)^(I$3-$B$3)/((1+Economics!$B$3)^(I$3-$B$3)),"")</f>
        <v/>
      </c>
      <c r="J153" s="355" t="str">
        <f>IF(J$3&lt;=time,'Attributable fraction'!AI97*(1+Economics!$B$4)^(J$3-$B$3)/((1+Economics!$B$3)^(J$3-$B$3)),"")</f>
        <v/>
      </c>
      <c r="K153" s="355" t="str">
        <f>IF(K$3&lt;=time,'Attributable fraction'!AJ97*(1+Economics!$B$4)^(K$3-$B$3)/((1+Economics!$B$3)^(K$3-$B$3)),"")</f>
        <v/>
      </c>
      <c r="L153" s="355" t="str">
        <f>IF(L$3&lt;=time,'Attributable fraction'!AK97*(1+Economics!$B$4)^(L$3-$B$3)/((1+Economics!$B$3)^(L$3-$B$3)),"")</f>
        <v/>
      </c>
      <c r="M153" s="355" t="str">
        <f>IF(M$3&lt;=time,'Attributable fraction'!AL97*(1+Economics!$B$4)^(M$3-$B$3)/((1+Economics!$B$3)^(M$3-$B$3)),"")</f>
        <v/>
      </c>
      <c r="N153" s="355" t="str">
        <f>IF(N$3&lt;=time,'Attributable fraction'!AM97*(1+Economics!$B$4)^(N$3-$B$3)/((1+Economics!$B$3)^(N$3-$B$3)),"")</f>
        <v/>
      </c>
      <c r="O153" s="355" t="str">
        <f>IF(O$3&lt;=time,'Attributable fraction'!AN97*(1+Economics!$B$4)^(O$3-$B$3)/((1+Economics!$B$3)^(O$3-$B$3)),"")</f>
        <v/>
      </c>
      <c r="P153" s="355" t="str">
        <f>IF(P$3&lt;=time,'Attributable fraction'!AO97*(1+Economics!$B$4)^(P$3-$B$3)/((1+Economics!$B$3)^(P$3-$B$3)),"")</f>
        <v/>
      </c>
      <c r="Q153" s="355" t="str">
        <f>IF(Q$3&lt;=time,'Attributable fraction'!AP97*(1+Economics!$B$4)^(Q$3-$B$3)/((1+Economics!$B$3)^(Q$3-$B$3)),"")</f>
        <v/>
      </c>
      <c r="R153" s="355" t="str">
        <f>IF(R$3&lt;=time,'Attributable fraction'!AQ97*(1+Economics!$B$4)^(R$3-$B$3)/((1+Economics!$B$3)^(R$3-$B$3)),"")</f>
        <v/>
      </c>
      <c r="S153" s="355" t="str">
        <f>IF(S$3&lt;=time,'Attributable fraction'!AR97*(1+Economics!$B$4)^(S$3-$B$3)/((1+Economics!$B$3)^(S$3-$B$3)),"")</f>
        <v/>
      </c>
      <c r="T153" s="355" t="str">
        <f>IF(T$3&lt;=time,'Attributable fraction'!AS97*(1+Economics!$B$4)^(T$3-$B$3)/((1+Economics!$B$3)^(T$3-$B$3)),"")</f>
        <v/>
      </c>
      <c r="U153" s="355" t="str">
        <f>IF(U$3&lt;=time,'Attributable fraction'!AT97*(1+Economics!$B$4)^(U$3-$B$3)/((1+Economics!$B$3)^(U$3-$B$3)),"")</f>
        <v/>
      </c>
      <c r="V153" s="355" t="str">
        <f>IF(V$3&lt;=time,'Attributable fraction'!AU97*(1+Economics!$B$4)^(V$3-$B$3)/((1+Economics!$B$3)^(V$3-$B$3)),"")</f>
        <v/>
      </c>
      <c r="W153" s="355" t="str">
        <f>IF(W$3&lt;=time,'Attributable fraction'!AV97*(1+Economics!$B$4)^(W$3-$B$3)/((1+Economics!$B$3)^(W$3-$B$3)),"")</f>
        <v/>
      </c>
      <c r="X153" s="355" t="str">
        <f>IF(X$3&lt;=time,'Attributable fraction'!AW97*(1+Economics!$B$4)^(X$3-$B$3)/((1+Economics!$B$3)^(X$3-$B$3)),"")</f>
        <v/>
      </c>
      <c r="Y153" s="355" t="str">
        <f>IF(Y$3&lt;=time,'Attributable fraction'!AX97*(1+Economics!$B$4)^(Y$3-$B$3)/((1+Economics!$B$3)^(Y$3-$B$3)),"")</f>
        <v/>
      </c>
      <c r="Z153" s="356" t="str">
        <f>IF(Z$3&lt;=time,'Attributable fraction'!AY97*(1+Economics!$B$4)^(Z$3-$B$3)/((1+Economics!$B$3)^(Z$3-$B$3)),"")</f>
        <v/>
      </c>
      <c r="AC153" s="142">
        <f t="shared" si="28"/>
        <v>0</v>
      </c>
      <c r="AE153" s="376">
        <v>9</v>
      </c>
      <c r="AF153" s="176" t="e">
        <f t="array" ref="AF153">STDEV(IF(B153:Z153&lt;&gt;0,B153:Z153))</f>
        <v>#DIV/0!</v>
      </c>
      <c r="AG153" s="176">
        <v>1.96</v>
      </c>
      <c r="AH153" s="176" t="e">
        <f t="shared" si="29"/>
        <v>#DIV/0!</v>
      </c>
      <c r="AI153" s="176">
        <f t="shared" si="25"/>
        <v>0</v>
      </c>
    </row>
    <row r="154" spans="1:35" hidden="1">
      <c r="A154" s="378" t="str">
        <f>Costs!A98</f>
        <v>Services 10</v>
      </c>
      <c r="B154" s="355">
        <f>IF(B$3&lt;=time,'Attributable fraction'!AA98*(1+Economics!$B$4)^(B$3-$B$3)/((1+Economics!$B$3)^(B$3-$B$3)),"")</f>
        <v>0</v>
      </c>
      <c r="C154" s="355">
        <f>IF(C$3&lt;=time,'Attributable fraction'!AB98*(1+Economics!$B$4)^(C$3-$B$3)/((1+Economics!$B$3)^(C$3-$B$3)),"")</f>
        <v>0</v>
      </c>
      <c r="D154" s="355">
        <f>IF(D$3&lt;=time,'Attributable fraction'!AC98*(1+Economics!$B$4)^(D$3-$B$3)/((1+Economics!$B$3)^(D$3-$B$3)),"")</f>
        <v>0</v>
      </c>
      <c r="E154" s="355">
        <f>IF(E$3&lt;=time,'Attributable fraction'!AD98*(1+Economics!$B$4)^(E$3-$B$3)/((1+Economics!$B$3)^(E$3-$B$3)),"")</f>
        <v>0</v>
      </c>
      <c r="F154" s="355">
        <f>IF(F$3&lt;=time,'Attributable fraction'!AE98*(1+Economics!$B$4)^(F$3-$B$3)/((1+Economics!$B$3)^(F$3-$B$3)),"")</f>
        <v>0</v>
      </c>
      <c r="G154" s="355" t="str">
        <f>IF(G$3&lt;=time,'Attributable fraction'!AF98*(1+Economics!$B$4)^(G$3-$B$3)/((1+Economics!$B$3)^(G$3-$B$3)),"")</f>
        <v/>
      </c>
      <c r="H154" s="355" t="str">
        <f>IF(H$3&lt;=time,'Attributable fraction'!AG98*(1+Economics!$B$4)^(H$3-$B$3)/((1+Economics!$B$3)^(H$3-$B$3)),"")</f>
        <v/>
      </c>
      <c r="I154" s="355" t="str">
        <f>IF(I$3&lt;=time,'Attributable fraction'!AH98*(1+Economics!$B$4)^(I$3-$B$3)/((1+Economics!$B$3)^(I$3-$B$3)),"")</f>
        <v/>
      </c>
      <c r="J154" s="355" t="str">
        <f>IF(J$3&lt;=time,'Attributable fraction'!AI98*(1+Economics!$B$4)^(J$3-$B$3)/((1+Economics!$B$3)^(J$3-$B$3)),"")</f>
        <v/>
      </c>
      <c r="K154" s="355" t="str">
        <f>IF(K$3&lt;=time,'Attributable fraction'!AJ98*(1+Economics!$B$4)^(K$3-$B$3)/((1+Economics!$B$3)^(K$3-$B$3)),"")</f>
        <v/>
      </c>
      <c r="L154" s="355" t="str">
        <f>IF(L$3&lt;=time,'Attributable fraction'!AK98*(1+Economics!$B$4)^(L$3-$B$3)/((1+Economics!$B$3)^(L$3-$B$3)),"")</f>
        <v/>
      </c>
      <c r="M154" s="355" t="str">
        <f>IF(M$3&lt;=time,'Attributable fraction'!AL98*(1+Economics!$B$4)^(M$3-$B$3)/((1+Economics!$B$3)^(M$3-$B$3)),"")</f>
        <v/>
      </c>
      <c r="N154" s="355" t="str">
        <f>IF(N$3&lt;=time,'Attributable fraction'!AM98*(1+Economics!$B$4)^(N$3-$B$3)/((1+Economics!$B$3)^(N$3-$B$3)),"")</f>
        <v/>
      </c>
      <c r="O154" s="355" t="str">
        <f>IF(O$3&lt;=time,'Attributable fraction'!AN98*(1+Economics!$B$4)^(O$3-$B$3)/((1+Economics!$B$3)^(O$3-$B$3)),"")</f>
        <v/>
      </c>
      <c r="P154" s="355" t="str">
        <f>IF(P$3&lt;=time,'Attributable fraction'!AO98*(1+Economics!$B$4)^(P$3-$B$3)/((1+Economics!$B$3)^(P$3-$B$3)),"")</f>
        <v/>
      </c>
      <c r="Q154" s="355" t="str">
        <f>IF(Q$3&lt;=time,'Attributable fraction'!AP98*(1+Economics!$B$4)^(Q$3-$B$3)/((1+Economics!$B$3)^(Q$3-$B$3)),"")</f>
        <v/>
      </c>
      <c r="R154" s="355" t="str">
        <f>IF(R$3&lt;=time,'Attributable fraction'!AQ98*(1+Economics!$B$4)^(R$3-$B$3)/((1+Economics!$B$3)^(R$3-$B$3)),"")</f>
        <v/>
      </c>
      <c r="S154" s="355" t="str">
        <f>IF(S$3&lt;=time,'Attributable fraction'!AR98*(1+Economics!$B$4)^(S$3-$B$3)/((1+Economics!$B$3)^(S$3-$B$3)),"")</f>
        <v/>
      </c>
      <c r="T154" s="355" t="str">
        <f>IF(T$3&lt;=time,'Attributable fraction'!AS98*(1+Economics!$B$4)^(T$3-$B$3)/((1+Economics!$B$3)^(T$3-$B$3)),"")</f>
        <v/>
      </c>
      <c r="U154" s="355" t="str">
        <f>IF(U$3&lt;=time,'Attributable fraction'!AT98*(1+Economics!$B$4)^(U$3-$B$3)/((1+Economics!$B$3)^(U$3-$B$3)),"")</f>
        <v/>
      </c>
      <c r="V154" s="355" t="str">
        <f>IF(V$3&lt;=time,'Attributable fraction'!AU98*(1+Economics!$B$4)^(V$3-$B$3)/((1+Economics!$B$3)^(V$3-$B$3)),"")</f>
        <v/>
      </c>
      <c r="W154" s="355" t="str">
        <f>IF(W$3&lt;=time,'Attributable fraction'!AV98*(1+Economics!$B$4)^(W$3-$B$3)/((1+Economics!$B$3)^(W$3-$B$3)),"")</f>
        <v/>
      </c>
      <c r="X154" s="355" t="str">
        <f>IF(X$3&lt;=time,'Attributable fraction'!AW98*(1+Economics!$B$4)^(X$3-$B$3)/((1+Economics!$B$3)^(X$3-$B$3)),"")</f>
        <v/>
      </c>
      <c r="Y154" s="355" t="str">
        <f>IF(Y$3&lt;=time,'Attributable fraction'!AX98*(1+Economics!$B$4)^(Y$3-$B$3)/((1+Economics!$B$3)^(Y$3-$B$3)),"")</f>
        <v/>
      </c>
      <c r="Z154" s="356" t="str">
        <f>IF(Z$3&lt;=time,'Attributable fraction'!AY98*(1+Economics!$B$4)^(Z$3-$B$3)/((1+Economics!$B$3)^(Z$3-$B$3)),"")</f>
        <v/>
      </c>
      <c r="AC154" s="142">
        <f t="shared" si="28"/>
        <v>0</v>
      </c>
      <c r="AE154" s="376">
        <v>10</v>
      </c>
      <c r="AF154" s="176" t="e">
        <f t="array" ref="AF154">STDEV(IF(B154:Z154&lt;&gt;0,B154:Z154))</f>
        <v>#DIV/0!</v>
      </c>
      <c r="AG154" s="176">
        <v>1.96</v>
      </c>
      <c r="AH154" s="176" t="e">
        <f t="shared" si="29"/>
        <v>#DIV/0!</v>
      </c>
      <c r="AI154" s="176">
        <f t="shared" si="25"/>
        <v>0</v>
      </c>
    </row>
    <row r="155" spans="1:35" ht="18" hidden="1">
      <c r="A155" s="290" t="s">
        <v>192</v>
      </c>
      <c r="B155" s="255"/>
      <c r="C155" s="255"/>
      <c r="D155" s="255"/>
      <c r="E155" s="255"/>
      <c r="F155" s="255"/>
      <c r="G155" s="255"/>
      <c r="H155" s="255"/>
      <c r="I155" s="255"/>
      <c r="J155" s="255"/>
      <c r="K155" s="255"/>
      <c r="L155" s="255"/>
      <c r="M155" s="255"/>
      <c r="N155" s="255"/>
      <c r="O155" s="255"/>
      <c r="P155" s="255"/>
      <c r="Q155" s="255"/>
      <c r="R155" s="255"/>
      <c r="S155" s="255"/>
      <c r="T155" s="255"/>
      <c r="U155" s="255"/>
      <c r="V155" s="255"/>
      <c r="W155" s="255"/>
      <c r="X155" s="255"/>
      <c r="Y155" s="255"/>
      <c r="Z155" s="377"/>
      <c r="AC155" s="196"/>
    </row>
    <row r="156" spans="1:35" hidden="1">
      <c r="A156" s="302" t="s">
        <v>442</v>
      </c>
      <c r="B156" s="379"/>
      <c r="C156" s="379"/>
      <c r="D156" s="379"/>
      <c r="E156" s="379"/>
      <c r="F156" s="379"/>
      <c r="G156" s="379"/>
      <c r="H156" s="379"/>
      <c r="I156" s="379"/>
      <c r="J156" s="379"/>
      <c r="K156" s="379"/>
      <c r="L156" s="379"/>
      <c r="M156" s="379"/>
      <c r="N156" s="379"/>
      <c r="O156" s="379"/>
      <c r="P156" s="379"/>
      <c r="Q156" s="379"/>
      <c r="R156" s="379"/>
      <c r="S156" s="379"/>
      <c r="T156" s="379"/>
      <c r="U156" s="379"/>
      <c r="V156" s="379"/>
      <c r="W156" s="379"/>
      <c r="X156" s="379"/>
      <c r="Y156" s="379"/>
      <c r="Z156" s="380"/>
      <c r="AC156" s="196"/>
    </row>
    <row r="157" spans="1:35" hidden="1">
      <c r="A157" s="378" t="str">
        <f>Costs!A101</f>
        <v>Wages for Existing Employee/Group of Employees 1</v>
      </c>
      <c r="B157" s="355">
        <f>IF(B$3&lt;=time,'Attributable fraction'!AA101*(1+Economics!$B$4)^(B$3-$B$3)/((1+Economics!$B$3)^(B$3-$B$3)),"")</f>
        <v>0</v>
      </c>
      <c r="C157" s="355">
        <f>IF(C$3&lt;=time,'Attributable fraction'!AB101*(1+Economics!$B$4)^(C$3-$B$3)/((1+Economics!$B$3)^(C$3-$B$3)),"")</f>
        <v>0</v>
      </c>
      <c r="D157" s="355">
        <f>IF(D$3&lt;=time,'Attributable fraction'!AC101*(1+Economics!$B$4)^(D$3-$B$3)/((1+Economics!$B$3)^(D$3-$B$3)),"")</f>
        <v>0</v>
      </c>
      <c r="E157" s="355">
        <f>IF(E$3&lt;=time,'Attributable fraction'!AD101*(1+Economics!$B$4)^(E$3-$B$3)/((1+Economics!$B$3)^(E$3-$B$3)),"")</f>
        <v>0</v>
      </c>
      <c r="F157" s="355">
        <f>IF(F$3&lt;=time,'Attributable fraction'!AE101*(1+Economics!$B$4)^(F$3-$B$3)/((1+Economics!$B$3)^(F$3-$B$3)),"")</f>
        <v>0</v>
      </c>
      <c r="G157" s="355" t="str">
        <f>IF(G$3&lt;=time,'Attributable fraction'!AF101*(1+Economics!$B$4)^(G$3-$B$3)/((1+Economics!$B$3)^(G$3-$B$3)),"")</f>
        <v/>
      </c>
      <c r="H157" s="355" t="str">
        <f>IF(H$3&lt;=time,'Attributable fraction'!AG101*(1+Economics!$B$4)^(H$3-$B$3)/((1+Economics!$B$3)^(H$3-$B$3)),"")</f>
        <v/>
      </c>
      <c r="I157" s="355" t="str">
        <f>IF(I$3&lt;=time,'Attributable fraction'!AH101*(1+Economics!$B$4)^(I$3-$B$3)/((1+Economics!$B$3)^(I$3-$B$3)),"")</f>
        <v/>
      </c>
      <c r="J157" s="355" t="str">
        <f>IF(J$3&lt;=time,'Attributable fraction'!AI101*(1+Economics!$B$4)^(J$3-$B$3)/((1+Economics!$B$3)^(J$3-$B$3)),"")</f>
        <v/>
      </c>
      <c r="K157" s="355" t="str">
        <f>IF(K$3&lt;=time,'Attributable fraction'!AJ101*(1+Economics!$B$4)^(K$3-$B$3)/((1+Economics!$B$3)^(K$3-$B$3)),"")</f>
        <v/>
      </c>
      <c r="L157" s="355" t="str">
        <f>IF(L$3&lt;=time,'Attributable fraction'!AK101*(1+Economics!$B$4)^(L$3-$B$3)/((1+Economics!$B$3)^(L$3-$B$3)),"")</f>
        <v/>
      </c>
      <c r="M157" s="355" t="str">
        <f>IF(M$3&lt;=time,'Attributable fraction'!AL101*(1+Economics!$B$4)^(M$3-$B$3)/((1+Economics!$B$3)^(M$3-$B$3)),"")</f>
        <v/>
      </c>
      <c r="N157" s="355" t="str">
        <f>IF(N$3&lt;=time,'Attributable fraction'!AM101*(1+Economics!$B$4)^(N$3-$B$3)/((1+Economics!$B$3)^(N$3-$B$3)),"")</f>
        <v/>
      </c>
      <c r="O157" s="355" t="str">
        <f>IF(O$3&lt;=time,'Attributable fraction'!AN101*(1+Economics!$B$4)^(O$3-$B$3)/((1+Economics!$B$3)^(O$3-$B$3)),"")</f>
        <v/>
      </c>
      <c r="P157" s="355" t="str">
        <f>IF(P$3&lt;=time,'Attributable fraction'!AO101*(1+Economics!$B$4)^(P$3-$B$3)/((1+Economics!$B$3)^(P$3-$B$3)),"")</f>
        <v/>
      </c>
      <c r="Q157" s="355" t="str">
        <f>IF(Q$3&lt;=time,'Attributable fraction'!AP101*(1+Economics!$B$4)^(Q$3-$B$3)/((1+Economics!$B$3)^(Q$3-$B$3)),"")</f>
        <v/>
      </c>
      <c r="R157" s="355" t="str">
        <f>IF(R$3&lt;=time,'Attributable fraction'!AQ101*(1+Economics!$B$4)^(R$3-$B$3)/((1+Economics!$B$3)^(R$3-$B$3)),"")</f>
        <v/>
      </c>
      <c r="S157" s="355" t="str">
        <f>IF(S$3&lt;=time,'Attributable fraction'!AR101*(1+Economics!$B$4)^(S$3-$B$3)/((1+Economics!$B$3)^(S$3-$B$3)),"")</f>
        <v/>
      </c>
      <c r="T157" s="355" t="str">
        <f>IF(T$3&lt;=time,'Attributable fraction'!AS101*(1+Economics!$B$4)^(T$3-$B$3)/((1+Economics!$B$3)^(T$3-$B$3)),"")</f>
        <v/>
      </c>
      <c r="U157" s="355" t="str">
        <f>IF(U$3&lt;=time,'Attributable fraction'!AT101*(1+Economics!$B$4)^(U$3-$B$3)/((1+Economics!$B$3)^(U$3-$B$3)),"")</f>
        <v/>
      </c>
      <c r="V157" s="355" t="str">
        <f>IF(V$3&lt;=time,'Attributable fraction'!AU101*(1+Economics!$B$4)^(V$3-$B$3)/((1+Economics!$B$3)^(V$3-$B$3)),"")</f>
        <v/>
      </c>
      <c r="W157" s="355" t="str">
        <f>IF(W$3&lt;=time,'Attributable fraction'!AV101*(1+Economics!$B$4)^(W$3-$B$3)/((1+Economics!$B$3)^(W$3-$B$3)),"")</f>
        <v/>
      </c>
      <c r="X157" s="355" t="str">
        <f>IF(X$3&lt;=time,'Attributable fraction'!AW101*(1+Economics!$B$4)^(X$3-$B$3)/((1+Economics!$B$3)^(X$3-$B$3)),"")</f>
        <v/>
      </c>
      <c r="Y157" s="355" t="str">
        <f>IF(Y$3&lt;=time,'Attributable fraction'!AX101*(1+Economics!$B$4)^(Y$3-$B$3)/((1+Economics!$B$3)^(Y$3-$B$3)),"")</f>
        <v/>
      </c>
      <c r="Z157" s="356" t="str">
        <f>IF(Z$3&lt;=time,'Attributable fraction'!AY101*(1+Economics!$B$4)^(Z$3-$B$3)/((1+Economics!$B$3)^(Z$3-$B$3)),"")</f>
        <v/>
      </c>
      <c r="AC157" s="142">
        <f t="shared" ref="AC157:AC166" si="30">(SUM(IF(ISERROR(Z157),"0",Z157),IF(ISERROR(Y157),"0",Y157),IF(ISERROR(X157),"0",X157),IF(ISERROR(W157),"0",W157),IF(ISERROR(V157),"0",V157),IF(ISERROR(U157),"0",U157),IF(ISERROR(T157),"0",T157),IF(ISERROR(S157),"0",S157),IF(ISERROR(R157),"0",R157),IF(ISERROR(Q157),"0",Q157), IF(ISERROR(P157),"0",P157),IF(ISERROR(O157),"0",O157),IF(ISERROR(N157),"0",N157),IF(ISERROR(M157),"0",M157),IF(ISERROR(L157),"0",L157),IF(ISERROR(K157),"0",K157),IF(ISERROR(J157),"0",J157),IF(ISERROR(I157),"0",I157),IF(ISERROR(H157),"0",H157),IF(ISERROR(G157),"0",G157),IF(ISERROR(F157),"0",F157),IF(ISERROR(E157),"0",E157),IF(ISERROR(D157),"0",D157),IF(ISERROR(C157),"0",C157),IF(ISERROR(B157),"0",B157)))/time</f>
        <v>0</v>
      </c>
      <c r="AE157" s="375">
        <v>1</v>
      </c>
      <c r="AF157" s="176" t="e">
        <f t="array" ref="AF157">STDEV(IF(B157:Z157&lt;&gt;0,B157:Z157))</f>
        <v>#DIV/0!</v>
      </c>
      <c r="AG157" s="176">
        <v>1.96</v>
      </c>
      <c r="AH157" s="176" t="e">
        <f t="shared" ref="AH157:AH166" si="31">(AG157*AF157)/(time^0.5)</f>
        <v>#DIV/0!</v>
      </c>
      <c r="AI157" s="176">
        <f t="shared" si="25"/>
        <v>0</v>
      </c>
    </row>
    <row r="158" spans="1:35" hidden="1">
      <c r="A158" s="378" t="str">
        <f>Costs!A102</f>
        <v>Wages for Existing Employee/Group of Employees 2</v>
      </c>
      <c r="B158" s="355">
        <f>IF(B$3&lt;=time,'Attributable fraction'!AA102*(1+Economics!$B$4)^(B$3-$B$3)/((1+Economics!$B$3)^(B$3-$B$3)),"")</f>
        <v>0</v>
      </c>
      <c r="C158" s="355">
        <f>IF(C$3&lt;=time,'Attributable fraction'!AB102*(1+Economics!$B$4)^(C$3-$B$3)/((1+Economics!$B$3)^(C$3-$B$3)),"")</f>
        <v>0</v>
      </c>
      <c r="D158" s="355">
        <f>IF(D$3&lt;=time,'Attributable fraction'!AC102*(1+Economics!$B$4)^(D$3-$B$3)/((1+Economics!$B$3)^(D$3-$B$3)),"")</f>
        <v>0</v>
      </c>
      <c r="E158" s="355">
        <f>IF(E$3&lt;=time,'Attributable fraction'!AD102*(1+Economics!$B$4)^(E$3-$B$3)/((1+Economics!$B$3)^(E$3-$B$3)),"")</f>
        <v>0</v>
      </c>
      <c r="F158" s="355">
        <f>IF(F$3&lt;=time,'Attributable fraction'!AE102*(1+Economics!$B$4)^(F$3-$B$3)/((1+Economics!$B$3)^(F$3-$B$3)),"")</f>
        <v>0</v>
      </c>
      <c r="G158" s="355" t="str">
        <f>IF(G$3&lt;=time,'Attributable fraction'!AF102*(1+Economics!$B$4)^(G$3-$B$3)/((1+Economics!$B$3)^(G$3-$B$3)),"")</f>
        <v/>
      </c>
      <c r="H158" s="355" t="str">
        <f>IF(H$3&lt;=time,'Attributable fraction'!AG102*(1+Economics!$B$4)^(H$3-$B$3)/((1+Economics!$B$3)^(H$3-$B$3)),"")</f>
        <v/>
      </c>
      <c r="I158" s="355" t="str">
        <f>IF(I$3&lt;=time,'Attributable fraction'!AH102*(1+Economics!$B$4)^(I$3-$B$3)/((1+Economics!$B$3)^(I$3-$B$3)),"")</f>
        <v/>
      </c>
      <c r="J158" s="355" t="str">
        <f>IF(J$3&lt;=time,'Attributable fraction'!AI102*(1+Economics!$B$4)^(J$3-$B$3)/((1+Economics!$B$3)^(J$3-$B$3)),"")</f>
        <v/>
      </c>
      <c r="K158" s="355" t="str">
        <f>IF(K$3&lt;=time,'Attributable fraction'!AJ102*(1+Economics!$B$4)^(K$3-$B$3)/((1+Economics!$B$3)^(K$3-$B$3)),"")</f>
        <v/>
      </c>
      <c r="L158" s="355" t="str">
        <f>IF(L$3&lt;=time,'Attributable fraction'!AK102*(1+Economics!$B$4)^(L$3-$B$3)/((1+Economics!$B$3)^(L$3-$B$3)),"")</f>
        <v/>
      </c>
      <c r="M158" s="355" t="str">
        <f>IF(M$3&lt;=time,'Attributable fraction'!AL102*(1+Economics!$B$4)^(M$3-$B$3)/((1+Economics!$B$3)^(M$3-$B$3)),"")</f>
        <v/>
      </c>
      <c r="N158" s="355" t="str">
        <f>IF(N$3&lt;=time,'Attributable fraction'!AM102*(1+Economics!$B$4)^(N$3-$B$3)/((1+Economics!$B$3)^(N$3-$B$3)),"")</f>
        <v/>
      </c>
      <c r="O158" s="355" t="str">
        <f>IF(O$3&lt;=time,'Attributable fraction'!AN102*(1+Economics!$B$4)^(O$3-$B$3)/((1+Economics!$B$3)^(O$3-$B$3)),"")</f>
        <v/>
      </c>
      <c r="P158" s="355" t="str">
        <f>IF(P$3&lt;=time,'Attributable fraction'!AO102*(1+Economics!$B$4)^(P$3-$B$3)/((1+Economics!$B$3)^(P$3-$B$3)),"")</f>
        <v/>
      </c>
      <c r="Q158" s="355" t="str">
        <f>IF(Q$3&lt;=time,'Attributable fraction'!AP102*(1+Economics!$B$4)^(Q$3-$B$3)/((1+Economics!$B$3)^(Q$3-$B$3)),"")</f>
        <v/>
      </c>
      <c r="R158" s="355" t="str">
        <f>IF(R$3&lt;=time,'Attributable fraction'!AQ102*(1+Economics!$B$4)^(R$3-$B$3)/((1+Economics!$B$3)^(R$3-$B$3)),"")</f>
        <v/>
      </c>
      <c r="S158" s="355" t="str">
        <f>IF(S$3&lt;=time,'Attributable fraction'!AR102*(1+Economics!$B$4)^(S$3-$B$3)/((1+Economics!$B$3)^(S$3-$B$3)),"")</f>
        <v/>
      </c>
      <c r="T158" s="355" t="str">
        <f>IF(T$3&lt;=time,'Attributable fraction'!AS102*(1+Economics!$B$4)^(T$3-$B$3)/((1+Economics!$B$3)^(T$3-$B$3)),"")</f>
        <v/>
      </c>
      <c r="U158" s="355" t="str">
        <f>IF(U$3&lt;=time,'Attributable fraction'!AT102*(1+Economics!$B$4)^(U$3-$B$3)/((1+Economics!$B$3)^(U$3-$B$3)),"")</f>
        <v/>
      </c>
      <c r="V158" s="355" t="str">
        <f>IF(V$3&lt;=time,'Attributable fraction'!AU102*(1+Economics!$B$4)^(V$3-$B$3)/((1+Economics!$B$3)^(V$3-$B$3)),"")</f>
        <v/>
      </c>
      <c r="W158" s="355" t="str">
        <f>IF(W$3&lt;=time,'Attributable fraction'!AV102*(1+Economics!$B$4)^(W$3-$B$3)/((1+Economics!$B$3)^(W$3-$B$3)),"")</f>
        <v/>
      </c>
      <c r="X158" s="355" t="str">
        <f>IF(X$3&lt;=time,'Attributable fraction'!AW102*(1+Economics!$B$4)^(X$3-$B$3)/((1+Economics!$B$3)^(X$3-$B$3)),"")</f>
        <v/>
      </c>
      <c r="Y158" s="355" t="str">
        <f>IF(Y$3&lt;=time,'Attributable fraction'!AX102*(1+Economics!$B$4)^(Y$3-$B$3)/((1+Economics!$B$3)^(Y$3-$B$3)),"")</f>
        <v/>
      </c>
      <c r="Z158" s="356" t="str">
        <f>IF(Z$3&lt;=time,'Attributable fraction'!AY102*(1+Economics!$B$4)^(Z$3-$B$3)/((1+Economics!$B$3)^(Z$3-$B$3)),"")</f>
        <v/>
      </c>
      <c r="AC158" s="142">
        <f t="shared" si="30"/>
        <v>0</v>
      </c>
      <c r="AE158" s="376">
        <v>2</v>
      </c>
      <c r="AF158" s="176" t="e">
        <f t="array" ref="AF158">STDEV(IF(B158:Z158&lt;&gt;0,B158:Z158))</f>
        <v>#DIV/0!</v>
      </c>
      <c r="AG158" s="176">
        <v>1.96</v>
      </c>
      <c r="AH158" s="176" t="e">
        <f t="shared" si="31"/>
        <v>#DIV/0!</v>
      </c>
      <c r="AI158" s="176">
        <f t="shared" si="25"/>
        <v>0</v>
      </c>
    </row>
    <row r="159" spans="1:35" hidden="1">
      <c r="A159" s="378" t="str">
        <f>Costs!A103</f>
        <v>Wages for Existing Employee/Group of Employees 3</v>
      </c>
      <c r="B159" s="355">
        <f>IF(B$3&lt;=time,'Attributable fraction'!AA103*(1+Economics!$B$4)^(B$3-$B$3)/((1+Economics!$B$3)^(B$3-$B$3)),"")</f>
        <v>0</v>
      </c>
      <c r="C159" s="355">
        <f>IF(C$3&lt;=time,'Attributable fraction'!AB103*(1+Economics!$B$4)^(C$3-$B$3)/((1+Economics!$B$3)^(C$3-$B$3)),"")</f>
        <v>0</v>
      </c>
      <c r="D159" s="355">
        <f>IF(D$3&lt;=time,'Attributable fraction'!AC103*(1+Economics!$B$4)^(D$3-$B$3)/((1+Economics!$B$3)^(D$3-$B$3)),"")</f>
        <v>0</v>
      </c>
      <c r="E159" s="355">
        <f>IF(E$3&lt;=time,'Attributable fraction'!AD103*(1+Economics!$B$4)^(E$3-$B$3)/((1+Economics!$B$3)^(E$3-$B$3)),"")</f>
        <v>0</v>
      </c>
      <c r="F159" s="355">
        <f>IF(F$3&lt;=time,'Attributable fraction'!AE103*(1+Economics!$B$4)^(F$3-$B$3)/((1+Economics!$B$3)^(F$3-$B$3)),"")</f>
        <v>0</v>
      </c>
      <c r="G159" s="355" t="str">
        <f>IF(G$3&lt;=time,'Attributable fraction'!AF103*(1+Economics!$B$4)^(G$3-$B$3)/((1+Economics!$B$3)^(G$3-$B$3)),"")</f>
        <v/>
      </c>
      <c r="H159" s="355" t="str">
        <f>IF(H$3&lt;=time,'Attributable fraction'!AG103*(1+Economics!$B$4)^(H$3-$B$3)/((1+Economics!$B$3)^(H$3-$B$3)),"")</f>
        <v/>
      </c>
      <c r="I159" s="355" t="str">
        <f>IF(I$3&lt;=time,'Attributable fraction'!AH103*(1+Economics!$B$4)^(I$3-$B$3)/((1+Economics!$B$3)^(I$3-$B$3)),"")</f>
        <v/>
      </c>
      <c r="J159" s="355" t="str">
        <f>IF(J$3&lt;=time,'Attributable fraction'!AI103*(1+Economics!$B$4)^(J$3-$B$3)/((1+Economics!$B$3)^(J$3-$B$3)),"")</f>
        <v/>
      </c>
      <c r="K159" s="355" t="str">
        <f>IF(K$3&lt;=time,'Attributable fraction'!AJ103*(1+Economics!$B$4)^(K$3-$B$3)/((1+Economics!$B$3)^(K$3-$B$3)),"")</f>
        <v/>
      </c>
      <c r="L159" s="355" t="str">
        <f>IF(L$3&lt;=time,'Attributable fraction'!AK103*(1+Economics!$B$4)^(L$3-$B$3)/((1+Economics!$B$3)^(L$3-$B$3)),"")</f>
        <v/>
      </c>
      <c r="M159" s="355" t="str">
        <f>IF(M$3&lt;=time,'Attributable fraction'!AL103*(1+Economics!$B$4)^(M$3-$B$3)/((1+Economics!$B$3)^(M$3-$B$3)),"")</f>
        <v/>
      </c>
      <c r="N159" s="355" t="str">
        <f>IF(N$3&lt;=time,'Attributable fraction'!AM103*(1+Economics!$B$4)^(N$3-$B$3)/((1+Economics!$B$3)^(N$3-$B$3)),"")</f>
        <v/>
      </c>
      <c r="O159" s="355" t="str">
        <f>IF(O$3&lt;=time,'Attributable fraction'!AN103*(1+Economics!$B$4)^(O$3-$B$3)/((1+Economics!$B$3)^(O$3-$B$3)),"")</f>
        <v/>
      </c>
      <c r="P159" s="355" t="str">
        <f>IF(P$3&lt;=time,'Attributable fraction'!AO103*(1+Economics!$B$4)^(P$3-$B$3)/((1+Economics!$B$3)^(P$3-$B$3)),"")</f>
        <v/>
      </c>
      <c r="Q159" s="355" t="str">
        <f>IF(Q$3&lt;=time,'Attributable fraction'!AP103*(1+Economics!$B$4)^(Q$3-$B$3)/((1+Economics!$B$3)^(Q$3-$B$3)),"")</f>
        <v/>
      </c>
      <c r="R159" s="355" t="str">
        <f>IF(R$3&lt;=time,'Attributable fraction'!AQ103*(1+Economics!$B$4)^(R$3-$B$3)/((1+Economics!$B$3)^(R$3-$B$3)),"")</f>
        <v/>
      </c>
      <c r="S159" s="355" t="str">
        <f>IF(S$3&lt;=time,'Attributable fraction'!AR103*(1+Economics!$B$4)^(S$3-$B$3)/((1+Economics!$B$3)^(S$3-$B$3)),"")</f>
        <v/>
      </c>
      <c r="T159" s="355" t="str">
        <f>IF(T$3&lt;=time,'Attributable fraction'!AS103*(1+Economics!$B$4)^(T$3-$B$3)/((1+Economics!$B$3)^(T$3-$B$3)),"")</f>
        <v/>
      </c>
      <c r="U159" s="355" t="str">
        <f>IF(U$3&lt;=time,'Attributable fraction'!AT103*(1+Economics!$B$4)^(U$3-$B$3)/((1+Economics!$B$3)^(U$3-$B$3)),"")</f>
        <v/>
      </c>
      <c r="V159" s="355" t="str">
        <f>IF(V$3&lt;=time,'Attributable fraction'!AU103*(1+Economics!$B$4)^(V$3-$B$3)/((1+Economics!$B$3)^(V$3-$B$3)),"")</f>
        <v/>
      </c>
      <c r="W159" s="355" t="str">
        <f>IF(W$3&lt;=time,'Attributable fraction'!AV103*(1+Economics!$B$4)^(W$3-$B$3)/((1+Economics!$B$3)^(W$3-$B$3)),"")</f>
        <v/>
      </c>
      <c r="X159" s="355" t="str">
        <f>IF(X$3&lt;=time,'Attributable fraction'!AW103*(1+Economics!$B$4)^(X$3-$B$3)/((1+Economics!$B$3)^(X$3-$B$3)),"")</f>
        <v/>
      </c>
      <c r="Y159" s="355" t="str">
        <f>IF(Y$3&lt;=time,'Attributable fraction'!AX103*(1+Economics!$B$4)^(Y$3-$B$3)/((1+Economics!$B$3)^(Y$3-$B$3)),"")</f>
        <v/>
      </c>
      <c r="Z159" s="356" t="str">
        <f>IF(Z$3&lt;=time,'Attributable fraction'!AY103*(1+Economics!$B$4)^(Z$3-$B$3)/((1+Economics!$B$3)^(Z$3-$B$3)),"")</f>
        <v/>
      </c>
      <c r="AC159" s="142">
        <f t="shared" si="30"/>
        <v>0</v>
      </c>
      <c r="AE159" s="376">
        <v>3</v>
      </c>
      <c r="AF159" s="176" t="e">
        <f t="array" ref="AF159">STDEV(IF(B159:Z159&lt;&gt;0,B159:Z159))</f>
        <v>#DIV/0!</v>
      </c>
      <c r="AG159" s="176">
        <v>1.96</v>
      </c>
      <c r="AH159" s="176" t="e">
        <f t="shared" si="31"/>
        <v>#DIV/0!</v>
      </c>
      <c r="AI159" s="176">
        <f t="shared" si="25"/>
        <v>0</v>
      </c>
    </row>
    <row r="160" spans="1:35" hidden="1">
      <c r="A160" s="378" t="str">
        <f>Costs!A104</f>
        <v>Wages for Existing Employee/Group of Employees 4</v>
      </c>
      <c r="B160" s="355">
        <f>IF(B$3&lt;=time,'Attributable fraction'!AA104*(1+Economics!$B$4)^(B$3-$B$3)/((1+Economics!$B$3)^(B$3-$B$3)),"")</f>
        <v>0</v>
      </c>
      <c r="C160" s="355">
        <f>IF(C$3&lt;=time,'Attributable fraction'!AB104*(1+Economics!$B$4)^(C$3-$B$3)/((1+Economics!$B$3)^(C$3-$B$3)),"")</f>
        <v>0</v>
      </c>
      <c r="D160" s="355">
        <f>IF(D$3&lt;=time,'Attributable fraction'!AC104*(1+Economics!$B$4)^(D$3-$B$3)/((1+Economics!$B$3)^(D$3-$B$3)),"")</f>
        <v>0</v>
      </c>
      <c r="E160" s="355">
        <f>IF(E$3&lt;=time,'Attributable fraction'!AD104*(1+Economics!$B$4)^(E$3-$B$3)/((1+Economics!$B$3)^(E$3-$B$3)),"")</f>
        <v>0</v>
      </c>
      <c r="F160" s="355">
        <f>IF(F$3&lt;=time,'Attributable fraction'!AE104*(1+Economics!$B$4)^(F$3-$B$3)/((1+Economics!$B$3)^(F$3-$B$3)),"")</f>
        <v>0</v>
      </c>
      <c r="G160" s="355" t="str">
        <f>IF(G$3&lt;=time,'Attributable fraction'!AF104*(1+Economics!$B$4)^(G$3-$B$3)/((1+Economics!$B$3)^(G$3-$B$3)),"")</f>
        <v/>
      </c>
      <c r="H160" s="355" t="str">
        <f>IF(H$3&lt;=time,'Attributable fraction'!AG104*(1+Economics!$B$4)^(H$3-$B$3)/((1+Economics!$B$3)^(H$3-$B$3)),"")</f>
        <v/>
      </c>
      <c r="I160" s="355" t="str">
        <f>IF(I$3&lt;=time,'Attributable fraction'!AH104*(1+Economics!$B$4)^(I$3-$B$3)/((1+Economics!$B$3)^(I$3-$B$3)),"")</f>
        <v/>
      </c>
      <c r="J160" s="355" t="str">
        <f>IF(J$3&lt;=time,'Attributable fraction'!AI104*(1+Economics!$B$4)^(J$3-$B$3)/((1+Economics!$B$3)^(J$3-$B$3)),"")</f>
        <v/>
      </c>
      <c r="K160" s="355" t="str">
        <f>IF(K$3&lt;=time,'Attributable fraction'!AJ104*(1+Economics!$B$4)^(K$3-$B$3)/((1+Economics!$B$3)^(K$3-$B$3)),"")</f>
        <v/>
      </c>
      <c r="L160" s="355" t="str">
        <f>IF(L$3&lt;=time,'Attributable fraction'!AK104*(1+Economics!$B$4)^(L$3-$B$3)/((1+Economics!$B$3)^(L$3-$B$3)),"")</f>
        <v/>
      </c>
      <c r="M160" s="355" t="str">
        <f>IF(M$3&lt;=time,'Attributable fraction'!AL104*(1+Economics!$B$4)^(M$3-$B$3)/((1+Economics!$B$3)^(M$3-$B$3)),"")</f>
        <v/>
      </c>
      <c r="N160" s="355" t="str">
        <f>IF(N$3&lt;=time,'Attributable fraction'!AM104*(1+Economics!$B$4)^(N$3-$B$3)/((1+Economics!$B$3)^(N$3-$B$3)),"")</f>
        <v/>
      </c>
      <c r="O160" s="355" t="str">
        <f>IF(O$3&lt;=time,'Attributable fraction'!AN104*(1+Economics!$B$4)^(O$3-$B$3)/((1+Economics!$B$3)^(O$3-$B$3)),"")</f>
        <v/>
      </c>
      <c r="P160" s="355" t="str">
        <f>IF(P$3&lt;=time,'Attributable fraction'!AO104*(1+Economics!$B$4)^(P$3-$B$3)/((1+Economics!$B$3)^(P$3-$B$3)),"")</f>
        <v/>
      </c>
      <c r="Q160" s="355" t="str">
        <f>IF(Q$3&lt;=time,'Attributable fraction'!AP104*(1+Economics!$B$4)^(Q$3-$B$3)/((1+Economics!$B$3)^(Q$3-$B$3)),"")</f>
        <v/>
      </c>
      <c r="R160" s="355" t="str">
        <f>IF(R$3&lt;=time,'Attributable fraction'!AQ104*(1+Economics!$B$4)^(R$3-$B$3)/((1+Economics!$B$3)^(R$3-$B$3)),"")</f>
        <v/>
      </c>
      <c r="S160" s="355" t="str">
        <f>IF(S$3&lt;=time,'Attributable fraction'!AR104*(1+Economics!$B$4)^(S$3-$B$3)/((1+Economics!$B$3)^(S$3-$B$3)),"")</f>
        <v/>
      </c>
      <c r="T160" s="355" t="str">
        <f>IF(T$3&lt;=time,'Attributable fraction'!AS104*(1+Economics!$B$4)^(T$3-$B$3)/((1+Economics!$B$3)^(T$3-$B$3)),"")</f>
        <v/>
      </c>
      <c r="U160" s="355" t="str">
        <f>IF(U$3&lt;=time,'Attributable fraction'!AT104*(1+Economics!$B$4)^(U$3-$B$3)/((1+Economics!$B$3)^(U$3-$B$3)),"")</f>
        <v/>
      </c>
      <c r="V160" s="355" t="str">
        <f>IF(V$3&lt;=time,'Attributable fraction'!AU104*(1+Economics!$B$4)^(V$3-$B$3)/((1+Economics!$B$3)^(V$3-$B$3)),"")</f>
        <v/>
      </c>
      <c r="W160" s="355" t="str">
        <f>IF(W$3&lt;=time,'Attributable fraction'!AV104*(1+Economics!$B$4)^(W$3-$B$3)/((1+Economics!$B$3)^(W$3-$B$3)),"")</f>
        <v/>
      </c>
      <c r="X160" s="355" t="str">
        <f>IF(X$3&lt;=time,'Attributable fraction'!AW104*(1+Economics!$B$4)^(X$3-$B$3)/((1+Economics!$B$3)^(X$3-$B$3)),"")</f>
        <v/>
      </c>
      <c r="Y160" s="355" t="str">
        <f>IF(Y$3&lt;=time,'Attributable fraction'!AX104*(1+Economics!$B$4)^(Y$3-$B$3)/((1+Economics!$B$3)^(Y$3-$B$3)),"")</f>
        <v/>
      </c>
      <c r="Z160" s="356" t="str">
        <f>IF(Z$3&lt;=time,'Attributable fraction'!AY104*(1+Economics!$B$4)^(Z$3-$B$3)/((1+Economics!$B$3)^(Z$3-$B$3)),"")</f>
        <v/>
      </c>
      <c r="AC160" s="142">
        <f t="shared" si="30"/>
        <v>0</v>
      </c>
      <c r="AE160" s="376">
        <v>4</v>
      </c>
      <c r="AF160" s="176" t="e">
        <f t="array" ref="AF160">STDEV(IF(B160:Z160&lt;&gt;0,B160:Z160))</f>
        <v>#DIV/0!</v>
      </c>
      <c r="AG160" s="176">
        <v>1.96</v>
      </c>
      <c r="AH160" s="176" t="e">
        <f t="shared" si="31"/>
        <v>#DIV/0!</v>
      </c>
      <c r="AI160" s="176">
        <f t="shared" si="25"/>
        <v>0</v>
      </c>
    </row>
    <row r="161" spans="1:35" hidden="1">
      <c r="A161" s="378" t="str">
        <f>Costs!A105</f>
        <v>Wages for Existing Employee/Group of Employees 5</v>
      </c>
      <c r="B161" s="355">
        <f>IF(B$3&lt;=time,'Attributable fraction'!AA105*(1+Economics!$B$4)^(B$3-$B$3)/((1+Economics!$B$3)^(B$3-$B$3)),"")</f>
        <v>0</v>
      </c>
      <c r="C161" s="355">
        <f>IF(C$3&lt;=time,'Attributable fraction'!AB105*(1+Economics!$B$4)^(C$3-$B$3)/((1+Economics!$B$3)^(C$3-$B$3)),"")</f>
        <v>0</v>
      </c>
      <c r="D161" s="355">
        <f>IF(D$3&lt;=time,'Attributable fraction'!AC105*(1+Economics!$B$4)^(D$3-$B$3)/((1+Economics!$B$3)^(D$3-$B$3)),"")</f>
        <v>0</v>
      </c>
      <c r="E161" s="355">
        <f>IF(E$3&lt;=time,'Attributable fraction'!AD105*(1+Economics!$B$4)^(E$3-$B$3)/((1+Economics!$B$3)^(E$3-$B$3)),"")</f>
        <v>0</v>
      </c>
      <c r="F161" s="355">
        <f>IF(F$3&lt;=time,'Attributable fraction'!AE105*(1+Economics!$B$4)^(F$3-$B$3)/((1+Economics!$B$3)^(F$3-$B$3)),"")</f>
        <v>0</v>
      </c>
      <c r="G161" s="355" t="str">
        <f>IF(G$3&lt;=time,'Attributable fraction'!AF105*(1+Economics!$B$4)^(G$3-$B$3)/((1+Economics!$B$3)^(G$3-$B$3)),"")</f>
        <v/>
      </c>
      <c r="H161" s="355" t="str">
        <f>IF(H$3&lt;=time,'Attributable fraction'!AG105*(1+Economics!$B$4)^(H$3-$B$3)/((1+Economics!$B$3)^(H$3-$B$3)),"")</f>
        <v/>
      </c>
      <c r="I161" s="355" t="str">
        <f>IF(I$3&lt;=time,'Attributable fraction'!AH105*(1+Economics!$B$4)^(I$3-$B$3)/((1+Economics!$B$3)^(I$3-$B$3)),"")</f>
        <v/>
      </c>
      <c r="J161" s="355" t="str">
        <f>IF(J$3&lt;=time,'Attributable fraction'!AI105*(1+Economics!$B$4)^(J$3-$B$3)/((1+Economics!$B$3)^(J$3-$B$3)),"")</f>
        <v/>
      </c>
      <c r="K161" s="355" t="str">
        <f>IF(K$3&lt;=time,'Attributable fraction'!AJ105*(1+Economics!$B$4)^(K$3-$B$3)/((1+Economics!$B$3)^(K$3-$B$3)),"")</f>
        <v/>
      </c>
      <c r="L161" s="355" t="str">
        <f>IF(L$3&lt;=time,'Attributable fraction'!AK105*(1+Economics!$B$4)^(L$3-$B$3)/((1+Economics!$B$3)^(L$3-$B$3)),"")</f>
        <v/>
      </c>
      <c r="M161" s="355" t="str">
        <f>IF(M$3&lt;=time,'Attributable fraction'!AL105*(1+Economics!$B$4)^(M$3-$B$3)/((1+Economics!$B$3)^(M$3-$B$3)),"")</f>
        <v/>
      </c>
      <c r="N161" s="355" t="str">
        <f>IF(N$3&lt;=time,'Attributable fraction'!AM105*(1+Economics!$B$4)^(N$3-$B$3)/((1+Economics!$B$3)^(N$3-$B$3)),"")</f>
        <v/>
      </c>
      <c r="O161" s="355" t="str">
        <f>IF(O$3&lt;=time,'Attributable fraction'!AN105*(1+Economics!$B$4)^(O$3-$B$3)/((1+Economics!$B$3)^(O$3-$B$3)),"")</f>
        <v/>
      </c>
      <c r="P161" s="355" t="str">
        <f>IF(P$3&lt;=time,'Attributable fraction'!AO105*(1+Economics!$B$4)^(P$3-$B$3)/((1+Economics!$B$3)^(P$3-$B$3)),"")</f>
        <v/>
      </c>
      <c r="Q161" s="355" t="str">
        <f>IF(Q$3&lt;=time,'Attributable fraction'!AP105*(1+Economics!$B$4)^(Q$3-$B$3)/((1+Economics!$B$3)^(Q$3-$B$3)),"")</f>
        <v/>
      </c>
      <c r="R161" s="355" t="str">
        <f>IF(R$3&lt;=time,'Attributable fraction'!AQ105*(1+Economics!$B$4)^(R$3-$B$3)/((1+Economics!$B$3)^(R$3-$B$3)),"")</f>
        <v/>
      </c>
      <c r="S161" s="355" t="str">
        <f>IF(S$3&lt;=time,'Attributable fraction'!AR105*(1+Economics!$B$4)^(S$3-$B$3)/((1+Economics!$B$3)^(S$3-$B$3)),"")</f>
        <v/>
      </c>
      <c r="T161" s="355" t="str">
        <f>IF(T$3&lt;=time,'Attributable fraction'!AS105*(1+Economics!$B$4)^(T$3-$B$3)/((1+Economics!$B$3)^(T$3-$B$3)),"")</f>
        <v/>
      </c>
      <c r="U161" s="355" t="str">
        <f>IF(U$3&lt;=time,'Attributable fraction'!AT105*(1+Economics!$B$4)^(U$3-$B$3)/((1+Economics!$B$3)^(U$3-$B$3)),"")</f>
        <v/>
      </c>
      <c r="V161" s="355" t="str">
        <f>IF(V$3&lt;=time,'Attributable fraction'!AU105*(1+Economics!$B$4)^(V$3-$B$3)/((1+Economics!$B$3)^(V$3-$B$3)),"")</f>
        <v/>
      </c>
      <c r="W161" s="355" t="str">
        <f>IF(W$3&lt;=time,'Attributable fraction'!AV105*(1+Economics!$B$4)^(W$3-$B$3)/((1+Economics!$B$3)^(W$3-$B$3)),"")</f>
        <v/>
      </c>
      <c r="X161" s="355" t="str">
        <f>IF(X$3&lt;=time,'Attributable fraction'!AW105*(1+Economics!$B$4)^(X$3-$B$3)/((1+Economics!$B$3)^(X$3-$B$3)),"")</f>
        <v/>
      </c>
      <c r="Y161" s="355" t="str">
        <f>IF(Y$3&lt;=time,'Attributable fraction'!AX105*(1+Economics!$B$4)^(Y$3-$B$3)/((1+Economics!$B$3)^(Y$3-$B$3)),"")</f>
        <v/>
      </c>
      <c r="Z161" s="356" t="str">
        <f>IF(Z$3&lt;=time,'Attributable fraction'!AY105*(1+Economics!$B$4)^(Z$3-$B$3)/((1+Economics!$B$3)^(Z$3-$B$3)),"")</f>
        <v/>
      </c>
      <c r="AC161" s="142">
        <f t="shared" si="30"/>
        <v>0</v>
      </c>
      <c r="AE161" s="376">
        <v>5</v>
      </c>
      <c r="AF161" s="176" t="e">
        <f t="array" ref="AF161">STDEV(IF(B161:Z161&lt;&gt;0,B161:Z161))</f>
        <v>#DIV/0!</v>
      </c>
      <c r="AG161" s="176">
        <v>1.96</v>
      </c>
      <c r="AH161" s="176" t="e">
        <f t="shared" si="31"/>
        <v>#DIV/0!</v>
      </c>
      <c r="AI161" s="176">
        <f t="shared" si="25"/>
        <v>0</v>
      </c>
    </row>
    <row r="162" spans="1:35" hidden="1">
      <c r="A162" s="378" t="str">
        <f>Costs!A106</f>
        <v>Wages for Existing Employee/Group of Employees 6</v>
      </c>
      <c r="B162" s="355">
        <f>IF(B$3&lt;=time,'Attributable fraction'!AA106*(1+Economics!$B$4)^(B$3-$B$3)/((1+Economics!$B$3)^(B$3-$B$3)),"")</f>
        <v>0</v>
      </c>
      <c r="C162" s="355">
        <f>IF(C$3&lt;=time,'Attributable fraction'!AB106*(1+Economics!$B$4)^(C$3-$B$3)/((1+Economics!$B$3)^(C$3-$B$3)),"")</f>
        <v>0</v>
      </c>
      <c r="D162" s="355">
        <f>IF(D$3&lt;=time,'Attributable fraction'!AC106*(1+Economics!$B$4)^(D$3-$B$3)/((1+Economics!$B$3)^(D$3-$B$3)),"")</f>
        <v>0</v>
      </c>
      <c r="E162" s="355">
        <f>IF(E$3&lt;=time,'Attributable fraction'!AD106*(1+Economics!$B$4)^(E$3-$B$3)/((1+Economics!$B$3)^(E$3-$B$3)),"")</f>
        <v>0</v>
      </c>
      <c r="F162" s="355">
        <f>IF(F$3&lt;=time,'Attributable fraction'!AE106*(1+Economics!$B$4)^(F$3-$B$3)/((1+Economics!$B$3)^(F$3-$B$3)),"")</f>
        <v>0</v>
      </c>
      <c r="G162" s="355" t="str">
        <f>IF(G$3&lt;=time,'Attributable fraction'!AF106*(1+Economics!$B$4)^(G$3-$B$3)/((1+Economics!$B$3)^(G$3-$B$3)),"")</f>
        <v/>
      </c>
      <c r="H162" s="355" t="str">
        <f>IF(H$3&lt;=time,'Attributable fraction'!AG106*(1+Economics!$B$4)^(H$3-$B$3)/((1+Economics!$B$3)^(H$3-$B$3)),"")</f>
        <v/>
      </c>
      <c r="I162" s="355" t="str">
        <f>IF(I$3&lt;=time,'Attributable fraction'!AH106*(1+Economics!$B$4)^(I$3-$B$3)/((1+Economics!$B$3)^(I$3-$B$3)),"")</f>
        <v/>
      </c>
      <c r="J162" s="355" t="str">
        <f>IF(J$3&lt;=time,'Attributable fraction'!AI106*(1+Economics!$B$4)^(J$3-$B$3)/((1+Economics!$B$3)^(J$3-$B$3)),"")</f>
        <v/>
      </c>
      <c r="K162" s="355" t="str">
        <f>IF(K$3&lt;=time,'Attributable fraction'!AJ106*(1+Economics!$B$4)^(K$3-$B$3)/((1+Economics!$B$3)^(K$3-$B$3)),"")</f>
        <v/>
      </c>
      <c r="L162" s="355" t="str">
        <f>IF(L$3&lt;=time,'Attributable fraction'!AK106*(1+Economics!$B$4)^(L$3-$B$3)/((1+Economics!$B$3)^(L$3-$B$3)),"")</f>
        <v/>
      </c>
      <c r="M162" s="355" t="str">
        <f>IF(M$3&lt;=time,'Attributable fraction'!AL106*(1+Economics!$B$4)^(M$3-$B$3)/((1+Economics!$B$3)^(M$3-$B$3)),"")</f>
        <v/>
      </c>
      <c r="N162" s="355" t="str">
        <f>IF(N$3&lt;=time,'Attributable fraction'!AM106*(1+Economics!$B$4)^(N$3-$B$3)/((1+Economics!$B$3)^(N$3-$B$3)),"")</f>
        <v/>
      </c>
      <c r="O162" s="355" t="str">
        <f>IF(O$3&lt;=time,'Attributable fraction'!AN106*(1+Economics!$B$4)^(O$3-$B$3)/((1+Economics!$B$3)^(O$3-$B$3)),"")</f>
        <v/>
      </c>
      <c r="P162" s="355" t="str">
        <f>IF(P$3&lt;=time,'Attributable fraction'!AO106*(1+Economics!$B$4)^(P$3-$B$3)/((1+Economics!$B$3)^(P$3-$B$3)),"")</f>
        <v/>
      </c>
      <c r="Q162" s="355" t="str">
        <f>IF(Q$3&lt;=time,'Attributable fraction'!AP106*(1+Economics!$B$4)^(Q$3-$B$3)/((1+Economics!$B$3)^(Q$3-$B$3)),"")</f>
        <v/>
      </c>
      <c r="R162" s="355" t="str">
        <f>IF(R$3&lt;=time,'Attributable fraction'!AQ106*(1+Economics!$B$4)^(R$3-$B$3)/((1+Economics!$B$3)^(R$3-$B$3)),"")</f>
        <v/>
      </c>
      <c r="S162" s="355" t="str">
        <f>IF(S$3&lt;=time,'Attributable fraction'!AR106*(1+Economics!$B$4)^(S$3-$B$3)/((1+Economics!$B$3)^(S$3-$B$3)),"")</f>
        <v/>
      </c>
      <c r="T162" s="355" t="str">
        <f>IF(T$3&lt;=time,'Attributable fraction'!AS106*(1+Economics!$B$4)^(T$3-$B$3)/((1+Economics!$B$3)^(T$3-$B$3)),"")</f>
        <v/>
      </c>
      <c r="U162" s="355" t="str">
        <f>IF(U$3&lt;=time,'Attributable fraction'!AT106*(1+Economics!$B$4)^(U$3-$B$3)/((1+Economics!$B$3)^(U$3-$B$3)),"")</f>
        <v/>
      </c>
      <c r="V162" s="355" t="str">
        <f>IF(V$3&lt;=time,'Attributable fraction'!AU106*(1+Economics!$B$4)^(V$3-$B$3)/((1+Economics!$B$3)^(V$3-$B$3)),"")</f>
        <v/>
      </c>
      <c r="W162" s="355" t="str">
        <f>IF(W$3&lt;=time,'Attributable fraction'!AV106*(1+Economics!$B$4)^(W$3-$B$3)/((1+Economics!$B$3)^(W$3-$B$3)),"")</f>
        <v/>
      </c>
      <c r="X162" s="355" t="str">
        <f>IF(X$3&lt;=time,'Attributable fraction'!AW106*(1+Economics!$B$4)^(X$3-$B$3)/((1+Economics!$B$3)^(X$3-$B$3)),"")</f>
        <v/>
      </c>
      <c r="Y162" s="355" t="str">
        <f>IF(Y$3&lt;=time,'Attributable fraction'!AX106*(1+Economics!$B$4)^(Y$3-$B$3)/((1+Economics!$B$3)^(Y$3-$B$3)),"")</f>
        <v/>
      </c>
      <c r="Z162" s="356" t="str">
        <f>IF(Z$3&lt;=time,'Attributable fraction'!AY106*(1+Economics!$B$4)^(Z$3-$B$3)/((1+Economics!$B$3)^(Z$3-$B$3)),"")</f>
        <v/>
      </c>
      <c r="AC162" s="142">
        <f t="shared" si="30"/>
        <v>0</v>
      </c>
      <c r="AE162" s="376">
        <v>6</v>
      </c>
      <c r="AF162" s="176" t="e">
        <f t="array" ref="AF162">STDEV(IF(B162:Z162&lt;&gt;0,B162:Z162))</f>
        <v>#DIV/0!</v>
      </c>
      <c r="AG162" s="176">
        <v>1.96</v>
      </c>
      <c r="AH162" s="176" t="e">
        <f t="shared" si="31"/>
        <v>#DIV/0!</v>
      </c>
      <c r="AI162" s="176">
        <f t="shared" si="25"/>
        <v>0</v>
      </c>
    </row>
    <row r="163" spans="1:35" hidden="1">
      <c r="A163" s="378" t="str">
        <f>Costs!A107</f>
        <v>Wages for Existing Employee/Group of Employees 7</v>
      </c>
      <c r="B163" s="355">
        <f>IF(B$3&lt;=time,'Attributable fraction'!AA107*(1+Economics!$B$4)^(B$3-$B$3)/((1+Economics!$B$3)^(B$3-$B$3)),"")</f>
        <v>0</v>
      </c>
      <c r="C163" s="355">
        <f>IF(C$3&lt;=time,'Attributable fraction'!AB107*(1+Economics!$B$4)^(C$3-$B$3)/((1+Economics!$B$3)^(C$3-$B$3)),"")</f>
        <v>0</v>
      </c>
      <c r="D163" s="355">
        <f>IF(D$3&lt;=time,'Attributable fraction'!AC107*(1+Economics!$B$4)^(D$3-$B$3)/((1+Economics!$B$3)^(D$3-$B$3)),"")</f>
        <v>0</v>
      </c>
      <c r="E163" s="355">
        <f>IF(E$3&lt;=time,'Attributable fraction'!AD107*(1+Economics!$B$4)^(E$3-$B$3)/((1+Economics!$B$3)^(E$3-$B$3)),"")</f>
        <v>0</v>
      </c>
      <c r="F163" s="355">
        <f>IF(F$3&lt;=time,'Attributable fraction'!AE107*(1+Economics!$B$4)^(F$3-$B$3)/((1+Economics!$B$3)^(F$3-$B$3)),"")</f>
        <v>0</v>
      </c>
      <c r="G163" s="355" t="str">
        <f>IF(G$3&lt;=time,'Attributable fraction'!AF107*(1+Economics!$B$4)^(G$3-$B$3)/((1+Economics!$B$3)^(G$3-$B$3)),"")</f>
        <v/>
      </c>
      <c r="H163" s="355" t="str">
        <f>IF(H$3&lt;=time,'Attributable fraction'!AG107*(1+Economics!$B$4)^(H$3-$B$3)/((1+Economics!$B$3)^(H$3-$B$3)),"")</f>
        <v/>
      </c>
      <c r="I163" s="355" t="str">
        <f>IF(I$3&lt;=time,'Attributable fraction'!AH107*(1+Economics!$B$4)^(I$3-$B$3)/((1+Economics!$B$3)^(I$3-$B$3)),"")</f>
        <v/>
      </c>
      <c r="J163" s="355" t="str">
        <f>IF(J$3&lt;=time,'Attributable fraction'!AI107*(1+Economics!$B$4)^(J$3-$B$3)/((1+Economics!$B$3)^(J$3-$B$3)),"")</f>
        <v/>
      </c>
      <c r="K163" s="355" t="str">
        <f>IF(K$3&lt;=time,'Attributable fraction'!AJ107*(1+Economics!$B$4)^(K$3-$B$3)/((1+Economics!$B$3)^(K$3-$B$3)),"")</f>
        <v/>
      </c>
      <c r="L163" s="355" t="str">
        <f>IF(L$3&lt;=time,'Attributable fraction'!AK107*(1+Economics!$B$4)^(L$3-$B$3)/((1+Economics!$B$3)^(L$3-$B$3)),"")</f>
        <v/>
      </c>
      <c r="M163" s="355" t="str">
        <f>IF(M$3&lt;=time,'Attributable fraction'!AL107*(1+Economics!$B$4)^(M$3-$B$3)/((1+Economics!$B$3)^(M$3-$B$3)),"")</f>
        <v/>
      </c>
      <c r="N163" s="355" t="str">
        <f>IF(N$3&lt;=time,'Attributable fraction'!AM107*(1+Economics!$B$4)^(N$3-$B$3)/((1+Economics!$B$3)^(N$3-$B$3)),"")</f>
        <v/>
      </c>
      <c r="O163" s="355" t="str">
        <f>IF(O$3&lt;=time,'Attributable fraction'!AN107*(1+Economics!$B$4)^(O$3-$B$3)/((1+Economics!$B$3)^(O$3-$B$3)),"")</f>
        <v/>
      </c>
      <c r="P163" s="355" t="str">
        <f>IF(P$3&lt;=time,'Attributable fraction'!AO107*(1+Economics!$B$4)^(P$3-$B$3)/((1+Economics!$B$3)^(P$3-$B$3)),"")</f>
        <v/>
      </c>
      <c r="Q163" s="355" t="str">
        <f>IF(Q$3&lt;=time,'Attributable fraction'!AP107*(1+Economics!$B$4)^(Q$3-$B$3)/((1+Economics!$B$3)^(Q$3-$B$3)),"")</f>
        <v/>
      </c>
      <c r="R163" s="355" t="str">
        <f>IF(R$3&lt;=time,'Attributable fraction'!AQ107*(1+Economics!$B$4)^(R$3-$B$3)/((1+Economics!$B$3)^(R$3-$B$3)),"")</f>
        <v/>
      </c>
      <c r="S163" s="355" t="str">
        <f>IF(S$3&lt;=time,'Attributable fraction'!AR107*(1+Economics!$B$4)^(S$3-$B$3)/((1+Economics!$B$3)^(S$3-$B$3)),"")</f>
        <v/>
      </c>
      <c r="T163" s="355" t="str">
        <f>IF(T$3&lt;=time,'Attributable fraction'!AS107*(1+Economics!$B$4)^(T$3-$B$3)/((1+Economics!$B$3)^(T$3-$B$3)),"")</f>
        <v/>
      </c>
      <c r="U163" s="355" t="str">
        <f>IF(U$3&lt;=time,'Attributable fraction'!AT107*(1+Economics!$B$4)^(U$3-$B$3)/((1+Economics!$B$3)^(U$3-$B$3)),"")</f>
        <v/>
      </c>
      <c r="V163" s="355" t="str">
        <f>IF(V$3&lt;=time,'Attributable fraction'!AU107*(1+Economics!$B$4)^(V$3-$B$3)/((1+Economics!$B$3)^(V$3-$B$3)),"")</f>
        <v/>
      </c>
      <c r="W163" s="355" t="str">
        <f>IF(W$3&lt;=time,'Attributable fraction'!AV107*(1+Economics!$B$4)^(W$3-$B$3)/((1+Economics!$B$3)^(W$3-$B$3)),"")</f>
        <v/>
      </c>
      <c r="X163" s="355" t="str">
        <f>IF(X$3&lt;=time,'Attributable fraction'!AW107*(1+Economics!$B$4)^(X$3-$B$3)/((1+Economics!$B$3)^(X$3-$B$3)),"")</f>
        <v/>
      </c>
      <c r="Y163" s="355" t="str">
        <f>IF(Y$3&lt;=time,'Attributable fraction'!AX107*(1+Economics!$B$4)^(Y$3-$B$3)/((1+Economics!$B$3)^(Y$3-$B$3)),"")</f>
        <v/>
      </c>
      <c r="Z163" s="356" t="str">
        <f>IF(Z$3&lt;=time,'Attributable fraction'!AY107*(1+Economics!$B$4)^(Z$3-$B$3)/((1+Economics!$B$3)^(Z$3-$B$3)),"")</f>
        <v/>
      </c>
      <c r="AC163" s="142">
        <f t="shared" si="30"/>
        <v>0</v>
      </c>
      <c r="AE163" s="376">
        <v>7</v>
      </c>
      <c r="AF163" s="176" t="e">
        <f t="array" ref="AF163">STDEV(IF(B163:Z163&lt;&gt;0,B163:Z163))</f>
        <v>#DIV/0!</v>
      </c>
      <c r="AG163" s="176">
        <v>1.96</v>
      </c>
      <c r="AH163" s="176" t="e">
        <f t="shared" si="31"/>
        <v>#DIV/0!</v>
      </c>
      <c r="AI163" s="176">
        <f t="shared" si="25"/>
        <v>0</v>
      </c>
    </row>
    <row r="164" spans="1:35" hidden="1">
      <c r="A164" s="378" t="str">
        <f>Costs!A108</f>
        <v>Wages for Existing Employee/Group of Employees 8</v>
      </c>
      <c r="B164" s="355">
        <f>IF(B$3&lt;=time,'Attributable fraction'!AA108*(1+Economics!$B$4)^(B$3-$B$3)/((1+Economics!$B$3)^(B$3-$B$3)),"")</f>
        <v>0</v>
      </c>
      <c r="C164" s="355">
        <f>IF(C$3&lt;=time,'Attributable fraction'!AB108*(1+Economics!$B$4)^(C$3-$B$3)/((1+Economics!$B$3)^(C$3-$B$3)),"")</f>
        <v>0</v>
      </c>
      <c r="D164" s="355">
        <f>IF(D$3&lt;=time,'Attributable fraction'!AC108*(1+Economics!$B$4)^(D$3-$B$3)/((1+Economics!$B$3)^(D$3-$B$3)),"")</f>
        <v>0</v>
      </c>
      <c r="E164" s="355">
        <f>IF(E$3&lt;=time,'Attributable fraction'!AD108*(1+Economics!$B$4)^(E$3-$B$3)/((1+Economics!$B$3)^(E$3-$B$3)),"")</f>
        <v>0</v>
      </c>
      <c r="F164" s="355">
        <f>IF(F$3&lt;=time,'Attributable fraction'!AE108*(1+Economics!$B$4)^(F$3-$B$3)/((1+Economics!$B$3)^(F$3-$B$3)),"")</f>
        <v>0</v>
      </c>
      <c r="G164" s="355" t="str">
        <f>IF(G$3&lt;=time,'Attributable fraction'!AF108*(1+Economics!$B$4)^(G$3-$B$3)/((1+Economics!$B$3)^(G$3-$B$3)),"")</f>
        <v/>
      </c>
      <c r="H164" s="355" t="str">
        <f>IF(H$3&lt;=time,'Attributable fraction'!AG108*(1+Economics!$B$4)^(H$3-$B$3)/((1+Economics!$B$3)^(H$3-$B$3)),"")</f>
        <v/>
      </c>
      <c r="I164" s="355" t="str">
        <f>IF(I$3&lt;=time,'Attributable fraction'!AH108*(1+Economics!$B$4)^(I$3-$B$3)/((1+Economics!$B$3)^(I$3-$B$3)),"")</f>
        <v/>
      </c>
      <c r="J164" s="355" t="str">
        <f>IF(J$3&lt;=time,'Attributable fraction'!AI108*(1+Economics!$B$4)^(J$3-$B$3)/((1+Economics!$B$3)^(J$3-$B$3)),"")</f>
        <v/>
      </c>
      <c r="K164" s="355" t="str">
        <f>IF(K$3&lt;=time,'Attributable fraction'!AJ108*(1+Economics!$B$4)^(K$3-$B$3)/((1+Economics!$B$3)^(K$3-$B$3)),"")</f>
        <v/>
      </c>
      <c r="L164" s="355" t="str">
        <f>IF(L$3&lt;=time,'Attributable fraction'!AK108*(1+Economics!$B$4)^(L$3-$B$3)/((1+Economics!$B$3)^(L$3-$B$3)),"")</f>
        <v/>
      </c>
      <c r="M164" s="355" t="str">
        <f>IF(M$3&lt;=time,'Attributable fraction'!AL108*(1+Economics!$B$4)^(M$3-$B$3)/((1+Economics!$B$3)^(M$3-$B$3)),"")</f>
        <v/>
      </c>
      <c r="N164" s="355" t="str">
        <f>IF(N$3&lt;=time,'Attributable fraction'!AM108*(1+Economics!$B$4)^(N$3-$B$3)/((1+Economics!$B$3)^(N$3-$B$3)),"")</f>
        <v/>
      </c>
      <c r="O164" s="355" t="str">
        <f>IF(O$3&lt;=time,'Attributable fraction'!AN108*(1+Economics!$B$4)^(O$3-$B$3)/((1+Economics!$B$3)^(O$3-$B$3)),"")</f>
        <v/>
      </c>
      <c r="P164" s="355" t="str">
        <f>IF(P$3&lt;=time,'Attributable fraction'!AO108*(1+Economics!$B$4)^(P$3-$B$3)/((1+Economics!$B$3)^(P$3-$B$3)),"")</f>
        <v/>
      </c>
      <c r="Q164" s="355" t="str">
        <f>IF(Q$3&lt;=time,'Attributable fraction'!AP108*(1+Economics!$B$4)^(Q$3-$B$3)/((1+Economics!$B$3)^(Q$3-$B$3)),"")</f>
        <v/>
      </c>
      <c r="R164" s="355" t="str">
        <f>IF(R$3&lt;=time,'Attributable fraction'!AQ108*(1+Economics!$B$4)^(R$3-$B$3)/((1+Economics!$B$3)^(R$3-$B$3)),"")</f>
        <v/>
      </c>
      <c r="S164" s="355" t="str">
        <f>IF(S$3&lt;=time,'Attributable fraction'!AR108*(1+Economics!$B$4)^(S$3-$B$3)/((1+Economics!$B$3)^(S$3-$B$3)),"")</f>
        <v/>
      </c>
      <c r="T164" s="355" t="str">
        <f>IF(T$3&lt;=time,'Attributable fraction'!AS108*(1+Economics!$B$4)^(T$3-$B$3)/((1+Economics!$B$3)^(T$3-$B$3)),"")</f>
        <v/>
      </c>
      <c r="U164" s="355" t="str">
        <f>IF(U$3&lt;=time,'Attributable fraction'!AT108*(1+Economics!$B$4)^(U$3-$B$3)/((1+Economics!$B$3)^(U$3-$B$3)),"")</f>
        <v/>
      </c>
      <c r="V164" s="355" t="str">
        <f>IF(V$3&lt;=time,'Attributable fraction'!AU108*(1+Economics!$B$4)^(V$3-$B$3)/((1+Economics!$B$3)^(V$3-$B$3)),"")</f>
        <v/>
      </c>
      <c r="W164" s="355" t="str">
        <f>IF(W$3&lt;=time,'Attributable fraction'!AV108*(1+Economics!$B$4)^(W$3-$B$3)/((1+Economics!$B$3)^(W$3-$B$3)),"")</f>
        <v/>
      </c>
      <c r="X164" s="355" t="str">
        <f>IF(X$3&lt;=time,'Attributable fraction'!AW108*(1+Economics!$B$4)^(X$3-$B$3)/((1+Economics!$B$3)^(X$3-$B$3)),"")</f>
        <v/>
      </c>
      <c r="Y164" s="355" t="str">
        <f>IF(Y$3&lt;=time,'Attributable fraction'!AX108*(1+Economics!$B$4)^(Y$3-$B$3)/((1+Economics!$B$3)^(Y$3-$B$3)),"")</f>
        <v/>
      </c>
      <c r="Z164" s="356" t="str">
        <f>IF(Z$3&lt;=time,'Attributable fraction'!AY108*(1+Economics!$B$4)^(Z$3-$B$3)/((1+Economics!$B$3)^(Z$3-$B$3)),"")</f>
        <v/>
      </c>
      <c r="AC164" s="142">
        <f t="shared" si="30"/>
        <v>0</v>
      </c>
      <c r="AE164" s="376">
        <v>8</v>
      </c>
      <c r="AF164" s="176" t="e">
        <f t="array" ref="AF164">STDEV(IF(B164:Z164&lt;&gt;0,B164:Z164))</f>
        <v>#DIV/0!</v>
      </c>
      <c r="AG164" s="176">
        <v>1.96</v>
      </c>
      <c r="AH164" s="176" t="e">
        <f t="shared" si="31"/>
        <v>#DIV/0!</v>
      </c>
      <c r="AI164" s="176">
        <f t="shared" si="25"/>
        <v>0</v>
      </c>
    </row>
    <row r="165" spans="1:35" hidden="1">
      <c r="A165" s="378" t="str">
        <f>Costs!A109</f>
        <v>Wages for Existing Employee/Group of Employees 9</v>
      </c>
      <c r="B165" s="355">
        <f>IF(B$3&lt;=time,'Attributable fraction'!AA109*(1+Economics!$B$4)^(B$3-$B$3)/((1+Economics!$B$3)^(B$3-$B$3)),"")</f>
        <v>0</v>
      </c>
      <c r="C165" s="355">
        <f>IF(C$3&lt;=time,'Attributable fraction'!AB109*(1+Economics!$B$4)^(C$3-$B$3)/((1+Economics!$B$3)^(C$3-$B$3)),"")</f>
        <v>0</v>
      </c>
      <c r="D165" s="355">
        <f>IF(D$3&lt;=time,'Attributable fraction'!AC109*(1+Economics!$B$4)^(D$3-$B$3)/((1+Economics!$B$3)^(D$3-$B$3)),"")</f>
        <v>0</v>
      </c>
      <c r="E165" s="355">
        <f>IF(E$3&lt;=time,'Attributable fraction'!AD109*(1+Economics!$B$4)^(E$3-$B$3)/((1+Economics!$B$3)^(E$3-$B$3)),"")</f>
        <v>0</v>
      </c>
      <c r="F165" s="355">
        <f>IF(F$3&lt;=time,'Attributable fraction'!AE109*(1+Economics!$B$4)^(F$3-$B$3)/((1+Economics!$B$3)^(F$3-$B$3)),"")</f>
        <v>0</v>
      </c>
      <c r="G165" s="355" t="str">
        <f>IF(G$3&lt;=time,'Attributable fraction'!AF109*(1+Economics!$B$4)^(G$3-$B$3)/((1+Economics!$B$3)^(G$3-$B$3)),"")</f>
        <v/>
      </c>
      <c r="H165" s="355" t="str">
        <f>IF(H$3&lt;=time,'Attributable fraction'!AG109*(1+Economics!$B$4)^(H$3-$B$3)/((1+Economics!$B$3)^(H$3-$B$3)),"")</f>
        <v/>
      </c>
      <c r="I165" s="355" t="str">
        <f>IF(I$3&lt;=time,'Attributable fraction'!AH109*(1+Economics!$B$4)^(I$3-$B$3)/((1+Economics!$B$3)^(I$3-$B$3)),"")</f>
        <v/>
      </c>
      <c r="J165" s="355" t="str">
        <f>IF(J$3&lt;=time,'Attributable fraction'!AI109*(1+Economics!$B$4)^(J$3-$B$3)/((1+Economics!$B$3)^(J$3-$B$3)),"")</f>
        <v/>
      </c>
      <c r="K165" s="355" t="str">
        <f>IF(K$3&lt;=time,'Attributable fraction'!AJ109*(1+Economics!$B$4)^(K$3-$B$3)/((1+Economics!$B$3)^(K$3-$B$3)),"")</f>
        <v/>
      </c>
      <c r="L165" s="355" t="str">
        <f>IF(L$3&lt;=time,'Attributable fraction'!AK109*(1+Economics!$B$4)^(L$3-$B$3)/((1+Economics!$B$3)^(L$3-$B$3)),"")</f>
        <v/>
      </c>
      <c r="M165" s="355" t="str">
        <f>IF(M$3&lt;=time,'Attributable fraction'!AL109*(1+Economics!$B$4)^(M$3-$B$3)/((1+Economics!$B$3)^(M$3-$B$3)),"")</f>
        <v/>
      </c>
      <c r="N165" s="355" t="str">
        <f>IF(N$3&lt;=time,'Attributable fraction'!AM109*(1+Economics!$B$4)^(N$3-$B$3)/((1+Economics!$B$3)^(N$3-$B$3)),"")</f>
        <v/>
      </c>
      <c r="O165" s="355" t="str">
        <f>IF(O$3&lt;=time,'Attributable fraction'!AN109*(1+Economics!$B$4)^(O$3-$B$3)/((1+Economics!$B$3)^(O$3-$B$3)),"")</f>
        <v/>
      </c>
      <c r="P165" s="355" t="str">
        <f>IF(P$3&lt;=time,'Attributable fraction'!AO109*(1+Economics!$B$4)^(P$3-$B$3)/((1+Economics!$B$3)^(P$3-$B$3)),"")</f>
        <v/>
      </c>
      <c r="Q165" s="355" t="str">
        <f>IF(Q$3&lt;=time,'Attributable fraction'!AP109*(1+Economics!$B$4)^(Q$3-$B$3)/((1+Economics!$B$3)^(Q$3-$B$3)),"")</f>
        <v/>
      </c>
      <c r="R165" s="355" t="str">
        <f>IF(R$3&lt;=time,'Attributable fraction'!AQ109*(1+Economics!$B$4)^(R$3-$B$3)/((1+Economics!$B$3)^(R$3-$B$3)),"")</f>
        <v/>
      </c>
      <c r="S165" s="355" t="str">
        <f>IF(S$3&lt;=time,'Attributable fraction'!AR109*(1+Economics!$B$4)^(S$3-$B$3)/((1+Economics!$B$3)^(S$3-$B$3)),"")</f>
        <v/>
      </c>
      <c r="T165" s="355" t="str">
        <f>IF(T$3&lt;=time,'Attributable fraction'!AS109*(1+Economics!$B$4)^(T$3-$B$3)/((1+Economics!$B$3)^(T$3-$B$3)),"")</f>
        <v/>
      </c>
      <c r="U165" s="355" t="str">
        <f>IF(U$3&lt;=time,'Attributable fraction'!AT109*(1+Economics!$B$4)^(U$3-$B$3)/((1+Economics!$B$3)^(U$3-$B$3)),"")</f>
        <v/>
      </c>
      <c r="V165" s="355" t="str">
        <f>IF(V$3&lt;=time,'Attributable fraction'!AU109*(1+Economics!$B$4)^(V$3-$B$3)/((1+Economics!$B$3)^(V$3-$B$3)),"")</f>
        <v/>
      </c>
      <c r="W165" s="355" t="str">
        <f>IF(W$3&lt;=time,'Attributable fraction'!AV109*(1+Economics!$B$4)^(W$3-$B$3)/((1+Economics!$B$3)^(W$3-$B$3)),"")</f>
        <v/>
      </c>
      <c r="X165" s="355" t="str">
        <f>IF(X$3&lt;=time,'Attributable fraction'!AW109*(1+Economics!$B$4)^(X$3-$B$3)/((1+Economics!$B$3)^(X$3-$B$3)),"")</f>
        <v/>
      </c>
      <c r="Y165" s="355" t="str">
        <f>IF(Y$3&lt;=time,'Attributable fraction'!AX109*(1+Economics!$B$4)^(Y$3-$B$3)/((1+Economics!$B$3)^(Y$3-$B$3)),"")</f>
        <v/>
      </c>
      <c r="Z165" s="356" t="str">
        <f>IF(Z$3&lt;=time,'Attributable fraction'!AY109*(1+Economics!$B$4)^(Z$3-$B$3)/((1+Economics!$B$3)^(Z$3-$B$3)),"")</f>
        <v/>
      </c>
      <c r="AC165" s="142">
        <f t="shared" si="30"/>
        <v>0</v>
      </c>
      <c r="AE165" s="376">
        <v>9</v>
      </c>
      <c r="AF165" s="176" t="e">
        <f t="array" ref="AF165">STDEV(IF(B165:Z165&lt;&gt;0,B165:Z165))</f>
        <v>#DIV/0!</v>
      </c>
      <c r="AG165" s="176">
        <v>1.96</v>
      </c>
      <c r="AH165" s="176" t="e">
        <f t="shared" si="31"/>
        <v>#DIV/0!</v>
      </c>
      <c r="AI165" s="176">
        <f t="shared" si="25"/>
        <v>0</v>
      </c>
    </row>
    <row r="166" spans="1:35" hidden="1">
      <c r="A166" s="378" t="str">
        <f>Costs!A110</f>
        <v>Wages for Existing Employee/Group of Employees 10</v>
      </c>
      <c r="B166" s="355">
        <f>IF(B$3&lt;=time,'Attributable fraction'!AA110*(1+Economics!$B$4)^(B$3-$B$3)/((1+Economics!$B$3)^(B$3-$B$3)),"")</f>
        <v>0</v>
      </c>
      <c r="C166" s="355">
        <f>IF(C$3&lt;=time,'Attributable fraction'!AB110*(1+Economics!$B$4)^(C$3-$B$3)/((1+Economics!$B$3)^(C$3-$B$3)),"")</f>
        <v>0</v>
      </c>
      <c r="D166" s="355">
        <f>IF(D$3&lt;=time,'Attributable fraction'!AC110*(1+Economics!$B$4)^(D$3-$B$3)/((1+Economics!$B$3)^(D$3-$B$3)),"")</f>
        <v>0</v>
      </c>
      <c r="E166" s="355">
        <f>IF(E$3&lt;=time,'Attributable fraction'!AD110*(1+Economics!$B$4)^(E$3-$B$3)/((1+Economics!$B$3)^(E$3-$B$3)),"")</f>
        <v>0</v>
      </c>
      <c r="F166" s="355">
        <f>IF(F$3&lt;=time,'Attributable fraction'!AE110*(1+Economics!$B$4)^(F$3-$B$3)/((1+Economics!$B$3)^(F$3-$B$3)),"")</f>
        <v>0</v>
      </c>
      <c r="G166" s="355" t="str">
        <f>IF(G$3&lt;=time,'Attributable fraction'!AF110*(1+Economics!$B$4)^(G$3-$B$3)/((1+Economics!$B$3)^(G$3-$B$3)),"")</f>
        <v/>
      </c>
      <c r="H166" s="355" t="str">
        <f>IF(H$3&lt;=time,'Attributable fraction'!AG110*(1+Economics!$B$4)^(H$3-$B$3)/((1+Economics!$B$3)^(H$3-$B$3)),"")</f>
        <v/>
      </c>
      <c r="I166" s="355" t="str">
        <f>IF(I$3&lt;=time,'Attributable fraction'!AH110*(1+Economics!$B$4)^(I$3-$B$3)/((1+Economics!$B$3)^(I$3-$B$3)),"")</f>
        <v/>
      </c>
      <c r="J166" s="355" t="str">
        <f>IF(J$3&lt;=time,'Attributable fraction'!AI110*(1+Economics!$B$4)^(J$3-$B$3)/((1+Economics!$B$3)^(J$3-$B$3)),"")</f>
        <v/>
      </c>
      <c r="K166" s="355" t="str">
        <f>IF(K$3&lt;=time,'Attributable fraction'!AJ110*(1+Economics!$B$4)^(K$3-$B$3)/((1+Economics!$B$3)^(K$3-$B$3)),"")</f>
        <v/>
      </c>
      <c r="L166" s="355" t="str">
        <f>IF(L$3&lt;=time,'Attributable fraction'!AK110*(1+Economics!$B$4)^(L$3-$B$3)/((1+Economics!$B$3)^(L$3-$B$3)),"")</f>
        <v/>
      </c>
      <c r="M166" s="355" t="str">
        <f>IF(M$3&lt;=time,'Attributable fraction'!AL110*(1+Economics!$B$4)^(M$3-$B$3)/((1+Economics!$B$3)^(M$3-$B$3)),"")</f>
        <v/>
      </c>
      <c r="N166" s="355" t="str">
        <f>IF(N$3&lt;=time,'Attributable fraction'!AM110*(1+Economics!$B$4)^(N$3-$B$3)/((1+Economics!$B$3)^(N$3-$B$3)),"")</f>
        <v/>
      </c>
      <c r="O166" s="355" t="str">
        <f>IF(O$3&lt;=time,'Attributable fraction'!AN110*(1+Economics!$B$4)^(O$3-$B$3)/((1+Economics!$B$3)^(O$3-$B$3)),"")</f>
        <v/>
      </c>
      <c r="P166" s="355" t="str">
        <f>IF(P$3&lt;=time,'Attributable fraction'!AO110*(1+Economics!$B$4)^(P$3-$B$3)/((1+Economics!$B$3)^(P$3-$B$3)),"")</f>
        <v/>
      </c>
      <c r="Q166" s="355" t="str">
        <f>IF(Q$3&lt;=time,'Attributable fraction'!AP110*(1+Economics!$B$4)^(Q$3-$B$3)/((1+Economics!$B$3)^(Q$3-$B$3)),"")</f>
        <v/>
      </c>
      <c r="R166" s="355" t="str">
        <f>IF(R$3&lt;=time,'Attributable fraction'!AQ110*(1+Economics!$B$4)^(R$3-$B$3)/((1+Economics!$B$3)^(R$3-$B$3)),"")</f>
        <v/>
      </c>
      <c r="S166" s="355" t="str">
        <f>IF(S$3&lt;=time,'Attributable fraction'!AR110*(1+Economics!$B$4)^(S$3-$B$3)/((1+Economics!$B$3)^(S$3-$B$3)),"")</f>
        <v/>
      </c>
      <c r="T166" s="355" t="str">
        <f>IF(T$3&lt;=time,'Attributable fraction'!AS110*(1+Economics!$B$4)^(T$3-$B$3)/((1+Economics!$B$3)^(T$3-$B$3)),"")</f>
        <v/>
      </c>
      <c r="U166" s="355" t="str">
        <f>IF(U$3&lt;=time,'Attributable fraction'!AT110*(1+Economics!$B$4)^(U$3-$B$3)/((1+Economics!$B$3)^(U$3-$B$3)),"")</f>
        <v/>
      </c>
      <c r="V166" s="355" t="str">
        <f>IF(V$3&lt;=time,'Attributable fraction'!AU110*(1+Economics!$B$4)^(V$3-$B$3)/((1+Economics!$B$3)^(V$3-$B$3)),"")</f>
        <v/>
      </c>
      <c r="W166" s="355" t="str">
        <f>IF(W$3&lt;=time,'Attributable fraction'!AV110*(1+Economics!$B$4)^(W$3-$B$3)/((1+Economics!$B$3)^(W$3-$B$3)),"")</f>
        <v/>
      </c>
      <c r="X166" s="355" t="str">
        <f>IF(X$3&lt;=time,'Attributable fraction'!AW110*(1+Economics!$B$4)^(X$3-$B$3)/((1+Economics!$B$3)^(X$3-$B$3)),"")</f>
        <v/>
      </c>
      <c r="Y166" s="355" t="str">
        <f>IF(Y$3&lt;=time,'Attributable fraction'!AX110*(1+Economics!$B$4)^(Y$3-$B$3)/((1+Economics!$B$3)^(Y$3-$B$3)),"")</f>
        <v/>
      </c>
      <c r="Z166" s="356" t="str">
        <f>IF(Z$3&lt;=time,'Attributable fraction'!AY110*(1+Economics!$B$4)^(Z$3-$B$3)/((1+Economics!$B$3)^(Z$3-$B$3)),"")</f>
        <v/>
      </c>
      <c r="AC166" s="142">
        <f t="shared" si="30"/>
        <v>0</v>
      </c>
      <c r="AE166" s="376">
        <v>10</v>
      </c>
      <c r="AF166" s="176" t="e">
        <f t="array" ref="AF166">STDEV(IF(B166:Z166&lt;&gt;0,B166:Z166))</f>
        <v>#DIV/0!</v>
      </c>
      <c r="AG166" s="176">
        <v>1.96</v>
      </c>
      <c r="AH166" s="176" t="e">
        <f t="shared" si="31"/>
        <v>#DIV/0!</v>
      </c>
      <c r="AI166" s="176">
        <f t="shared" si="25"/>
        <v>0</v>
      </c>
    </row>
    <row r="167" spans="1:35" s="196" customFormat="1" hidden="1">
      <c r="A167" s="302" t="s">
        <v>15</v>
      </c>
      <c r="B167" s="379"/>
      <c r="C167" s="379"/>
      <c r="D167" s="379"/>
      <c r="E167" s="379"/>
      <c r="F167" s="379"/>
      <c r="G167" s="379"/>
      <c r="H167" s="379"/>
      <c r="I167" s="379"/>
      <c r="J167" s="379"/>
      <c r="K167" s="379"/>
      <c r="L167" s="379"/>
      <c r="M167" s="379"/>
      <c r="N167" s="379"/>
      <c r="O167" s="379"/>
      <c r="P167" s="379"/>
      <c r="Q167" s="379"/>
      <c r="R167" s="379"/>
      <c r="S167" s="379"/>
      <c r="T167" s="379"/>
      <c r="U167" s="379"/>
      <c r="V167" s="379"/>
      <c r="W167" s="379"/>
      <c r="X167" s="379"/>
      <c r="Y167" s="379"/>
      <c r="Z167" s="380"/>
      <c r="AB167" s="114"/>
      <c r="AD167" s="114"/>
    </row>
    <row r="168" spans="1:35" hidden="1">
      <c r="A168" s="378" t="str">
        <f>Costs!A112</f>
        <v>Hiring New Staff 1</v>
      </c>
      <c r="B168" s="355">
        <f>IF(B$3&lt;=time,'Attributable fraction'!AA112*(1+Economics!$B$4)^(B$3-$B$3)/((1+Economics!$B$3)^(B$3-$B$3)),"")</f>
        <v>0</v>
      </c>
      <c r="C168" s="355">
        <f>IF(C$3&lt;=time,'Attributable fraction'!AB112*(1+Economics!$B$4)^(C$3-$B$3)/((1+Economics!$B$3)^(C$3-$B$3)),"")</f>
        <v>0</v>
      </c>
      <c r="D168" s="355">
        <f>IF(D$3&lt;=time,'Attributable fraction'!AC112*(1+Economics!$B$4)^(D$3-$B$3)/((1+Economics!$B$3)^(D$3-$B$3)),"")</f>
        <v>0</v>
      </c>
      <c r="E168" s="355">
        <f>IF(E$3&lt;=time,'Attributable fraction'!AD112*(1+Economics!$B$4)^(E$3-$B$3)/((1+Economics!$B$3)^(E$3-$B$3)),"")</f>
        <v>0</v>
      </c>
      <c r="F168" s="355">
        <f>IF(F$3&lt;=time,'Attributable fraction'!AE112*(1+Economics!$B$4)^(F$3-$B$3)/((1+Economics!$B$3)^(F$3-$B$3)),"")</f>
        <v>0</v>
      </c>
      <c r="G168" s="355" t="str">
        <f>IF(G$3&lt;=time,'Attributable fraction'!AF112*(1+Economics!$B$4)^(G$3-$B$3)/((1+Economics!$B$3)^(G$3-$B$3)),"")</f>
        <v/>
      </c>
      <c r="H168" s="355" t="str">
        <f>IF(H$3&lt;=time,'Attributable fraction'!AG112*(1+Economics!$B$4)^(H$3-$B$3)/((1+Economics!$B$3)^(H$3-$B$3)),"")</f>
        <v/>
      </c>
      <c r="I168" s="355" t="str">
        <f>IF(I$3&lt;=time,'Attributable fraction'!AH112*(1+Economics!$B$4)^(I$3-$B$3)/((1+Economics!$B$3)^(I$3-$B$3)),"")</f>
        <v/>
      </c>
      <c r="J168" s="355" t="str">
        <f>IF(J$3&lt;=time,'Attributable fraction'!AI112*(1+Economics!$B$4)^(J$3-$B$3)/((1+Economics!$B$3)^(J$3-$B$3)),"")</f>
        <v/>
      </c>
      <c r="K168" s="355" t="str">
        <f>IF(K$3&lt;=time,'Attributable fraction'!AJ112*(1+Economics!$B$4)^(K$3-$B$3)/((1+Economics!$B$3)^(K$3-$B$3)),"")</f>
        <v/>
      </c>
      <c r="L168" s="355" t="str">
        <f>IF(L$3&lt;=time,'Attributable fraction'!AK112*(1+Economics!$B$4)^(L$3-$B$3)/((1+Economics!$B$3)^(L$3-$B$3)),"")</f>
        <v/>
      </c>
      <c r="M168" s="355" t="str">
        <f>IF(M$3&lt;=time,'Attributable fraction'!AL112*(1+Economics!$B$4)^(M$3-$B$3)/((1+Economics!$B$3)^(M$3-$B$3)),"")</f>
        <v/>
      </c>
      <c r="N168" s="355" t="str">
        <f>IF(N$3&lt;=time,'Attributable fraction'!AM112*(1+Economics!$B$4)^(N$3-$B$3)/((1+Economics!$B$3)^(N$3-$B$3)),"")</f>
        <v/>
      </c>
      <c r="O168" s="355" t="str">
        <f>IF(O$3&lt;=time,'Attributable fraction'!AN112*(1+Economics!$B$4)^(O$3-$B$3)/((1+Economics!$B$3)^(O$3-$B$3)),"")</f>
        <v/>
      </c>
      <c r="P168" s="355" t="str">
        <f>IF(P$3&lt;=time,'Attributable fraction'!AO112*(1+Economics!$B$4)^(P$3-$B$3)/((1+Economics!$B$3)^(P$3-$B$3)),"")</f>
        <v/>
      </c>
      <c r="Q168" s="355" t="str">
        <f>IF(Q$3&lt;=time,'Attributable fraction'!AP112*(1+Economics!$B$4)^(Q$3-$B$3)/((1+Economics!$B$3)^(Q$3-$B$3)),"")</f>
        <v/>
      </c>
      <c r="R168" s="355" t="str">
        <f>IF(R$3&lt;=time,'Attributable fraction'!AQ112*(1+Economics!$B$4)^(R$3-$B$3)/((1+Economics!$B$3)^(R$3-$B$3)),"")</f>
        <v/>
      </c>
      <c r="S168" s="355" t="str">
        <f>IF(S$3&lt;=time,'Attributable fraction'!AR112*(1+Economics!$B$4)^(S$3-$B$3)/((1+Economics!$B$3)^(S$3-$B$3)),"")</f>
        <v/>
      </c>
      <c r="T168" s="355" t="str">
        <f>IF(T$3&lt;=time,'Attributable fraction'!AS112*(1+Economics!$B$4)^(T$3-$B$3)/((1+Economics!$B$3)^(T$3-$B$3)),"")</f>
        <v/>
      </c>
      <c r="U168" s="355" t="str">
        <f>IF(U$3&lt;=time,'Attributable fraction'!AT112*(1+Economics!$B$4)^(U$3-$B$3)/((1+Economics!$B$3)^(U$3-$B$3)),"")</f>
        <v/>
      </c>
      <c r="V168" s="355" t="str">
        <f>IF(V$3&lt;=time,'Attributable fraction'!AU112*(1+Economics!$B$4)^(V$3-$B$3)/((1+Economics!$B$3)^(V$3-$B$3)),"")</f>
        <v/>
      </c>
      <c r="W168" s="355" t="str">
        <f>IF(W$3&lt;=time,'Attributable fraction'!AV112*(1+Economics!$B$4)^(W$3-$B$3)/((1+Economics!$B$3)^(W$3-$B$3)),"")</f>
        <v/>
      </c>
      <c r="X168" s="355" t="str">
        <f>IF(X$3&lt;=time,'Attributable fraction'!AW112*(1+Economics!$B$4)^(X$3-$B$3)/((1+Economics!$B$3)^(X$3-$B$3)),"")</f>
        <v/>
      </c>
      <c r="Y168" s="355" t="str">
        <f>IF(Y$3&lt;=time,'Attributable fraction'!AX112*(1+Economics!$B$4)^(Y$3-$B$3)/((1+Economics!$B$3)^(Y$3-$B$3)),"")</f>
        <v/>
      </c>
      <c r="Z168" s="356" t="str">
        <f>IF(Z$3&lt;=time,'Attributable fraction'!AY112*(1+Economics!$B$4)^(Z$3-$B$3)/((1+Economics!$B$3)^(Z$3-$B$3)),"")</f>
        <v/>
      </c>
      <c r="AC168" s="142">
        <f t="shared" ref="AC168:AC177" si="32">(SUM(IF(ISERROR(Z168),"0",Z168),IF(ISERROR(Y168),"0",Y168),IF(ISERROR(X168),"0",X168),IF(ISERROR(W168),"0",W168),IF(ISERROR(V168),"0",V168),IF(ISERROR(U168),"0",U168),IF(ISERROR(T168),"0",T168),IF(ISERROR(S168),"0",S168),IF(ISERROR(R168),"0",R168),IF(ISERROR(Q168),"0",Q168), IF(ISERROR(P168),"0",P168),IF(ISERROR(O168),"0",O168),IF(ISERROR(N168),"0",N168),IF(ISERROR(M168),"0",M168),IF(ISERROR(L168),"0",L168),IF(ISERROR(K168),"0",K168),IF(ISERROR(J168),"0",J168),IF(ISERROR(I168),"0",I168),IF(ISERROR(H168),"0",H168),IF(ISERROR(G168),"0",G168),IF(ISERROR(F168),"0",F168),IF(ISERROR(E168),"0",E168),IF(ISERROR(D168),"0",D168),IF(ISERROR(C168),"0",C168),IF(ISERROR(B168),"0",B168)))/time</f>
        <v>0</v>
      </c>
      <c r="AE168" s="375">
        <v>1</v>
      </c>
      <c r="AF168" s="176" t="e">
        <f t="array" ref="AF168">STDEV(IF(B168:Z168&lt;&gt;0,B168:Z168))</f>
        <v>#DIV/0!</v>
      </c>
      <c r="AG168" s="176">
        <v>1.96</v>
      </c>
      <c r="AH168" s="176" t="e">
        <f t="shared" ref="AH168:AH177" si="33">(AG168*AF168)/(time^0.5)</f>
        <v>#DIV/0!</v>
      </c>
      <c r="AI168" s="176">
        <f t="shared" si="25"/>
        <v>0</v>
      </c>
    </row>
    <row r="169" spans="1:35" hidden="1">
      <c r="A169" s="378" t="str">
        <f>Costs!A113</f>
        <v>Hiring New Staff 2</v>
      </c>
      <c r="B169" s="355">
        <f>IF(B$3&lt;=time,'Attributable fraction'!AA113*(1+Economics!$B$4)^(B$3-$B$3)/((1+Economics!$B$3)^(B$3-$B$3)),"")</f>
        <v>0</v>
      </c>
      <c r="C169" s="355">
        <f>IF(C$3&lt;=time,'Attributable fraction'!AB113*(1+Economics!$B$4)^(C$3-$B$3)/((1+Economics!$B$3)^(C$3-$B$3)),"")</f>
        <v>0</v>
      </c>
      <c r="D169" s="355">
        <f>IF(D$3&lt;=time,'Attributable fraction'!AC113*(1+Economics!$B$4)^(D$3-$B$3)/((1+Economics!$B$3)^(D$3-$B$3)),"")</f>
        <v>0</v>
      </c>
      <c r="E169" s="355">
        <f>IF(E$3&lt;=time,'Attributable fraction'!AD113*(1+Economics!$B$4)^(E$3-$B$3)/((1+Economics!$B$3)^(E$3-$B$3)),"")</f>
        <v>0</v>
      </c>
      <c r="F169" s="355">
        <f>IF(F$3&lt;=time,'Attributable fraction'!AE113*(1+Economics!$B$4)^(F$3-$B$3)/((1+Economics!$B$3)^(F$3-$B$3)),"")</f>
        <v>0</v>
      </c>
      <c r="G169" s="355" t="str">
        <f>IF(G$3&lt;=time,'Attributable fraction'!AF113*(1+Economics!$B$4)^(G$3-$B$3)/((1+Economics!$B$3)^(G$3-$B$3)),"")</f>
        <v/>
      </c>
      <c r="H169" s="355" t="str">
        <f>IF(H$3&lt;=time,'Attributable fraction'!AG113*(1+Economics!$B$4)^(H$3-$B$3)/((1+Economics!$B$3)^(H$3-$B$3)),"")</f>
        <v/>
      </c>
      <c r="I169" s="355" t="str">
        <f>IF(I$3&lt;=time,'Attributable fraction'!AH113*(1+Economics!$B$4)^(I$3-$B$3)/((1+Economics!$B$3)^(I$3-$B$3)),"")</f>
        <v/>
      </c>
      <c r="J169" s="355" t="str">
        <f>IF(J$3&lt;=time,'Attributable fraction'!AI113*(1+Economics!$B$4)^(J$3-$B$3)/((1+Economics!$B$3)^(J$3-$B$3)),"")</f>
        <v/>
      </c>
      <c r="K169" s="355" t="str">
        <f>IF(K$3&lt;=time,'Attributable fraction'!AJ113*(1+Economics!$B$4)^(K$3-$B$3)/((1+Economics!$B$3)^(K$3-$B$3)),"")</f>
        <v/>
      </c>
      <c r="L169" s="355" t="str">
        <f>IF(L$3&lt;=time,'Attributable fraction'!AK113*(1+Economics!$B$4)^(L$3-$B$3)/((1+Economics!$B$3)^(L$3-$B$3)),"")</f>
        <v/>
      </c>
      <c r="M169" s="355" t="str">
        <f>IF(M$3&lt;=time,'Attributable fraction'!AL113*(1+Economics!$B$4)^(M$3-$B$3)/((1+Economics!$B$3)^(M$3-$B$3)),"")</f>
        <v/>
      </c>
      <c r="N169" s="355" t="str">
        <f>IF(N$3&lt;=time,'Attributable fraction'!AM113*(1+Economics!$B$4)^(N$3-$B$3)/((1+Economics!$B$3)^(N$3-$B$3)),"")</f>
        <v/>
      </c>
      <c r="O169" s="355" t="str">
        <f>IF(O$3&lt;=time,'Attributable fraction'!AN113*(1+Economics!$B$4)^(O$3-$B$3)/((1+Economics!$B$3)^(O$3-$B$3)),"")</f>
        <v/>
      </c>
      <c r="P169" s="355" t="str">
        <f>IF(P$3&lt;=time,'Attributable fraction'!AO113*(1+Economics!$B$4)^(P$3-$B$3)/((1+Economics!$B$3)^(P$3-$B$3)),"")</f>
        <v/>
      </c>
      <c r="Q169" s="355" t="str">
        <f>IF(Q$3&lt;=time,'Attributable fraction'!AP113*(1+Economics!$B$4)^(Q$3-$B$3)/((1+Economics!$B$3)^(Q$3-$B$3)),"")</f>
        <v/>
      </c>
      <c r="R169" s="355" t="str">
        <f>IF(R$3&lt;=time,'Attributable fraction'!AQ113*(1+Economics!$B$4)^(R$3-$B$3)/((1+Economics!$B$3)^(R$3-$B$3)),"")</f>
        <v/>
      </c>
      <c r="S169" s="355" t="str">
        <f>IF(S$3&lt;=time,'Attributable fraction'!AR113*(1+Economics!$B$4)^(S$3-$B$3)/((1+Economics!$B$3)^(S$3-$B$3)),"")</f>
        <v/>
      </c>
      <c r="T169" s="355" t="str">
        <f>IF(T$3&lt;=time,'Attributable fraction'!AS113*(1+Economics!$B$4)^(T$3-$B$3)/((1+Economics!$B$3)^(T$3-$B$3)),"")</f>
        <v/>
      </c>
      <c r="U169" s="355" t="str">
        <f>IF(U$3&lt;=time,'Attributable fraction'!AT113*(1+Economics!$B$4)^(U$3-$B$3)/((1+Economics!$B$3)^(U$3-$B$3)),"")</f>
        <v/>
      </c>
      <c r="V169" s="355" t="str">
        <f>IF(V$3&lt;=time,'Attributable fraction'!AU113*(1+Economics!$B$4)^(V$3-$B$3)/((1+Economics!$B$3)^(V$3-$B$3)),"")</f>
        <v/>
      </c>
      <c r="W169" s="355" t="str">
        <f>IF(W$3&lt;=time,'Attributable fraction'!AV113*(1+Economics!$B$4)^(W$3-$B$3)/((1+Economics!$B$3)^(W$3-$B$3)),"")</f>
        <v/>
      </c>
      <c r="X169" s="355" t="str">
        <f>IF(X$3&lt;=time,'Attributable fraction'!AW113*(1+Economics!$B$4)^(X$3-$B$3)/((1+Economics!$B$3)^(X$3-$B$3)),"")</f>
        <v/>
      </c>
      <c r="Y169" s="355" t="str">
        <f>IF(Y$3&lt;=time,'Attributable fraction'!AX113*(1+Economics!$B$4)^(Y$3-$B$3)/((1+Economics!$B$3)^(Y$3-$B$3)),"")</f>
        <v/>
      </c>
      <c r="Z169" s="356" t="str">
        <f>IF(Z$3&lt;=time,'Attributable fraction'!AY113*(1+Economics!$B$4)^(Z$3-$B$3)/((1+Economics!$B$3)^(Z$3-$B$3)),"")</f>
        <v/>
      </c>
      <c r="AC169" s="142">
        <f t="shared" si="32"/>
        <v>0</v>
      </c>
      <c r="AE169" s="376">
        <v>2</v>
      </c>
      <c r="AF169" s="176" t="e">
        <f t="array" ref="AF169">STDEV(IF(B169:Z169&lt;&gt;0,B169:Z169))</f>
        <v>#DIV/0!</v>
      </c>
      <c r="AG169" s="176">
        <v>1.96</v>
      </c>
      <c r="AH169" s="176" t="e">
        <f t="shared" si="33"/>
        <v>#DIV/0!</v>
      </c>
      <c r="AI169" s="176">
        <f t="shared" si="25"/>
        <v>0</v>
      </c>
    </row>
    <row r="170" spans="1:35" hidden="1">
      <c r="A170" s="378" t="str">
        <f>Costs!A114</f>
        <v>Hiring New Staff 3</v>
      </c>
      <c r="B170" s="355">
        <f>IF(B$3&lt;=time,'Attributable fraction'!AA114*(1+Economics!$B$4)^(B$3-$B$3)/((1+Economics!$B$3)^(B$3-$B$3)),"")</f>
        <v>0</v>
      </c>
      <c r="C170" s="355">
        <f>IF(C$3&lt;=time,'Attributable fraction'!AB114*(1+Economics!$B$4)^(C$3-$B$3)/((1+Economics!$B$3)^(C$3-$B$3)),"")</f>
        <v>0</v>
      </c>
      <c r="D170" s="355">
        <f>IF(D$3&lt;=time,'Attributable fraction'!AC114*(1+Economics!$B$4)^(D$3-$B$3)/((1+Economics!$B$3)^(D$3-$B$3)),"")</f>
        <v>0</v>
      </c>
      <c r="E170" s="355">
        <f>IF(E$3&lt;=time,'Attributable fraction'!AD114*(1+Economics!$B$4)^(E$3-$B$3)/((1+Economics!$B$3)^(E$3-$B$3)),"")</f>
        <v>0</v>
      </c>
      <c r="F170" s="355">
        <f>IF(F$3&lt;=time,'Attributable fraction'!AE114*(1+Economics!$B$4)^(F$3-$B$3)/((1+Economics!$B$3)^(F$3-$B$3)),"")</f>
        <v>0</v>
      </c>
      <c r="G170" s="355" t="str">
        <f>IF(G$3&lt;=time,'Attributable fraction'!AF114*(1+Economics!$B$4)^(G$3-$B$3)/((1+Economics!$B$3)^(G$3-$B$3)),"")</f>
        <v/>
      </c>
      <c r="H170" s="355" t="str">
        <f>IF(H$3&lt;=time,'Attributable fraction'!AG114*(1+Economics!$B$4)^(H$3-$B$3)/((1+Economics!$B$3)^(H$3-$B$3)),"")</f>
        <v/>
      </c>
      <c r="I170" s="355" t="str">
        <f>IF(I$3&lt;=time,'Attributable fraction'!AH114*(1+Economics!$B$4)^(I$3-$B$3)/((1+Economics!$B$3)^(I$3-$B$3)),"")</f>
        <v/>
      </c>
      <c r="J170" s="355" t="str">
        <f>IF(J$3&lt;=time,'Attributable fraction'!AI114*(1+Economics!$B$4)^(J$3-$B$3)/((1+Economics!$B$3)^(J$3-$B$3)),"")</f>
        <v/>
      </c>
      <c r="K170" s="355" t="str">
        <f>IF(K$3&lt;=time,'Attributable fraction'!AJ114*(1+Economics!$B$4)^(K$3-$B$3)/((1+Economics!$B$3)^(K$3-$B$3)),"")</f>
        <v/>
      </c>
      <c r="L170" s="355" t="str">
        <f>IF(L$3&lt;=time,'Attributable fraction'!AK114*(1+Economics!$B$4)^(L$3-$B$3)/((1+Economics!$B$3)^(L$3-$B$3)),"")</f>
        <v/>
      </c>
      <c r="M170" s="355" t="str">
        <f>IF(M$3&lt;=time,'Attributable fraction'!AL114*(1+Economics!$B$4)^(M$3-$B$3)/((1+Economics!$B$3)^(M$3-$B$3)),"")</f>
        <v/>
      </c>
      <c r="N170" s="355" t="str">
        <f>IF(N$3&lt;=time,'Attributable fraction'!AM114*(1+Economics!$B$4)^(N$3-$B$3)/((1+Economics!$B$3)^(N$3-$B$3)),"")</f>
        <v/>
      </c>
      <c r="O170" s="355" t="str">
        <f>IF(O$3&lt;=time,'Attributable fraction'!AN114*(1+Economics!$B$4)^(O$3-$B$3)/((1+Economics!$B$3)^(O$3-$B$3)),"")</f>
        <v/>
      </c>
      <c r="P170" s="355" t="str">
        <f>IF(P$3&lt;=time,'Attributable fraction'!AO114*(1+Economics!$B$4)^(P$3-$B$3)/((1+Economics!$B$3)^(P$3-$B$3)),"")</f>
        <v/>
      </c>
      <c r="Q170" s="355" t="str">
        <f>IF(Q$3&lt;=time,'Attributable fraction'!AP114*(1+Economics!$B$4)^(Q$3-$B$3)/((1+Economics!$B$3)^(Q$3-$B$3)),"")</f>
        <v/>
      </c>
      <c r="R170" s="355" t="str">
        <f>IF(R$3&lt;=time,'Attributable fraction'!AQ114*(1+Economics!$B$4)^(R$3-$B$3)/((1+Economics!$B$3)^(R$3-$B$3)),"")</f>
        <v/>
      </c>
      <c r="S170" s="355" t="str">
        <f>IF(S$3&lt;=time,'Attributable fraction'!AR114*(1+Economics!$B$4)^(S$3-$B$3)/((1+Economics!$B$3)^(S$3-$B$3)),"")</f>
        <v/>
      </c>
      <c r="T170" s="355" t="str">
        <f>IF(T$3&lt;=time,'Attributable fraction'!AS114*(1+Economics!$B$4)^(T$3-$B$3)/((1+Economics!$B$3)^(T$3-$B$3)),"")</f>
        <v/>
      </c>
      <c r="U170" s="355" t="str">
        <f>IF(U$3&lt;=time,'Attributable fraction'!AT114*(1+Economics!$B$4)^(U$3-$B$3)/((1+Economics!$B$3)^(U$3-$B$3)),"")</f>
        <v/>
      </c>
      <c r="V170" s="355" t="str">
        <f>IF(V$3&lt;=time,'Attributable fraction'!AU114*(1+Economics!$B$4)^(V$3-$B$3)/((1+Economics!$B$3)^(V$3-$B$3)),"")</f>
        <v/>
      </c>
      <c r="W170" s="355" t="str">
        <f>IF(W$3&lt;=time,'Attributable fraction'!AV114*(1+Economics!$B$4)^(W$3-$B$3)/((1+Economics!$B$3)^(W$3-$B$3)),"")</f>
        <v/>
      </c>
      <c r="X170" s="355" t="str">
        <f>IF(X$3&lt;=time,'Attributable fraction'!AW114*(1+Economics!$B$4)^(X$3-$B$3)/((1+Economics!$B$3)^(X$3-$B$3)),"")</f>
        <v/>
      </c>
      <c r="Y170" s="355" t="str">
        <f>IF(Y$3&lt;=time,'Attributable fraction'!AX114*(1+Economics!$B$4)^(Y$3-$B$3)/((1+Economics!$B$3)^(Y$3-$B$3)),"")</f>
        <v/>
      </c>
      <c r="Z170" s="356" t="str">
        <f>IF(Z$3&lt;=time,'Attributable fraction'!AY114*(1+Economics!$B$4)^(Z$3-$B$3)/((1+Economics!$B$3)^(Z$3-$B$3)),"")</f>
        <v/>
      </c>
      <c r="AC170" s="142">
        <f t="shared" si="32"/>
        <v>0</v>
      </c>
      <c r="AE170" s="376">
        <v>3</v>
      </c>
      <c r="AF170" s="176" t="e">
        <f t="array" ref="AF170">STDEV(IF(B170:Z170&lt;&gt;0,B170:Z170))</f>
        <v>#DIV/0!</v>
      </c>
      <c r="AG170" s="176">
        <v>1.96</v>
      </c>
      <c r="AH170" s="176" t="e">
        <f t="shared" si="33"/>
        <v>#DIV/0!</v>
      </c>
      <c r="AI170" s="176">
        <f t="shared" si="25"/>
        <v>0</v>
      </c>
    </row>
    <row r="171" spans="1:35" hidden="1">
      <c r="A171" s="378" t="str">
        <f>Costs!A115</f>
        <v>Hiring New Staff 4</v>
      </c>
      <c r="B171" s="355">
        <f>IF(B$3&lt;=time,'Attributable fraction'!AA115*(1+Economics!$B$4)^(B$3-$B$3)/((1+Economics!$B$3)^(B$3-$B$3)),"")</f>
        <v>0</v>
      </c>
      <c r="C171" s="355">
        <f>IF(C$3&lt;=time,'Attributable fraction'!AB115*(1+Economics!$B$4)^(C$3-$B$3)/((1+Economics!$B$3)^(C$3-$B$3)),"")</f>
        <v>0</v>
      </c>
      <c r="D171" s="355">
        <f>IF(D$3&lt;=time,'Attributable fraction'!AC115*(1+Economics!$B$4)^(D$3-$B$3)/((1+Economics!$B$3)^(D$3-$B$3)),"")</f>
        <v>0</v>
      </c>
      <c r="E171" s="355">
        <f>IF(E$3&lt;=time,'Attributable fraction'!AD115*(1+Economics!$B$4)^(E$3-$B$3)/((1+Economics!$B$3)^(E$3-$B$3)),"")</f>
        <v>0</v>
      </c>
      <c r="F171" s="355">
        <f>IF(F$3&lt;=time,'Attributable fraction'!AE115*(1+Economics!$B$4)^(F$3-$B$3)/((1+Economics!$B$3)^(F$3-$B$3)),"")</f>
        <v>0</v>
      </c>
      <c r="G171" s="355" t="str">
        <f>IF(G$3&lt;=time,'Attributable fraction'!AF115*(1+Economics!$B$4)^(G$3-$B$3)/((1+Economics!$B$3)^(G$3-$B$3)),"")</f>
        <v/>
      </c>
      <c r="H171" s="355" t="str">
        <f>IF(H$3&lt;=time,'Attributable fraction'!AG115*(1+Economics!$B$4)^(H$3-$B$3)/((1+Economics!$B$3)^(H$3-$B$3)),"")</f>
        <v/>
      </c>
      <c r="I171" s="355" t="str">
        <f>IF(I$3&lt;=time,'Attributable fraction'!AH115*(1+Economics!$B$4)^(I$3-$B$3)/((1+Economics!$B$3)^(I$3-$B$3)),"")</f>
        <v/>
      </c>
      <c r="J171" s="355" t="str">
        <f>IF(J$3&lt;=time,'Attributable fraction'!AI115*(1+Economics!$B$4)^(J$3-$B$3)/((1+Economics!$B$3)^(J$3-$B$3)),"")</f>
        <v/>
      </c>
      <c r="K171" s="355" t="str">
        <f>IF(K$3&lt;=time,'Attributable fraction'!AJ115*(1+Economics!$B$4)^(K$3-$B$3)/((1+Economics!$B$3)^(K$3-$B$3)),"")</f>
        <v/>
      </c>
      <c r="L171" s="355" t="str">
        <f>IF(L$3&lt;=time,'Attributable fraction'!AK115*(1+Economics!$B$4)^(L$3-$B$3)/((1+Economics!$B$3)^(L$3-$B$3)),"")</f>
        <v/>
      </c>
      <c r="M171" s="355" t="str">
        <f>IF(M$3&lt;=time,'Attributable fraction'!AL115*(1+Economics!$B$4)^(M$3-$B$3)/((1+Economics!$B$3)^(M$3-$B$3)),"")</f>
        <v/>
      </c>
      <c r="N171" s="355" t="str">
        <f>IF(N$3&lt;=time,'Attributable fraction'!AM115*(1+Economics!$B$4)^(N$3-$B$3)/((1+Economics!$B$3)^(N$3-$B$3)),"")</f>
        <v/>
      </c>
      <c r="O171" s="355" t="str">
        <f>IF(O$3&lt;=time,'Attributable fraction'!AN115*(1+Economics!$B$4)^(O$3-$B$3)/((1+Economics!$B$3)^(O$3-$B$3)),"")</f>
        <v/>
      </c>
      <c r="P171" s="355" t="str">
        <f>IF(P$3&lt;=time,'Attributable fraction'!AO115*(1+Economics!$B$4)^(P$3-$B$3)/((1+Economics!$B$3)^(P$3-$B$3)),"")</f>
        <v/>
      </c>
      <c r="Q171" s="355" t="str">
        <f>IF(Q$3&lt;=time,'Attributable fraction'!AP115*(1+Economics!$B$4)^(Q$3-$B$3)/((1+Economics!$B$3)^(Q$3-$B$3)),"")</f>
        <v/>
      </c>
      <c r="R171" s="355" t="str">
        <f>IF(R$3&lt;=time,'Attributable fraction'!AQ115*(1+Economics!$B$4)^(R$3-$B$3)/((1+Economics!$B$3)^(R$3-$B$3)),"")</f>
        <v/>
      </c>
      <c r="S171" s="355" t="str">
        <f>IF(S$3&lt;=time,'Attributable fraction'!AR115*(1+Economics!$B$4)^(S$3-$B$3)/((1+Economics!$B$3)^(S$3-$B$3)),"")</f>
        <v/>
      </c>
      <c r="T171" s="355" t="str">
        <f>IF(T$3&lt;=time,'Attributable fraction'!AS115*(1+Economics!$B$4)^(T$3-$B$3)/((1+Economics!$B$3)^(T$3-$B$3)),"")</f>
        <v/>
      </c>
      <c r="U171" s="355" t="str">
        <f>IF(U$3&lt;=time,'Attributable fraction'!AT115*(1+Economics!$B$4)^(U$3-$B$3)/((1+Economics!$B$3)^(U$3-$B$3)),"")</f>
        <v/>
      </c>
      <c r="V171" s="355" t="str">
        <f>IF(V$3&lt;=time,'Attributable fraction'!AU115*(1+Economics!$B$4)^(V$3-$B$3)/((1+Economics!$B$3)^(V$3-$B$3)),"")</f>
        <v/>
      </c>
      <c r="W171" s="355" t="str">
        <f>IF(W$3&lt;=time,'Attributable fraction'!AV115*(1+Economics!$B$4)^(W$3-$B$3)/((1+Economics!$B$3)^(W$3-$B$3)),"")</f>
        <v/>
      </c>
      <c r="X171" s="355" t="str">
        <f>IF(X$3&lt;=time,'Attributable fraction'!AW115*(1+Economics!$B$4)^(X$3-$B$3)/((1+Economics!$B$3)^(X$3-$B$3)),"")</f>
        <v/>
      </c>
      <c r="Y171" s="355" t="str">
        <f>IF(Y$3&lt;=time,'Attributable fraction'!AX115*(1+Economics!$B$4)^(Y$3-$B$3)/((1+Economics!$B$3)^(Y$3-$B$3)),"")</f>
        <v/>
      </c>
      <c r="Z171" s="356" t="str">
        <f>IF(Z$3&lt;=time,'Attributable fraction'!AY115*(1+Economics!$B$4)^(Z$3-$B$3)/((1+Economics!$B$3)^(Z$3-$B$3)),"")</f>
        <v/>
      </c>
      <c r="AC171" s="142">
        <f t="shared" si="32"/>
        <v>0</v>
      </c>
      <c r="AE171" s="376">
        <v>4</v>
      </c>
      <c r="AF171" s="176" t="e">
        <f t="array" ref="AF171">STDEV(IF(B171:Z171&lt;&gt;0,B171:Z171))</f>
        <v>#DIV/0!</v>
      </c>
      <c r="AG171" s="176">
        <v>1.96</v>
      </c>
      <c r="AH171" s="176" t="e">
        <f t="shared" si="33"/>
        <v>#DIV/0!</v>
      </c>
      <c r="AI171" s="176">
        <f t="shared" si="25"/>
        <v>0</v>
      </c>
    </row>
    <row r="172" spans="1:35" hidden="1">
      <c r="A172" s="378" t="str">
        <f>Costs!A116</f>
        <v>Hiring New Staff 5</v>
      </c>
      <c r="B172" s="355">
        <f>IF(B$3&lt;=time,'Attributable fraction'!AA116*(1+Economics!$B$4)^(B$3-$B$3)/((1+Economics!$B$3)^(B$3-$B$3)),"")</f>
        <v>0</v>
      </c>
      <c r="C172" s="355">
        <f>IF(C$3&lt;=time,'Attributable fraction'!AB116*(1+Economics!$B$4)^(C$3-$B$3)/((1+Economics!$B$3)^(C$3-$B$3)),"")</f>
        <v>0</v>
      </c>
      <c r="D172" s="355">
        <f>IF(D$3&lt;=time,'Attributable fraction'!AC116*(1+Economics!$B$4)^(D$3-$B$3)/((1+Economics!$B$3)^(D$3-$B$3)),"")</f>
        <v>0</v>
      </c>
      <c r="E172" s="355">
        <f>IF(E$3&lt;=time,'Attributable fraction'!AD116*(1+Economics!$B$4)^(E$3-$B$3)/((1+Economics!$B$3)^(E$3-$B$3)),"")</f>
        <v>0</v>
      </c>
      <c r="F172" s="355">
        <f>IF(F$3&lt;=time,'Attributable fraction'!AE116*(1+Economics!$B$4)^(F$3-$B$3)/((1+Economics!$B$3)^(F$3-$B$3)),"")</f>
        <v>0</v>
      </c>
      <c r="G172" s="355" t="str">
        <f>IF(G$3&lt;=time,'Attributable fraction'!AF116*(1+Economics!$B$4)^(G$3-$B$3)/((1+Economics!$B$3)^(G$3-$B$3)),"")</f>
        <v/>
      </c>
      <c r="H172" s="355" t="str">
        <f>IF(H$3&lt;=time,'Attributable fraction'!AG116*(1+Economics!$B$4)^(H$3-$B$3)/((1+Economics!$B$3)^(H$3-$B$3)),"")</f>
        <v/>
      </c>
      <c r="I172" s="355" t="str">
        <f>IF(I$3&lt;=time,'Attributable fraction'!AH116*(1+Economics!$B$4)^(I$3-$B$3)/((1+Economics!$B$3)^(I$3-$B$3)),"")</f>
        <v/>
      </c>
      <c r="J172" s="355" t="str">
        <f>IF(J$3&lt;=time,'Attributable fraction'!AI116*(1+Economics!$B$4)^(J$3-$B$3)/((1+Economics!$B$3)^(J$3-$B$3)),"")</f>
        <v/>
      </c>
      <c r="K172" s="355" t="str">
        <f>IF(K$3&lt;=time,'Attributable fraction'!AJ116*(1+Economics!$B$4)^(K$3-$B$3)/((1+Economics!$B$3)^(K$3-$B$3)),"")</f>
        <v/>
      </c>
      <c r="L172" s="355" t="str">
        <f>IF(L$3&lt;=time,'Attributable fraction'!AK116*(1+Economics!$B$4)^(L$3-$B$3)/((1+Economics!$B$3)^(L$3-$B$3)),"")</f>
        <v/>
      </c>
      <c r="M172" s="355" t="str">
        <f>IF(M$3&lt;=time,'Attributable fraction'!AL116*(1+Economics!$B$4)^(M$3-$B$3)/((1+Economics!$B$3)^(M$3-$B$3)),"")</f>
        <v/>
      </c>
      <c r="N172" s="355" t="str">
        <f>IF(N$3&lt;=time,'Attributable fraction'!AM116*(1+Economics!$B$4)^(N$3-$B$3)/((1+Economics!$B$3)^(N$3-$B$3)),"")</f>
        <v/>
      </c>
      <c r="O172" s="355" t="str">
        <f>IF(O$3&lt;=time,'Attributable fraction'!AN116*(1+Economics!$B$4)^(O$3-$B$3)/((1+Economics!$B$3)^(O$3-$B$3)),"")</f>
        <v/>
      </c>
      <c r="P172" s="355" t="str">
        <f>IF(P$3&lt;=time,'Attributable fraction'!AO116*(1+Economics!$B$4)^(P$3-$B$3)/((1+Economics!$B$3)^(P$3-$B$3)),"")</f>
        <v/>
      </c>
      <c r="Q172" s="355" t="str">
        <f>IF(Q$3&lt;=time,'Attributable fraction'!AP116*(1+Economics!$B$4)^(Q$3-$B$3)/((1+Economics!$B$3)^(Q$3-$B$3)),"")</f>
        <v/>
      </c>
      <c r="R172" s="355" t="str">
        <f>IF(R$3&lt;=time,'Attributable fraction'!AQ116*(1+Economics!$B$4)^(R$3-$B$3)/((1+Economics!$B$3)^(R$3-$B$3)),"")</f>
        <v/>
      </c>
      <c r="S172" s="355" t="str">
        <f>IF(S$3&lt;=time,'Attributable fraction'!AR116*(1+Economics!$B$4)^(S$3-$B$3)/((1+Economics!$B$3)^(S$3-$B$3)),"")</f>
        <v/>
      </c>
      <c r="T172" s="355" t="str">
        <f>IF(T$3&lt;=time,'Attributable fraction'!AS116*(1+Economics!$B$4)^(T$3-$B$3)/((1+Economics!$B$3)^(T$3-$B$3)),"")</f>
        <v/>
      </c>
      <c r="U172" s="355" t="str">
        <f>IF(U$3&lt;=time,'Attributable fraction'!AT116*(1+Economics!$B$4)^(U$3-$B$3)/((1+Economics!$B$3)^(U$3-$B$3)),"")</f>
        <v/>
      </c>
      <c r="V172" s="355" t="str">
        <f>IF(V$3&lt;=time,'Attributable fraction'!AU116*(1+Economics!$B$4)^(V$3-$B$3)/((1+Economics!$B$3)^(V$3-$B$3)),"")</f>
        <v/>
      </c>
      <c r="W172" s="355" t="str">
        <f>IF(W$3&lt;=time,'Attributable fraction'!AV116*(1+Economics!$B$4)^(W$3-$B$3)/((1+Economics!$B$3)^(W$3-$B$3)),"")</f>
        <v/>
      </c>
      <c r="X172" s="355" t="str">
        <f>IF(X$3&lt;=time,'Attributable fraction'!AW116*(1+Economics!$B$4)^(X$3-$B$3)/((1+Economics!$B$3)^(X$3-$B$3)),"")</f>
        <v/>
      </c>
      <c r="Y172" s="355" t="str">
        <f>IF(Y$3&lt;=time,'Attributable fraction'!AX116*(1+Economics!$B$4)^(Y$3-$B$3)/((1+Economics!$B$3)^(Y$3-$B$3)),"")</f>
        <v/>
      </c>
      <c r="Z172" s="356" t="str">
        <f>IF(Z$3&lt;=time,'Attributable fraction'!AY116*(1+Economics!$B$4)^(Z$3-$B$3)/((1+Economics!$B$3)^(Z$3-$B$3)),"")</f>
        <v/>
      </c>
      <c r="AC172" s="142">
        <f t="shared" si="32"/>
        <v>0</v>
      </c>
      <c r="AE172" s="376">
        <v>5</v>
      </c>
      <c r="AF172" s="176" t="e">
        <f t="array" ref="AF172">STDEV(IF(B172:Z172&lt;&gt;0,B172:Z172))</f>
        <v>#DIV/0!</v>
      </c>
      <c r="AG172" s="176">
        <v>1.96</v>
      </c>
      <c r="AH172" s="176" t="e">
        <f t="shared" si="33"/>
        <v>#DIV/0!</v>
      </c>
      <c r="AI172" s="176">
        <f t="shared" si="25"/>
        <v>0</v>
      </c>
    </row>
    <row r="173" spans="1:35" hidden="1">
      <c r="A173" s="378" t="str">
        <f>Costs!A117</f>
        <v>Hiring New Staff 6</v>
      </c>
      <c r="B173" s="355">
        <f>IF(B$3&lt;=time,'Attributable fraction'!AA117*(1+Economics!$B$4)^(B$3-$B$3)/((1+Economics!$B$3)^(B$3-$B$3)),"")</f>
        <v>0</v>
      </c>
      <c r="C173" s="355">
        <f>IF(C$3&lt;=time,'Attributable fraction'!AB117*(1+Economics!$B$4)^(C$3-$B$3)/((1+Economics!$B$3)^(C$3-$B$3)),"")</f>
        <v>0</v>
      </c>
      <c r="D173" s="355">
        <f>IF(D$3&lt;=time,'Attributable fraction'!AC117*(1+Economics!$B$4)^(D$3-$B$3)/((1+Economics!$B$3)^(D$3-$B$3)),"")</f>
        <v>0</v>
      </c>
      <c r="E173" s="355">
        <f>IF(E$3&lt;=time,'Attributable fraction'!AD117*(1+Economics!$B$4)^(E$3-$B$3)/((1+Economics!$B$3)^(E$3-$B$3)),"")</f>
        <v>0</v>
      </c>
      <c r="F173" s="355">
        <f>IF(F$3&lt;=time,'Attributable fraction'!AE117*(1+Economics!$B$4)^(F$3-$B$3)/((1+Economics!$B$3)^(F$3-$B$3)),"")</f>
        <v>0</v>
      </c>
      <c r="G173" s="355" t="str">
        <f>IF(G$3&lt;=time,'Attributable fraction'!AF117*(1+Economics!$B$4)^(G$3-$B$3)/((1+Economics!$B$3)^(G$3-$B$3)),"")</f>
        <v/>
      </c>
      <c r="H173" s="355" t="str">
        <f>IF(H$3&lt;=time,'Attributable fraction'!AG117*(1+Economics!$B$4)^(H$3-$B$3)/((1+Economics!$B$3)^(H$3-$B$3)),"")</f>
        <v/>
      </c>
      <c r="I173" s="355" t="str">
        <f>IF(I$3&lt;=time,'Attributable fraction'!AH117*(1+Economics!$B$4)^(I$3-$B$3)/((1+Economics!$B$3)^(I$3-$B$3)),"")</f>
        <v/>
      </c>
      <c r="J173" s="355" t="str">
        <f>IF(J$3&lt;=time,'Attributable fraction'!AI117*(1+Economics!$B$4)^(J$3-$B$3)/((1+Economics!$B$3)^(J$3-$B$3)),"")</f>
        <v/>
      </c>
      <c r="K173" s="355" t="str">
        <f>IF(K$3&lt;=time,'Attributable fraction'!AJ117*(1+Economics!$B$4)^(K$3-$B$3)/((1+Economics!$B$3)^(K$3-$B$3)),"")</f>
        <v/>
      </c>
      <c r="L173" s="355" t="str">
        <f>IF(L$3&lt;=time,'Attributable fraction'!AK117*(1+Economics!$B$4)^(L$3-$B$3)/((1+Economics!$B$3)^(L$3-$B$3)),"")</f>
        <v/>
      </c>
      <c r="M173" s="355" t="str">
        <f>IF(M$3&lt;=time,'Attributable fraction'!AL117*(1+Economics!$B$4)^(M$3-$B$3)/((1+Economics!$B$3)^(M$3-$B$3)),"")</f>
        <v/>
      </c>
      <c r="N173" s="355" t="str">
        <f>IF(N$3&lt;=time,'Attributable fraction'!AM117*(1+Economics!$B$4)^(N$3-$B$3)/((1+Economics!$B$3)^(N$3-$B$3)),"")</f>
        <v/>
      </c>
      <c r="O173" s="355" t="str">
        <f>IF(O$3&lt;=time,'Attributable fraction'!AN117*(1+Economics!$B$4)^(O$3-$B$3)/((1+Economics!$B$3)^(O$3-$B$3)),"")</f>
        <v/>
      </c>
      <c r="P173" s="355" t="str">
        <f>IF(P$3&lt;=time,'Attributable fraction'!AO117*(1+Economics!$B$4)^(P$3-$B$3)/((1+Economics!$B$3)^(P$3-$B$3)),"")</f>
        <v/>
      </c>
      <c r="Q173" s="355" t="str">
        <f>IF(Q$3&lt;=time,'Attributable fraction'!AP117*(1+Economics!$B$4)^(Q$3-$B$3)/((1+Economics!$B$3)^(Q$3-$B$3)),"")</f>
        <v/>
      </c>
      <c r="R173" s="355" t="str">
        <f>IF(R$3&lt;=time,'Attributable fraction'!AQ117*(1+Economics!$B$4)^(R$3-$B$3)/((1+Economics!$B$3)^(R$3-$B$3)),"")</f>
        <v/>
      </c>
      <c r="S173" s="355" t="str">
        <f>IF(S$3&lt;=time,'Attributable fraction'!AR117*(1+Economics!$B$4)^(S$3-$B$3)/((1+Economics!$B$3)^(S$3-$B$3)),"")</f>
        <v/>
      </c>
      <c r="T173" s="355" t="str">
        <f>IF(T$3&lt;=time,'Attributable fraction'!AS117*(1+Economics!$B$4)^(T$3-$B$3)/((1+Economics!$B$3)^(T$3-$B$3)),"")</f>
        <v/>
      </c>
      <c r="U173" s="355" t="str">
        <f>IF(U$3&lt;=time,'Attributable fraction'!AT117*(1+Economics!$B$4)^(U$3-$B$3)/((1+Economics!$B$3)^(U$3-$B$3)),"")</f>
        <v/>
      </c>
      <c r="V173" s="355" t="str">
        <f>IF(V$3&lt;=time,'Attributable fraction'!AU117*(1+Economics!$B$4)^(V$3-$B$3)/((1+Economics!$B$3)^(V$3-$B$3)),"")</f>
        <v/>
      </c>
      <c r="W173" s="355" t="str">
        <f>IF(W$3&lt;=time,'Attributable fraction'!AV117*(1+Economics!$B$4)^(W$3-$B$3)/((1+Economics!$B$3)^(W$3-$B$3)),"")</f>
        <v/>
      </c>
      <c r="X173" s="355" t="str">
        <f>IF(X$3&lt;=time,'Attributable fraction'!AW117*(1+Economics!$B$4)^(X$3-$B$3)/((1+Economics!$B$3)^(X$3-$B$3)),"")</f>
        <v/>
      </c>
      <c r="Y173" s="355" t="str">
        <f>IF(Y$3&lt;=time,'Attributable fraction'!AX117*(1+Economics!$B$4)^(Y$3-$B$3)/((1+Economics!$B$3)^(Y$3-$B$3)),"")</f>
        <v/>
      </c>
      <c r="Z173" s="356" t="str">
        <f>IF(Z$3&lt;=time,'Attributable fraction'!AY117*(1+Economics!$B$4)^(Z$3-$B$3)/((1+Economics!$B$3)^(Z$3-$B$3)),"")</f>
        <v/>
      </c>
      <c r="AC173" s="142">
        <f t="shared" si="32"/>
        <v>0</v>
      </c>
      <c r="AE173" s="376">
        <v>6</v>
      </c>
      <c r="AF173" s="176" t="e">
        <f t="array" ref="AF173">STDEV(IF(B173:Z173&lt;&gt;0,B173:Z173))</f>
        <v>#DIV/0!</v>
      </c>
      <c r="AG173" s="176">
        <v>1.96</v>
      </c>
      <c r="AH173" s="176" t="e">
        <f t="shared" si="33"/>
        <v>#DIV/0!</v>
      </c>
      <c r="AI173" s="176">
        <f t="shared" si="25"/>
        <v>0</v>
      </c>
    </row>
    <row r="174" spans="1:35" hidden="1">
      <c r="A174" s="378" t="str">
        <f>Costs!A118</f>
        <v>Hiring New Staff 7</v>
      </c>
      <c r="B174" s="355">
        <f>IF(B$3&lt;=time,'Attributable fraction'!AA118*(1+Economics!$B$4)^(B$3-$B$3)/((1+Economics!$B$3)^(B$3-$B$3)),"")</f>
        <v>0</v>
      </c>
      <c r="C174" s="355">
        <f>IF(C$3&lt;=time,'Attributable fraction'!AB118*(1+Economics!$B$4)^(C$3-$B$3)/((1+Economics!$B$3)^(C$3-$B$3)),"")</f>
        <v>0</v>
      </c>
      <c r="D174" s="355">
        <f>IF(D$3&lt;=time,'Attributable fraction'!AC118*(1+Economics!$B$4)^(D$3-$B$3)/((1+Economics!$B$3)^(D$3-$B$3)),"")</f>
        <v>0</v>
      </c>
      <c r="E174" s="355">
        <f>IF(E$3&lt;=time,'Attributable fraction'!AD118*(1+Economics!$B$4)^(E$3-$B$3)/((1+Economics!$B$3)^(E$3-$B$3)),"")</f>
        <v>0</v>
      </c>
      <c r="F174" s="355">
        <f>IF(F$3&lt;=time,'Attributable fraction'!AE118*(1+Economics!$B$4)^(F$3-$B$3)/((1+Economics!$B$3)^(F$3-$B$3)),"")</f>
        <v>0</v>
      </c>
      <c r="G174" s="355" t="str">
        <f>IF(G$3&lt;=time,'Attributable fraction'!AF118*(1+Economics!$B$4)^(G$3-$B$3)/((1+Economics!$B$3)^(G$3-$B$3)),"")</f>
        <v/>
      </c>
      <c r="H174" s="355" t="str">
        <f>IF(H$3&lt;=time,'Attributable fraction'!AG118*(1+Economics!$B$4)^(H$3-$B$3)/((1+Economics!$B$3)^(H$3-$B$3)),"")</f>
        <v/>
      </c>
      <c r="I174" s="355" t="str">
        <f>IF(I$3&lt;=time,'Attributable fraction'!AH118*(1+Economics!$B$4)^(I$3-$B$3)/((1+Economics!$B$3)^(I$3-$B$3)),"")</f>
        <v/>
      </c>
      <c r="J174" s="355" t="str">
        <f>IF(J$3&lt;=time,'Attributable fraction'!AI118*(1+Economics!$B$4)^(J$3-$B$3)/((1+Economics!$B$3)^(J$3-$B$3)),"")</f>
        <v/>
      </c>
      <c r="K174" s="355" t="str">
        <f>IF(K$3&lt;=time,'Attributable fraction'!AJ118*(1+Economics!$B$4)^(K$3-$B$3)/((1+Economics!$B$3)^(K$3-$B$3)),"")</f>
        <v/>
      </c>
      <c r="L174" s="355" t="str">
        <f>IF(L$3&lt;=time,'Attributable fraction'!AK118*(1+Economics!$B$4)^(L$3-$B$3)/((1+Economics!$B$3)^(L$3-$B$3)),"")</f>
        <v/>
      </c>
      <c r="M174" s="355" t="str">
        <f>IF(M$3&lt;=time,'Attributable fraction'!AL118*(1+Economics!$B$4)^(M$3-$B$3)/((1+Economics!$B$3)^(M$3-$B$3)),"")</f>
        <v/>
      </c>
      <c r="N174" s="355" t="str">
        <f>IF(N$3&lt;=time,'Attributable fraction'!AM118*(1+Economics!$B$4)^(N$3-$B$3)/((1+Economics!$B$3)^(N$3-$B$3)),"")</f>
        <v/>
      </c>
      <c r="O174" s="355" t="str">
        <f>IF(O$3&lt;=time,'Attributable fraction'!AN118*(1+Economics!$B$4)^(O$3-$B$3)/((1+Economics!$B$3)^(O$3-$B$3)),"")</f>
        <v/>
      </c>
      <c r="P174" s="355" t="str">
        <f>IF(P$3&lt;=time,'Attributable fraction'!AO118*(1+Economics!$B$4)^(P$3-$B$3)/((1+Economics!$B$3)^(P$3-$B$3)),"")</f>
        <v/>
      </c>
      <c r="Q174" s="355" t="str">
        <f>IF(Q$3&lt;=time,'Attributable fraction'!AP118*(1+Economics!$B$4)^(Q$3-$B$3)/((1+Economics!$B$3)^(Q$3-$B$3)),"")</f>
        <v/>
      </c>
      <c r="R174" s="355" t="str">
        <f>IF(R$3&lt;=time,'Attributable fraction'!AQ118*(1+Economics!$B$4)^(R$3-$B$3)/((1+Economics!$B$3)^(R$3-$B$3)),"")</f>
        <v/>
      </c>
      <c r="S174" s="355" t="str">
        <f>IF(S$3&lt;=time,'Attributable fraction'!AR118*(1+Economics!$B$4)^(S$3-$B$3)/((1+Economics!$B$3)^(S$3-$B$3)),"")</f>
        <v/>
      </c>
      <c r="T174" s="355" t="str">
        <f>IF(T$3&lt;=time,'Attributable fraction'!AS118*(1+Economics!$B$4)^(T$3-$B$3)/((1+Economics!$B$3)^(T$3-$B$3)),"")</f>
        <v/>
      </c>
      <c r="U174" s="355" t="str">
        <f>IF(U$3&lt;=time,'Attributable fraction'!AT118*(1+Economics!$B$4)^(U$3-$B$3)/((1+Economics!$B$3)^(U$3-$B$3)),"")</f>
        <v/>
      </c>
      <c r="V174" s="355" t="str">
        <f>IF(V$3&lt;=time,'Attributable fraction'!AU118*(1+Economics!$B$4)^(V$3-$B$3)/((1+Economics!$B$3)^(V$3-$B$3)),"")</f>
        <v/>
      </c>
      <c r="W174" s="355" t="str">
        <f>IF(W$3&lt;=time,'Attributable fraction'!AV118*(1+Economics!$B$4)^(W$3-$B$3)/((1+Economics!$B$3)^(W$3-$B$3)),"")</f>
        <v/>
      </c>
      <c r="X174" s="355" t="str">
        <f>IF(X$3&lt;=time,'Attributable fraction'!AW118*(1+Economics!$B$4)^(X$3-$B$3)/((1+Economics!$B$3)^(X$3-$B$3)),"")</f>
        <v/>
      </c>
      <c r="Y174" s="355" t="str">
        <f>IF(Y$3&lt;=time,'Attributable fraction'!AX118*(1+Economics!$B$4)^(Y$3-$B$3)/((1+Economics!$B$3)^(Y$3-$B$3)),"")</f>
        <v/>
      </c>
      <c r="Z174" s="356" t="str">
        <f>IF(Z$3&lt;=time,'Attributable fraction'!AY118*(1+Economics!$B$4)^(Z$3-$B$3)/((1+Economics!$B$3)^(Z$3-$B$3)),"")</f>
        <v/>
      </c>
      <c r="AC174" s="142">
        <f t="shared" si="32"/>
        <v>0</v>
      </c>
      <c r="AE174" s="376">
        <v>7</v>
      </c>
      <c r="AF174" s="176" t="e">
        <f t="array" ref="AF174">STDEV(IF(B174:Z174&lt;&gt;0,B174:Z174))</f>
        <v>#DIV/0!</v>
      </c>
      <c r="AG174" s="176">
        <v>1.96</v>
      </c>
      <c r="AH174" s="176" t="e">
        <f t="shared" si="33"/>
        <v>#DIV/0!</v>
      </c>
      <c r="AI174" s="176">
        <f t="shared" si="25"/>
        <v>0</v>
      </c>
    </row>
    <row r="175" spans="1:35" hidden="1">
      <c r="A175" s="378" t="str">
        <f>Costs!A119</f>
        <v>Hiring New Staff 8</v>
      </c>
      <c r="B175" s="355">
        <f>IF(B$3&lt;=time,'Attributable fraction'!AA119*(1+Economics!$B$4)^(B$3-$B$3)/((1+Economics!$B$3)^(B$3-$B$3)),"")</f>
        <v>0</v>
      </c>
      <c r="C175" s="355">
        <f>IF(C$3&lt;=time,'Attributable fraction'!AB119*(1+Economics!$B$4)^(C$3-$B$3)/((1+Economics!$B$3)^(C$3-$B$3)),"")</f>
        <v>0</v>
      </c>
      <c r="D175" s="355">
        <f>IF(D$3&lt;=time,'Attributable fraction'!AC119*(1+Economics!$B$4)^(D$3-$B$3)/((1+Economics!$B$3)^(D$3-$B$3)),"")</f>
        <v>0</v>
      </c>
      <c r="E175" s="355">
        <f>IF(E$3&lt;=time,'Attributable fraction'!AD119*(1+Economics!$B$4)^(E$3-$B$3)/((1+Economics!$B$3)^(E$3-$B$3)),"")</f>
        <v>0</v>
      </c>
      <c r="F175" s="355">
        <f>IF(F$3&lt;=time,'Attributable fraction'!AE119*(1+Economics!$B$4)^(F$3-$B$3)/((1+Economics!$B$3)^(F$3-$B$3)),"")</f>
        <v>0</v>
      </c>
      <c r="G175" s="355" t="str">
        <f>IF(G$3&lt;=time,'Attributable fraction'!AF119*(1+Economics!$B$4)^(G$3-$B$3)/((1+Economics!$B$3)^(G$3-$B$3)),"")</f>
        <v/>
      </c>
      <c r="H175" s="355" t="str">
        <f>IF(H$3&lt;=time,'Attributable fraction'!AG119*(1+Economics!$B$4)^(H$3-$B$3)/((1+Economics!$B$3)^(H$3-$B$3)),"")</f>
        <v/>
      </c>
      <c r="I175" s="355" t="str">
        <f>IF(I$3&lt;=time,'Attributable fraction'!AH119*(1+Economics!$B$4)^(I$3-$B$3)/((1+Economics!$B$3)^(I$3-$B$3)),"")</f>
        <v/>
      </c>
      <c r="J175" s="355" t="str">
        <f>IF(J$3&lt;=time,'Attributable fraction'!AI119*(1+Economics!$B$4)^(J$3-$B$3)/((1+Economics!$B$3)^(J$3-$B$3)),"")</f>
        <v/>
      </c>
      <c r="K175" s="355" t="str">
        <f>IF(K$3&lt;=time,'Attributable fraction'!AJ119*(1+Economics!$B$4)^(K$3-$B$3)/((1+Economics!$B$3)^(K$3-$B$3)),"")</f>
        <v/>
      </c>
      <c r="L175" s="355" t="str">
        <f>IF(L$3&lt;=time,'Attributable fraction'!AK119*(1+Economics!$B$4)^(L$3-$B$3)/((1+Economics!$B$3)^(L$3-$B$3)),"")</f>
        <v/>
      </c>
      <c r="M175" s="355" t="str">
        <f>IF(M$3&lt;=time,'Attributable fraction'!AL119*(1+Economics!$B$4)^(M$3-$B$3)/((1+Economics!$B$3)^(M$3-$B$3)),"")</f>
        <v/>
      </c>
      <c r="N175" s="355" t="str">
        <f>IF(N$3&lt;=time,'Attributable fraction'!AM119*(1+Economics!$B$4)^(N$3-$B$3)/((1+Economics!$B$3)^(N$3-$B$3)),"")</f>
        <v/>
      </c>
      <c r="O175" s="355" t="str">
        <f>IF(O$3&lt;=time,'Attributable fraction'!AN119*(1+Economics!$B$4)^(O$3-$B$3)/((1+Economics!$B$3)^(O$3-$B$3)),"")</f>
        <v/>
      </c>
      <c r="P175" s="355" t="str">
        <f>IF(P$3&lt;=time,'Attributable fraction'!AO119*(1+Economics!$B$4)^(P$3-$B$3)/((1+Economics!$B$3)^(P$3-$B$3)),"")</f>
        <v/>
      </c>
      <c r="Q175" s="355" t="str">
        <f>IF(Q$3&lt;=time,'Attributable fraction'!AP119*(1+Economics!$B$4)^(Q$3-$B$3)/((1+Economics!$B$3)^(Q$3-$B$3)),"")</f>
        <v/>
      </c>
      <c r="R175" s="355" t="str">
        <f>IF(R$3&lt;=time,'Attributable fraction'!AQ119*(1+Economics!$B$4)^(R$3-$B$3)/((1+Economics!$B$3)^(R$3-$B$3)),"")</f>
        <v/>
      </c>
      <c r="S175" s="355" t="str">
        <f>IF(S$3&lt;=time,'Attributable fraction'!AR119*(1+Economics!$B$4)^(S$3-$B$3)/((1+Economics!$B$3)^(S$3-$B$3)),"")</f>
        <v/>
      </c>
      <c r="T175" s="355" t="str">
        <f>IF(T$3&lt;=time,'Attributable fraction'!AS119*(1+Economics!$B$4)^(T$3-$B$3)/((1+Economics!$B$3)^(T$3-$B$3)),"")</f>
        <v/>
      </c>
      <c r="U175" s="355" t="str">
        <f>IF(U$3&lt;=time,'Attributable fraction'!AT119*(1+Economics!$B$4)^(U$3-$B$3)/((1+Economics!$B$3)^(U$3-$B$3)),"")</f>
        <v/>
      </c>
      <c r="V175" s="355" t="str">
        <f>IF(V$3&lt;=time,'Attributable fraction'!AU119*(1+Economics!$B$4)^(V$3-$B$3)/((1+Economics!$B$3)^(V$3-$B$3)),"")</f>
        <v/>
      </c>
      <c r="W175" s="355" t="str">
        <f>IF(W$3&lt;=time,'Attributable fraction'!AV119*(1+Economics!$B$4)^(W$3-$B$3)/((1+Economics!$B$3)^(W$3-$B$3)),"")</f>
        <v/>
      </c>
      <c r="X175" s="355" t="str">
        <f>IF(X$3&lt;=time,'Attributable fraction'!AW119*(1+Economics!$B$4)^(X$3-$B$3)/((1+Economics!$B$3)^(X$3-$B$3)),"")</f>
        <v/>
      </c>
      <c r="Y175" s="355" t="str">
        <f>IF(Y$3&lt;=time,'Attributable fraction'!AX119*(1+Economics!$B$4)^(Y$3-$B$3)/((1+Economics!$B$3)^(Y$3-$B$3)),"")</f>
        <v/>
      </c>
      <c r="Z175" s="356" t="str">
        <f>IF(Z$3&lt;=time,'Attributable fraction'!AY119*(1+Economics!$B$4)^(Z$3-$B$3)/((1+Economics!$B$3)^(Z$3-$B$3)),"")</f>
        <v/>
      </c>
      <c r="AC175" s="142">
        <f t="shared" si="32"/>
        <v>0</v>
      </c>
      <c r="AE175" s="376">
        <v>8</v>
      </c>
      <c r="AF175" s="176" t="e">
        <f t="array" ref="AF175">STDEV(IF(B175:Z175&lt;&gt;0,B175:Z175))</f>
        <v>#DIV/0!</v>
      </c>
      <c r="AG175" s="176">
        <v>1.96</v>
      </c>
      <c r="AH175" s="176" t="e">
        <f t="shared" si="33"/>
        <v>#DIV/0!</v>
      </c>
      <c r="AI175" s="176">
        <f t="shared" si="25"/>
        <v>0</v>
      </c>
    </row>
    <row r="176" spans="1:35" hidden="1">
      <c r="A176" s="378" t="str">
        <f>Costs!A120</f>
        <v>Hiring New Staff 9</v>
      </c>
      <c r="B176" s="355">
        <f>IF(B$3&lt;=time,'Attributable fraction'!AA120*(1+Economics!$B$4)^(B$3-$B$3)/((1+Economics!$B$3)^(B$3-$B$3)),"")</f>
        <v>0</v>
      </c>
      <c r="C176" s="355">
        <f>IF(C$3&lt;=time,'Attributable fraction'!AB120*(1+Economics!$B$4)^(C$3-$B$3)/((1+Economics!$B$3)^(C$3-$B$3)),"")</f>
        <v>0</v>
      </c>
      <c r="D176" s="355">
        <f>IF(D$3&lt;=time,'Attributable fraction'!AC120*(1+Economics!$B$4)^(D$3-$B$3)/((1+Economics!$B$3)^(D$3-$B$3)),"")</f>
        <v>0</v>
      </c>
      <c r="E176" s="355">
        <f>IF(E$3&lt;=time,'Attributable fraction'!AD120*(1+Economics!$B$4)^(E$3-$B$3)/((1+Economics!$B$3)^(E$3-$B$3)),"")</f>
        <v>0</v>
      </c>
      <c r="F176" s="355">
        <f>IF(F$3&lt;=time,'Attributable fraction'!AE120*(1+Economics!$B$4)^(F$3-$B$3)/((1+Economics!$B$3)^(F$3-$B$3)),"")</f>
        <v>0</v>
      </c>
      <c r="G176" s="355" t="str">
        <f>IF(G$3&lt;=time,'Attributable fraction'!AF120*(1+Economics!$B$4)^(G$3-$B$3)/((1+Economics!$B$3)^(G$3-$B$3)),"")</f>
        <v/>
      </c>
      <c r="H176" s="355" t="str">
        <f>IF(H$3&lt;=time,'Attributable fraction'!AG120*(1+Economics!$B$4)^(H$3-$B$3)/((1+Economics!$B$3)^(H$3-$B$3)),"")</f>
        <v/>
      </c>
      <c r="I176" s="355" t="str">
        <f>IF(I$3&lt;=time,'Attributable fraction'!AH120*(1+Economics!$B$4)^(I$3-$B$3)/((1+Economics!$B$3)^(I$3-$B$3)),"")</f>
        <v/>
      </c>
      <c r="J176" s="355" t="str">
        <f>IF(J$3&lt;=time,'Attributable fraction'!AI120*(1+Economics!$B$4)^(J$3-$B$3)/((1+Economics!$B$3)^(J$3-$B$3)),"")</f>
        <v/>
      </c>
      <c r="K176" s="355" t="str">
        <f>IF(K$3&lt;=time,'Attributable fraction'!AJ120*(1+Economics!$B$4)^(K$3-$B$3)/((1+Economics!$B$3)^(K$3-$B$3)),"")</f>
        <v/>
      </c>
      <c r="L176" s="355" t="str">
        <f>IF(L$3&lt;=time,'Attributable fraction'!AK120*(1+Economics!$B$4)^(L$3-$B$3)/((1+Economics!$B$3)^(L$3-$B$3)),"")</f>
        <v/>
      </c>
      <c r="M176" s="355" t="str">
        <f>IF(M$3&lt;=time,'Attributable fraction'!AL120*(1+Economics!$B$4)^(M$3-$B$3)/((1+Economics!$B$3)^(M$3-$B$3)),"")</f>
        <v/>
      </c>
      <c r="N176" s="355" t="str">
        <f>IF(N$3&lt;=time,'Attributable fraction'!AM120*(1+Economics!$B$4)^(N$3-$B$3)/((1+Economics!$B$3)^(N$3-$B$3)),"")</f>
        <v/>
      </c>
      <c r="O176" s="355" t="str">
        <f>IF(O$3&lt;=time,'Attributable fraction'!AN120*(1+Economics!$B$4)^(O$3-$B$3)/((1+Economics!$B$3)^(O$3-$B$3)),"")</f>
        <v/>
      </c>
      <c r="P176" s="355" t="str">
        <f>IF(P$3&lt;=time,'Attributable fraction'!AO120*(1+Economics!$B$4)^(P$3-$B$3)/((1+Economics!$B$3)^(P$3-$B$3)),"")</f>
        <v/>
      </c>
      <c r="Q176" s="355" t="str">
        <f>IF(Q$3&lt;=time,'Attributable fraction'!AP120*(1+Economics!$B$4)^(Q$3-$B$3)/((1+Economics!$B$3)^(Q$3-$B$3)),"")</f>
        <v/>
      </c>
      <c r="R176" s="355" t="str">
        <f>IF(R$3&lt;=time,'Attributable fraction'!AQ120*(1+Economics!$B$4)^(R$3-$B$3)/((1+Economics!$B$3)^(R$3-$B$3)),"")</f>
        <v/>
      </c>
      <c r="S176" s="355" t="str">
        <f>IF(S$3&lt;=time,'Attributable fraction'!AR120*(1+Economics!$B$4)^(S$3-$B$3)/((1+Economics!$B$3)^(S$3-$B$3)),"")</f>
        <v/>
      </c>
      <c r="T176" s="355" t="str">
        <f>IF(T$3&lt;=time,'Attributable fraction'!AS120*(1+Economics!$B$4)^(T$3-$B$3)/((1+Economics!$B$3)^(T$3-$B$3)),"")</f>
        <v/>
      </c>
      <c r="U176" s="355" t="str">
        <f>IF(U$3&lt;=time,'Attributable fraction'!AT120*(1+Economics!$B$4)^(U$3-$B$3)/((1+Economics!$B$3)^(U$3-$B$3)),"")</f>
        <v/>
      </c>
      <c r="V176" s="355" t="str">
        <f>IF(V$3&lt;=time,'Attributable fraction'!AU120*(1+Economics!$B$4)^(V$3-$B$3)/((1+Economics!$B$3)^(V$3-$B$3)),"")</f>
        <v/>
      </c>
      <c r="W176" s="355" t="str">
        <f>IF(W$3&lt;=time,'Attributable fraction'!AV120*(1+Economics!$B$4)^(W$3-$B$3)/((1+Economics!$B$3)^(W$3-$B$3)),"")</f>
        <v/>
      </c>
      <c r="X176" s="355" t="str">
        <f>IF(X$3&lt;=time,'Attributable fraction'!AW120*(1+Economics!$B$4)^(X$3-$B$3)/((1+Economics!$B$3)^(X$3-$B$3)),"")</f>
        <v/>
      </c>
      <c r="Y176" s="355" t="str">
        <f>IF(Y$3&lt;=time,'Attributable fraction'!AX120*(1+Economics!$B$4)^(Y$3-$B$3)/((1+Economics!$B$3)^(Y$3-$B$3)),"")</f>
        <v/>
      </c>
      <c r="Z176" s="356" t="str">
        <f>IF(Z$3&lt;=time,'Attributable fraction'!AY120*(1+Economics!$B$4)^(Z$3-$B$3)/((1+Economics!$B$3)^(Z$3-$B$3)),"")</f>
        <v/>
      </c>
      <c r="AC176" s="142">
        <f t="shared" si="32"/>
        <v>0</v>
      </c>
      <c r="AE176" s="376">
        <v>9</v>
      </c>
      <c r="AF176" s="176" t="e">
        <f t="array" ref="AF176">STDEV(IF(B176:Z176&lt;&gt;0,B176:Z176))</f>
        <v>#DIV/0!</v>
      </c>
      <c r="AG176" s="176">
        <v>1.96</v>
      </c>
      <c r="AH176" s="176" t="e">
        <f t="shared" si="33"/>
        <v>#DIV/0!</v>
      </c>
      <c r="AI176" s="176">
        <f t="shared" si="25"/>
        <v>0</v>
      </c>
    </row>
    <row r="177" spans="1:35" hidden="1">
      <c r="A177" s="378" t="str">
        <f>Costs!A121</f>
        <v>Hiring New Staff 10</v>
      </c>
      <c r="B177" s="355">
        <f>IF(B$3&lt;=time,'Attributable fraction'!AA121*(1+Economics!$B$4)^(B$3-$B$3)/((1+Economics!$B$3)^(B$3-$B$3)),"")</f>
        <v>0</v>
      </c>
      <c r="C177" s="355">
        <f>IF(C$3&lt;=time,'Attributable fraction'!AB121*(1+Economics!$B$4)^(C$3-$B$3)/((1+Economics!$B$3)^(C$3-$B$3)),"")</f>
        <v>0</v>
      </c>
      <c r="D177" s="355">
        <f>IF(D$3&lt;=time,'Attributable fraction'!AC121*(1+Economics!$B$4)^(D$3-$B$3)/((1+Economics!$B$3)^(D$3-$B$3)),"")</f>
        <v>0</v>
      </c>
      <c r="E177" s="355">
        <f>IF(E$3&lt;=time,'Attributable fraction'!AD121*(1+Economics!$B$4)^(E$3-$B$3)/((1+Economics!$B$3)^(E$3-$B$3)),"")</f>
        <v>0</v>
      </c>
      <c r="F177" s="355">
        <f>IF(F$3&lt;=time,'Attributable fraction'!AE121*(1+Economics!$B$4)^(F$3-$B$3)/((1+Economics!$B$3)^(F$3-$B$3)),"")</f>
        <v>0</v>
      </c>
      <c r="G177" s="355" t="str">
        <f>IF(G$3&lt;=time,'Attributable fraction'!AF121*(1+Economics!$B$4)^(G$3-$B$3)/((1+Economics!$B$3)^(G$3-$B$3)),"")</f>
        <v/>
      </c>
      <c r="H177" s="355" t="str">
        <f>IF(H$3&lt;=time,'Attributable fraction'!AG121*(1+Economics!$B$4)^(H$3-$B$3)/((1+Economics!$B$3)^(H$3-$B$3)),"")</f>
        <v/>
      </c>
      <c r="I177" s="355" t="str">
        <f>IF(I$3&lt;=time,'Attributable fraction'!AH121*(1+Economics!$B$4)^(I$3-$B$3)/((1+Economics!$B$3)^(I$3-$B$3)),"")</f>
        <v/>
      </c>
      <c r="J177" s="355" t="str">
        <f>IF(J$3&lt;=time,'Attributable fraction'!AI121*(1+Economics!$B$4)^(J$3-$B$3)/((1+Economics!$B$3)^(J$3-$B$3)),"")</f>
        <v/>
      </c>
      <c r="K177" s="355" t="str">
        <f>IF(K$3&lt;=time,'Attributable fraction'!AJ121*(1+Economics!$B$4)^(K$3-$B$3)/((1+Economics!$B$3)^(K$3-$B$3)),"")</f>
        <v/>
      </c>
      <c r="L177" s="355" t="str">
        <f>IF(L$3&lt;=time,'Attributable fraction'!AK121*(1+Economics!$B$4)^(L$3-$B$3)/((1+Economics!$B$3)^(L$3-$B$3)),"")</f>
        <v/>
      </c>
      <c r="M177" s="355" t="str">
        <f>IF(M$3&lt;=time,'Attributable fraction'!AL121*(1+Economics!$B$4)^(M$3-$B$3)/((1+Economics!$B$3)^(M$3-$B$3)),"")</f>
        <v/>
      </c>
      <c r="N177" s="355" t="str">
        <f>IF(N$3&lt;=time,'Attributable fraction'!AM121*(1+Economics!$B$4)^(N$3-$B$3)/((1+Economics!$B$3)^(N$3-$B$3)),"")</f>
        <v/>
      </c>
      <c r="O177" s="355" t="str">
        <f>IF(O$3&lt;=time,'Attributable fraction'!AN121*(1+Economics!$B$4)^(O$3-$B$3)/((1+Economics!$B$3)^(O$3-$B$3)),"")</f>
        <v/>
      </c>
      <c r="P177" s="355" t="str">
        <f>IF(P$3&lt;=time,'Attributable fraction'!AO121*(1+Economics!$B$4)^(P$3-$B$3)/((1+Economics!$B$3)^(P$3-$B$3)),"")</f>
        <v/>
      </c>
      <c r="Q177" s="355" t="str">
        <f>IF(Q$3&lt;=time,'Attributable fraction'!AP121*(1+Economics!$B$4)^(Q$3-$B$3)/((1+Economics!$B$3)^(Q$3-$B$3)),"")</f>
        <v/>
      </c>
      <c r="R177" s="355" t="str">
        <f>IF(R$3&lt;=time,'Attributable fraction'!AQ121*(1+Economics!$B$4)^(R$3-$B$3)/((1+Economics!$B$3)^(R$3-$B$3)),"")</f>
        <v/>
      </c>
      <c r="S177" s="355" t="str">
        <f>IF(S$3&lt;=time,'Attributable fraction'!AR121*(1+Economics!$B$4)^(S$3-$B$3)/((1+Economics!$B$3)^(S$3-$B$3)),"")</f>
        <v/>
      </c>
      <c r="T177" s="355" t="str">
        <f>IF(T$3&lt;=time,'Attributable fraction'!AS121*(1+Economics!$B$4)^(T$3-$B$3)/((1+Economics!$B$3)^(T$3-$B$3)),"")</f>
        <v/>
      </c>
      <c r="U177" s="355" t="str">
        <f>IF(U$3&lt;=time,'Attributable fraction'!AT121*(1+Economics!$B$4)^(U$3-$B$3)/((1+Economics!$B$3)^(U$3-$B$3)),"")</f>
        <v/>
      </c>
      <c r="V177" s="355" t="str">
        <f>IF(V$3&lt;=time,'Attributable fraction'!AU121*(1+Economics!$B$4)^(V$3-$B$3)/((1+Economics!$B$3)^(V$3-$B$3)),"")</f>
        <v/>
      </c>
      <c r="W177" s="355" t="str">
        <f>IF(W$3&lt;=time,'Attributable fraction'!AV121*(1+Economics!$B$4)^(W$3-$B$3)/((1+Economics!$B$3)^(W$3-$B$3)),"")</f>
        <v/>
      </c>
      <c r="X177" s="355" t="str">
        <f>IF(X$3&lt;=time,'Attributable fraction'!AW121*(1+Economics!$B$4)^(X$3-$B$3)/((1+Economics!$B$3)^(X$3-$B$3)),"")</f>
        <v/>
      </c>
      <c r="Y177" s="355" t="str">
        <f>IF(Y$3&lt;=time,'Attributable fraction'!AX121*(1+Economics!$B$4)^(Y$3-$B$3)/((1+Economics!$B$3)^(Y$3-$B$3)),"")</f>
        <v/>
      </c>
      <c r="Z177" s="356" t="str">
        <f>IF(Z$3&lt;=time,'Attributable fraction'!AY121*(1+Economics!$B$4)^(Z$3-$B$3)/((1+Economics!$B$3)^(Z$3-$B$3)),"")</f>
        <v/>
      </c>
      <c r="AC177" s="142">
        <f t="shared" si="32"/>
        <v>0</v>
      </c>
      <c r="AE177" s="376">
        <v>10</v>
      </c>
      <c r="AF177" s="176" t="e">
        <f t="array" ref="AF177">STDEV(IF(B177:Z177&lt;&gt;0,B177:Z177))</f>
        <v>#DIV/0!</v>
      </c>
      <c r="AG177" s="176">
        <v>1.96</v>
      </c>
      <c r="AH177" s="176" t="e">
        <f t="shared" si="33"/>
        <v>#DIV/0!</v>
      </c>
      <c r="AI177" s="176">
        <f t="shared" si="25"/>
        <v>0</v>
      </c>
    </row>
    <row r="178" spans="1:35" s="196" customFormat="1" hidden="1">
      <c r="A178" s="302" t="s">
        <v>16</v>
      </c>
      <c r="B178" s="379"/>
      <c r="C178" s="379"/>
      <c r="D178" s="379"/>
      <c r="E178" s="379"/>
      <c r="F178" s="379"/>
      <c r="G178" s="379"/>
      <c r="H178" s="379"/>
      <c r="I178" s="379"/>
      <c r="J178" s="379"/>
      <c r="K178" s="379"/>
      <c r="L178" s="379"/>
      <c r="M178" s="379"/>
      <c r="N178" s="379"/>
      <c r="O178" s="379"/>
      <c r="P178" s="379"/>
      <c r="Q178" s="379"/>
      <c r="R178" s="379"/>
      <c r="S178" s="379"/>
      <c r="T178" s="379"/>
      <c r="U178" s="379"/>
      <c r="V178" s="379"/>
      <c r="W178" s="379"/>
      <c r="X178" s="379"/>
      <c r="Y178" s="379"/>
      <c r="Z178" s="380"/>
      <c r="AB178" s="114"/>
      <c r="AD178" s="114"/>
    </row>
    <row r="179" spans="1:35" hidden="1">
      <c r="A179" s="378" t="str">
        <f>Costs!A123</f>
        <v>Volunteers 1</v>
      </c>
      <c r="B179" s="355">
        <f>IF(B$3&lt;=time,'Attributable fraction'!AA123*(1+Economics!$B$4)^(B$3-$B$3)/((1+Economics!$B$3)^(B$3-$B$3)),"")</f>
        <v>0</v>
      </c>
      <c r="C179" s="355">
        <f>IF(C$3&lt;=time,'Attributable fraction'!AB123*(1+Economics!$B$4)^(C$3-$B$3)/((1+Economics!$B$3)^(C$3-$B$3)),"")</f>
        <v>0</v>
      </c>
      <c r="D179" s="355">
        <f>IF(D$3&lt;=time,'Attributable fraction'!AC123*(1+Economics!$B$4)^(D$3-$B$3)/((1+Economics!$B$3)^(D$3-$B$3)),"")</f>
        <v>0</v>
      </c>
      <c r="E179" s="355">
        <f>IF(E$3&lt;=time,'Attributable fraction'!AD123*(1+Economics!$B$4)^(E$3-$B$3)/((1+Economics!$B$3)^(E$3-$B$3)),"")</f>
        <v>0</v>
      </c>
      <c r="F179" s="355">
        <f>IF(F$3&lt;=time,'Attributable fraction'!AE123*(1+Economics!$B$4)^(F$3-$B$3)/((1+Economics!$B$3)^(F$3-$B$3)),"")</f>
        <v>0</v>
      </c>
      <c r="G179" s="355" t="str">
        <f>IF(G$3&lt;=time,'Attributable fraction'!AF123*(1+Economics!$B$4)^(G$3-$B$3)/((1+Economics!$B$3)^(G$3-$B$3)),"")</f>
        <v/>
      </c>
      <c r="H179" s="355" t="str">
        <f>IF(H$3&lt;=time,'Attributable fraction'!AG123*(1+Economics!$B$4)^(H$3-$B$3)/((1+Economics!$B$3)^(H$3-$B$3)),"")</f>
        <v/>
      </c>
      <c r="I179" s="355" t="str">
        <f>IF(I$3&lt;=time,'Attributable fraction'!AH123*(1+Economics!$B$4)^(I$3-$B$3)/((1+Economics!$B$3)^(I$3-$B$3)),"")</f>
        <v/>
      </c>
      <c r="J179" s="355" t="str">
        <f>IF(J$3&lt;=time,'Attributable fraction'!AI123*(1+Economics!$B$4)^(J$3-$B$3)/((1+Economics!$B$3)^(J$3-$B$3)),"")</f>
        <v/>
      </c>
      <c r="K179" s="355" t="str">
        <f>IF(K$3&lt;=time,'Attributable fraction'!AJ123*(1+Economics!$B$4)^(K$3-$B$3)/((1+Economics!$B$3)^(K$3-$B$3)),"")</f>
        <v/>
      </c>
      <c r="L179" s="355" t="str">
        <f>IF(L$3&lt;=time,'Attributable fraction'!AK123*(1+Economics!$B$4)^(L$3-$B$3)/((1+Economics!$B$3)^(L$3-$B$3)),"")</f>
        <v/>
      </c>
      <c r="M179" s="355" t="str">
        <f>IF(M$3&lt;=time,'Attributable fraction'!AL123*(1+Economics!$B$4)^(M$3-$B$3)/((1+Economics!$B$3)^(M$3-$B$3)),"")</f>
        <v/>
      </c>
      <c r="N179" s="355" t="str">
        <f>IF(N$3&lt;=time,'Attributable fraction'!AM123*(1+Economics!$B$4)^(N$3-$B$3)/((1+Economics!$B$3)^(N$3-$B$3)),"")</f>
        <v/>
      </c>
      <c r="O179" s="355" t="str">
        <f>IF(O$3&lt;=time,'Attributable fraction'!AN123*(1+Economics!$B$4)^(O$3-$B$3)/((1+Economics!$B$3)^(O$3-$B$3)),"")</f>
        <v/>
      </c>
      <c r="P179" s="355" t="str">
        <f>IF(P$3&lt;=time,'Attributable fraction'!AO123*(1+Economics!$B$4)^(P$3-$B$3)/((1+Economics!$B$3)^(P$3-$B$3)),"")</f>
        <v/>
      </c>
      <c r="Q179" s="355" t="str">
        <f>IF(Q$3&lt;=time,'Attributable fraction'!AP123*(1+Economics!$B$4)^(Q$3-$B$3)/((1+Economics!$B$3)^(Q$3-$B$3)),"")</f>
        <v/>
      </c>
      <c r="R179" s="355" t="str">
        <f>IF(R$3&lt;=time,'Attributable fraction'!AQ123*(1+Economics!$B$4)^(R$3-$B$3)/((1+Economics!$B$3)^(R$3-$B$3)),"")</f>
        <v/>
      </c>
      <c r="S179" s="355" t="str">
        <f>IF(S$3&lt;=time,'Attributable fraction'!AR123*(1+Economics!$B$4)^(S$3-$B$3)/((1+Economics!$B$3)^(S$3-$B$3)),"")</f>
        <v/>
      </c>
      <c r="T179" s="355" t="str">
        <f>IF(T$3&lt;=time,'Attributable fraction'!AS123*(1+Economics!$B$4)^(T$3-$B$3)/((1+Economics!$B$3)^(T$3-$B$3)),"")</f>
        <v/>
      </c>
      <c r="U179" s="355" t="str">
        <f>IF(U$3&lt;=time,'Attributable fraction'!AT123*(1+Economics!$B$4)^(U$3-$B$3)/((1+Economics!$B$3)^(U$3-$B$3)),"")</f>
        <v/>
      </c>
      <c r="V179" s="355" t="str">
        <f>IF(V$3&lt;=time,'Attributable fraction'!AU123*(1+Economics!$B$4)^(V$3-$B$3)/((1+Economics!$B$3)^(V$3-$B$3)),"")</f>
        <v/>
      </c>
      <c r="W179" s="355" t="str">
        <f>IF(W$3&lt;=time,'Attributable fraction'!AV123*(1+Economics!$B$4)^(W$3-$B$3)/((1+Economics!$B$3)^(W$3-$B$3)),"")</f>
        <v/>
      </c>
      <c r="X179" s="355" t="str">
        <f>IF(X$3&lt;=time,'Attributable fraction'!AW123*(1+Economics!$B$4)^(X$3-$B$3)/((1+Economics!$B$3)^(X$3-$B$3)),"")</f>
        <v/>
      </c>
      <c r="Y179" s="355" t="str">
        <f>IF(Y$3&lt;=time,'Attributable fraction'!AX123*(1+Economics!$B$4)^(Y$3-$B$3)/((1+Economics!$B$3)^(Y$3-$B$3)),"")</f>
        <v/>
      </c>
      <c r="Z179" s="356" t="str">
        <f>IF(Z$3&lt;=time,'Attributable fraction'!AY123*(1+Economics!$B$4)^(Z$3-$B$3)/((1+Economics!$B$3)^(Z$3-$B$3)),"")</f>
        <v/>
      </c>
      <c r="AC179" s="142">
        <f t="shared" ref="AC179:AC188" si="34">(SUM(IF(ISERROR(Z179),"0",Z179),IF(ISERROR(Y179),"0",Y179),IF(ISERROR(X179),"0",X179),IF(ISERROR(W179),"0",W179),IF(ISERROR(V179),"0",V179),IF(ISERROR(U179),"0",U179),IF(ISERROR(T179),"0",T179),IF(ISERROR(S179),"0",S179),IF(ISERROR(R179),"0",R179),IF(ISERROR(Q179),"0",Q179), IF(ISERROR(P179),"0",P179),IF(ISERROR(O179),"0",O179),IF(ISERROR(N179),"0",N179),IF(ISERROR(M179),"0",M179),IF(ISERROR(L179),"0",L179),IF(ISERROR(K179),"0",K179),IF(ISERROR(J179),"0",J179),IF(ISERROR(I179),"0",I179),IF(ISERROR(H179),"0",H179),IF(ISERROR(G179),"0",G179),IF(ISERROR(F179),"0",F179),IF(ISERROR(E179),"0",E179),IF(ISERROR(D179),"0",D179),IF(ISERROR(C179),"0",C179),IF(ISERROR(B179),"0",B179)))/time</f>
        <v>0</v>
      </c>
      <c r="AE179" s="375">
        <v>1</v>
      </c>
      <c r="AF179" s="176" t="e">
        <f t="array" ref="AF179">STDEV(IF(B179:Z179&lt;&gt;0,B179:Z179))</f>
        <v>#DIV/0!</v>
      </c>
      <c r="AG179" s="176">
        <v>1.96</v>
      </c>
      <c r="AH179" s="176" t="e">
        <f t="shared" ref="AH179:AH188" si="35">(AG179*AF179)/(time^0.5)</f>
        <v>#DIV/0!</v>
      </c>
      <c r="AI179" s="176">
        <f t="shared" si="25"/>
        <v>0</v>
      </c>
    </row>
    <row r="180" spans="1:35" hidden="1">
      <c r="A180" s="378" t="str">
        <f>Costs!A124</f>
        <v>Volunteers 2</v>
      </c>
      <c r="B180" s="355">
        <f>IF(B$3&lt;=time,'Attributable fraction'!AA124*(1+Economics!$B$4)^(B$3-$B$3)/((1+Economics!$B$3)^(B$3-$B$3)),"")</f>
        <v>0</v>
      </c>
      <c r="C180" s="355">
        <f>IF(C$3&lt;=time,'Attributable fraction'!AB124*(1+Economics!$B$4)^(C$3-$B$3)/((1+Economics!$B$3)^(C$3-$B$3)),"")</f>
        <v>0</v>
      </c>
      <c r="D180" s="355">
        <f>IF(D$3&lt;=time,'Attributable fraction'!AC124*(1+Economics!$B$4)^(D$3-$B$3)/((1+Economics!$B$3)^(D$3-$B$3)),"")</f>
        <v>0</v>
      </c>
      <c r="E180" s="355">
        <f>IF(E$3&lt;=time,'Attributable fraction'!AD124*(1+Economics!$B$4)^(E$3-$B$3)/((1+Economics!$B$3)^(E$3-$B$3)),"")</f>
        <v>0</v>
      </c>
      <c r="F180" s="355">
        <f>IF(F$3&lt;=time,'Attributable fraction'!AE124*(1+Economics!$B$4)^(F$3-$B$3)/((1+Economics!$B$3)^(F$3-$B$3)),"")</f>
        <v>0</v>
      </c>
      <c r="G180" s="355" t="str">
        <f>IF(G$3&lt;=time,'Attributable fraction'!AF124*(1+Economics!$B$4)^(G$3-$B$3)/((1+Economics!$B$3)^(G$3-$B$3)),"")</f>
        <v/>
      </c>
      <c r="H180" s="355" t="str">
        <f>IF(H$3&lt;=time,'Attributable fraction'!AG124*(1+Economics!$B$4)^(H$3-$B$3)/((1+Economics!$B$3)^(H$3-$B$3)),"")</f>
        <v/>
      </c>
      <c r="I180" s="355" t="str">
        <f>IF(I$3&lt;=time,'Attributable fraction'!AH124*(1+Economics!$B$4)^(I$3-$B$3)/((1+Economics!$B$3)^(I$3-$B$3)),"")</f>
        <v/>
      </c>
      <c r="J180" s="355" t="str">
        <f>IF(J$3&lt;=time,'Attributable fraction'!AI124*(1+Economics!$B$4)^(J$3-$B$3)/((1+Economics!$B$3)^(J$3-$B$3)),"")</f>
        <v/>
      </c>
      <c r="K180" s="355" t="str">
        <f>IF(K$3&lt;=time,'Attributable fraction'!AJ124*(1+Economics!$B$4)^(K$3-$B$3)/((1+Economics!$B$3)^(K$3-$B$3)),"")</f>
        <v/>
      </c>
      <c r="L180" s="355" t="str">
        <f>IF(L$3&lt;=time,'Attributable fraction'!AK124*(1+Economics!$B$4)^(L$3-$B$3)/((1+Economics!$B$3)^(L$3-$B$3)),"")</f>
        <v/>
      </c>
      <c r="M180" s="355" t="str">
        <f>IF(M$3&lt;=time,'Attributable fraction'!AL124*(1+Economics!$B$4)^(M$3-$B$3)/((1+Economics!$B$3)^(M$3-$B$3)),"")</f>
        <v/>
      </c>
      <c r="N180" s="355" t="str">
        <f>IF(N$3&lt;=time,'Attributable fraction'!AM124*(1+Economics!$B$4)^(N$3-$B$3)/((1+Economics!$B$3)^(N$3-$B$3)),"")</f>
        <v/>
      </c>
      <c r="O180" s="355" t="str">
        <f>IF(O$3&lt;=time,'Attributable fraction'!AN124*(1+Economics!$B$4)^(O$3-$B$3)/((1+Economics!$B$3)^(O$3-$B$3)),"")</f>
        <v/>
      </c>
      <c r="P180" s="355" t="str">
        <f>IF(P$3&lt;=time,'Attributable fraction'!AO124*(1+Economics!$B$4)^(P$3-$B$3)/((1+Economics!$B$3)^(P$3-$B$3)),"")</f>
        <v/>
      </c>
      <c r="Q180" s="355" t="str">
        <f>IF(Q$3&lt;=time,'Attributable fraction'!AP124*(1+Economics!$B$4)^(Q$3-$B$3)/((1+Economics!$B$3)^(Q$3-$B$3)),"")</f>
        <v/>
      </c>
      <c r="R180" s="355" t="str">
        <f>IF(R$3&lt;=time,'Attributable fraction'!AQ124*(1+Economics!$B$4)^(R$3-$B$3)/((1+Economics!$B$3)^(R$3-$B$3)),"")</f>
        <v/>
      </c>
      <c r="S180" s="355" t="str">
        <f>IF(S$3&lt;=time,'Attributable fraction'!AR124*(1+Economics!$B$4)^(S$3-$B$3)/((1+Economics!$B$3)^(S$3-$B$3)),"")</f>
        <v/>
      </c>
      <c r="T180" s="355" t="str">
        <f>IF(T$3&lt;=time,'Attributable fraction'!AS124*(1+Economics!$B$4)^(T$3-$B$3)/((1+Economics!$B$3)^(T$3-$B$3)),"")</f>
        <v/>
      </c>
      <c r="U180" s="355" t="str">
        <f>IF(U$3&lt;=time,'Attributable fraction'!AT124*(1+Economics!$B$4)^(U$3-$B$3)/((1+Economics!$B$3)^(U$3-$B$3)),"")</f>
        <v/>
      </c>
      <c r="V180" s="355" t="str">
        <f>IF(V$3&lt;=time,'Attributable fraction'!AU124*(1+Economics!$B$4)^(V$3-$B$3)/((1+Economics!$B$3)^(V$3-$B$3)),"")</f>
        <v/>
      </c>
      <c r="W180" s="355" t="str">
        <f>IF(W$3&lt;=time,'Attributable fraction'!AV124*(1+Economics!$B$4)^(W$3-$B$3)/((1+Economics!$B$3)^(W$3-$B$3)),"")</f>
        <v/>
      </c>
      <c r="X180" s="355" t="str">
        <f>IF(X$3&lt;=time,'Attributable fraction'!AW124*(1+Economics!$B$4)^(X$3-$B$3)/((1+Economics!$B$3)^(X$3-$B$3)),"")</f>
        <v/>
      </c>
      <c r="Y180" s="355" t="str">
        <f>IF(Y$3&lt;=time,'Attributable fraction'!AX124*(1+Economics!$B$4)^(Y$3-$B$3)/((1+Economics!$B$3)^(Y$3-$B$3)),"")</f>
        <v/>
      </c>
      <c r="Z180" s="356" t="str">
        <f>IF(Z$3&lt;=time,'Attributable fraction'!AY124*(1+Economics!$B$4)^(Z$3-$B$3)/((1+Economics!$B$3)^(Z$3-$B$3)),"")</f>
        <v/>
      </c>
      <c r="AC180" s="142">
        <f t="shared" si="34"/>
        <v>0</v>
      </c>
      <c r="AE180" s="376">
        <v>2</v>
      </c>
      <c r="AF180" s="176" t="e">
        <f t="array" ref="AF180">STDEV(IF(B180:Z180&lt;&gt;0,B180:Z180))</f>
        <v>#DIV/0!</v>
      </c>
      <c r="AG180" s="176">
        <v>1.96</v>
      </c>
      <c r="AH180" s="176" t="e">
        <f t="shared" si="35"/>
        <v>#DIV/0!</v>
      </c>
      <c r="AI180" s="176">
        <f t="shared" si="25"/>
        <v>0</v>
      </c>
    </row>
    <row r="181" spans="1:35" hidden="1">
      <c r="A181" s="378" t="str">
        <f>Costs!A125</f>
        <v>Volunteers 3</v>
      </c>
      <c r="B181" s="355">
        <f>IF(B$3&lt;=time,'Attributable fraction'!AA125*(1+Economics!$B$4)^(B$3-$B$3)/((1+Economics!$B$3)^(B$3-$B$3)),"")</f>
        <v>0</v>
      </c>
      <c r="C181" s="355">
        <f>IF(C$3&lt;=time,'Attributable fraction'!AB125*(1+Economics!$B$4)^(C$3-$B$3)/((1+Economics!$B$3)^(C$3-$B$3)),"")</f>
        <v>0</v>
      </c>
      <c r="D181" s="355">
        <f>IF(D$3&lt;=time,'Attributable fraction'!AC125*(1+Economics!$B$4)^(D$3-$B$3)/((1+Economics!$B$3)^(D$3-$B$3)),"")</f>
        <v>0</v>
      </c>
      <c r="E181" s="355">
        <f>IF(E$3&lt;=time,'Attributable fraction'!AD125*(1+Economics!$B$4)^(E$3-$B$3)/((1+Economics!$B$3)^(E$3-$B$3)),"")</f>
        <v>0</v>
      </c>
      <c r="F181" s="355">
        <f>IF(F$3&lt;=time,'Attributable fraction'!AE125*(1+Economics!$B$4)^(F$3-$B$3)/((1+Economics!$B$3)^(F$3-$B$3)),"")</f>
        <v>0</v>
      </c>
      <c r="G181" s="355" t="str">
        <f>IF(G$3&lt;=time,'Attributable fraction'!AF125*(1+Economics!$B$4)^(G$3-$B$3)/((1+Economics!$B$3)^(G$3-$B$3)),"")</f>
        <v/>
      </c>
      <c r="H181" s="355" t="str">
        <f>IF(H$3&lt;=time,'Attributable fraction'!AG125*(1+Economics!$B$4)^(H$3-$B$3)/((1+Economics!$B$3)^(H$3-$B$3)),"")</f>
        <v/>
      </c>
      <c r="I181" s="355" t="str">
        <f>IF(I$3&lt;=time,'Attributable fraction'!AH125*(1+Economics!$B$4)^(I$3-$B$3)/((1+Economics!$B$3)^(I$3-$B$3)),"")</f>
        <v/>
      </c>
      <c r="J181" s="355" t="str">
        <f>IF(J$3&lt;=time,'Attributable fraction'!AI125*(1+Economics!$B$4)^(J$3-$B$3)/((1+Economics!$B$3)^(J$3-$B$3)),"")</f>
        <v/>
      </c>
      <c r="K181" s="355" t="str">
        <f>IF(K$3&lt;=time,'Attributable fraction'!AJ125*(1+Economics!$B$4)^(K$3-$B$3)/((1+Economics!$B$3)^(K$3-$B$3)),"")</f>
        <v/>
      </c>
      <c r="L181" s="355" t="str">
        <f>IF(L$3&lt;=time,'Attributable fraction'!AK125*(1+Economics!$B$4)^(L$3-$B$3)/((1+Economics!$B$3)^(L$3-$B$3)),"")</f>
        <v/>
      </c>
      <c r="M181" s="355" t="str">
        <f>IF(M$3&lt;=time,'Attributable fraction'!AL125*(1+Economics!$B$4)^(M$3-$B$3)/((1+Economics!$B$3)^(M$3-$B$3)),"")</f>
        <v/>
      </c>
      <c r="N181" s="355" t="str">
        <f>IF(N$3&lt;=time,'Attributable fraction'!AM125*(1+Economics!$B$4)^(N$3-$B$3)/((1+Economics!$B$3)^(N$3-$B$3)),"")</f>
        <v/>
      </c>
      <c r="O181" s="355" t="str">
        <f>IF(O$3&lt;=time,'Attributable fraction'!AN125*(1+Economics!$B$4)^(O$3-$B$3)/((1+Economics!$B$3)^(O$3-$B$3)),"")</f>
        <v/>
      </c>
      <c r="P181" s="355" t="str">
        <f>IF(P$3&lt;=time,'Attributable fraction'!AO125*(1+Economics!$B$4)^(P$3-$B$3)/((1+Economics!$B$3)^(P$3-$B$3)),"")</f>
        <v/>
      </c>
      <c r="Q181" s="355" t="str">
        <f>IF(Q$3&lt;=time,'Attributable fraction'!AP125*(1+Economics!$B$4)^(Q$3-$B$3)/((1+Economics!$B$3)^(Q$3-$B$3)),"")</f>
        <v/>
      </c>
      <c r="R181" s="355" t="str">
        <f>IF(R$3&lt;=time,'Attributable fraction'!AQ125*(1+Economics!$B$4)^(R$3-$B$3)/((1+Economics!$B$3)^(R$3-$B$3)),"")</f>
        <v/>
      </c>
      <c r="S181" s="355" t="str">
        <f>IF(S$3&lt;=time,'Attributable fraction'!AR125*(1+Economics!$B$4)^(S$3-$B$3)/((1+Economics!$B$3)^(S$3-$B$3)),"")</f>
        <v/>
      </c>
      <c r="T181" s="355" t="str">
        <f>IF(T$3&lt;=time,'Attributable fraction'!AS125*(1+Economics!$B$4)^(T$3-$B$3)/((1+Economics!$B$3)^(T$3-$B$3)),"")</f>
        <v/>
      </c>
      <c r="U181" s="355" t="str">
        <f>IF(U$3&lt;=time,'Attributable fraction'!AT125*(1+Economics!$B$4)^(U$3-$B$3)/((1+Economics!$B$3)^(U$3-$B$3)),"")</f>
        <v/>
      </c>
      <c r="V181" s="355" t="str">
        <f>IF(V$3&lt;=time,'Attributable fraction'!AU125*(1+Economics!$B$4)^(V$3-$B$3)/((1+Economics!$B$3)^(V$3-$B$3)),"")</f>
        <v/>
      </c>
      <c r="W181" s="355" t="str">
        <f>IF(W$3&lt;=time,'Attributable fraction'!AV125*(1+Economics!$B$4)^(W$3-$B$3)/((1+Economics!$B$3)^(W$3-$B$3)),"")</f>
        <v/>
      </c>
      <c r="X181" s="355" t="str">
        <f>IF(X$3&lt;=time,'Attributable fraction'!AW125*(1+Economics!$B$4)^(X$3-$B$3)/((1+Economics!$B$3)^(X$3-$B$3)),"")</f>
        <v/>
      </c>
      <c r="Y181" s="355" t="str">
        <f>IF(Y$3&lt;=time,'Attributable fraction'!AX125*(1+Economics!$B$4)^(Y$3-$B$3)/((1+Economics!$B$3)^(Y$3-$B$3)),"")</f>
        <v/>
      </c>
      <c r="Z181" s="356" t="str">
        <f>IF(Z$3&lt;=time,'Attributable fraction'!AY125*(1+Economics!$B$4)^(Z$3-$B$3)/((1+Economics!$B$3)^(Z$3-$B$3)),"")</f>
        <v/>
      </c>
      <c r="AC181" s="142">
        <f t="shared" si="34"/>
        <v>0</v>
      </c>
      <c r="AE181" s="376">
        <v>3</v>
      </c>
      <c r="AF181" s="176" t="e">
        <f t="array" ref="AF181">STDEV(IF(B181:Z181&lt;&gt;0,B181:Z181))</f>
        <v>#DIV/0!</v>
      </c>
      <c r="AG181" s="176">
        <v>1.96</v>
      </c>
      <c r="AH181" s="176" t="e">
        <f t="shared" si="35"/>
        <v>#DIV/0!</v>
      </c>
      <c r="AI181" s="176">
        <f t="shared" si="25"/>
        <v>0</v>
      </c>
    </row>
    <row r="182" spans="1:35" hidden="1">
      <c r="A182" s="378" t="str">
        <f>Costs!A126</f>
        <v>Volunteers 4</v>
      </c>
      <c r="B182" s="355">
        <f>IF(B$3&lt;=time,'Attributable fraction'!AA126*(1+Economics!$B$4)^(B$3-$B$3)/((1+Economics!$B$3)^(B$3-$B$3)),"")</f>
        <v>0</v>
      </c>
      <c r="C182" s="355">
        <f>IF(C$3&lt;=time,'Attributable fraction'!AB126*(1+Economics!$B$4)^(C$3-$B$3)/((1+Economics!$B$3)^(C$3-$B$3)),"")</f>
        <v>0</v>
      </c>
      <c r="D182" s="355">
        <f>IF(D$3&lt;=time,'Attributable fraction'!AC126*(1+Economics!$B$4)^(D$3-$B$3)/((1+Economics!$B$3)^(D$3-$B$3)),"")</f>
        <v>0</v>
      </c>
      <c r="E182" s="355">
        <f>IF(E$3&lt;=time,'Attributable fraction'!AD126*(1+Economics!$B$4)^(E$3-$B$3)/((1+Economics!$B$3)^(E$3-$B$3)),"")</f>
        <v>0</v>
      </c>
      <c r="F182" s="355">
        <f>IF(F$3&lt;=time,'Attributable fraction'!AE126*(1+Economics!$B$4)^(F$3-$B$3)/((1+Economics!$B$3)^(F$3-$B$3)),"")</f>
        <v>0</v>
      </c>
      <c r="G182" s="355" t="str">
        <f>IF(G$3&lt;=time,'Attributable fraction'!AF126*(1+Economics!$B$4)^(G$3-$B$3)/((1+Economics!$B$3)^(G$3-$B$3)),"")</f>
        <v/>
      </c>
      <c r="H182" s="355" t="str">
        <f>IF(H$3&lt;=time,'Attributable fraction'!AG126*(1+Economics!$B$4)^(H$3-$B$3)/((1+Economics!$B$3)^(H$3-$B$3)),"")</f>
        <v/>
      </c>
      <c r="I182" s="355" t="str">
        <f>IF(I$3&lt;=time,'Attributable fraction'!AH126*(1+Economics!$B$4)^(I$3-$B$3)/((1+Economics!$B$3)^(I$3-$B$3)),"")</f>
        <v/>
      </c>
      <c r="J182" s="355" t="str">
        <f>IF(J$3&lt;=time,'Attributable fraction'!AI126*(1+Economics!$B$4)^(J$3-$B$3)/((1+Economics!$B$3)^(J$3-$B$3)),"")</f>
        <v/>
      </c>
      <c r="K182" s="355" t="str">
        <f>IF(K$3&lt;=time,'Attributable fraction'!AJ126*(1+Economics!$B$4)^(K$3-$B$3)/((1+Economics!$B$3)^(K$3-$B$3)),"")</f>
        <v/>
      </c>
      <c r="L182" s="355" t="str">
        <f>IF(L$3&lt;=time,'Attributable fraction'!AK126*(1+Economics!$B$4)^(L$3-$B$3)/((1+Economics!$B$3)^(L$3-$B$3)),"")</f>
        <v/>
      </c>
      <c r="M182" s="355" t="str">
        <f>IF(M$3&lt;=time,'Attributable fraction'!AL126*(1+Economics!$B$4)^(M$3-$B$3)/((1+Economics!$B$3)^(M$3-$B$3)),"")</f>
        <v/>
      </c>
      <c r="N182" s="355" t="str">
        <f>IF(N$3&lt;=time,'Attributable fraction'!AM126*(1+Economics!$B$4)^(N$3-$B$3)/((1+Economics!$B$3)^(N$3-$B$3)),"")</f>
        <v/>
      </c>
      <c r="O182" s="355" t="str">
        <f>IF(O$3&lt;=time,'Attributable fraction'!AN126*(1+Economics!$B$4)^(O$3-$B$3)/((1+Economics!$B$3)^(O$3-$B$3)),"")</f>
        <v/>
      </c>
      <c r="P182" s="355" t="str">
        <f>IF(P$3&lt;=time,'Attributable fraction'!AO126*(1+Economics!$B$4)^(P$3-$B$3)/((1+Economics!$B$3)^(P$3-$B$3)),"")</f>
        <v/>
      </c>
      <c r="Q182" s="355" t="str">
        <f>IF(Q$3&lt;=time,'Attributable fraction'!AP126*(1+Economics!$B$4)^(Q$3-$B$3)/((1+Economics!$B$3)^(Q$3-$B$3)),"")</f>
        <v/>
      </c>
      <c r="R182" s="355" t="str">
        <f>IF(R$3&lt;=time,'Attributable fraction'!AQ126*(1+Economics!$B$4)^(R$3-$B$3)/((1+Economics!$B$3)^(R$3-$B$3)),"")</f>
        <v/>
      </c>
      <c r="S182" s="355" t="str">
        <f>IF(S$3&lt;=time,'Attributable fraction'!AR126*(1+Economics!$B$4)^(S$3-$B$3)/((1+Economics!$B$3)^(S$3-$B$3)),"")</f>
        <v/>
      </c>
      <c r="T182" s="355" t="str">
        <f>IF(T$3&lt;=time,'Attributable fraction'!AS126*(1+Economics!$B$4)^(T$3-$B$3)/((1+Economics!$B$3)^(T$3-$B$3)),"")</f>
        <v/>
      </c>
      <c r="U182" s="355" t="str">
        <f>IF(U$3&lt;=time,'Attributable fraction'!AT126*(1+Economics!$B$4)^(U$3-$B$3)/((1+Economics!$B$3)^(U$3-$B$3)),"")</f>
        <v/>
      </c>
      <c r="V182" s="355" t="str">
        <f>IF(V$3&lt;=time,'Attributable fraction'!AU126*(1+Economics!$B$4)^(V$3-$B$3)/((1+Economics!$B$3)^(V$3-$B$3)),"")</f>
        <v/>
      </c>
      <c r="W182" s="355" t="str">
        <f>IF(W$3&lt;=time,'Attributable fraction'!AV126*(1+Economics!$B$4)^(W$3-$B$3)/((1+Economics!$B$3)^(W$3-$B$3)),"")</f>
        <v/>
      </c>
      <c r="X182" s="355" t="str">
        <f>IF(X$3&lt;=time,'Attributable fraction'!AW126*(1+Economics!$B$4)^(X$3-$B$3)/((1+Economics!$B$3)^(X$3-$B$3)),"")</f>
        <v/>
      </c>
      <c r="Y182" s="355" t="str">
        <f>IF(Y$3&lt;=time,'Attributable fraction'!AX126*(1+Economics!$B$4)^(Y$3-$B$3)/((1+Economics!$B$3)^(Y$3-$B$3)),"")</f>
        <v/>
      </c>
      <c r="Z182" s="356" t="str">
        <f>IF(Z$3&lt;=time,'Attributable fraction'!AY126*(1+Economics!$B$4)^(Z$3-$B$3)/((1+Economics!$B$3)^(Z$3-$B$3)),"")</f>
        <v/>
      </c>
      <c r="AC182" s="142">
        <f t="shared" si="34"/>
        <v>0</v>
      </c>
      <c r="AE182" s="376">
        <v>4</v>
      </c>
      <c r="AF182" s="176" t="e">
        <f t="array" ref="AF182">STDEV(IF(B182:Z182&lt;&gt;0,B182:Z182))</f>
        <v>#DIV/0!</v>
      </c>
      <c r="AG182" s="176">
        <v>1.96</v>
      </c>
      <c r="AH182" s="176" t="e">
        <f t="shared" si="35"/>
        <v>#DIV/0!</v>
      </c>
      <c r="AI182" s="176">
        <f t="shared" si="25"/>
        <v>0</v>
      </c>
    </row>
    <row r="183" spans="1:35" hidden="1">
      <c r="A183" s="378" t="str">
        <f>Costs!A127</f>
        <v>Volunteers 5</v>
      </c>
      <c r="B183" s="355">
        <f>IF(B$3&lt;=time,'Attributable fraction'!AA127*(1+Economics!$B$4)^(B$3-$B$3)/((1+Economics!$B$3)^(B$3-$B$3)),"")</f>
        <v>0</v>
      </c>
      <c r="C183" s="355">
        <f>IF(C$3&lt;=time,'Attributable fraction'!AB127*(1+Economics!$B$4)^(C$3-$B$3)/((1+Economics!$B$3)^(C$3-$B$3)),"")</f>
        <v>0</v>
      </c>
      <c r="D183" s="355">
        <f>IF(D$3&lt;=time,'Attributable fraction'!AC127*(1+Economics!$B$4)^(D$3-$B$3)/((1+Economics!$B$3)^(D$3-$B$3)),"")</f>
        <v>0</v>
      </c>
      <c r="E183" s="355">
        <f>IF(E$3&lt;=time,'Attributable fraction'!AD127*(1+Economics!$B$4)^(E$3-$B$3)/((1+Economics!$B$3)^(E$3-$B$3)),"")</f>
        <v>0</v>
      </c>
      <c r="F183" s="355">
        <f>IF(F$3&lt;=time,'Attributable fraction'!AE127*(1+Economics!$B$4)^(F$3-$B$3)/((1+Economics!$B$3)^(F$3-$B$3)),"")</f>
        <v>0</v>
      </c>
      <c r="G183" s="355" t="str">
        <f>IF(G$3&lt;=time,'Attributable fraction'!AF127*(1+Economics!$B$4)^(G$3-$B$3)/((1+Economics!$B$3)^(G$3-$B$3)),"")</f>
        <v/>
      </c>
      <c r="H183" s="355" t="str">
        <f>IF(H$3&lt;=time,'Attributable fraction'!AG127*(1+Economics!$B$4)^(H$3-$B$3)/((1+Economics!$B$3)^(H$3-$B$3)),"")</f>
        <v/>
      </c>
      <c r="I183" s="355" t="str">
        <f>IF(I$3&lt;=time,'Attributable fraction'!AH127*(1+Economics!$B$4)^(I$3-$B$3)/((1+Economics!$B$3)^(I$3-$B$3)),"")</f>
        <v/>
      </c>
      <c r="J183" s="355" t="str">
        <f>IF(J$3&lt;=time,'Attributable fraction'!AI127*(1+Economics!$B$4)^(J$3-$B$3)/((1+Economics!$B$3)^(J$3-$B$3)),"")</f>
        <v/>
      </c>
      <c r="K183" s="355" t="str">
        <f>IF(K$3&lt;=time,'Attributable fraction'!AJ127*(1+Economics!$B$4)^(K$3-$B$3)/((1+Economics!$B$3)^(K$3-$B$3)),"")</f>
        <v/>
      </c>
      <c r="L183" s="355" t="str">
        <f>IF(L$3&lt;=time,'Attributable fraction'!AK127*(1+Economics!$B$4)^(L$3-$B$3)/((1+Economics!$B$3)^(L$3-$B$3)),"")</f>
        <v/>
      </c>
      <c r="M183" s="355" t="str">
        <f>IF(M$3&lt;=time,'Attributable fraction'!AL127*(1+Economics!$B$4)^(M$3-$B$3)/((1+Economics!$B$3)^(M$3-$B$3)),"")</f>
        <v/>
      </c>
      <c r="N183" s="355" t="str">
        <f>IF(N$3&lt;=time,'Attributable fraction'!AM127*(1+Economics!$B$4)^(N$3-$B$3)/((1+Economics!$B$3)^(N$3-$B$3)),"")</f>
        <v/>
      </c>
      <c r="O183" s="355" t="str">
        <f>IF(O$3&lt;=time,'Attributable fraction'!AN127*(1+Economics!$B$4)^(O$3-$B$3)/((1+Economics!$B$3)^(O$3-$B$3)),"")</f>
        <v/>
      </c>
      <c r="P183" s="355" t="str">
        <f>IF(P$3&lt;=time,'Attributable fraction'!AO127*(1+Economics!$B$4)^(P$3-$B$3)/((1+Economics!$B$3)^(P$3-$B$3)),"")</f>
        <v/>
      </c>
      <c r="Q183" s="355" t="str">
        <f>IF(Q$3&lt;=time,'Attributable fraction'!AP127*(1+Economics!$B$4)^(Q$3-$B$3)/((1+Economics!$B$3)^(Q$3-$B$3)),"")</f>
        <v/>
      </c>
      <c r="R183" s="355" t="str">
        <f>IF(R$3&lt;=time,'Attributable fraction'!AQ127*(1+Economics!$B$4)^(R$3-$B$3)/((1+Economics!$B$3)^(R$3-$B$3)),"")</f>
        <v/>
      </c>
      <c r="S183" s="355" t="str">
        <f>IF(S$3&lt;=time,'Attributable fraction'!AR127*(1+Economics!$B$4)^(S$3-$B$3)/((1+Economics!$B$3)^(S$3-$B$3)),"")</f>
        <v/>
      </c>
      <c r="T183" s="355" t="str">
        <f>IF(T$3&lt;=time,'Attributable fraction'!AS127*(1+Economics!$B$4)^(T$3-$B$3)/((1+Economics!$B$3)^(T$3-$B$3)),"")</f>
        <v/>
      </c>
      <c r="U183" s="355" t="str">
        <f>IF(U$3&lt;=time,'Attributable fraction'!AT127*(1+Economics!$B$4)^(U$3-$B$3)/((1+Economics!$B$3)^(U$3-$B$3)),"")</f>
        <v/>
      </c>
      <c r="V183" s="355" t="str">
        <f>IF(V$3&lt;=time,'Attributable fraction'!AU127*(1+Economics!$B$4)^(V$3-$B$3)/((1+Economics!$B$3)^(V$3-$B$3)),"")</f>
        <v/>
      </c>
      <c r="W183" s="355" t="str">
        <f>IF(W$3&lt;=time,'Attributable fraction'!AV127*(1+Economics!$B$4)^(W$3-$B$3)/((1+Economics!$B$3)^(W$3-$B$3)),"")</f>
        <v/>
      </c>
      <c r="X183" s="355" t="str">
        <f>IF(X$3&lt;=time,'Attributable fraction'!AW127*(1+Economics!$B$4)^(X$3-$B$3)/((1+Economics!$B$3)^(X$3-$B$3)),"")</f>
        <v/>
      </c>
      <c r="Y183" s="355" t="str">
        <f>IF(Y$3&lt;=time,'Attributable fraction'!AX127*(1+Economics!$B$4)^(Y$3-$B$3)/((1+Economics!$B$3)^(Y$3-$B$3)),"")</f>
        <v/>
      </c>
      <c r="Z183" s="356" t="str">
        <f>IF(Z$3&lt;=time,'Attributable fraction'!AY127*(1+Economics!$B$4)^(Z$3-$B$3)/((1+Economics!$B$3)^(Z$3-$B$3)),"")</f>
        <v/>
      </c>
      <c r="AC183" s="142">
        <f t="shared" si="34"/>
        <v>0</v>
      </c>
      <c r="AE183" s="376">
        <v>5</v>
      </c>
      <c r="AF183" s="176" t="e">
        <f t="array" ref="AF183">STDEV(IF(B183:Z183&lt;&gt;0,B183:Z183))</f>
        <v>#DIV/0!</v>
      </c>
      <c r="AG183" s="176">
        <v>1.96</v>
      </c>
      <c r="AH183" s="176" t="e">
        <f t="shared" si="35"/>
        <v>#DIV/0!</v>
      </c>
      <c r="AI183" s="176">
        <f t="shared" si="25"/>
        <v>0</v>
      </c>
    </row>
    <row r="184" spans="1:35" hidden="1">
      <c r="A184" s="378" t="str">
        <f>Costs!A128</f>
        <v>Volunteers 6</v>
      </c>
      <c r="B184" s="355">
        <f>IF(B$3&lt;=time,'Attributable fraction'!AA128*(1+Economics!$B$4)^(B$3-$B$3)/((1+Economics!$B$3)^(B$3-$B$3)),"")</f>
        <v>0</v>
      </c>
      <c r="C184" s="355">
        <f>IF(C$3&lt;=time,'Attributable fraction'!AB128*(1+Economics!$B$4)^(C$3-$B$3)/((1+Economics!$B$3)^(C$3-$B$3)),"")</f>
        <v>0</v>
      </c>
      <c r="D184" s="355">
        <f>IF(D$3&lt;=time,'Attributable fraction'!AC128*(1+Economics!$B$4)^(D$3-$B$3)/((1+Economics!$B$3)^(D$3-$B$3)),"")</f>
        <v>0</v>
      </c>
      <c r="E184" s="355">
        <f>IF(E$3&lt;=time,'Attributable fraction'!AD128*(1+Economics!$B$4)^(E$3-$B$3)/((1+Economics!$B$3)^(E$3-$B$3)),"")</f>
        <v>0</v>
      </c>
      <c r="F184" s="355">
        <f>IF(F$3&lt;=time,'Attributable fraction'!AE128*(1+Economics!$B$4)^(F$3-$B$3)/((1+Economics!$B$3)^(F$3-$B$3)),"")</f>
        <v>0</v>
      </c>
      <c r="G184" s="355" t="str">
        <f>IF(G$3&lt;=time,'Attributable fraction'!AF128*(1+Economics!$B$4)^(G$3-$B$3)/((1+Economics!$B$3)^(G$3-$B$3)),"")</f>
        <v/>
      </c>
      <c r="H184" s="355" t="str">
        <f>IF(H$3&lt;=time,'Attributable fraction'!AG128*(1+Economics!$B$4)^(H$3-$B$3)/((1+Economics!$B$3)^(H$3-$B$3)),"")</f>
        <v/>
      </c>
      <c r="I184" s="355" t="str">
        <f>IF(I$3&lt;=time,'Attributable fraction'!AH128*(1+Economics!$B$4)^(I$3-$B$3)/((1+Economics!$B$3)^(I$3-$B$3)),"")</f>
        <v/>
      </c>
      <c r="J184" s="355" t="str">
        <f>IF(J$3&lt;=time,'Attributable fraction'!AI128*(1+Economics!$B$4)^(J$3-$B$3)/((1+Economics!$B$3)^(J$3-$B$3)),"")</f>
        <v/>
      </c>
      <c r="K184" s="355" t="str">
        <f>IF(K$3&lt;=time,'Attributable fraction'!AJ128*(1+Economics!$B$4)^(K$3-$B$3)/((1+Economics!$B$3)^(K$3-$B$3)),"")</f>
        <v/>
      </c>
      <c r="L184" s="355" t="str">
        <f>IF(L$3&lt;=time,'Attributable fraction'!AK128*(1+Economics!$B$4)^(L$3-$B$3)/((1+Economics!$B$3)^(L$3-$B$3)),"")</f>
        <v/>
      </c>
      <c r="M184" s="355" t="str">
        <f>IF(M$3&lt;=time,'Attributable fraction'!AL128*(1+Economics!$B$4)^(M$3-$B$3)/((1+Economics!$B$3)^(M$3-$B$3)),"")</f>
        <v/>
      </c>
      <c r="N184" s="355" t="str">
        <f>IF(N$3&lt;=time,'Attributable fraction'!AM128*(1+Economics!$B$4)^(N$3-$B$3)/((1+Economics!$B$3)^(N$3-$B$3)),"")</f>
        <v/>
      </c>
      <c r="O184" s="355" t="str">
        <f>IF(O$3&lt;=time,'Attributable fraction'!AN128*(1+Economics!$B$4)^(O$3-$B$3)/((1+Economics!$B$3)^(O$3-$B$3)),"")</f>
        <v/>
      </c>
      <c r="P184" s="355" t="str">
        <f>IF(P$3&lt;=time,'Attributable fraction'!AO128*(1+Economics!$B$4)^(P$3-$B$3)/((1+Economics!$B$3)^(P$3-$B$3)),"")</f>
        <v/>
      </c>
      <c r="Q184" s="355" t="str">
        <f>IF(Q$3&lt;=time,'Attributable fraction'!AP128*(1+Economics!$B$4)^(Q$3-$B$3)/((1+Economics!$B$3)^(Q$3-$B$3)),"")</f>
        <v/>
      </c>
      <c r="R184" s="355" t="str">
        <f>IF(R$3&lt;=time,'Attributable fraction'!AQ128*(1+Economics!$B$4)^(R$3-$B$3)/((1+Economics!$B$3)^(R$3-$B$3)),"")</f>
        <v/>
      </c>
      <c r="S184" s="355" t="str">
        <f>IF(S$3&lt;=time,'Attributable fraction'!AR128*(1+Economics!$B$4)^(S$3-$B$3)/((1+Economics!$B$3)^(S$3-$B$3)),"")</f>
        <v/>
      </c>
      <c r="T184" s="355" t="str">
        <f>IF(T$3&lt;=time,'Attributable fraction'!AS128*(1+Economics!$B$4)^(T$3-$B$3)/((1+Economics!$B$3)^(T$3-$B$3)),"")</f>
        <v/>
      </c>
      <c r="U184" s="355" t="str">
        <f>IF(U$3&lt;=time,'Attributable fraction'!AT128*(1+Economics!$B$4)^(U$3-$B$3)/((1+Economics!$B$3)^(U$3-$B$3)),"")</f>
        <v/>
      </c>
      <c r="V184" s="355" t="str">
        <f>IF(V$3&lt;=time,'Attributable fraction'!AU128*(1+Economics!$B$4)^(V$3-$B$3)/((1+Economics!$B$3)^(V$3-$B$3)),"")</f>
        <v/>
      </c>
      <c r="W184" s="355" t="str">
        <f>IF(W$3&lt;=time,'Attributable fraction'!AV128*(1+Economics!$B$4)^(W$3-$B$3)/((1+Economics!$B$3)^(W$3-$B$3)),"")</f>
        <v/>
      </c>
      <c r="X184" s="355" t="str">
        <f>IF(X$3&lt;=time,'Attributable fraction'!AW128*(1+Economics!$B$4)^(X$3-$B$3)/((1+Economics!$B$3)^(X$3-$B$3)),"")</f>
        <v/>
      </c>
      <c r="Y184" s="355" t="str">
        <f>IF(Y$3&lt;=time,'Attributable fraction'!AX128*(1+Economics!$B$4)^(Y$3-$B$3)/((1+Economics!$B$3)^(Y$3-$B$3)),"")</f>
        <v/>
      </c>
      <c r="Z184" s="356" t="str">
        <f>IF(Z$3&lt;=time,'Attributable fraction'!AY128*(1+Economics!$B$4)^(Z$3-$B$3)/((1+Economics!$B$3)^(Z$3-$B$3)),"")</f>
        <v/>
      </c>
      <c r="AC184" s="142">
        <f t="shared" si="34"/>
        <v>0</v>
      </c>
      <c r="AE184" s="376">
        <v>6</v>
      </c>
      <c r="AF184" s="176" t="e">
        <f t="array" ref="AF184">STDEV(IF(B184:Z184&lt;&gt;0,B184:Z184))</f>
        <v>#DIV/0!</v>
      </c>
      <c r="AG184" s="176">
        <v>1.96</v>
      </c>
      <c r="AH184" s="176" t="e">
        <f t="shared" si="35"/>
        <v>#DIV/0!</v>
      </c>
      <c r="AI184" s="176">
        <f t="shared" si="25"/>
        <v>0</v>
      </c>
    </row>
    <row r="185" spans="1:35" hidden="1">
      <c r="A185" s="378" t="str">
        <f>Costs!A129</f>
        <v>Volunteers 7</v>
      </c>
      <c r="B185" s="355">
        <f>IF(B$3&lt;=time,'Attributable fraction'!AA129*(1+Economics!$B$4)^(B$3-$B$3)/((1+Economics!$B$3)^(B$3-$B$3)),"")</f>
        <v>0</v>
      </c>
      <c r="C185" s="355">
        <f>IF(C$3&lt;=time,'Attributable fraction'!AB129*(1+Economics!$B$4)^(C$3-$B$3)/((1+Economics!$B$3)^(C$3-$B$3)),"")</f>
        <v>0</v>
      </c>
      <c r="D185" s="355">
        <f>IF(D$3&lt;=time,'Attributable fraction'!AC129*(1+Economics!$B$4)^(D$3-$B$3)/((1+Economics!$B$3)^(D$3-$B$3)),"")</f>
        <v>0</v>
      </c>
      <c r="E185" s="355">
        <f>IF(E$3&lt;=time,'Attributable fraction'!AD129*(1+Economics!$B$4)^(E$3-$B$3)/((1+Economics!$B$3)^(E$3-$B$3)),"")</f>
        <v>0</v>
      </c>
      <c r="F185" s="355">
        <f>IF(F$3&lt;=time,'Attributable fraction'!AE129*(1+Economics!$B$4)^(F$3-$B$3)/((1+Economics!$B$3)^(F$3-$B$3)),"")</f>
        <v>0</v>
      </c>
      <c r="G185" s="355" t="str">
        <f>IF(G$3&lt;=time,'Attributable fraction'!AF129*(1+Economics!$B$4)^(G$3-$B$3)/((1+Economics!$B$3)^(G$3-$B$3)),"")</f>
        <v/>
      </c>
      <c r="H185" s="355" t="str">
        <f>IF(H$3&lt;=time,'Attributable fraction'!AG129*(1+Economics!$B$4)^(H$3-$B$3)/((1+Economics!$B$3)^(H$3-$B$3)),"")</f>
        <v/>
      </c>
      <c r="I185" s="355" t="str">
        <f>IF(I$3&lt;=time,'Attributable fraction'!AH129*(1+Economics!$B$4)^(I$3-$B$3)/((1+Economics!$B$3)^(I$3-$B$3)),"")</f>
        <v/>
      </c>
      <c r="J185" s="355" t="str">
        <f>IF(J$3&lt;=time,'Attributable fraction'!AI129*(1+Economics!$B$4)^(J$3-$B$3)/((1+Economics!$B$3)^(J$3-$B$3)),"")</f>
        <v/>
      </c>
      <c r="K185" s="355" t="str">
        <f>IF(K$3&lt;=time,'Attributable fraction'!AJ129*(1+Economics!$B$4)^(K$3-$B$3)/((1+Economics!$B$3)^(K$3-$B$3)),"")</f>
        <v/>
      </c>
      <c r="L185" s="355" t="str">
        <f>IF(L$3&lt;=time,'Attributable fraction'!AK129*(1+Economics!$B$4)^(L$3-$B$3)/((1+Economics!$B$3)^(L$3-$B$3)),"")</f>
        <v/>
      </c>
      <c r="M185" s="355" t="str">
        <f>IF(M$3&lt;=time,'Attributable fraction'!AL129*(1+Economics!$B$4)^(M$3-$B$3)/((1+Economics!$B$3)^(M$3-$B$3)),"")</f>
        <v/>
      </c>
      <c r="N185" s="355" t="str">
        <f>IF(N$3&lt;=time,'Attributable fraction'!AM129*(1+Economics!$B$4)^(N$3-$B$3)/((1+Economics!$B$3)^(N$3-$B$3)),"")</f>
        <v/>
      </c>
      <c r="O185" s="355" t="str">
        <f>IF(O$3&lt;=time,'Attributable fraction'!AN129*(1+Economics!$B$4)^(O$3-$B$3)/((1+Economics!$B$3)^(O$3-$B$3)),"")</f>
        <v/>
      </c>
      <c r="P185" s="355" t="str">
        <f>IF(P$3&lt;=time,'Attributable fraction'!AO129*(1+Economics!$B$4)^(P$3-$B$3)/((1+Economics!$B$3)^(P$3-$B$3)),"")</f>
        <v/>
      </c>
      <c r="Q185" s="355" t="str">
        <f>IF(Q$3&lt;=time,'Attributable fraction'!AP129*(1+Economics!$B$4)^(Q$3-$B$3)/((1+Economics!$B$3)^(Q$3-$B$3)),"")</f>
        <v/>
      </c>
      <c r="R185" s="355" t="str">
        <f>IF(R$3&lt;=time,'Attributable fraction'!AQ129*(1+Economics!$B$4)^(R$3-$B$3)/((1+Economics!$B$3)^(R$3-$B$3)),"")</f>
        <v/>
      </c>
      <c r="S185" s="355" t="str">
        <f>IF(S$3&lt;=time,'Attributable fraction'!AR129*(1+Economics!$B$4)^(S$3-$B$3)/((1+Economics!$B$3)^(S$3-$B$3)),"")</f>
        <v/>
      </c>
      <c r="T185" s="355" t="str">
        <f>IF(T$3&lt;=time,'Attributable fraction'!AS129*(1+Economics!$B$4)^(T$3-$B$3)/((1+Economics!$B$3)^(T$3-$B$3)),"")</f>
        <v/>
      </c>
      <c r="U185" s="355" t="str">
        <f>IF(U$3&lt;=time,'Attributable fraction'!AT129*(1+Economics!$B$4)^(U$3-$B$3)/((1+Economics!$B$3)^(U$3-$B$3)),"")</f>
        <v/>
      </c>
      <c r="V185" s="355" t="str">
        <f>IF(V$3&lt;=time,'Attributable fraction'!AU129*(1+Economics!$B$4)^(V$3-$B$3)/((1+Economics!$B$3)^(V$3-$B$3)),"")</f>
        <v/>
      </c>
      <c r="W185" s="355" t="str">
        <f>IF(W$3&lt;=time,'Attributable fraction'!AV129*(1+Economics!$B$4)^(W$3-$B$3)/((1+Economics!$B$3)^(W$3-$B$3)),"")</f>
        <v/>
      </c>
      <c r="X185" s="355" t="str">
        <f>IF(X$3&lt;=time,'Attributable fraction'!AW129*(1+Economics!$B$4)^(X$3-$B$3)/((1+Economics!$B$3)^(X$3-$B$3)),"")</f>
        <v/>
      </c>
      <c r="Y185" s="355" t="str">
        <f>IF(Y$3&lt;=time,'Attributable fraction'!AX129*(1+Economics!$B$4)^(Y$3-$B$3)/((1+Economics!$B$3)^(Y$3-$B$3)),"")</f>
        <v/>
      </c>
      <c r="Z185" s="356" t="str">
        <f>IF(Z$3&lt;=time,'Attributable fraction'!AY129*(1+Economics!$B$4)^(Z$3-$B$3)/((1+Economics!$B$3)^(Z$3-$B$3)),"")</f>
        <v/>
      </c>
      <c r="AC185" s="142">
        <f t="shared" si="34"/>
        <v>0</v>
      </c>
      <c r="AE185" s="376">
        <v>7</v>
      </c>
      <c r="AF185" s="176" t="e">
        <f t="array" ref="AF185">STDEV(IF(B185:Z185&lt;&gt;0,B185:Z185))</f>
        <v>#DIV/0!</v>
      </c>
      <c r="AG185" s="176">
        <v>1.96</v>
      </c>
      <c r="AH185" s="176" t="e">
        <f t="shared" si="35"/>
        <v>#DIV/0!</v>
      </c>
      <c r="AI185" s="176">
        <f t="shared" si="25"/>
        <v>0</v>
      </c>
    </row>
    <row r="186" spans="1:35" hidden="1">
      <c r="A186" s="378" t="str">
        <f>Costs!A130</f>
        <v>Volunteers 8</v>
      </c>
      <c r="B186" s="355">
        <f>IF(B$3&lt;=time,'Attributable fraction'!AA130*(1+Economics!$B$4)^(B$3-$B$3)/((1+Economics!$B$3)^(B$3-$B$3)),"")</f>
        <v>0</v>
      </c>
      <c r="C186" s="355">
        <f>IF(C$3&lt;=time,'Attributable fraction'!AB130*(1+Economics!$B$4)^(C$3-$B$3)/((1+Economics!$B$3)^(C$3-$B$3)),"")</f>
        <v>0</v>
      </c>
      <c r="D186" s="355">
        <f>IF(D$3&lt;=time,'Attributable fraction'!AC130*(1+Economics!$B$4)^(D$3-$B$3)/((1+Economics!$B$3)^(D$3-$B$3)),"")</f>
        <v>0</v>
      </c>
      <c r="E186" s="355">
        <f>IF(E$3&lt;=time,'Attributable fraction'!AD130*(1+Economics!$B$4)^(E$3-$B$3)/((1+Economics!$B$3)^(E$3-$B$3)),"")</f>
        <v>0</v>
      </c>
      <c r="F186" s="355">
        <f>IF(F$3&lt;=time,'Attributable fraction'!AE130*(1+Economics!$B$4)^(F$3-$B$3)/((1+Economics!$B$3)^(F$3-$B$3)),"")</f>
        <v>0</v>
      </c>
      <c r="G186" s="355" t="str">
        <f>IF(G$3&lt;=time,'Attributable fraction'!AF130*(1+Economics!$B$4)^(G$3-$B$3)/((1+Economics!$B$3)^(G$3-$B$3)),"")</f>
        <v/>
      </c>
      <c r="H186" s="355" t="str">
        <f>IF(H$3&lt;=time,'Attributable fraction'!AG130*(1+Economics!$B$4)^(H$3-$B$3)/((1+Economics!$B$3)^(H$3-$B$3)),"")</f>
        <v/>
      </c>
      <c r="I186" s="355" t="str">
        <f>IF(I$3&lt;=time,'Attributable fraction'!AH130*(1+Economics!$B$4)^(I$3-$B$3)/((1+Economics!$B$3)^(I$3-$B$3)),"")</f>
        <v/>
      </c>
      <c r="J186" s="355" t="str">
        <f>IF(J$3&lt;=time,'Attributable fraction'!AI130*(1+Economics!$B$4)^(J$3-$B$3)/((1+Economics!$B$3)^(J$3-$B$3)),"")</f>
        <v/>
      </c>
      <c r="K186" s="355" t="str">
        <f>IF(K$3&lt;=time,'Attributable fraction'!AJ130*(1+Economics!$B$4)^(K$3-$B$3)/((1+Economics!$B$3)^(K$3-$B$3)),"")</f>
        <v/>
      </c>
      <c r="L186" s="355" t="str">
        <f>IF(L$3&lt;=time,'Attributable fraction'!AK130*(1+Economics!$B$4)^(L$3-$B$3)/((1+Economics!$B$3)^(L$3-$B$3)),"")</f>
        <v/>
      </c>
      <c r="M186" s="355" t="str">
        <f>IF(M$3&lt;=time,'Attributable fraction'!AL130*(1+Economics!$B$4)^(M$3-$B$3)/((1+Economics!$B$3)^(M$3-$B$3)),"")</f>
        <v/>
      </c>
      <c r="N186" s="355" t="str">
        <f>IF(N$3&lt;=time,'Attributable fraction'!AM130*(1+Economics!$B$4)^(N$3-$B$3)/((1+Economics!$B$3)^(N$3-$B$3)),"")</f>
        <v/>
      </c>
      <c r="O186" s="355" t="str">
        <f>IF(O$3&lt;=time,'Attributable fraction'!AN130*(1+Economics!$B$4)^(O$3-$B$3)/((1+Economics!$B$3)^(O$3-$B$3)),"")</f>
        <v/>
      </c>
      <c r="P186" s="355" t="str">
        <f>IF(P$3&lt;=time,'Attributable fraction'!AO130*(1+Economics!$B$4)^(P$3-$B$3)/((1+Economics!$B$3)^(P$3-$B$3)),"")</f>
        <v/>
      </c>
      <c r="Q186" s="355" t="str">
        <f>IF(Q$3&lt;=time,'Attributable fraction'!AP130*(1+Economics!$B$4)^(Q$3-$B$3)/((1+Economics!$B$3)^(Q$3-$B$3)),"")</f>
        <v/>
      </c>
      <c r="R186" s="355" t="str">
        <f>IF(R$3&lt;=time,'Attributable fraction'!AQ130*(1+Economics!$B$4)^(R$3-$B$3)/((1+Economics!$B$3)^(R$3-$B$3)),"")</f>
        <v/>
      </c>
      <c r="S186" s="355" t="str">
        <f>IF(S$3&lt;=time,'Attributable fraction'!AR130*(1+Economics!$B$4)^(S$3-$B$3)/((1+Economics!$B$3)^(S$3-$B$3)),"")</f>
        <v/>
      </c>
      <c r="T186" s="355" t="str">
        <f>IF(T$3&lt;=time,'Attributable fraction'!AS130*(1+Economics!$B$4)^(T$3-$B$3)/((1+Economics!$B$3)^(T$3-$B$3)),"")</f>
        <v/>
      </c>
      <c r="U186" s="355" t="str">
        <f>IF(U$3&lt;=time,'Attributable fraction'!AT130*(1+Economics!$B$4)^(U$3-$B$3)/((1+Economics!$B$3)^(U$3-$B$3)),"")</f>
        <v/>
      </c>
      <c r="V186" s="355" t="str">
        <f>IF(V$3&lt;=time,'Attributable fraction'!AU130*(1+Economics!$B$4)^(V$3-$B$3)/((1+Economics!$B$3)^(V$3-$B$3)),"")</f>
        <v/>
      </c>
      <c r="W186" s="355" t="str">
        <f>IF(W$3&lt;=time,'Attributable fraction'!AV130*(1+Economics!$B$4)^(W$3-$B$3)/((1+Economics!$B$3)^(W$3-$B$3)),"")</f>
        <v/>
      </c>
      <c r="X186" s="355" t="str">
        <f>IF(X$3&lt;=time,'Attributable fraction'!AW130*(1+Economics!$B$4)^(X$3-$B$3)/((1+Economics!$B$3)^(X$3-$B$3)),"")</f>
        <v/>
      </c>
      <c r="Y186" s="355" t="str">
        <f>IF(Y$3&lt;=time,'Attributable fraction'!AX130*(1+Economics!$B$4)^(Y$3-$B$3)/((1+Economics!$B$3)^(Y$3-$B$3)),"")</f>
        <v/>
      </c>
      <c r="Z186" s="356" t="str">
        <f>IF(Z$3&lt;=time,'Attributable fraction'!AY130*(1+Economics!$B$4)^(Z$3-$B$3)/((1+Economics!$B$3)^(Z$3-$B$3)),"")</f>
        <v/>
      </c>
      <c r="AC186" s="142">
        <f t="shared" si="34"/>
        <v>0</v>
      </c>
      <c r="AE186" s="376">
        <v>8</v>
      </c>
      <c r="AF186" s="176" t="e">
        <f t="array" ref="AF186">STDEV(IF(B186:Z186&lt;&gt;0,B186:Z186))</f>
        <v>#DIV/0!</v>
      </c>
      <c r="AG186" s="176">
        <v>1.96</v>
      </c>
      <c r="AH186" s="176" t="e">
        <f t="shared" si="35"/>
        <v>#DIV/0!</v>
      </c>
      <c r="AI186" s="176">
        <f t="shared" si="25"/>
        <v>0</v>
      </c>
    </row>
    <row r="187" spans="1:35" hidden="1">
      <c r="A187" s="378" t="str">
        <f>Costs!A131</f>
        <v>Volunteers 9</v>
      </c>
      <c r="B187" s="355">
        <f>IF(B$3&lt;=time,'Attributable fraction'!AA131*(1+Economics!$B$4)^(B$3-$B$3)/((1+Economics!$B$3)^(B$3-$B$3)),"")</f>
        <v>0</v>
      </c>
      <c r="C187" s="355">
        <f>IF(C$3&lt;=time,'Attributable fraction'!AB131*(1+Economics!$B$4)^(C$3-$B$3)/((1+Economics!$B$3)^(C$3-$B$3)),"")</f>
        <v>0</v>
      </c>
      <c r="D187" s="355">
        <f>IF(D$3&lt;=time,'Attributable fraction'!AC131*(1+Economics!$B$4)^(D$3-$B$3)/((1+Economics!$B$3)^(D$3-$B$3)),"")</f>
        <v>0</v>
      </c>
      <c r="E187" s="355">
        <f>IF(E$3&lt;=time,'Attributable fraction'!AD131*(1+Economics!$B$4)^(E$3-$B$3)/((1+Economics!$B$3)^(E$3-$B$3)),"")</f>
        <v>0</v>
      </c>
      <c r="F187" s="355">
        <f>IF(F$3&lt;=time,'Attributable fraction'!AE131*(1+Economics!$B$4)^(F$3-$B$3)/((1+Economics!$B$3)^(F$3-$B$3)),"")</f>
        <v>0</v>
      </c>
      <c r="G187" s="355" t="str">
        <f>IF(G$3&lt;=time,'Attributable fraction'!AF131*(1+Economics!$B$4)^(G$3-$B$3)/((1+Economics!$B$3)^(G$3-$B$3)),"")</f>
        <v/>
      </c>
      <c r="H187" s="355" t="str">
        <f>IF(H$3&lt;=time,'Attributable fraction'!AG131*(1+Economics!$B$4)^(H$3-$B$3)/((1+Economics!$B$3)^(H$3-$B$3)),"")</f>
        <v/>
      </c>
      <c r="I187" s="355" t="str">
        <f>IF(I$3&lt;=time,'Attributable fraction'!AH131*(1+Economics!$B$4)^(I$3-$B$3)/((1+Economics!$B$3)^(I$3-$B$3)),"")</f>
        <v/>
      </c>
      <c r="J187" s="355" t="str">
        <f>IF(J$3&lt;=time,'Attributable fraction'!AI131*(1+Economics!$B$4)^(J$3-$B$3)/((1+Economics!$B$3)^(J$3-$B$3)),"")</f>
        <v/>
      </c>
      <c r="K187" s="355" t="str">
        <f>IF(K$3&lt;=time,'Attributable fraction'!AJ131*(1+Economics!$B$4)^(K$3-$B$3)/((1+Economics!$B$3)^(K$3-$B$3)),"")</f>
        <v/>
      </c>
      <c r="L187" s="355" t="str">
        <f>IF(L$3&lt;=time,'Attributable fraction'!AK131*(1+Economics!$B$4)^(L$3-$B$3)/((1+Economics!$B$3)^(L$3-$B$3)),"")</f>
        <v/>
      </c>
      <c r="M187" s="355" t="str">
        <f>IF(M$3&lt;=time,'Attributable fraction'!AL131*(1+Economics!$B$4)^(M$3-$B$3)/((1+Economics!$B$3)^(M$3-$B$3)),"")</f>
        <v/>
      </c>
      <c r="N187" s="355" t="str">
        <f>IF(N$3&lt;=time,'Attributable fraction'!AM131*(1+Economics!$B$4)^(N$3-$B$3)/((1+Economics!$B$3)^(N$3-$B$3)),"")</f>
        <v/>
      </c>
      <c r="O187" s="355" t="str">
        <f>IF(O$3&lt;=time,'Attributable fraction'!AN131*(1+Economics!$B$4)^(O$3-$B$3)/((1+Economics!$B$3)^(O$3-$B$3)),"")</f>
        <v/>
      </c>
      <c r="P187" s="355" t="str">
        <f>IF(P$3&lt;=time,'Attributable fraction'!AO131*(1+Economics!$B$4)^(P$3-$B$3)/((1+Economics!$B$3)^(P$3-$B$3)),"")</f>
        <v/>
      </c>
      <c r="Q187" s="355" t="str">
        <f>IF(Q$3&lt;=time,'Attributable fraction'!AP131*(1+Economics!$B$4)^(Q$3-$B$3)/((1+Economics!$B$3)^(Q$3-$B$3)),"")</f>
        <v/>
      </c>
      <c r="R187" s="355" t="str">
        <f>IF(R$3&lt;=time,'Attributable fraction'!AQ131*(1+Economics!$B$4)^(R$3-$B$3)/((1+Economics!$B$3)^(R$3-$B$3)),"")</f>
        <v/>
      </c>
      <c r="S187" s="355" t="str">
        <f>IF(S$3&lt;=time,'Attributable fraction'!AR131*(1+Economics!$B$4)^(S$3-$B$3)/((1+Economics!$B$3)^(S$3-$B$3)),"")</f>
        <v/>
      </c>
      <c r="T187" s="355" t="str">
        <f>IF(T$3&lt;=time,'Attributable fraction'!AS131*(1+Economics!$B$4)^(T$3-$B$3)/((1+Economics!$B$3)^(T$3-$B$3)),"")</f>
        <v/>
      </c>
      <c r="U187" s="355" t="str">
        <f>IF(U$3&lt;=time,'Attributable fraction'!AT131*(1+Economics!$B$4)^(U$3-$B$3)/((1+Economics!$B$3)^(U$3-$B$3)),"")</f>
        <v/>
      </c>
      <c r="V187" s="355" t="str">
        <f>IF(V$3&lt;=time,'Attributable fraction'!AU131*(1+Economics!$B$4)^(V$3-$B$3)/((1+Economics!$B$3)^(V$3-$B$3)),"")</f>
        <v/>
      </c>
      <c r="W187" s="355" t="str">
        <f>IF(W$3&lt;=time,'Attributable fraction'!AV131*(1+Economics!$B$4)^(W$3-$B$3)/((1+Economics!$B$3)^(W$3-$B$3)),"")</f>
        <v/>
      </c>
      <c r="X187" s="355" t="str">
        <f>IF(X$3&lt;=time,'Attributable fraction'!AW131*(1+Economics!$B$4)^(X$3-$B$3)/((1+Economics!$B$3)^(X$3-$B$3)),"")</f>
        <v/>
      </c>
      <c r="Y187" s="355" t="str">
        <f>IF(Y$3&lt;=time,'Attributable fraction'!AX131*(1+Economics!$B$4)^(Y$3-$B$3)/((1+Economics!$B$3)^(Y$3-$B$3)),"")</f>
        <v/>
      </c>
      <c r="Z187" s="356" t="str">
        <f>IF(Z$3&lt;=time,'Attributable fraction'!AY131*(1+Economics!$B$4)^(Z$3-$B$3)/((1+Economics!$B$3)^(Z$3-$B$3)),"")</f>
        <v/>
      </c>
      <c r="AC187" s="142">
        <f t="shared" si="34"/>
        <v>0</v>
      </c>
      <c r="AE187" s="376">
        <v>9</v>
      </c>
      <c r="AF187" s="176" t="e">
        <f t="array" ref="AF187">STDEV(IF(B187:Z187&lt;&gt;0,B187:Z187))</f>
        <v>#DIV/0!</v>
      </c>
      <c r="AG187" s="176">
        <v>1.96</v>
      </c>
      <c r="AH187" s="176" t="e">
        <f t="shared" si="35"/>
        <v>#DIV/0!</v>
      </c>
      <c r="AI187" s="176">
        <f t="shared" si="25"/>
        <v>0</v>
      </c>
    </row>
    <row r="188" spans="1:35" hidden="1">
      <c r="A188" s="378" t="str">
        <f>Costs!A132</f>
        <v>Volunteers 10</v>
      </c>
      <c r="B188" s="355">
        <f>IF(B$3&lt;=time,'Attributable fraction'!AA132*(1+Economics!$B$4)^(B$3-$B$3)/((1+Economics!$B$3)^(B$3-$B$3)),"")</f>
        <v>0</v>
      </c>
      <c r="C188" s="355">
        <f>IF(C$3&lt;=time,'Attributable fraction'!AB132*(1+Economics!$B$4)^(C$3-$B$3)/((1+Economics!$B$3)^(C$3-$B$3)),"")</f>
        <v>0</v>
      </c>
      <c r="D188" s="355">
        <f>IF(D$3&lt;=time,'Attributable fraction'!AC132*(1+Economics!$B$4)^(D$3-$B$3)/((1+Economics!$B$3)^(D$3-$B$3)),"")</f>
        <v>0</v>
      </c>
      <c r="E188" s="355">
        <f>IF(E$3&lt;=time,'Attributable fraction'!AD132*(1+Economics!$B$4)^(E$3-$B$3)/((1+Economics!$B$3)^(E$3-$B$3)),"")</f>
        <v>0</v>
      </c>
      <c r="F188" s="355">
        <f>IF(F$3&lt;=time,'Attributable fraction'!AE132*(1+Economics!$B$4)^(F$3-$B$3)/((1+Economics!$B$3)^(F$3-$B$3)),"")</f>
        <v>0</v>
      </c>
      <c r="G188" s="355" t="str">
        <f>IF(G$3&lt;=time,'Attributable fraction'!AF132*(1+Economics!$B$4)^(G$3-$B$3)/((1+Economics!$B$3)^(G$3-$B$3)),"")</f>
        <v/>
      </c>
      <c r="H188" s="355" t="str">
        <f>IF(H$3&lt;=time,'Attributable fraction'!AG132*(1+Economics!$B$4)^(H$3-$B$3)/((1+Economics!$B$3)^(H$3-$B$3)),"")</f>
        <v/>
      </c>
      <c r="I188" s="355" t="str">
        <f>IF(I$3&lt;=time,'Attributable fraction'!AH132*(1+Economics!$B$4)^(I$3-$B$3)/((1+Economics!$B$3)^(I$3-$B$3)),"")</f>
        <v/>
      </c>
      <c r="J188" s="355" t="str">
        <f>IF(J$3&lt;=time,'Attributable fraction'!AI132*(1+Economics!$B$4)^(J$3-$B$3)/((1+Economics!$B$3)^(J$3-$B$3)),"")</f>
        <v/>
      </c>
      <c r="K188" s="355" t="str">
        <f>IF(K$3&lt;=time,'Attributable fraction'!AJ132*(1+Economics!$B$4)^(K$3-$B$3)/((1+Economics!$B$3)^(K$3-$B$3)),"")</f>
        <v/>
      </c>
      <c r="L188" s="355" t="str">
        <f>IF(L$3&lt;=time,'Attributable fraction'!AK132*(1+Economics!$B$4)^(L$3-$B$3)/((1+Economics!$B$3)^(L$3-$B$3)),"")</f>
        <v/>
      </c>
      <c r="M188" s="355" t="str">
        <f>IF(M$3&lt;=time,'Attributable fraction'!AL132*(1+Economics!$B$4)^(M$3-$B$3)/((1+Economics!$B$3)^(M$3-$B$3)),"")</f>
        <v/>
      </c>
      <c r="N188" s="355" t="str">
        <f>IF(N$3&lt;=time,'Attributable fraction'!AM132*(1+Economics!$B$4)^(N$3-$B$3)/((1+Economics!$B$3)^(N$3-$B$3)),"")</f>
        <v/>
      </c>
      <c r="O188" s="355" t="str">
        <f>IF(O$3&lt;=time,'Attributable fraction'!AN132*(1+Economics!$B$4)^(O$3-$B$3)/((1+Economics!$B$3)^(O$3-$B$3)),"")</f>
        <v/>
      </c>
      <c r="P188" s="355" t="str">
        <f>IF(P$3&lt;=time,'Attributable fraction'!AO132*(1+Economics!$B$4)^(P$3-$B$3)/((1+Economics!$B$3)^(P$3-$B$3)),"")</f>
        <v/>
      </c>
      <c r="Q188" s="355" t="str">
        <f>IF(Q$3&lt;=time,'Attributable fraction'!AP132*(1+Economics!$B$4)^(Q$3-$B$3)/((1+Economics!$B$3)^(Q$3-$B$3)),"")</f>
        <v/>
      </c>
      <c r="R188" s="355" t="str">
        <f>IF(R$3&lt;=time,'Attributable fraction'!AQ132*(1+Economics!$B$4)^(R$3-$B$3)/((1+Economics!$B$3)^(R$3-$B$3)),"")</f>
        <v/>
      </c>
      <c r="S188" s="355" t="str">
        <f>IF(S$3&lt;=time,'Attributable fraction'!AR132*(1+Economics!$B$4)^(S$3-$B$3)/((1+Economics!$B$3)^(S$3-$B$3)),"")</f>
        <v/>
      </c>
      <c r="T188" s="355" t="str">
        <f>IF(T$3&lt;=time,'Attributable fraction'!AS132*(1+Economics!$B$4)^(T$3-$B$3)/((1+Economics!$B$3)^(T$3-$B$3)),"")</f>
        <v/>
      </c>
      <c r="U188" s="355" t="str">
        <f>IF(U$3&lt;=time,'Attributable fraction'!AT132*(1+Economics!$B$4)^(U$3-$B$3)/((1+Economics!$B$3)^(U$3-$B$3)),"")</f>
        <v/>
      </c>
      <c r="V188" s="355" t="str">
        <f>IF(V$3&lt;=time,'Attributable fraction'!AU132*(1+Economics!$B$4)^(V$3-$B$3)/((1+Economics!$B$3)^(V$3-$B$3)),"")</f>
        <v/>
      </c>
      <c r="W188" s="355" t="str">
        <f>IF(W$3&lt;=time,'Attributable fraction'!AV132*(1+Economics!$B$4)^(W$3-$B$3)/((1+Economics!$B$3)^(W$3-$B$3)),"")</f>
        <v/>
      </c>
      <c r="X188" s="355" t="str">
        <f>IF(X$3&lt;=time,'Attributable fraction'!AW132*(1+Economics!$B$4)^(X$3-$B$3)/((1+Economics!$B$3)^(X$3-$B$3)),"")</f>
        <v/>
      </c>
      <c r="Y188" s="355" t="str">
        <f>IF(Y$3&lt;=time,'Attributable fraction'!AX132*(1+Economics!$B$4)^(Y$3-$B$3)/((1+Economics!$B$3)^(Y$3-$B$3)),"")</f>
        <v/>
      </c>
      <c r="Z188" s="356" t="str">
        <f>IF(Z$3&lt;=time,'Attributable fraction'!AY132*(1+Economics!$B$4)^(Z$3-$B$3)/((1+Economics!$B$3)^(Z$3-$B$3)),"")</f>
        <v/>
      </c>
      <c r="AC188" s="142">
        <f t="shared" si="34"/>
        <v>0</v>
      </c>
      <c r="AE188" s="376">
        <v>10</v>
      </c>
      <c r="AF188" s="176" t="e">
        <f t="array" ref="AF188">STDEV(IF(B188:Z188&lt;&gt;0,B188:Z188))</f>
        <v>#DIV/0!</v>
      </c>
      <c r="AG188" s="176">
        <v>1.96</v>
      </c>
      <c r="AH188" s="176" t="e">
        <f t="shared" si="35"/>
        <v>#DIV/0!</v>
      </c>
      <c r="AI188" s="176">
        <f t="shared" si="25"/>
        <v>0</v>
      </c>
    </row>
    <row r="189" spans="1:35" s="196" customFormat="1" ht="18" hidden="1">
      <c r="A189" s="290" t="s">
        <v>193</v>
      </c>
      <c r="B189" s="255"/>
      <c r="C189" s="255"/>
      <c r="D189" s="255"/>
      <c r="E189" s="255"/>
      <c r="F189" s="255"/>
      <c r="G189" s="255"/>
      <c r="H189" s="255"/>
      <c r="I189" s="255"/>
      <c r="J189" s="255"/>
      <c r="K189" s="255"/>
      <c r="L189" s="255"/>
      <c r="M189" s="255"/>
      <c r="N189" s="255"/>
      <c r="O189" s="255"/>
      <c r="P189" s="255"/>
      <c r="Q189" s="255"/>
      <c r="R189" s="255"/>
      <c r="S189" s="255"/>
      <c r="T189" s="255"/>
      <c r="U189" s="255"/>
      <c r="V189" s="255"/>
      <c r="W189" s="255"/>
      <c r="X189" s="255"/>
      <c r="Y189" s="255"/>
      <c r="Z189" s="377"/>
      <c r="AB189" s="114"/>
      <c r="AD189" s="114"/>
    </row>
    <row r="190" spans="1:35" hidden="1">
      <c r="A190" s="378" t="str">
        <f>Costs!A134</f>
        <v>Supplies 1</v>
      </c>
      <c r="B190" s="355">
        <f>IF(B$3&lt;=time,'Attributable fraction'!AA134*(1+Economics!$B$4)^(B$3-$B$3)/((1+Economics!$B$3)^(B$3-$B$3)),"")</f>
        <v>0</v>
      </c>
      <c r="C190" s="355">
        <f>IF(C$3&lt;=time,'Attributable fraction'!AB134*(1+Economics!$B$4)^(C$3-$B$3)/((1+Economics!$B$3)^(C$3-$B$3)),"")</f>
        <v>0</v>
      </c>
      <c r="D190" s="355">
        <f>IF(D$3&lt;=time,'Attributable fraction'!AC134*(1+Economics!$B$4)^(D$3-$B$3)/((1+Economics!$B$3)^(D$3-$B$3)),"")</f>
        <v>0</v>
      </c>
      <c r="E190" s="355">
        <f>IF(E$3&lt;=time,'Attributable fraction'!AD134*(1+Economics!$B$4)^(E$3-$B$3)/((1+Economics!$B$3)^(E$3-$B$3)),"")</f>
        <v>0</v>
      </c>
      <c r="F190" s="355">
        <f>IF(F$3&lt;=time,'Attributable fraction'!AE134*(1+Economics!$B$4)^(F$3-$B$3)/((1+Economics!$B$3)^(F$3-$B$3)),"")</f>
        <v>0</v>
      </c>
      <c r="G190" s="355" t="str">
        <f>IF(G$3&lt;=time,'Attributable fraction'!AF134*(1+Economics!$B$4)^(G$3-$B$3)/((1+Economics!$B$3)^(G$3-$B$3)),"")</f>
        <v/>
      </c>
      <c r="H190" s="355" t="str">
        <f>IF(H$3&lt;=time,'Attributable fraction'!AG134*(1+Economics!$B$4)^(H$3-$B$3)/((1+Economics!$B$3)^(H$3-$B$3)),"")</f>
        <v/>
      </c>
      <c r="I190" s="355" t="str">
        <f>IF(I$3&lt;=time,'Attributable fraction'!AH134*(1+Economics!$B$4)^(I$3-$B$3)/((1+Economics!$B$3)^(I$3-$B$3)),"")</f>
        <v/>
      </c>
      <c r="J190" s="355" t="str">
        <f>IF(J$3&lt;=time,'Attributable fraction'!AI134*(1+Economics!$B$4)^(J$3-$B$3)/((1+Economics!$B$3)^(J$3-$B$3)),"")</f>
        <v/>
      </c>
      <c r="K190" s="355" t="str">
        <f>IF(K$3&lt;=time,'Attributable fraction'!AJ134*(1+Economics!$B$4)^(K$3-$B$3)/((1+Economics!$B$3)^(K$3-$B$3)),"")</f>
        <v/>
      </c>
      <c r="L190" s="355" t="str">
        <f>IF(L$3&lt;=time,'Attributable fraction'!AK134*(1+Economics!$B$4)^(L$3-$B$3)/((1+Economics!$B$3)^(L$3-$B$3)),"")</f>
        <v/>
      </c>
      <c r="M190" s="355" t="str">
        <f>IF(M$3&lt;=time,'Attributable fraction'!AL134*(1+Economics!$B$4)^(M$3-$B$3)/((1+Economics!$B$3)^(M$3-$B$3)),"")</f>
        <v/>
      </c>
      <c r="N190" s="355" t="str">
        <f>IF(N$3&lt;=time,'Attributable fraction'!AM134*(1+Economics!$B$4)^(N$3-$B$3)/((1+Economics!$B$3)^(N$3-$B$3)),"")</f>
        <v/>
      </c>
      <c r="O190" s="355" t="str">
        <f>IF(O$3&lt;=time,'Attributable fraction'!AN134*(1+Economics!$B$4)^(O$3-$B$3)/((1+Economics!$B$3)^(O$3-$B$3)),"")</f>
        <v/>
      </c>
      <c r="P190" s="355" t="str">
        <f>IF(P$3&lt;=time,'Attributable fraction'!AO134*(1+Economics!$B$4)^(P$3-$B$3)/((1+Economics!$B$3)^(P$3-$B$3)),"")</f>
        <v/>
      </c>
      <c r="Q190" s="355" t="str">
        <f>IF(Q$3&lt;=time,'Attributable fraction'!AP134*(1+Economics!$B$4)^(Q$3-$B$3)/((1+Economics!$B$3)^(Q$3-$B$3)),"")</f>
        <v/>
      </c>
      <c r="R190" s="355" t="str">
        <f>IF(R$3&lt;=time,'Attributable fraction'!AQ134*(1+Economics!$B$4)^(R$3-$B$3)/((1+Economics!$B$3)^(R$3-$B$3)),"")</f>
        <v/>
      </c>
      <c r="S190" s="355" t="str">
        <f>IF(S$3&lt;=time,'Attributable fraction'!AR134*(1+Economics!$B$4)^(S$3-$B$3)/((1+Economics!$B$3)^(S$3-$B$3)),"")</f>
        <v/>
      </c>
      <c r="T190" s="355" t="str">
        <f>IF(T$3&lt;=time,'Attributable fraction'!AS134*(1+Economics!$B$4)^(T$3-$B$3)/((1+Economics!$B$3)^(T$3-$B$3)),"")</f>
        <v/>
      </c>
      <c r="U190" s="355" t="str">
        <f>IF(U$3&lt;=time,'Attributable fraction'!AT134*(1+Economics!$B$4)^(U$3-$B$3)/((1+Economics!$B$3)^(U$3-$B$3)),"")</f>
        <v/>
      </c>
      <c r="V190" s="355" t="str">
        <f>IF(V$3&lt;=time,'Attributable fraction'!AU134*(1+Economics!$B$4)^(V$3-$B$3)/((1+Economics!$B$3)^(V$3-$B$3)),"")</f>
        <v/>
      </c>
      <c r="W190" s="355" t="str">
        <f>IF(W$3&lt;=time,'Attributable fraction'!AV134*(1+Economics!$B$4)^(W$3-$B$3)/((1+Economics!$B$3)^(W$3-$B$3)),"")</f>
        <v/>
      </c>
      <c r="X190" s="355" t="str">
        <f>IF(X$3&lt;=time,'Attributable fraction'!AW134*(1+Economics!$B$4)^(X$3-$B$3)/((1+Economics!$B$3)^(X$3-$B$3)),"")</f>
        <v/>
      </c>
      <c r="Y190" s="355" t="str">
        <f>IF(Y$3&lt;=time,'Attributable fraction'!AX134*(1+Economics!$B$4)^(Y$3-$B$3)/((1+Economics!$B$3)^(Y$3-$B$3)),"")</f>
        <v/>
      </c>
      <c r="Z190" s="356" t="str">
        <f>IF(Z$3&lt;=time,'Attributable fraction'!AY134*(1+Economics!$B$4)^(Z$3-$B$3)/((1+Economics!$B$3)^(Z$3-$B$3)),"")</f>
        <v/>
      </c>
      <c r="AC190" s="142">
        <f t="shared" ref="AC190:AC199" si="36">(SUM(IF(ISERROR(Z190),"0",Z190),IF(ISERROR(Y190),"0",Y190),IF(ISERROR(X190),"0",X190),IF(ISERROR(W190),"0",W190),IF(ISERROR(V190),"0",V190),IF(ISERROR(U190),"0",U190),IF(ISERROR(T190),"0",T190),IF(ISERROR(S190),"0",S190),IF(ISERROR(R190),"0",R190),IF(ISERROR(Q190),"0",Q190), IF(ISERROR(P190),"0",P190),IF(ISERROR(O190),"0",O190),IF(ISERROR(N190),"0",N190),IF(ISERROR(M190),"0",M190),IF(ISERROR(L190),"0",L190),IF(ISERROR(K190),"0",K190),IF(ISERROR(J190),"0",J190),IF(ISERROR(I190),"0",I190),IF(ISERROR(H190),"0",H190),IF(ISERROR(G190),"0",G190),IF(ISERROR(F190),"0",F190),IF(ISERROR(E190),"0",E190),IF(ISERROR(D190),"0",D190),IF(ISERROR(C190),"0",C190),IF(ISERROR(B190),"0",B190)))/time</f>
        <v>0</v>
      </c>
      <c r="AE190" s="375">
        <v>1</v>
      </c>
      <c r="AF190" s="176" t="e">
        <f t="array" ref="AF190">STDEV(IF(B190:Z190&lt;&gt;0,B190:Z190))</f>
        <v>#DIV/0!</v>
      </c>
      <c r="AG190" s="176">
        <v>1.96</v>
      </c>
      <c r="AH190" s="176" t="e">
        <f t="shared" ref="AH190:AH199" si="37">(AG190*AF190)/(time^0.5)</f>
        <v>#DIV/0!</v>
      </c>
      <c r="AI190" s="176">
        <f t="shared" si="25"/>
        <v>0</v>
      </c>
    </row>
    <row r="191" spans="1:35" hidden="1">
      <c r="A191" s="378" t="str">
        <f>Costs!A135</f>
        <v>Supplies 2</v>
      </c>
      <c r="B191" s="355">
        <f>IF(B$3&lt;=time,'Attributable fraction'!AA135*(1+Economics!$B$4)^(B$3-$B$3)/((1+Economics!$B$3)^(B$3-$B$3)),"")</f>
        <v>0</v>
      </c>
      <c r="C191" s="355">
        <f>IF(C$3&lt;=time,'Attributable fraction'!AB135*(1+Economics!$B$4)^(C$3-$B$3)/((1+Economics!$B$3)^(C$3-$B$3)),"")</f>
        <v>0</v>
      </c>
      <c r="D191" s="355">
        <f>IF(D$3&lt;=time,'Attributable fraction'!AC135*(1+Economics!$B$4)^(D$3-$B$3)/((1+Economics!$B$3)^(D$3-$B$3)),"")</f>
        <v>0</v>
      </c>
      <c r="E191" s="355">
        <f>IF(E$3&lt;=time,'Attributable fraction'!AD135*(1+Economics!$B$4)^(E$3-$B$3)/((1+Economics!$B$3)^(E$3-$B$3)),"")</f>
        <v>0</v>
      </c>
      <c r="F191" s="355">
        <f>IF(F$3&lt;=time,'Attributable fraction'!AE135*(1+Economics!$B$4)^(F$3-$B$3)/((1+Economics!$B$3)^(F$3-$B$3)),"")</f>
        <v>0</v>
      </c>
      <c r="G191" s="355" t="str">
        <f>IF(G$3&lt;=time,'Attributable fraction'!AF135*(1+Economics!$B$4)^(G$3-$B$3)/((1+Economics!$B$3)^(G$3-$B$3)),"")</f>
        <v/>
      </c>
      <c r="H191" s="355" t="str">
        <f>IF(H$3&lt;=time,'Attributable fraction'!AG135*(1+Economics!$B$4)^(H$3-$B$3)/((1+Economics!$B$3)^(H$3-$B$3)),"")</f>
        <v/>
      </c>
      <c r="I191" s="355" t="str">
        <f>IF(I$3&lt;=time,'Attributable fraction'!AH135*(1+Economics!$B$4)^(I$3-$B$3)/((1+Economics!$B$3)^(I$3-$B$3)),"")</f>
        <v/>
      </c>
      <c r="J191" s="355" t="str">
        <f>IF(J$3&lt;=time,'Attributable fraction'!AI135*(1+Economics!$B$4)^(J$3-$B$3)/((1+Economics!$B$3)^(J$3-$B$3)),"")</f>
        <v/>
      </c>
      <c r="K191" s="355" t="str">
        <f>IF(K$3&lt;=time,'Attributable fraction'!AJ135*(1+Economics!$B$4)^(K$3-$B$3)/((1+Economics!$B$3)^(K$3-$B$3)),"")</f>
        <v/>
      </c>
      <c r="L191" s="355" t="str">
        <f>IF(L$3&lt;=time,'Attributable fraction'!AK135*(1+Economics!$B$4)^(L$3-$B$3)/((1+Economics!$B$3)^(L$3-$B$3)),"")</f>
        <v/>
      </c>
      <c r="M191" s="355" t="str">
        <f>IF(M$3&lt;=time,'Attributable fraction'!AL135*(1+Economics!$B$4)^(M$3-$B$3)/((1+Economics!$B$3)^(M$3-$B$3)),"")</f>
        <v/>
      </c>
      <c r="N191" s="355" t="str">
        <f>IF(N$3&lt;=time,'Attributable fraction'!AM135*(1+Economics!$B$4)^(N$3-$B$3)/((1+Economics!$B$3)^(N$3-$B$3)),"")</f>
        <v/>
      </c>
      <c r="O191" s="355" t="str">
        <f>IF(O$3&lt;=time,'Attributable fraction'!AN135*(1+Economics!$B$4)^(O$3-$B$3)/((1+Economics!$B$3)^(O$3-$B$3)),"")</f>
        <v/>
      </c>
      <c r="P191" s="355" t="str">
        <f>IF(P$3&lt;=time,'Attributable fraction'!AO135*(1+Economics!$B$4)^(P$3-$B$3)/((1+Economics!$B$3)^(P$3-$B$3)),"")</f>
        <v/>
      </c>
      <c r="Q191" s="355" t="str">
        <f>IF(Q$3&lt;=time,'Attributable fraction'!AP135*(1+Economics!$B$4)^(Q$3-$B$3)/((1+Economics!$B$3)^(Q$3-$B$3)),"")</f>
        <v/>
      </c>
      <c r="R191" s="355" t="str">
        <f>IF(R$3&lt;=time,'Attributable fraction'!AQ135*(1+Economics!$B$4)^(R$3-$B$3)/((1+Economics!$B$3)^(R$3-$B$3)),"")</f>
        <v/>
      </c>
      <c r="S191" s="355" t="str">
        <f>IF(S$3&lt;=time,'Attributable fraction'!AR135*(1+Economics!$B$4)^(S$3-$B$3)/((1+Economics!$B$3)^(S$3-$B$3)),"")</f>
        <v/>
      </c>
      <c r="T191" s="355" t="str">
        <f>IF(T$3&lt;=time,'Attributable fraction'!AS135*(1+Economics!$B$4)^(T$3-$B$3)/((1+Economics!$B$3)^(T$3-$B$3)),"")</f>
        <v/>
      </c>
      <c r="U191" s="355" t="str">
        <f>IF(U$3&lt;=time,'Attributable fraction'!AT135*(1+Economics!$B$4)^(U$3-$B$3)/((1+Economics!$B$3)^(U$3-$B$3)),"")</f>
        <v/>
      </c>
      <c r="V191" s="355" t="str">
        <f>IF(V$3&lt;=time,'Attributable fraction'!AU135*(1+Economics!$B$4)^(V$3-$B$3)/((1+Economics!$B$3)^(V$3-$B$3)),"")</f>
        <v/>
      </c>
      <c r="W191" s="355" t="str">
        <f>IF(W$3&lt;=time,'Attributable fraction'!AV135*(1+Economics!$B$4)^(W$3-$B$3)/((1+Economics!$B$3)^(W$3-$B$3)),"")</f>
        <v/>
      </c>
      <c r="X191" s="355" t="str">
        <f>IF(X$3&lt;=time,'Attributable fraction'!AW135*(1+Economics!$B$4)^(X$3-$B$3)/((1+Economics!$B$3)^(X$3-$B$3)),"")</f>
        <v/>
      </c>
      <c r="Y191" s="355" t="str">
        <f>IF(Y$3&lt;=time,'Attributable fraction'!AX135*(1+Economics!$B$4)^(Y$3-$B$3)/((1+Economics!$B$3)^(Y$3-$B$3)),"")</f>
        <v/>
      </c>
      <c r="Z191" s="356" t="str">
        <f>IF(Z$3&lt;=time,'Attributable fraction'!AY135*(1+Economics!$B$4)^(Z$3-$B$3)/((1+Economics!$B$3)^(Z$3-$B$3)),"")</f>
        <v/>
      </c>
      <c r="AC191" s="142">
        <f t="shared" si="36"/>
        <v>0</v>
      </c>
      <c r="AE191" s="376">
        <v>2</v>
      </c>
      <c r="AF191" s="176" t="e">
        <f t="array" ref="AF191">STDEV(IF(B191:Z191&lt;&gt;0,B191:Z191))</f>
        <v>#DIV/0!</v>
      </c>
      <c r="AG191" s="176">
        <v>1.96</v>
      </c>
      <c r="AH191" s="176" t="e">
        <f t="shared" si="37"/>
        <v>#DIV/0!</v>
      </c>
      <c r="AI191" s="176">
        <f t="shared" si="25"/>
        <v>0</v>
      </c>
    </row>
    <row r="192" spans="1:35" hidden="1">
      <c r="A192" s="378" t="str">
        <f>Costs!A136</f>
        <v>Supplies 3</v>
      </c>
      <c r="B192" s="355">
        <f>IF(B$3&lt;=time,'Attributable fraction'!AA136*(1+Economics!$B$4)^(B$3-$B$3)/((1+Economics!$B$3)^(B$3-$B$3)),"")</f>
        <v>0</v>
      </c>
      <c r="C192" s="355">
        <f>IF(C$3&lt;=time,'Attributable fraction'!AB136*(1+Economics!$B$4)^(C$3-$B$3)/((1+Economics!$B$3)^(C$3-$B$3)),"")</f>
        <v>0</v>
      </c>
      <c r="D192" s="355">
        <f>IF(D$3&lt;=time,'Attributable fraction'!AC136*(1+Economics!$B$4)^(D$3-$B$3)/((1+Economics!$B$3)^(D$3-$B$3)),"")</f>
        <v>0</v>
      </c>
      <c r="E192" s="355">
        <f>IF(E$3&lt;=time,'Attributable fraction'!AD136*(1+Economics!$B$4)^(E$3-$B$3)/((1+Economics!$B$3)^(E$3-$B$3)),"")</f>
        <v>0</v>
      </c>
      <c r="F192" s="355">
        <f>IF(F$3&lt;=time,'Attributable fraction'!AE136*(1+Economics!$B$4)^(F$3-$B$3)/((1+Economics!$B$3)^(F$3-$B$3)),"")</f>
        <v>0</v>
      </c>
      <c r="G192" s="355" t="str">
        <f>IF(G$3&lt;=time,'Attributable fraction'!AF136*(1+Economics!$B$4)^(G$3-$B$3)/((1+Economics!$B$3)^(G$3-$B$3)),"")</f>
        <v/>
      </c>
      <c r="H192" s="355" t="str">
        <f>IF(H$3&lt;=time,'Attributable fraction'!AG136*(1+Economics!$B$4)^(H$3-$B$3)/((1+Economics!$B$3)^(H$3-$B$3)),"")</f>
        <v/>
      </c>
      <c r="I192" s="355" t="str">
        <f>IF(I$3&lt;=time,'Attributable fraction'!AH136*(1+Economics!$B$4)^(I$3-$B$3)/((1+Economics!$B$3)^(I$3-$B$3)),"")</f>
        <v/>
      </c>
      <c r="J192" s="355" t="str">
        <f>IF(J$3&lt;=time,'Attributable fraction'!AI136*(1+Economics!$B$4)^(J$3-$B$3)/((1+Economics!$B$3)^(J$3-$B$3)),"")</f>
        <v/>
      </c>
      <c r="K192" s="355" t="str">
        <f>IF(K$3&lt;=time,'Attributable fraction'!AJ136*(1+Economics!$B$4)^(K$3-$B$3)/((1+Economics!$B$3)^(K$3-$B$3)),"")</f>
        <v/>
      </c>
      <c r="L192" s="355" t="str">
        <f>IF(L$3&lt;=time,'Attributable fraction'!AK136*(1+Economics!$B$4)^(L$3-$B$3)/((1+Economics!$B$3)^(L$3-$B$3)),"")</f>
        <v/>
      </c>
      <c r="M192" s="355" t="str">
        <f>IF(M$3&lt;=time,'Attributable fraction'!AL136*(1+Economics!$B$4)^(M$3-$B$3)/((1+Economics!$B$3)^(M$3-$B$3)),"")</f>
        <v/>
      </c>
      <c r="N192" s="355" t="str">
        <f>IF(N$3&lt;=time,'Attributable fraction'!AM136*(1+Economics!$B$4)^(N$3-$B$3)/((1+Economics!$B$3)^(N$3-$B$3)),"")</f>
        <v/>
      </c>
      <c r="O192" s="355" t="str">
        <f>IF(O$3&lt;=time,'Attributable fraction'!AN136*(1+Economics!$B$4)^(O$3-$B$3)/((1+Economics!$B$3)^(O$3-$B$3)),"")</f>
        <v/>
      </c>
      <c r="P192" s="355" t="str">
        <f>IF(P$3&lt;=time,'Attributable fraction'!AO136*(1+Economics!$B$4)^(P$3-$B$3)/((1+Economics!$B$3)^(P$3-$B$3)),"")</f>
        <v/>
      </c>
      <c r="Q192" s="355" t="str">
        <f>IF(Q$3&lt;=time,'Attributable fraction'!AP136*(1+Economics!$B$4)^(Q$3-$B$3)/((1+Economics!$B$3)^(Q$3-$B$3)),"")</f>
        <v/>
      </c>
      <c r="R192" s="355" t="str">
        <f>IF(R$3&lt;=time,'Attributable fraction'!AQ136*(1+Economics!$B$4)^(R$3-$B$3)/((1+Economics!$B$3)^(R$3-$B$3)),"")</f>
        <v/>
      </c>
      <c r="S192" s="355" t="str">
        <f>IF(S$3&lt;=time,'Attributable fraction'!AR136*(1+Economics!$B$4)^(S$3-$B$3)/((1+Economics!$B$3)^(S$3-$B$3)),"")</f>
        <v/>
      </c>
      <c r="T192" s="355" t="str">
        <f>IF(T$3&lt;=time,'Attributable fraction'!AS136*(1+Economics!$B$4)^(T$3-$B$3)/((1+Economics!$B$3)^(T$3-$B$3)),"")</f>
        <v/>
      </c>
      <c r="U192" s="355" t="str">
        <f>IF(U$3&lt;=time,'Attributable fraction'!AT136*(1+Economics!$B$4)^(U$3-$B$3)/((1+Economics!$B$3)^(U$3-$B$3)),"")</f>
        <v/>
      </c>
      <c r="V192" s="355" t="str">
        <f>IF(V$3&lt;=time,'Attributable fraction'!AU136*(1+Economics!$B$4)^(V$3-$B$3)/((1+Economics!$B$3)^(V$3-$B$3)),"")</f>
        <v/>
      </c>
      <c r="W192" s="355" t="str">
        <f>IF(W$3&lt;=time,'Attributable fraction'!AV136*(1+Economics!$B$4)^(W$3-$B$3)/((1+Economics!$B$3)^(W$3-$B$3)),"")</f>
        <v/>
      </c>
      <c r="X192" s="355" t="str">
        <f>IF(X$3&lt;=time,'Attributable fraction'!AW136*(1+Economics!$B$4)^(X$3-$B$3)/((1+Economics!$B$3)^(X$3-$B$3)),"")</f>
        <v/>
      </c>
      <c r="Y192" s="355" t="str">
        <f>IF(Y$3&lt;=time,'Attributable fraction'!AX136*(1+Economics!$B$4)^(Y$3-$B$3)/((1+Economics!$B$3)^(Y$3-$B$3)),"")</f>
        <v/>
      </c>
      <c r="Z192" s="356" t="str">
        <f>IF(Z$3&lt;=time,'Attributable fraction'!AY136*(1+Economics!$B$4)^(Z$3-$B$3)/((1+Economics!$B$3)^(Z$3-$B$3)),"")</f>
        <v/>
      </c>
      <c r="AC192" s="142">
        <f t="shared" si="36"/>
        <v>0</v>
      </c>
      <c r="AE192" s="376">
        <v>3</v>
      </c>
      <c r="AF192" s="176" t="e">
        <f t="array" ref="AF192">STDEV(IF(B192:Z192&lt;&gt;0,B192:Z192))</f>
        <v>#DIV/0!</v>
      </c>
      <c r="AG192" s="176">
        <v>1.96</v>
      </c>
      <c r="AH192" s="176" t="e">
        <f t="shared" si="37"/>
        <v>#DIV/0!</v>
      </c>
      <c r="AI192" s="176">
        <f t="shared" si="25"/>
        <v>0</v>
      </c>
    </row>
    <row r="193" spans="1:35" hidden="1">
      <c r="A193" s="378" t="str">
        <f>Costs!A137</f>
        <v>Supplies 4</v>
      </c>
      <c r="B193" s="355">
        <f>IF(B$3&lt;=time,'Attributable fraction'!AA137*(1+Economics!$B$4)^(B$3-$B$3)/((1+Economics!$B$3)^(B$3-$B$3)),"")</f>
        <v>0</v>
      </c>
      <c r="C193" s="355">
        <f>IF(C$3&lt;=time,'Attributable fraction'!AB137*(1+Economics!$B$4)^(C$3-$B$3)/((1+Economics!$B$3)^(C$3-$B$3)),"")</f>
        <v>0</v>
      </c>
      <c r="D193" s="355">
        <f>IF(D$3&lt;=time,'Attributable fraction'!AC137*(1+Economics!$B$4)^(D$3-$B$3)/((1+Economics!$B$3)^(D$3-$B$3)),"")</f>
        <v>0</v>
      </c>
      <c r="E193" s="355">
        <f>IF(E$3&lt;=time,'Attributable fraction'!AD137*(1+Economics!$B$4)^(E$3-$B$3)/((1+Economics!$B$3)^(E$3-$B$3)),"")</f>
        <v>0</v>
      </c>
      <c r="F193" s="355">
        <f>IF(F$3&lt;=time,'Attributable fraction'!AE137*(1+Economics!$B$4)^(F$3-$B$3)/((1+Economics!$B$3)^(F$3-$B$3)),"")</f>
        <v>0</v>
      </c>
      <c r="G193" s="355" t="str">
        <f>IF(G$3&lt;=time,'Attributable fraction'!AF137*(1+Economics!$B$4)^(G$3-$B$3)/((1+Economics!$B$3)^(G$3-$B$3)),"")</f>
        <v/>
      </c>
      <c r="H193" s="355" t="str">
        <f>IF(H$3&lt;=time,'Attributable fraction'!AG137*(1+Economics!$B$4)^(H$3-$B$3)/((1+Economics!$B$3)^(H$3-$B$3)),"")</f>
        <v/>
      </c>
      <c r="I193" s="355" t="str">
        <f>IF(I$3&lt;=time,'Attributable fraction'!AH137*(1+Economics!$B$4)^(I$3-$B$3)/((1+Economics!$B$3)^(I$3-$B$3)),"")</f>
        <v/>
      </c>
      <c r="J193" s="355" t="str">
        <f>IF(J$3&lt;=time,'Attributable fraction'!AI137*(1+Economics!$B$4)^(J$3-$B$3)/((1+Economics!$B$3)^(J$3-$B$3)),"")</f>
        <v/>
      </c>
      <c r="K193" s="355" t="str">
        <f>IF(K$3&lt;=time,'Attributable fraction'!AJ137*(1+Economics!$B$4)^(K$3-$B$3)/((1+Economics!$B$3)^(K$3-$B$3)),"")</f>
        <v/>
      </c>
      <c r="L193" s="355" t="str">
        <f>IF(L$3&lt;=time,'Attributable fraction'!AK137*(1+Economics!$B$4)^(L$3-$B$3)/((1+Economics!$B$3)^(L$3-$B$3)),"")</f>
        <v/>
      </c>
      <c r="M193" s="355" t="str">
        <f>IF(M$3&lt;=time,'Attributable fraction'!AL137*(1+Economics!$B$4)^(M$3-$B$3)/((1+Economics!$B$3)^(M$3-$B$3)),"")</f>
        <v/>
      </c>
      <c r="N193" s="355" t="str">
        <f>IF(N$3&lt;=time,'Attributable fraction'!AM137*(1+Economics!$B$4)^(N$3-$B$3)/((1+Economics!$B$3)^(N$3-$B$3)),"")</f>
        <v/>
      </c>
      <c r="O193" s="355" t="str">
        <f>IF(O$3&lt;=time,'Attributable fraction'!AN137*(1+Economics!$B$4)^(O$3-$B$3)/((1+Economics!$B$3)^(O$3-$B$3)),"")</f>
        <v/>
      </c>
      <c r="P193" s="355" t="str">
        <f>IF(P$3&lt;=time,'Attributable fraction'!AO137*(1+Economics!$B$4)^(P$3-$B$3)/((1+Economics!$B$3)^(P$3-$B$3)),"")</f>
        <v/>
      </c>
      <c r="Q193" s="355" t="str">
        <f>IF(Q$3&lt;=time,'Attributable fraction'!AP137*(1+Economics!$B$4)^(Q$3-$B$3)/((1+Economics!$B$3)^(Q$3-$B$3)),"")</f>
        <v/>
      </c>
      <c r="R193" s="355" t="str">
        <f>IF(R$3&lt;=time,'Attributable fraction'!AQ137*(1+Economics!$B$4)^(R$3-$B$3)/((1+Economics!$B$3)^(R$3-$B$3)),"")</f>
        <v/>
      </c>
      <c r="S193" s="355" t="str">
        <f>IF(S$3&lt;=time,'Attributable fraction'!AR137*(1+Economics!$B$4)^(S$3-$B$3)/((1+Economics!$B$3)^(S$3-$B$3)),"")</f>
        <v/>
      </c>
      <c r="T193" s="355" t="str">
        <f>IF(T$3&lt;=time,'Attributable fraction'!AS137*(1+Economics!$B$4)^(T$3-$B$3)/((1+Economics!$B$3)^(T$3-$B$3)),"")</f>
        <v/>
      </c>
      <c r="U193" s="355" t="str">
        <f>IF(U$3&lt;=time,'Attributable fraction'!AT137*(1+Economics!$B$4)^(U$3-$B$3)/((1+Economics!$B$3)^(U$3-$B$3)),"")</f>
        <v/>
      </c>
      <c r="V193" s="355" t="str">
        <f>IF(V$3&lt;=time,'Attributable fraction'!AU137*(1+Economics!$B$4)^(V$3-$B$3)/((1+Economics!$B$3)^(V$3-$B$3)),"")</f>
        <v/>
      </c>
      <c r="W193" s="355" t="str">
        <f>IF(W$3&lt;=time,'Attributable fraction'!AV137*(1+Economics!$B$4)^(W$3-$B$3)/((1+Economics!$B$3)^(W$3-$B$3)),"")</f>
        <v/>
      </c>
      <c r="X193" s="355" t="str">
        <f>IF(X$3&lt;=time,'Attributable fraction'!AW137*(1+Economics!$B$4)^(X$3-$B$3)/((1+Economics!$B$3)^(X$3-$B$3)),"")</f>
        <v/>
      </c>
      <c r="Y193" s="355" t="str">
        <f>IF(Y$3&lt;=time,'Attributable fraction'!AX137*(1+Economics!$B$4)^(Y$3-$B$3)/((1+Economics!$B$3)^(Y$3-$B$3)),"")</f>
        <v/>
      </c>
      <c r="Z193" s="356" t="str">
        <f>IF(Z$3&lt;=time,'Attributable fraction'!AY137*(1+Economics!$B$4)^(Z$3-$B$3)/((1+Economics!$B$3)^(Z$3-$B$3)),"")</f>
        <v/>
      </c>
      <c r="AC193" s="142">
        <f t="shared" si="36"/>
        <v>0</v>
      </c>
      <c r="AE193" s="376">
        <v>4</v>
      </c>
      <c r="AF193" s="176" t="e">
        <f t="array" ref="AF193">STDEV(IF(B193:Z193&lt;&gt;0,B193:Z193))</f>
        <v>#DIV/0!</v>
      </c>
      <c r="AG193" s="176">
        <v>1.96</v>
      </c>
      <c r="AH193" s="176" t="e">
        <f t="shared" si="37"/>
        <v>#DIV/0!</v>
      </c>
      <c r="AI193" s="176">
        <f t="shared" ref="AI193:AI255" si="38">IFERROR(AF193,0)</f>
        <v>0</v>
      </c>
    </row>
    <row r="194" spans="1:35" hidden="1">
      <c r="A194" s="378" t="str">
        <f>Costs!A138</f>
        <v>Supplies 5</v>
      </c>
      <c r="B194" s="355">
        <f>IF(B$3&lt;=time,'Attributable fraction'!AA138*(1+Economics!$B$4)^(B$3-$B$3)/((1+Economics!$B$3)^(B$3-$B$3)),"")</f>
        <v>0</v>
      </c>
      <c r="C194" s="355">
        <f>IF(C$3&lt;=time,'Attributable fraction'!AB138*(1+Economics!$B$4)^(C$3-$B$3)/((1+Economics!$B$3)^(C$3-$B$3)),"")</f>
        <v>0</v>
      </c>
      <c r="D194" s="355">
        <f>IF(D$3&lt;=time,'Attributable fraction'!AC138*(1+Economics!$B$4)^(D$3-$B$3)/((1+Economics!$B$3)^(D$3-$B$3)),"")</f>
        <v>0</v>
      </c>
      <c r="E194" s="355">
        <f>IF(E$3&lt;=time,'Attributable fraction'!AD138*(1+Economics!$B$4)^(E$3-$B$3)/((1+Economics!$B$3)^(E$3-$B$3)),"")</f>
        <v>0</v>
      </c>
      <c r="F194" s="355">
        <f>IF(F$3&lt;=time,'Attributable fraction'!AE138*(1+Economics!$B$4)^(F$3-$B$3)/((1+Economics!$B$3)^(F$3-$B$3)),"")</f>
        <v>0</v>
      </c>
      <c r="G194" s="355" t="str">
        <f>IF(G$3&lt;=time,'Attributable fraction'!AF138*(1+Economics!$B$4)^(G$3-$B$3)/((1+Economics!$B$3)^(G$3-$B$3)),"")</f>
        <v/>
      </c>
      <c r="H194" s="355" t="str">
        <f>IF(H$3&lt;=time,'Attributable fraction'!AG138*(1+Economics!$B$4)^(H$3-$B$3)/((1+Economics!$B$3)^(H$3-$B$3)),"")</f>
        <v/>
      </c>
      <c r="I194" s="355" t="str">
        <f>IF(I$3&lt;=time,'Attributable fraction'!AH138*(1+Economics!$B$4)^(I$3-$B$3)/((1+Economics!$B$3)^(I$3-$B$3)),"")</f>
        <v/>
      </c>
      <c r="J194" s="355" t="str">
        <f>IF(J$3&lt;=time,'Attributable fraction'!AI138*(1+Economics!$B$4)^(J$3-$B$3)/((1+Economics!$B$3)^(J$3-$B$3)),"")</f>
        <v/>
      </c>
      <c r="K194" s="355" t="str">
        <f>IF(K$3&lt;=time,'Attributable fraction'!AJ138*(1+Economics!$B$4)^(K$3-$B$3)/((1+Economics!$B$3)^(K$3-$B$3)),"")</f>
        <v/>
      </c>
      <c r="L194" s="355" t="str">
        <f>IF(L$3&lt;=time,'Attributable fraction'!AK138*(1+Economics!$B$4)^(L$3-$B$3)/((1+Economics!$B$3)^(L$3-$B$3)),"")</f>
        <v/>
      </c>
      <c r="M194" s="355" t="str">
        <f>IF(M$3&lt;=time,'Attributable fraction'!AL138*(1+Economics!$B$4)^(M$3-$B$3)/((1+Economics!$B$3)^(M$3-$B$3)),"")</f>
        <v/>
      </c>
      <c r="N194" s="355" t="str">
        <f>IF(N$3&lt;=time,'Attributable fraction'!AM138*(1+Economics!$B$4)^(N$3-$B$3)/((1+Economics!$B$3)^(N$3-$B$3)),"")</f>
        <v/>
      </c>
      <c r="O194" s="355" t="str">
        <f>IF(O$3&lt;=time,'Attributable fraction'!AN138*(1+Economics!$B$4)^(O$3-$B$3)/((1+Economics!$B$3)^(O$3-$B$3)),"")</f>
        <v/>
      </c>
      <c r="P194" s="355" t="str">
        <f>IF(P$3&lt;=time,'Attributable fraction'!AO138*(1+Economics!$B$4)^(P$3-$B$3)/((1+Economics!$B$3)^(P$3-$B$3)),"")</f>
        <v/>
      </c>
      <c r="Q194" s="355" t="str">
        <f>IF(Q$3&lt;=time,'Attributable fraction'!AP138*(1+Economics!$B$4)^(Q$3-$B$3)/((1+Economics!$B$3)^(Q$3-$B$3)),"")</f>
        <v/>
      </c>
      <c r="R194" s="355" t="str">
        <f>IF(R$3&lt;=time,'Attributable fraction'!AQ138*(1+Economics!$B$4)^(R$3-$B$3)/((1+Economics!$B$3)^(R$3-$B$3)),"")</f>
        <v/>
      </c>
      <c r="S194" s="355" t="str">
        <f>IF(S$3&lt;=time,'Attributable fraction'!AR138*(1+Economics!$B$4)^(S$3-$B$3)/((1+Economics!$B$3)^(S$3-$B$3)),"")</f>
        <v/>
      </c>
      <c r="T194" s="355" t="str">
        <f>IF(T$3&lt;=time,'Attributable fraction'!AS138*(1+Economics!$B$4)^(T$3-$B$3)/((1+Economics!$B$3)^(T$3-$B$3)),"")</f>
        <v/>
      </c>
      <c r="U194" s="355" t="str">
        <f>IF(U$3&lt;=time,'Attributable fraction'!AT138*(1+Economics!$B$4)^(U$3-$B$3)/((1+Economics!$B$3)^(U$3-$B$3)),"")</f>
        <v/>
      </c>
      <c r="V194" s="355" t="str">
        <f>IF(V$3&lt;=time,'Attributable fraction'!AU138*(1+Economics!$B$4)^(V$3-$B$3)/((1+Economics!$B$3)^(V$3-$B$3)),"")</f>
        <v/>
      </c>
      <c r="W194" s="355" t="str">
        <f>IF(W$3&lt;=time,'Attributable fraction'!AV138*(1+Economics!$B$4)^(W$3-$B$3)/((1+Economics!$B$3)^(W$3-$B$3)),"")</f>
        <v/>
      </c>
      <c r="X194" s="355" t="str">
        <f>IF(X$3&lt;=time,'Attributable fraction'!AW138*(1+Economics!$B$4)^(X$3-$B$3)/((1+Economics!$B$3)^(X$3-$B$3)),"")</f>
        <v/>
      </c>
      <c r="Y194" s="355" t="str">
        <f>IF(Y$3&lt;=time,'Attributable fraction'!AX138*(1+Economics!$B$4)^(Y$3-$B$3)/((1+Economics!$B$3)^(Y$3-$B$3)),"")</f>
        <v/>
      </c>
      <c r="Z194" s="356" t="str">
        <f>IF(Z$3&lt;=time,'Attributable fraction'!AY138*(1+Economics!$B$4)^(Z$3-$B$3)/((1+Economics!$B$3)^(Z$3-$B$3)),"")</f>
        <v/>
      </c>
      <c r="AC194" s="142">
        <f t="shared" si="36"/>
        <v>0</v>
      </c>
      <c r="AE194" s="376">
        <v>5</v>
      </c>
      <c r="AF194" s="176" t="e">
        <f t="array" ref="AF194">STDEV(IF(B194:Z194&lt;&gt;0,B194:Z194))</f>
        <v>#DIV/0!</v>
      </c>
      <c r="AG194" s="176">
        <v>1.96</v>
      </c>
      <c r="AH194" s="176" t="e">
        <f t="shared" si="37"/>
        <v>#DIV/0!</v>
      </c>
      <c r="AI194" s="176">
        <f t="shared" si="38"/>
        <v>0</v>
      </c>
    </row>
    <row r="195" spans="1:35" hidden="1">
      <c r="A195" s="378" t="str">
        <f>Costs!A139</f>
        <v>Supplies 6</v>
      </c>
      <c r="B195" s="355">
        <f>IF(B$3&lt;=time,'Attributable fraction'!AA139*(1+Economics!$B$4)^(B$3-$B$3)/((1+Economics!$B$3)^(B$3-$B$3)),"")</f>
        <v>0</v>
      </c>
      <c r="C195" s="355">
        <f>IF(C$3&lt;=time,'Attributable fraction'!AB139*(1+Economics!$B$4)^(C$3-$B$3)/((1+Economics!$B$3)^(C$3-$B$3)),"")</f>
        <v>0</v>
      </c>
      <c r="D195" s="355">
        <f>IF(D$3&lt;=time,'Attributable fraction'!AC139*(1+Economics!$B$4)^(D$3-$B$3)/((1+Economics!$B$3)^(D$3-$B$3)),"")</f>
        <v>0</v>
      </c>
      <c r="E195" s="355">
        <f>IF(E$3&lt;=time,'Attributable fraction'!AD139*(1+Economics!$B$4)^(E$3-$B$3)/((1+Economics!$B$3)^(E$3-$B$3)),"")</f>
        <v>0</v>
      </c>
      <c r="F195" s="355">
        <f>IF(F$3&lt;=time,'Attributable fraction'!AE139*(1+Economics!$B$4)^(F$3-$B$3)/((1+Economics!$B$3)^(F$3-$B$3)),"")</f>
        <v>0</v>
      </c>
      <c r="G195" s="355" t="str">
        <f>IF(G$3&lt;=time,'Attributable fraction'!AF139*(1+Economics!$B$4)^(G$3-$B$3)/((1+Economics!$B$3)^(G$3-$B$3)),"")</f>
        <v/>
      </c>
      <c r="H195" s="355" t="str">
        <f>IF(H$3&lt;=time,'Attributable fraction'!AG139*(1+Economics!$B$4)^(H$3-$B$3)/((1+Economics!$B$3)^(H$3-$B$3)),"")</f>
        <v/>
      </c>
      <c r="I195" s="355" t="str">
        <f>IF(I$3&lt;=time,'Attributable fraction'!AH139*(1+Economics!$B$4)^(I$3-$B$3)/((1+Economics!$B$3)^(I$3-$B$3)),"")</f>
        <v/>
      </c>
      <c r="J195" s="355" t="str">
        <f>IF(J$3&lt;=time,'Attributable fraction'!AI139*(1+Economics!$B$4)^(J$3-$B$3)/((1+Economics!$B$3)^(J$3-$B$3)),"")</f>
        <v/>
      </c>
      <c r="K195" s="355" t="str">
        <f>IF(K$3&lt;=time,'Attributable fraction'!AJ139*(1+Economics!$B$4)^(K$3-$B$3)/((1+Economics!$B$3)^(K$3-$B$3)),"")</f>
        <v/>
      </c>
      <c r="L195" s="355" t="str">
        <f>IF(L$3&lt;=time,'Attributable fraction'!AK139*(1+Economics!$B$4)^(L$3-$B$3)/((1+Economics!$B$3)^(L$3-$B$3)),"")</f>
        <v/>
      </c>
      <c r="M195" s="355" t="str">
        <f>IF(M$3&lt;=time,'Attributable fraction'!AL139*(1+Economics!$B$4)^(M$3-$B$3)/((1+Economics!$B$3)^(M$3-$B$3)),"")</f>
        <v/>
      </c>
      <c r="N195" s="355" t="str">
        <f>IF(N$3&lt;=time,'Attributable fraction'!AM139*(1+Economics!$B$4)^(N$3-$B$3)/((1+Economics!$B$3)^(N$3-$B$3)),"")</f>
        <v/>
      </c>
      <c r="O195" s="355" t="str">
        <f>IF(O$3&lt;=time,'Attributable fraction'!AN139*(1+Economics!$B$4)^(O$3-$B$3)/((1+Economics!$B$3)^(O$3-$B$3)),"")</f>
        <v/>
      </c>
      <c r="P195" s="355" t="str">
        <f>IF(P$3&lt;=time,'Attributable fraction'!AO139*(1+Economics!$B$4)^(P$3-$B$3)/((1+Economics!$B$3)^(P$3-$B$3)),"")</f>
        <v/>
      </c>
      <c r="Q195" s="355" t="str">
        <f>IF(Q$3&lt;=time,'Attributable fraction'!AP139*(1+Economics!$B$4)^(Q$3-$B$3)/((1+Economics!$B$3)^(Q$3-$B$3)),"")</f>
        <v/>
      </c>
      <c r="R195" s="355" t="str">
        <f>IF(R$3&lt;=time,'Attributable fraction'!AQ139*(1+Economics!$B$4)^(R$3-$B$3)/((1+Economics!$B$3)^(R$3-$B$3)),"")</f>
        <v/>
      </c>
      <c r="S195" s="355" t="str">
        <f>IF(S$3&lt;=time,'Attributable fraction'!AR139*(1+Economics!$B$4)^(S$3-$B$3)/((1+Economics!$B$3)^(S$3-$B$3)),"")</f>
        <v/>
      </c>
      <c r="T195" s="355" t="str">
        <f>IF(T$3&lt;=time,'Attributable fraction'!AS139*(1+Economics!$B$4)^(T$3-$B$3)/((1+Economics!$B$3)^(T$3-$B$3)),"")</f>
        <v/>
      </c>
      <c r="U195" s="355" t="str">
        <f>IF(U$3&lt;=time,'Attributable fraction'!AT139*(1+Economics!$B$4)^(U$3-$B$3)/((1+Economics!$B$3)^(U$3-$B$3)),"")</f>
        <v/>
      </c>
      <c r="V195" s="355" t="str">
        <f>IF(V$3&lt;=time,'Attributable fraction'!AU139*(1+Economics!$B$4)^(V$3-$B$3)/((1+Economics!$B$3)^(V$3-$B$3)),"")</f>
        <v/>
      </c>
      <c r="W195" s="355" t="str">
        <f>IF(W$3&lt;=time,'Attributable fraction'!AV139*(1+Economics!$B$4)^(W$3-$B$3)/((1+Economics!$B$3)^(W$3-$B$3)),"")</f>
        <v/>
      </c>
      <c r="X195" s="355" t="str">
        <f>IF(X$3&lt;=time,'Attributable fraction'!AW139*(1+Economics!$B$4)^(X$3-$B$3)/((1+Economics!$B$3)^(X$3-$B$3)),"")</f>
        <v/>
      </c>
      <c r="Y195" s="355" t="str">
        <f>IF(Y$3&lt;=time,'Attributable fraction'!AX139*(1+Economics!$B$4)^(Y$3-$B$3)/((1+Economics!$B$3)^(Y$3-$B$3)),"")</f>
        <v/>
      </c>
      <c r="Z195" s="356" t="str">
        <f>IF(Z$3&lt;=time,'Attributable fraction'!AY139*(1+Economics!$B$4)^(Z$3-$B$3)/((1+Economics!$B$3)^(Z$3-$B$3)),"")</f>
        <v/>
      </c>
      <c r="AC195" s="142">
        <f t="shared" si="36"/>
        <v>0</v>
      </c>
      <c r="AE195" s="376">
        <v>6</v>
      </c>
      <c r="AF195" s="176" t="e">
        <f t="array" ref="AF195">STDEV(IF(B195:Z195&lt;&gt;0,B195:Z195))</f>
        <v>#DIV/0!</v>
      </c>
      <c r="AG195" s="176">
        <v>1.96</v>
      </c>
      <c r="AH195" s="176" t="e">
        <f t="shared" si="37"/>
        <v>#DIV/0!</v>
      </c>
      <c r="AI195" s="176">
        <f t="shared" si="38"/>
        <v>0</v>
      </c>
    </row>
    <row r="196" spans="1:35" hidden="1">
      <c r="A196" s="378" t="str">
        <f>Costs!A140</f>
        <v>Supplies 7</v>
      </c>
      <c r="B196" s="355">
        <f>IF(B$3&lt;=time,'Attributable fraction'!AA140*(1+Economics!$B$4)^(B$3-$B$3)/((1+Economics!$B$3)^(B$3-$B$3)),"")</f>
        <v>0</v>
      </c>
      <c r="C196" s="355">
        <f>IF(C$3&lt;=time,'Attributable fraction'!AB140*(1+Economics!$B$4)^(C$3-$B$3)/((1+Economics!$B$3)^(C$3-$B$3)),"")</f>
        <v>0</v>
      </c>
      <c r="D196" s="355">
        <f>IF(D$3&lt;=time,'Attributable fraction'!AC140*(1+Economics!$B$4)^(D$3-$B$3)/((1+Economics!$B$3)^(D$3-$B$3)),"")</f>
        <v>0</v>
      </c>
      <c r="E196" s="355">
        <f>IF(E$3&lt;=time,'Attributable fraction'!AD140*(1+Economics!$B$4)^(E$3-$B$3)/((1+Economics!$B$3)^(E$3-$B$3)),"")</f>
        <v>0</v>
      </c>
      <c r="F196" s="355">
        <f>IF(F$3&lt;=time,'Attributable fraction'!AE140*(1+Economics!$B$4)^(F$3-$B$3)/((1+Economics!$B$3)^(F$3-$B$3)),"")</f>
        <v>0</v>
      </c>
      <c r="G196" s="355" t="str">
        <f>IF(G$3&lt;=time,'Attributable fraction'!AF140*(1+Economics!$B$4)^(G$3-$B$3)/((1+Economics!$B$3)^(G$3-$B$3)),"")</f>
        <v/>
      </c>
      <c r="H196" s="355" t="str">
        <f>IF(H$3&lt;=time,'Attributable fraction'!AG140*(1+Economics!$B$4)^(H$3-$B$3)/((1+Economics!$B$3)^(H$3-$B$3)),"")</f>
        <v/>
      </c>
      <c r="I196" s="355" t="str">
        <f>IF(I$3&lt;=time,'Attributable fraction'!AH140*(1+Economics!$B$4)^(I$3-$B$3)/((1+Economics!$B$3)^(I$3-$B$3)),"")</f>
        <v/>
      </c>
      <c r="J196" s="355" t="str">
        <f>IF(J$3&lt;=time,'Attributable fraction'!AI140*(1+Economics!$B$4)^(J$3-$B$3)/((1+Economics!$B$3)^(J$3-$B$3)),"")</f>
        <v/>
      </c>
      <c r="K196" s="355" t="str">
        <f>IF(K$3&lt;=time,'Attributable fraction'!AJ140*(1+Economics!$B$4)^(K$3-$B$3)/((1+Economics!$B$3)^(K$3-$B$3)),"")</f>
        <v/>
      </c>
      <c r="L196" s="355" t="str">
        <f>IF(L$3&lt;=time,'Attributable fraction'!AK140*(1+Economics!$B$4)^(L$3-$B$3)/((1+Economics!$B$3)^(L$3-$B$3)),"")</f>
        <v/>
      </c>
      <c r="M196" s="355" t="str">
        <f>IF(M$3&lt;=time,'Attributable fraction'!AL140*(1+Economics!$B$4)^(M$3-$B$3)/((1+Economics!$B$3)^(M$3-$B$3)),"")</f>
        <v/>
      </c>
      <c r="N196" s="355" t="str">
        <f>IF(N$3&lt;=time,'Attributable fraction'!AM140*(1+Economics!$B$4)^(N$3-$B$3)/((1+Economics!$B$3)^(N$3-$B$3)),"")</f>
        <v/>
      </c>
      <c r="O196" s="355" t="str">
        <f>IF(O$3&lt;=time,'Attributable fraction'!AN140*(1+Economics!$B$4)^(O$3-$B$3)/((1+Economics!$B$3)^(O$3-$B$3)),"")</f>
        <v/>
      </c>
      <c r="P196" s="355" t="str">
        <f>IF(P$3&lt;=time,'Attributable fraction'!AO140*(1+Economics!$B$4)^(P$3-$B$3)/((1+Economics!$B$3)^(P$3-$B$3)),"")</f>
        <v/>
      </c>
      <c r="Q196" s="355" t="str">
        <f>IF(Q$3&lt;=time,'Attributable fraction'!AP140*(1+Economics!$B$4)^(Q$3-$B$3)/((1+Economics!$B$3)^(Q$3-$B$3)),"")</f>
        <v/>
      </c>
      <c r="R196" s="355" t="str">
        <f>IF(R$3&lt;=time,'Attributable fraction'!AQ140*(1+Economics!$B$4)^(R$3-$B$3)/((1+Economics!$B$3)^(R$3-$B$3)),"")</f>
        <v/>
      </c>
      <c r="S196" s="355" t="str">
        <f>IF(S$3&lt;=time,'Attributable fraction'!AR140*(1+Economics!$B$4)^(S$3-$B$3)/((1+Economics!$B$3)^(S$3-$B$3)),"")</f>
        <v/>
      </c>
      <c r="T196" s="355" t="str">
        <f>IF(T$3&lt;=time,'Attributable fraction'!AS140*(1+Economics!$B$4)^(T$3-$B$3)/((1+Economics!$B$3)^(T$3-$B$3)),"")</f>
        <v/>
      </c>
      <c r="U196" s="355" t="str">
        <f>IF(U$3&lt;=time,'Attributable fraction'!AT140*(1+Economics!$B$4)^(U$3-$B$3)/((1+Economics!$B$3)^(U$3-$B$3)),"")</f>
        <v/>
      </c>
      <c r="V196" s="355" t="str">
        <f>IF(V$3&lt;=time,'Attributable fraction'!AU140*(1+Economics!$B$4)^(V$3-$B$3)/((1+Economics!$B$3)^(V$3-$B$3)),"")</f>
        <v/>
      </c>
      <c r="W196" s="355" t="str">
        <f>IF(W$3&lt;=time,'Attributable fraction'!AV140*(1+Economics!$B$4)^(W$3-$B$3)/((1+Economics!$B$3)^(W$3-$B$3)),"")</f>
        <v/>
      </c>
      <c r="X196" s="355" t="str">
        <f>IF(X$3&lt;=time,'Attributable fraction'!AW140*(1+Economics!$B$4)^(X$3-$B$3)/((1+Economics!$B$3)^(X$3-$B$3)),"")</f>
        <v/>
      </c>
      <c r="Y196" s="355" t="str">
        <f>IF(Y$3&lt;=time,'Attributable fraction'!AX140*(1+Economics!$B$4)^(Y$3-$B$3)/((1+Economics!$B$3)^(Y$3-$B$3)),"")</f>
        <v/>
      </c>
      <c r="Z196" s="356" t="str">
        <f>IF(Z$3&lt;=time,'Attributable fraction'!AY140*(1+Economics!$B$4)^(Z$3-$B$3)/((1+Economics!$B$3)^(Z$3-$B$3)),"")</f>
        <v/>
      </c>
      <c r="AC196" s="142">
        <f t="shared" si="36"/>
        <v>0</v>
      </c>
      <c r="AE196" s="376">
        <v>7</v>
      </c>
      <c r="AF196" s="176" t="e">
        <f t="array" ref="AF196">STDEV(IF(B196:Z196&lt;&gt;0,B196:Z196))</f>
        <v>#DIV/0!</v>
      </c>
      <c r="AG196" s="176">
        <v>1.96</v>
      </c>
      <c r="AH196" s="176" t="e">
        <f t="shared" si="37"/>
        <v>#DIV/0!</v>
      </c>
      <c r="AI196" s="176">
        <f t="shared" si="38"/>
        <v>0</v>
      </c>
    </row>
    <row r="197" spans="1:35" hidden="1">
      <c r="A197" s="378" t="str">
        <f>Costs!A141</f>
        <v>Supplies 8</v>
      </c>
      <c r="B197" s="355">
        <f>IF(B$3&lt;=time,'Attributable fraction'!AA141*(1+Economics!$B$4)^(B$3-$B$3)/((1+Economics!$B$3)^(B$3-$B$3)),"")</f>
        <v>0</v>
      </c>
      <c r="C197" s="355">
        <f>IF(C$3&lt;=time,'Attributable fraction'!AB141*(1+Economics!$B$4)^(C$3-$B$3)/((1+Economics!$B$3)^(C$3-$B$3)),"")</f>
        <v>0</v>
      </c>
      <c r="D197" s="355">
        <f>IF(D$3&lt;=time,'Attributable fraction'!AC141*(1+Economics!$B$4)^(D$3-$B$3)/((1+Economics!$B$3)^(D$3-$B$3)),"")</f>
        <v>0</v>
      </c>
      <c r="E197" s="355">
        <f>IF(E$3&lt;=time,'Attributable fraction'!AD141*(1+Economics!$B$4)^(E$3-$B$3)/((1+Economics!$B$3)^(E$3-$B$3)),"")</f>
        <v>0</v>
      </c>
      <c r="F197" s="355">
        <f>IF(F$3&lt;=time,'Attributable fraction'!AE141*(1+Economics!$B$4)^(F$3-$B$3)/((1+Economics!$B$3)^(F$3-$B$3)),"")</f>
        <v>0</v>
      </c>
      <c r="G197" s="355" t="str">
        <f>IF(G$3&lt;=time,'Attributable fraction'!AF141*(1+Economics!$B$4)^(G$3-$B$3)/((1+Economics!$B$3)^(G$3-$B$3)),"")</f>
        <v/>
      </c>
      <c r="H197" s="355" t="str">
        <f>IF(H$3&lt;=time,'Attributable fraction'!AG141*(1+Economics!$B$4)^(H$3-$B$3)/((1+Economics!$B$3)^(H$3-$B$3)),"")</f>
        <v/>
      </c>
      <c r="I197" s="355" t="str">
        <f>IF(I$3&lt;=time,'Attributable fraction'!AH141*(1+Economics!$B$4)^(I$3-$B$3)/((1+Economics!$B$3)^(I$3-$B$3)),"")</f>
        <v/>
      </c>
      <c r="J197" s="355" t="str">
        <f>IF(J$3&lt;=time,'Attributable fraction'!AI141*(1+Economics!$B$4)^(J$3-$B$3)/((1+Economics!$B$3)^(J$3-$B$3)),"")</f>
        <v/>
      </c>
      <c r="K197" s="355" t="str">
        <f>IF(K$3&lt;=time,'Attributable fraction'!AJ141*(1+Economics!$B$4)^(K$3-$B$3)/((1+Economics!$B$3)^(K$3-$B$3)),"")</f>
        <v/>
      </c>
      <c r="L197" s="355" t="str">
        <f>IF(L$3&lt;=time,'Attributable fraction'!AK141*(1+Economics!$B$4)^(L$3-$B$3)/((1+Economics!$B$3)^(L$3-$B$3)),"")</f>
        <v/>
      </c>
      <c r="M197" s="355" t="str">
        <f>IF(M$3&lt;=time,'Attributable fraction'!AL141*(1+Economics!$B$4)^(M$3-$B$3)/((1+Economics!$B$3)^(M$3-$B$3)),"")</f>
        <v/>
      </c>
      <c r="N197" s="355" t="str">
        <f>IF(N$3&lt;=time,'Attributable fraction'!AM141*(1+Economics!$B$4)^(N$3-$B$3)/((1+Economics!$B$3)^(N$3-$B$3)),"")</f>
        <v/>
      </c>
      <c r="O197" s="355" t="str">
        <f>IF(O$3&lt;=time,'Attributable fraction'!AN141*(1+Economics!$B$4)^(O$3-$B$3)/((1+Economics!$B$3)^(O$3-$B$3)),"")</f>
        <v/>
      </c>
      <c r="P197" s="355" t="str">
        <f>IF(P$3&lt;=time,'Attributable fraction'!AO141*(1+Economics!$B$4)^(P$3-$B$3)/((1+Economics!$B$3)^(P$3-$B$3)),"")</f>
        <v/>
      </c>
      <c r="Q197" s="355" t="str">
        <f>IF(Q$3&lt;=time,'Attributable fraction'!AP141*(1+Economics!$B$4)^(Q$3-$B$3)/((1+Economics!$B$3)^(Q$3-$B$3)),"")</f>
        <v/>
      </c>
      <c r="R197" s="355" t="str">
        <f>IF(R$3&lt;=time,'Attributable fraction'!AQ141*(1+Economics!$B$4)^(R$3-$B$3)/((1+Economics!$B$3)^(R$3-$B$3)),"")</f>
        <v/>
      </c>
      <c r="S197" s="355" t="str">
        <f>IF(S$3&lt;=time,'Attributable fraction'!AR141*(1+Economics!$B$4)^(S$3-$B$3)/((1+Economics!$B$3)^(S$3-$B$3)),"")</f>
        <v/>
      </c>
      <c r="T197" s="355" t="str">
        <f>IF(T$3&lt;=time,'Attributable fraction'!AS141*(1+Economics!$B$4)^(T$3-$B$3)/((1+Economics!$B$3)^(T$3-$B$3)),"")</f>
        <v/>
      </c>
      <c r="U197" s="355" t="str">
        <f>IF(U$3&lt;=time,'Attributable fraction'!AT141*(1+Economics!$B$4)^(U$3-$B$3)/((1+Economics!$B$3)^(U$3-$B$3)),"")</f>
        <v/>
      </c>
      <c r="V197" s="355" t="str">
        <f>IF(V$3&lt;=time,'Attributable fraction'!AU141*(1+Economics!$B$4)^(V$3-$B$3)/((1+Economics!$B$3)^(V$3-$B$3)),"")</f>
        <v/>
      </c>
      <c r="W197" s="355" t="str">
        <f>IF(W$3&lt;=time,'Attributable fraction'!AV141*(1+Economics!$B$4)^(W$3-$B$3)/((1+Economics!$B$3)^(W$3-$B$3)),"")</f>
        <v/>
      </c>
      <c r="X197" s="355" t="str">
        <f>IF(X$3&lt;=time,'Attributable fraction'!AW141*(1+Economics!$B$4)^(X$3-$B$3)/((1+Economics!$B$3)^(X$3-$B$3)),"")</f>
        <v/>
      </c>
      <c r="Y197" s="355" t="str">
        <f>IF(Y$3&lt;=time,'Attributable fraction'!AX141*(1+Economics!$B$4)^(Y$3-$B$3)/((1+Economics!$B$3)^(Y$3-$B$3)),"")</f>
        <v/>
      </c>
      <c r="Z197" s="356" t="str">
        <f>IF(Z$3&lt;=time,'Attributable fraction'!AY141*(1+Economics!$B$4)^(Z$3-$B$3)/((1+Economics!$B$3)^(Z$3-$B$3)),"")</f>
        <v/>
      </c>
      <c r="AC197" s="142">
        <f t="shared" si="36"/>
        <v>0</v>
      </c>
      <c r="AE197" s="376">
        <v>8</v>
      </c>
      <c r="AF197" s="176" t="e">
        <f t="array" ref="AF197">STDEV(IF(B197:Z197&lt;&gt;0,B197:Z197))</f>
        <v>#DIV/0!</v>
      </c>
      <c r="AG197" s="176">
        <v>1.96</v>
      </c>
      <c r="AH197" s="176" t="e">
        <f t="shared" si="37"/>
        <v>#DIV/0!</v>
      </c>
      <c r="AI197" s="176">
        <f t="shared" si="38"/>
        <v>0</v>
      </c>
    </row>
    <row r="198" spans="1:35" hidden="1">
      <c r="A198" s="378" t="str">
        <f>Costs!A142</f>
        <v>Supplies 9</v>
      </c>
      <c r="B198" s="355">
        <f>IF(B$3&lt;=time,'Attributable fraction'!AA142*(1+Economics!$B$4)^(B$3-$B$3)/((1+Economics!$B$3)^(B$3-$B$3)),"")</f>
        <v>0</v>
      </c>
      <c r="C198" s="355">
        <f>IF(C$3&lt;=time,'Attributable fraction'!AB142*(1+Economics!$B$4)^(C$3-$B$3)/((1+Economics!$B$3)^(C$3-$B$3)),"")</f>
        <v>0</v>
      </c>
      <c r="D198" s="355">
        <f>IF(D$3&lt;=time,'Attributable fraction'!AC142*(1+Economics!$B$4)^(D$3-$B$3)/((1+Economics!$B$3)^(D$3-$B$3)),"")</f>
        <v>0</v>
      </c>
      <c r="E198" s="355">
        <f>IF(E$3&lt;=time,'Attributable fraction'!AD142*(1+Economics!$B$4)^(E$3-$B$3)/((1+Economics!$B$3)^(E$3-$B$3)),"")</f>
        <v>0</v>
      </c>
      <c r="F198" s="355">
        <f>IF(F$3&lt;=time,'Attributable fraction'!AE142*(1+Economics!$B$4)^(F$3-$B$3)/((1+Economics!$B$3)^(F$3-$B$3)),"")</f>
        <v>0</v>
      </c>
      <c r="G198" s="355" t="str">
        <f>IF(G$3&lt;=time,'Attributable fraction'!AF142*(1+Economics!$B$4)^(G$3-$B$3)/((1+Economics!$B$3)^(G$3-$B$3)),"")</f>
        <v/>
      </c>
      <c r="H198" s="355" t="str">
        <f>IF(H$3&lt;=time,'Attributable fraction'!AG142*(1+Economics!$B$4)^(H$3-$B$3)/((1+Economics!$B$3)^(H$3-$B$3)),"")</f>
        <v/>
      </c>
      <c r="I198" s="355" t="str">
        <f>IF(I$3&lt;=time,'Attributable fraction'!AH142*(1+Economics!$B$4)^(I$3-$B$3)/((1+Economics!$B$3)^(I$3-$B$3)),"")</f>
        <v/>
      </c>
      <c r="J198" s="355" t="str">
        <f>IF(J$3&lt;=time,'Attributable fraction'!AI142*(1+Economics!$B$4)^(J$3-$B$3)/((1+Economics!$B$3)^(J$3-$B$3)),"")</f>
        <v/>
      </c>
      <c r="K198" s="355" t="str">
        <f>IF(K$3&lt;=time,'Attributable fraction'!AJ142*(1+Economics!$B$4)^(K$3-$B$3)/((1+Economics!$B$3)^(K$3-$B$3)),"")</f>
        <v/>
      </c>
      <c r="L198" s="355" t="str">
        <f>IF(L$3&lt;=time,'Attributable fraction'!AK142*(1+Economics!$B$4)^(L$3-$B$3)/((1+Economics!$B$3)^(L$3-$B$3)),"")</f>
        <v/>
      </c>
      <c r="M198" s="355" t="str">
        <f>IF(M$3&lt;=time,'Attributable fraction'!AL142*(1+Economics!$B$4)^(M$3-$B$3)/((1+Economics!$B$3)^(M$3-$B$3)),"")</f>
        <v/>
      </c>
      <c r="N198" s="355" t="str">
        <f>IF(N$3&lt;=time,'Attributable fraction'!AM142*(1+Economics!$B$4)^(N$3-$B$3)/((1+Economics!$B$3)^(N$3-$B$3)),"")</f>
        <v/>
      </c>
      <c r="O198" s="355" t="str">
        <f>IF(O$3&lt;=time,'Attributable fraction'!AN142*(1+Economics!$B$4)^(O$3-$B$3)/((1+Economics!$B$3)^(O$3-$B$3)),"")</f>
        <v/>
      </c>
      <c r="P198" s="355" t="str">
        <f>IF(P$3&lt;=time,'Attributable fraction'!AO142*(1+Economics!$B$4)^(P$3-$B$3)/((1+Economics!$B$3)^(P$3-$B$3)),"")</f>
        <v/>
      </c>
      <c r="Q198" s="355" t="str">
        <f>IF(Q$3&lt;=time,'Attributable fraction'!AP142*(1+Economics!$B$4)^(Q$3-$B$3)/((1+Economics!$B$3)^(Q$3-$B$3)),"")</f>
        <v/>
      </c>
      <c r="R198" s="355" t="str">
        <f>IF(R$3&lt;=time,'Attributable fraction'!AQ142*(1+Economics!$B$4)^(R$3-$B$3)/((1+Economics!$B$3)^(R$3-$B$3)),"")</f>
        <v/>
      </c>
      <c r="S198" s="355" t="str">
        <f>IF(S$3&lt;=time,'Attributable fraction'!AR142*(1+Economics!$B$4)^(S$3-$B$3)/((1+Economics!$B$3)^(S$3-$B$3)),"")</f>
        <v/>
      </c>
      <c r="T198" s="355" t="str">
        <f>IF(T$3&lt;=time,'Attributable fraction'!AS142*(1+Economics!$B$4)^(T$3-$B$3)/((1+Economics!$B$3)^(T$3-$B$3)),"")</f>
        <v/>
      </c>
      <c r="U198" s="355" t="str">
        <f>IF(U$3&lt;=time,'Attributable fraction'!AT142*(1+Economics!$B$4)^(U$3-$B$3)/((1+Economics!$B$3)^(U$3-$B$3)),"")</f>
        <v/>
      </c>
      <c r="V198" s="355" t="str">
        <f>IF(V$3&lt;=time,'Attributable fraction'!AU142*(1+Economics!$B$4)^(V$3-$B$3)/((1+Economics!$B$3)^(V$3-$B$3)),"")</f>
        <v/>
      </c>
      <c r="W198" s="355" t="str">
        <f>IF(W$3&lt;=time,'Attributable fraction'!AV142*(1+Economics!$B$4)^(W$3-$B$3)/((1+Economics!$B$3)^(W$3-$B$3)),"")</f>
        <v/>
      </c>
      <c r="X198" s="355" t="str">
        <f>IF(X$3&lt;=time,'Attributable fraction'!AW142*(1+Economics!$B$4)^(X$3-$B$3)/((1+Economics!$B$3)^(X$3-$B$3)),"")</f>
        <v/>
      </c>
      <c r="Y198" s="355" t="str">
        <f>IF(Y$3&lt;=time,'Attributable fraction'!AX142*(1+Economics!$B$4)^(Y$3-$B$3)/((1+Economics!$B$3)^(Y$3-$B$3)),"")</f>
        <v/>
      </c>
      <c r="Z198" s="356" t="str">
        <f>IF(Z$3&lt;=time,'Attributable fraction'!AY142*(1+Economics!$B$4)^(Z$3-$B$3)/((1+Economics!$B$3)^(Z$3-$B$3)),"")</f>
        <v/>
      </c>
      <c r="AC198" s="142">
        <f t="shared" si="36"/>
        <v>0</v>
      </c>
      <c r="AE198" s="376">
        <v>9</v>
      </c>
      <c r="AF198" s="176" t="e">
        <f t="array" ref="AF198">STDEV(IF(B198:Z198&lt;&gt;0,B198:Z198))</f>
        <v>#DIV/0!</v>
      </c>
      <c r="AG198" s="176">
        <v>1.96</v>
      </c>
      <c r="AH198" s="176" t="e">
        <f t="shared" si="37"/>
        <v>#DIV/0!</v>
      </c>
      <c r="AI198" s="176">
        <f t="shared" si="38"/>
        <v>0</v>
      </c>
    </row>
    <row r="199" spans="1:35" hidden="1">
      <c r="A199" s="378" t="str">
        <f>Costs!A143</f>
        <v>Supplies 10</v>
      </c>
      <c r="B199" s="355">
        <f>IF(B$3&lt;=time,'Attributable fraction'!AA143*(1+Economics!$B$4)^(B$3-$B$3)/((1+Economics!$B$3)^(B$3-$B$3)),"")</f>
        <v>0</v>
      </c>
      <c r="C199" s="355">
        <f>IF(C$3&lt;=time,'Attributable fraction'!AB143*(1+Economics!$B$4)^(C$3-$B$3)/((1+Economics!$B$3)^(C$3-$B$3)),"")</f>
        <v>0</v>
      </c>
      <c r="D199" s="355">
        <f>IF(D$3&lt;=time,'Attributable fraction'!AC143*(1+Economics!$B$4)^(D$3-$B$3)/((1+Economics!$B$3)^(D$3-$B$3)),"")</f>
        <v>0</v>
      </c>
      <c r="E199" s="355">
        <f>IF(E$3&lt;=time,'Attributable fraction'!AD143*(1+Economics!$B$4)^(E$3-$B$3)/((1+Economics!$B$3)^(E$3-$B$3)),"")</f>
        <v>0</v>
      </c>
      <c r="F199" s="355">
        <f>IF(F$3&lt;=time,'Attributable fraction'!AE143*(1+Economics!$B$4)^(F$3-$B$3)/((1+Economics!$B$3)^(F$3-$B$3)),"")</f>
        <v>0</v>
      </c>
      <c r="G199" s="355" t="str">
        <f>IF(G$3&lt;=time,'Attributable fraction'!AF143*(1+Economics!$B$4)^(G$3-$B$3)/((1+Economics!$B$3)^(G$3-$B$3)),"")</f>
        <v/>
      </c>
      <c r="H199" s="355" t="str">
        <f>IF(H$3&lt;=time,'Attributable fraction'!AG143*(1+Economics!$B$4)^(H$3-$B$3)/((1+Economics!$B$3)^(H$3-$B$3)),"")</f>
        <v/>
      </c>
      <c r="I199" s="355" t="str">
        <f>IF(I$3&lt;=time,'Attributable fraction'!AH143*(1+Economics!$B$4)^(I$3-$B$3)/((1+Economics!$B$3)^(I$3-$B$3)),"")</f>
        <v/>
      </c>
      <c r="J199" s="355" t="str">
        <f>IF(J$3&lt;=time,'Attributable fraction'!AI143*(1+Economics!$B$4)^(J$3-$B$3)/((1+Economics!$B$3)^(J$3-$B$3)),"")</f>
        <v/>
      </c>
      <c r="K199" s="355" t="str">
        <f>IF(K$3&lt;=time,'Attributable fraction'!AJ143*(1+Economics!$B$4)^(K$3-$B$3)/((1+Economics!$B$3)^(K$3-$B$3)),"")</f>
        <v/>
      </c>
      <c r="L199" s="355" t="str">
        <f>IF(L$3&lt;=time,'Attributable fraction'!AK143*(1+Economics!$B$4)^(L$3-$B$3)/((1+Economics!$B$3)^(L$3-$B$3)),"")</f>
        <v/>
      </c>
      <c r="M199" s="355" t="str">
        <f>IF(M$3&lt;=time,'Attributable fraction'!AL143*(1+Economics!$B$4)^(M$3-$B$3)/((1+Economics!$B$3)^(M$3-$B$3)),"")</f>
        <v/>
      </c>
      <c r="N199" s="355" t="str">
        <f>IF(N$3&lt;=time,'Attributable fraction'!AM143*(1+Economics!$B$4)^(N$3-$B$3)/((1+Economics!$B$3)^(N$3-$B$3)),"")</f>
        <v/>
      </c>
      <c r="O199" s="355" t="str">
        <f>IF(O$3&lt;=time,'Attributable fraction'!AN143*(1+Economics!$B$4)^(O$3-$B$3)/((1+Economics!$B$3)^(O$3-$B$3)),"")</f>
        <v/>
      </c>
      <c r="P199" s="355" t="str">
        <f>IF(P$3&lt;=time,'Attributable fraction'!AO143*(1+Economics!$B$4)^(P$3-$B$3)/((1+Economics!$B$3)^(P$3-$B$3)),"")</f>
        <v/>
      </c>
      <c r="Q199" s="355" t="str">
        <f>IF(Q$3&lt;=time,'Attributable fraction'!AP143*(1+Economics!$B$4)^(Q$3-$B$3)/((1+Economics!$B$3)^(Q$3-$B$3)),"")</f>
        <v/>
      </c>
      <c r="R199" s="355" t="str">
        <f>IF(R$3&lt;=time,'Attributable fraction'!AQ143*(1+Economics!$B$4)^(R$3-$B$3)/((1+Economics!$B$3)^(R$3-$B$3)),"")</f>
        <v/>
      </c>
      <c r="S199" s="355" t="str">
        <f>IF(S$3&lt;=time,'Attributable fraction'!AR143*(1+Economics!$B$4)^(S$3-$B$3)/((1+Economics!$B$3)^(S$3-$B$3)),"")</f>
        <v/>
      </c>
      <c r="T199" s="355" t="str">
        <f>IF(T$3&lt;=time,'Attributable fraction'!AS143*(1+Economics!$B$4)^(T$3-$B$3)/((1+Economics!$B$3)^(T$3-$B$3)),"")</f>
        <v/>
      </c>
      <c r="U199" s="355" t="str">
        <f>IF(U$3&lt;=time,'Attributable fraction'!AT143*(1+Economics!$B$4)^(U$3-$B$3)/((1+Economics!$B$3)^(U$3-$B$3)),"")</f>
        <v/>
      </c>
      <c r="V199" s="355" t="str">
        <f>IF(V$3&lt;=time,'Attributable fraction'!AU143*(1+Economics!$B$4)^(V$3-$B$3)/((1+Economics!$B$3)^(V$3-$B$3)),"")</f>
        <v/>
      </c>
      <c r="W199" s="355" t="str">
        <f>IF(W$3&lt;=time,'Attributable fraction'!AV143*(1+Economics!$B$4)^(W$3-$B$3)/((1+Economics!$B$3)^(W$3-$B$3)),"")</f>
        <v/>
      </c>
      <c r="X199" s="355" t="str">
        <f>IF(X$3&lt;=time,'Attributable fraction'!AW143*(1+Economics!$B$4)^(X$3-$B$3)/((1+Economics!$B$3)^(X$3-$B$3)),"")</f>
        <v/>
      </c>
      <c r="Y199" s="355" t="str">
        <f>IF(Y$3&lt;=time,'Attributable fraction'!AX143*(1+Economics!$B$4)^(Y$3-$B$3)/((1+Economics!$B$3)^(Y$3-$B$3)),"")</f>
        <v/>
      </c>
      <c r="Z199" s="356" t="str">
        <f>IF(Z$3&lt;=time,'Attributable fraction'!AY143*(1+Economics!$B$4)^(Z$3-$B$3)/((1+Economics!$B$3)^(Z$3-$B$3)),"")</f>
        <v/>
      </c>
      <c r="AC199" s="142">
        <f t="shared" si="36"/>
        <v>0</v>
      </c>
      <c r="AE199" s="376">
        <v>10</v>
      </c>
      <c r="AF199" s="176" t="e">
        <f t="array" ref="AF199">STDEV(IF(B199:Z199&lt;&gt;0,B199:Z199))</f>
        <v>#DIV/0!</v>
      </c>
      <c r="AG199" s="176">
        <v>1.96</v>
      </c>
      <c r="AH199" s="176" t="e">
        <f t="shared" si="37"/>
        <v>#DIV/0!</v>
      </c>
      <c r="AI199" s="176">
        <f t="shared" si="38"/>
        <v>0</v>
      </c>
    </row>
    <row r="200" spans="1:35" s="196" customFormat="1" ht="18" hidden="1">
      <c r="A200" s="290"/>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255"/>
      <c r="Y200" s="255"/>
      <c r="Z200" s="377"/>
      <c r="AB200" s="114"/>
      <c r="AD200" s="114"/>
    </row>
    <row r="201" spans="1:35" hidden="1">
      <c r="A201" s="378" t="str">
        <f>Costs!A145</f>
        <v>Services 1</v>
      </c>
      <c r="B201" s="355">
        <f>IF(B$3&lt;=time,'Attributable fraction'!AA145*(1+Economics!$B$4)^(B$3-$B$3)/((1+Economics!$B$3)^(B$3-$B$3)),"")</f>
        <v>0</v>
      </c>
      <c r="C201" s="355">
        <f>IF(C$3&lt;=time,'Attributable fraction'!AB145*(1+Economics!$B$4)^(C$3-$B$3)/((1+Economics!$B$3)^(C$3-$B$3)),"")</f>
        <v>0</v>
      </c>
      <c r="D201" s="355">
        <f>IF(D$3&lt;=time,'Attributable fraction'!AC145*(1+Economics!$B$4)^(D$3-$B$3)/((1+Economics!$B$3)^(D$3-$B$3)),"")</f>
        <v>0</v>
      </c>
      <c r="E201" s="355">
        <f>IF(E$3&lt;=time,'Attributable fraction'!AD145*(1+Economics!$B$4)^(E$3-$B$3)/((1+Economics!$B$3)^(E$3-$B$3)),"")</f>
        <v>0</v>
      </c>
      <c r="F201" s="355">
        <f>IF(F$3&lt;=time,'Attributable fraction'!AE145*(1+Economics!$B$4)^(F$3-$B$3)/((1+Economics!$B$3)^(F$3-$B$3)),"")</f>
        <v>0</v>
      </c>
      <c r="G201" s="355" t="str">
        <f>IF(G$3&lt;=time,'Attributable fraction'!AF145*(1+Economics!$B$4)^(G$3-$B$3)/((1+Economics!$B$3)^(G$3-$B$3)),"")</f>
        <v/>
      </c>
      <c r="H201" s="355" t="str">
        <f>IF(H$3&lt;=time,'Attributable fraction'!AG145*(1+Economics!$B$4)^(H$3-$B$3)/((1+Economics!$B$3)^(H$3-$B$3)),"")</f>
        <v/>
      </c>
      <c r="I201" s="355" t="str">
        <f>IF(I$3&lt;=time,'Attributable fraction'!AH145*(1+Economics!$B$4)^(I$3-$B$3)/((1+Economics!$B$3)^(I$3-$B$3)),"")</f>
        <v/>
      </c>
      <c r="J201" s="355" t="str">
        <f>IF(J$3&lt;=time,'Attributable fraction'!AI145*(1+Economics!$B$4)^(J$3-$B$3)/((1+Economics!$B$3)^(J$3-$B$3)),"")</f>
        <v/>
      </c>
      <c r="K201" s="355" t="str">
        <f>IF(K$3&lt;=time,'Attributable fraction'!AJ145*(1+Economics!$B$4)^(K$3-$B$3)/((1+Economics!$B$3)^(K$3-$B$3)),"")</f>
        <v/>
      </c>
      <c r="L201" s="355" t="str">
        <f>IF(L$3&lt;=time,'Attributable fraction'!AK145*(1+Economics!$B$4)^(L$3-$B$3)/((1+Economics!$B$3)^(L$3-$B$3)),"")</f>
        <v/>
      </c>
      <c r="M201" s="355" t="str">
        <f>IF(M$3&lt;=time,'Attributable fraction'!AL145*(1+Economics!$B$4)^(M$3-$B$3)/((1+Economics!$B$3)^(M$3-$B$3)),"")</f>
        <v/>
      </c>
      <c r="N201" s="355" t="str">
        <f>IF(N$3&lt;=time,'Attributable fraction'!AM145*(1+Economics!$B$4)^(N$3-$B$3)/((1+Economics!$B$3)^(N$3-$B$3)),"")</f>
        <v/>
      </c>
      <c r="O201" s="355" t="str">
        <f>IF(O$3&lt;=time,'Attributable fraction'!AN145*(1+Economics!$B$4)^(O$3-$B$3)/((1+Economics!$B$3)^(O$3-$B$3)),"")</f>
        <v/>
      </c>
      <c r="P201" s="355" t="str">
        <f>IF(P$3&lt;=time,'Attributable fraction'!AO145*(1+Economics!$B$4)^(P$3-$B$3)/((1+Economics!$B$3)^(P$3-$B$3)),"")</f>
        <v/>
      </c>
      <c r="Q201" s="355" t="str">
        <f>IF(Q$3&lt;=time,'Attributable fraction'!AP145*(1+Economics!$B$4)^(Q$3-$B$3)/((1+Economics!$B$3)^(Q$3-$B$3)),"")</f>
        <v/>
      </c>
      <c r="R201" s="355" t="str">
        <f>IF(R$3&lt;=time,'Attributable fraction'!AQ145*(1+Economics!$B$4)^(R$3-$B$3)/((1+Economics!$B$3)^(R$3-$B$3)),"")</f>
        <v/>
      </c>
      <c r="S201" s="355" t="str">
        <f>IF(S$3&lt;=time,'Attributable fraction'!AR145*(1+Economics!$B$4)^(S$3-$B$3)/((1+Economics!$B$3)^(S$3-$B$3)),"")</f>
        <v/>
      </c>
      <c r="T201" s="355" t="str">
        <f>IF(T$3&lt;=time,'Attributable fraction'!AS145*(1+Economics!$B$4)^(T$3-$B$3)/((1+Economics!$B$3)^(T$3-$B$3)),"")</f>
        <v/>
      </c>
      <c r="U201" s="355" t="str">
        <f>IF(U$3&lt;=time,'Attributable fraction'!AT145*(1+Economics!$B$4)^(U$3-$B$3)/((1+Economics!$B$3)^(U$3-$B$3)),"")</f>
        <v/>
      </c>
      <c r="V201" s="355" t="str">
        <f>IF(V$3&lt;=time,'Attributable fraction'!AU145*(1+Economics!$B$4)^(V$3-$B$3)/((1+Economics!$B$3)^(V$3-$B$3)),"")</f>
        <v/>
      </c>
      <c r="W201" s="355" t="str">
        <f>IF(W$3&lt;=time,'Attributable fraction'!AV145*(1+Economics!$B$4)^(W$3-$B$3)/((1+Economics!$B$3)^(W$3-$B$3)),"")</f>
        <v/>
      </c>
      <c r="X201" s="355" t="str">
        <f>IF(X$3&lt;=time,'Attributable fraction'!AW145*(1+Economics!$B$4)^(X$3-$B$3)/((1+Economics!$B$3)^(X$3-$B$3)),"")</f>
        <v/>
      </c>
      <c r="Y201" s="355" t="str">
        <f>IF(Y$3&lt;=time,'Attributable fraction'!AX145*(1+Economics!$B$4)^(Y$3-$B$3)/((1+Economics!$B$3)^(Y$3-$B$3)),"")</f>
        <v/>
      </c>
      <c r="Z201" s="356" t="str">
        <f>IF(Z$3&lt;=time,'Attributable fraction'!AY145*(1+Economics!$B$4)^(Z$3-$B$3)/((1+Economics!$B$3)^(Z$3-$B$3)),"")</f>
        <v/>
      </c>
      <c r="AC201" s="142">
        <f t="shared" ref="AC201:AC210" si="39">(SUM(IF(ISERROR(Z201),"0",Z201),IF(ISERROR(Y201),"0",Y201),IF(ISERROR(X201),"0",X201),IF(ISERROR(W201),"0",W201),IF(ISERROR(V201),"0",V201),IF(ISERROR(U201),"0",U201),IF(ISERROR(T201),"0",T201),IF(ISERROR(S201),"0",S201),IF(ISERROR(R201),"0",R201),IF(ISERROR(Q201),"0",Q201), IF(ISERROR(P201),"0",P201),IF(ISERROR(O201),"0",O201),IF(ISERROR(N201),"0",N201),IF(ISERROR(M201),"0",M201),IF(ISERROR(L201),"0",L201),IF(ISERROR(K201),"0",K201),IF(ISERROR(J201),"0",J201),IF(ISERROR(I201),"0",I201),IF(ISERROR(H201),"0",H201),IF(ISERROR(G201),"0",G201),IF(ISERROR(F201),"0",F201),IF(ISERROR(E201),"0",E201),IF(ISERROR(D201),"0",D201),IF(ISERROR(C201),"0",C201),IF(ISERROR(B201),"0",B201)))/time</f>
        <v>0</v>
      </c>
      <c r="AE201" s="375">
        <v>1</v>
      </c>
      <c r="AF201" s="176" t="e">
        <f t="array" ref="AF201">STDEV(IF(B201:Z201&lt;&gt;0,B201:Z201))</f>
        <v>#DIV/0!</v>
      </c>
      <c r="AG201" s="176">
        <v>1.96</v>
      </c>
      <c r="AH201" s="176" t="e">
        <f t="shared" ref="AH201:AH210" si="40">(AG201*AF201)/(time^0.5)</f>
        <v>#DIV/0!</v>
      </c>
      <c r="AI201" s="176">
        <f t="shared" si="38"/>
        <v>0</v>
      </c>
    </row>
    <row r="202" spans="1:35" hidden="1">
      <c r="A202" s="378" t="str">
        <f>Costs!A146</f>
        <v>Services 2</v>
      </c>
      <c r="B202" s="355">
        <f>IF(B$3&lt;=time,'Attributable fraction'!AA146*(1+Economics!$B$4)^(B$3-$B$3)/((1+Economics!$B$3)^(B$3-$B$3)),"")</f>
        <v>0</v>
      </c>
      <c r="C202" s="355">
        <f>IF(C$3&lt;=time,'Attributable fraction'!AB146*(1+Economics!$B$4)^(C$3-$B$3)/((1+Economics!$B$3)^(C$3-$B$3)),"")</f>
        <v>0</v>
      </c>
      <c r="D202" s="355">
        <f>IF(D$3&lt;=time,'Attributable fraction'!AC146*(1+Economics!$B$4)^(D$3-$B$3)/((1+Economics!$B$3)^(D$3-$B$3)),"")</f>
        <v>0</v>
      </c>
      <c r="E202" s="355">
        <f>IF(E$3&lt;=time,'Attributable fraction'!AD146*(1+Economics!$B$4)^(E$3-$B$3)/((1+Economics!$B$3)^(E$3-$B$3)),"")</f>
        <v>0</v>
      </c>
      <c r="F202" s="355">
        <f>IF(F$3&lt;=time,'Attributable fraction'!AE146*(1+Economics!$B$4)^(F$3-$B$3)/((1+Economics!$B$3)^(F$3-$B$3)),"")</f>
        <v>0</v>
      </c>
      <c r="G202" s="355" t="str">
        <f>IF(G$3&lt;=time,'Attributable fraction'!AF146*(1+Economics!$B$4)^(G$3-$B$3)/((1+Economics!$B$3)^(G$3-$B$3)),"")</f>
        <v/>
      </c>
      <c r="H202" s="355" t="str">
        <f>IF(H$3&lt;=time,'Attributable fraction'!AG146*(1+Economics!$B$4)^(H$3-$B$3)/((1+Economics!$B$3)^(H$3-$B$3)),"")</f>
        <v/>
      </c>
      <c r="I202" s="355" t="str">
        <f>IF(I$3&lt;=time,'Attributable fraction'!AH146*(1+Economics!$B$4)^(I$3-$B$3)/((1+Economics!$B$3)^(I$3-$B$3)),"")</f>
        <v/>
      </c>
      <c r="J202" s="355" t="str">
        <f>IF(J$3&lt;=time,'Attributable fraction'!AI146*(1+Economics!$B$4)^(J$3-$B$3)/((1+Economics!$B$3)^(J$3-$B$3)),"")</f>
        <v/>
      </c>
      <c r="K202" s="355" t="str">
        <f>IF(K$3&lt;=time,'Attributable fraction'!AJ146*(1+Economics!$B$4)^(K$3-$B$3)/((1+Economics!$B$3)^(K$3-$B$3)),"")</f>
        <v/>
      </c>
      <c r="L202" s="355" t="str">
        <f>IF(L$3&lt;=time,'Attributable fraction'!AK146*(1+Economics!$B$4)^(L$3-$B$3)/((1+Economics!$B$3)^(L$3-$B$3)),"")</f>
        <v/>
      </c>
      <c r="M202" s="355" t="str">
        <f>IF(M$3&lt;=time,'Attributable fraction'!AL146*(1+Economics!$B$4)^(M$3-$B$3)/((1+Economics!$B$3)^(M$3-$B$3)),"")</f>
        <v/>
      </c>
      <c r="N202" s="355" t="str">
        <f>IF(N$3&lt;=time,'Attributable fraction'!AM146*(1+Economics!$B$4)^(N$3-$B$3)/((1+Economics!$B$3)^(N$3-$B$3)),"")</f>
        <v/>
      </c>
      <c r="O202" s="355" t="str">
        <f>IF(O$3&lt;=time,'Attributable fraction'!AN146*(1+Economics!$B$4)^(O$3-$B$3)/((1+Economics!$B$3)^(O$3-$B$3)),"")</f>
        <v/>
      </c>
      <c r="P202" s="355" t="str">
        <f>IF(P$3&lt;=time,'Attributable fraction'!AO146*(1+Economics!$B$4)^(P$3-$B$3)/((1+Economics!$B$3)^(P$3-$B$3)),"")</f>
        <v/>
      </c>
      <c r="Q202" s="355" t="str">
        <f>IF(Q$3&lt;=time,'Attributable fraction'!AP146*(1+Economics!$B$4)^(Q$3-$B$3)/((1+Economics!$B$3)^(Q$3-$B$3)),"")</f>
        <v/>
      </c>
      <c r="R202" s="355" t="str">
        <f>IF(R$3&lt;=time,'Attributable fraction'!AQ146*(1+Economics!$B$4)^(R$3-$B$3)/((1+Economics!$B$3)^(R$3-$B$3)),"")</f>
        <v/>
      </c>
      <c r="S202" s="355" t="str">
        <f>IF(S$3&lt;=time,'Attributable fraction'!AR146*(1+Economics!$B$4)^(S$3-$B$3)/((1+Economics!$B$3)^(S$3-$B$3)),"")</f>
        <v/>
      </c>
      <c r="T202" s="355" t="str">
        <f>IF(T$3&lt;=time,'Attributable fraction'!AS146*(1+Economics!$B$4)^(T$3-$B$3)/((1+Economics!$B$3)^(T$3-$B$3)),"")</f>
        <v/>
      </c>
      <c r="U202" s="355" t="str">
        <f>IF(U$3&lt;=time,'Attributable fraction'!AT146*(1+Economics!$B$4)^(U$3-$B$3)/((1+Economics!$B$3)^(U$3-$B$3)),"")</f>
        <v/>
      </c>
      <c r="V202" s="355" t="str">
        <f>IF(V$3&lt;=time,'Attributable fraction'!AU146*(1+Economics!$B$4)^(V$3-$B$3)/((1+Economics!$B$3)^(V$3-$B$3)),"")</f>
        <v/>
      </c>
      <c r="W202" s="355" t="str">
        <f>IF(W$3&lt;=time,'Attributable fraction'!AV146*(1+Economics!$B$4)^(W$3-$B$3)/((1+Economics!$B$3)^(W$3-$B$3)),"")</f>
        <v/>
      </c>
      <c r="X202" s="355" t="str">
        <f>IF(X$3&lt;=time,'Attributable fraction'!AW146*(1+Economics!$B$4)^(X$3-$B$3)/((1+Economics!$B$3)^(X$3-$B$3)),"")</f>
        <v/>
      </c>
      <c r="Y202" s="355" t="str">
        <f>IF(Y$3&lt;=time,'Attributable fraction'!AX146*(1+Economics!$B$4)^(Y$3-$B$3)/((1+Economics!$B$3)^(Y$3-$B$3)),"")</f>
        <v/>
      </c>
      <c r="Z202" s="356" t="str">
        <f>IF(Z$3&lt;=time,'Attributable fraction'!AY146*(1+Economics!$B$4)^(Z$3-$B$3)/((1+Economics!$B$3)^(Z$3-$B$3)),"")</f>
        <v/>
      </c>
      <c r="AC202" s="142">
        <f t="shared" si="39"/>
        <v>0</v>
      </c>
      <c r="AE202" s="376">
        <v>2</v>
      </c>
      <c r="AF202" s="176" t="e">
        <f t="array" ref="AF202">STDEV(IF(B202:Z202&lt;&gt;0,B202:Z202))</f>
        <v>#DIV/0!</v>
      </c>
      <c r="AG202" s="176">
        <v>1.96</v>
      </c>
      <c r="AH202" s="176" t="e">
        <f t="shared" si="40"/>
        <v>#DIV/0!</v>
      </c>
      <c r="AI202" s="176">
        <f t="shared" si="38"/>
        <v>0</v>
      </c>
    </row>
    <row r="203" spans="1:35" hidden="1">
      <c r="A203" s="378" t="str">
        <f>Costs!A147</f>
        <v>Services 3</v>
      </c>
      <c r="B203" s="355">
        <f>IF(B$3&lt;=time,'Attributable fraction'!AA147*(1+Economics!$B$4)^(B$3-$B$3)/((1+Economics!$B$3)^(B$3-$B$3)),"")</f>
        <v>0</v>
      </c>
      <c r="C203" s="355">
        <f>IF(C$3&lt;=time,'Attributable fraction'!AB147*(1+Economics!$B$4)^(C$3-$B$3)/((1+Economics!$B$3)^(C$3-$B$3)),"")</f>
        <v>0</v>
      </c>
      <c r="D203" s="355">
        <f>IF(D$3&lt;=time,'Attributable fraction'!AC147*(1+Economics!$B$4)^(D$3-$B$3)/((1+Economics!$B$3)^(D$3-$B$3)),"")</f>
        <v>0</v>
      </c>
      <c r="E203" s="355">
        <f>IF(E$3&lt;=time,'Attributable fraction'!AD147*(1+Economics!$B$4)^(E$3-$B$3)/((1+Economics!$B$3)^(E$3-$B$3)),"")</f>
        <v>0</v>
      </c>
      <c r="F203" s="355">
        <f>IF(F$3&lt;=time,'Attributable fraction'!AE147*(1+Economics!$B$4)^(F$3-$B$3)/((1+Economics!$B$3)^(F$3-$B$3)),"")</f>
        <v>0</v>
      </c>
      <c r="G203" s="355" t="str">
        <f>IF(G$3&lt;=time,'Attributable fraction'!AF147*(1+Economics!$B$4)^(G$3-$B$3)/((1+Economics!$B$3)^(G$3-$B$3)),"")</f>
        <v/>
      </c>
      <c r="H203" s="355" t="str">
        <f>IF(H$3&lt;=time,'Attributable fraction'!AG147*(1+Economics!$B$4)^(H$3-$B$3)/((1+Economics!$B$3)^(H$3-$B$3)),"")</f>
        <v/>
      </c>
      <c r="I203" s="355" t="str">
        <f>IF(I$3&lt;=time,'Attributable fraction'!AH147*(1+Economics!$B$4)^(I$3-$B$3)/((1+Economics!$B$3)^(I$3-$B$3)),"")</f>
        <v/>
      </c>
      <c r="J203" s="355" t="str">
        <f>IF(J$3&lt;=time,'Attributable fraction'!AI147*(1+Economics!$B$4)^(J$3-$B$3)/((1+Economics!$B$3)^(J$3-$B$3)),"")</f>
        <v/>
      </c>
      <c r="K203" s="355" t="str">
        <f>IF(K$3&lt;=time,'Attributable fraction'!AJ147*(1+Economics!$B$4)^(K$3-$B$3)/((1+Economics!$B$3)^(K$3-$B$3)),"")</f>
        <v/>
      </c>
      <c r="L203" s="355" t="str">
        <f>IF(L$3&lt;=time,'Attributable fraction'!AK147*(1+Economics!$B$4)^(L$3-$B$3)/((1+Economics!$B$3)^(L$3-$B$3)),"")</f>
        <v/>
      </c>
      <c r="M203" s="355" t="str">
        <f>IF(M$3&lt;=time,'Attributable fraction'!AL147*(1+Economics!$B$4)^(M$3-$B$3)/((1+Economics!$B$3)^(M$3-$B$3)),"")</f>
        <v/>
      </c>
      <c r="N203" s="355" t="str">
        <f>IF(N$3&lt;=time,'Attributable fraction'!AM147*(1+Economics!$B$4)^(N$3-$B$3)/((1+Economics!$B$3)^(N$3-$B$3)),"")</f>
        <v/>
      </c>
      <c r="O203" s="355" t="str">
        <f>IF(O$3&lt;=time,'Attributable fraction'!AN147*(1+Economics!$B$4)^(O$3-$B$3)/((1+Economics!$B$3)^(O$3-$B$3)),"")</f>
        <v/>
      </c>
      <c r="P203" s="355" t="str">
        <f>IF(P$3&lt;=time,'Attributable fraction'!AO147*(1+Economics!$B$4)^(P$3-$B$3)/((1+Economics!$B$3)^(P$3-$B$3)),"")</f>
        <v/>
      </c>
      <c r="Q203" s="355" t="str">
        <f>IF(Q$3&lt;=time,'Attributable fraction'!AP147*(1+Economics!$B$4)^(Q$3-$B$3)/((1+Economics!$B$3)^(Q$3-$B$3)),"")</f>
        <v/>
      </c>
      <c r="R203" s="355" t="str">
        <f>IF(R$3&lt;=time,'Attributable fraction'!AQ147*(1+Economics!$B$4)^(R$3-$B$3)/((1+Economics!$B$3)^(R$3-$B$3)),"")</f>
        <v/>
      </c>
      <c r="S203" s="355" t="str">
        <f>IF(S$3&lt;=time,'Attributable fraction'!AR147*(1+Economics!$B$4)^(S$3-$B$3)/((1+Economics!$B$3)^(S$3-$B$3)),"")</f>
        <v/>
      </c>
      <c r="T203" s="355" t="str">
        <f>IF(T$3&lt;=time,'Attributable fraction'!AS147*(1+Economics!$B$4)^(T$3-$B$3)/((1+Economics!$B$3)^(T$3-$B$3)),"")</f>
        <v/>
      </c>
      <c r="U203" s="355" t="str">
        <f>IF(U$3&lt;=time,'Attributable fraction'!AT147*(1+Economics!$B$4)^(U$3-$B$3)/((1+Economics!$B$3)^(U$3-$B$3)),"")</f>
        <v/>
      </c>
      <c r="V203" s="355" t="str">
        <f>IF(V$3&lt;=time,'Attributable fraction'!AU147*(1+Economics!$B$4)^(V$3-$B$3)/((1+Economics!$B$3)^(V$3-$B$3)),"")</f>
        <v/>
      </c>
      <c r="W203" s="355" t="str">
        <f>IF(W$3&lt;=time,'Attributable fraction'!AV147*(1+Economics!$B$4)^(W$3-$B$3)/((1+Economics!$B$3)^(W$3-$B$3)),"")</f>
        <v/>
      </c>
      <c r="X203" s="355" t="str">
        <f>IF(X$3&lt;=time,'Attributable fraction'!AW147*(1+Economics!$B$4)^(X$3-$B$3)/((1+Economics!$B$3)^(X$3-$B$3)),"")</f>
        <v/>
      </c>
      <c r="Y203" s="355" t="str">
        <f>IF(Y$3&lt;=time,'Attributable fraction'!AX147*(1+Economics!$B$4)^(Y$3-$B$3)/((1+Economics!$B$3)^(Y$3-$B$3)),"")</f>
        <v/>
      </c>
      <c r="Z203" s="356" t="str">
        <f>IF(Z$3&lt;=time,'Attributable fraction'!AY147*(1+Economics!$B$4)^(Z$3-$B$3)/((1+Economics!$B$3)^(Z$3-$B$3)),"")</f>
        <v/>
      </c>
      <c r="AC203" s="142">
        <f t="shared" si="39"/>
        <v>0</v>
      </c>
      <c r="AE203" s="376">
        <v>3</v>
      </c>
      <c r="AF203" s="176" t="e">
        <f t="array" ref="AF203">STDEV(IF(B203:Z203&lt;&gt;0,B203:Z203))</f>
        <v>#DIV/0!</v>
      </c>
      <c r="AG203" s="176">
        <v>1.96</v>
      </c>
      <c r="AH203" s="176" t="e">
        <f t="shared" si="40"/>
        <v>#DIV/0!</v>
      </c>
      <c r="AI203" s="176">
        <f t="shared" si="38"/>
        <v>0</v>
      </c>
    </row>
    <row r="204" spans="1:35" hidden="1">
      <c r="A204" s="378" t="str">
        <f>Costs!A148</f>
        <v>Services 4</v>
      </c>
      <c r="B204" s="355">
        <f>IF(B$3&lt;=time,'Attributable fraction'!AA148*(1+Economics!$B$4)^(B$3-$B$3)/((1+Economics!$B$3)^(B$3-$B$3)),"")</f>
        <v>0</v>
      </c>
      <c r="C204" s="355">
        <f>IF(C$3&lt;=time,'Attributable fraction'!AB148*(1+Economics!$B$4)^(C$3-$B$3)/((1+Economics!$B$3)^(C$3-$B$3)),"")</f>
        <v>0</v>
      </c>
      <c r="D204" s="355">
        <f>IF(D$3&lt;=time,'Attributable fraction'!AC148*(1+Economics!$B$4)^(D$3-$B$3)/((1+Economics!$B$3)^(D$3-$B$3)),"")</f>
        <v>0</v>
      </c>
      <c r="E204" s="355">
        <f>IF(E$3&lt;=time,'Attributable fraction'!AD148*(1+Economics!$B$4)^(E$3-$B$3)/((1+Economics!$B$3)^(E$3-$B$3)),"")</f>
        <v>0</v>
      </c>
      <c r="F204" s="355">
        <f>IF(F$3&lt;=time,'Attributable fraction'!AE148*(1+Economics!$B$4)^(F$3-$B$3)/((1+Economics!$B$3)^(F$3-$B$3)),"")</f>
        <v>0</v>
      </c>
      <c r="G204" s="355" t="str">
        <f>IF(G$3&lt;=time,'Attributable fraction'!AF148*(1+Economics!$B$4)^(G$3-$B$3)/((1+Economics!$B$3)^(G$3-$B$3)),"")</f>
        <v/>
      </c>
      <c r="H204" s="355" t="str">
        <f>IF(H$3&lt;=time,'Attributable fraction'!AG148*(1+Economics!$B$4)^(H$3-$B$3)/((1+Economics!$B$3)^(H$3-$B$3)),"")</f>
        <v/>
      </c>
      <c r="I204" s="355" t="str">
        <f>IF(I$3&lt;=time,'Attributable fraction'!AH148*(1+Economics!$B$4)^(I$3-$B$3)/((1+Economics!$B$3)^(I$3-$B$3)),"")</f>
        <v/>
      </c>
      <c r="J204" s="355" t="str">
        <f>IF(J$3&lt;=time,'Attributable fraction'!AI148*(1+Economics!$B$4)^(J$3-$B$3)/((1+Economics!$B$3)^(J$3-$B$3)),"")</f>
        <v/>
      </c>
      <c r="K204" s="355" t="str">
        <f>IF(K$3&lt;=time,'Attributable fraction'!AJ148*(1+Economics!$B$4)^(K$3-$B$3)/((1+Economics!$B$3)^(K$3-$B$3)),"")</f>
        <v/>
      </c>
      <c r="L204" s="355" t="str">
        <f>IF(L$3&lt;=time,'Attributable fraction'!AK148*(1+Economics!$B$4)^(L$3-$B$3)/((1+Economics!$B$3)^(L$3-$B$3)),"")</f>
        <v/>
      </c>
      <c r="M204" s="355" t="str">
        <f>IF(M$3&lt;=time,'Attributable fraction'!AL148*(1+Economics!$B$4)^(M$3-$B$3)/((1+Economics!$B$3)^(M$3-$B$3)),"")</f>
        <v/>
      </c>
      <c r="N204" s="355" t="str">
        <f>IF(N$3&lt;=time,'Attributable fraction'!AM148*(1+Economics!$B$4)^(N$3-$B$3)/((1+Economics!$B$3)^(N$3-$B$3)),"")</f>
        <v/>
      </c>
      <c r="O204" s="355" t="str">
        <f>IF(O$3&lt;=time,'Attributable fraction'!AN148*(1+Economics!$B$4)^(O$3-$B$3)/((1+Economics!$B$3)^(O$3-$B$3)),"")</f>
        <v/>
      </c>
      <c r="P204" s="355" t="str">
        <f>IF(P$3&lt;=time,'Attributable fraction'!AO148*(1+Economics!$B$4)^(P$3-$B$3)/((1+Economics!$B$3)^(P$3-$B$3)),"")</f>
        <v/>
      </c>
      <c r="Q204" s="355" t="str">
        <f>IF(Q$3&lt;=time,'Attributable fraction'!AP148*(1+Economics!$B$4)^(Q$3-$B$3)/((1+Economics!$B$3)^(Q$3-$B$3)),"")</f>
        <v/>
      </c>
      <c r="R204" s="355" t="str">
        <f>IF(R$3&lt;=time,'Attributable fraction'!AQ148*(1+Economics!$B$4)^(R$3-$B$3)/((1+Economics!$B$3)^(R$3-$B$3)),"")</f>
        <v/>
      </c>
      <c r="S204" s="355" t="str">
        <f>IF(S$3&lt;=time,'Attributable fraction'!AR148*(1+Economics!$B$4)^(S$3-$B$3)/((1+Economics!$B$3)^(S$3-$B$3)),"")</f>
        <v/>
      </c>
      <c r="T204" s="355" t="str">
        <f>IF(T$3&lt;=time,'Attributable fraction'!AS148*(1+Economics!$B$4)^(T$3-$B$3)/((1+Economics!$B$3)^(T$3-$B$3)),"")</f>
        <v/>
      </c>
      <c r="U204" s="355" t="str">
        <f>IF(U$3&lt;=time,'Attributable fraction'!AT148*(1+Economics!$B$4)^(U$3-$B$3)/((1+Economics!$B$3)^(U$3-$B$3)),"")</f>
        <v/>
      </c>
      <c r="V204" s="355" t="str">
        <f>IF(V$3&lt;=time,'Attributable fraction'!AU148*(1+Economics!$B$4)^(V$3-$B$3)/((1+Economics!$B$3)^(V$3-$B$3)),"")</f>
        <v/>
      </c>
      <c r="W204" s="355" t="str">
        <f>IF(W$3&lt;=time,'Attributable fraction'!AV148*(1+Economics!$B$4)^(W$3-$B$3)/((1+Economics!$B$3)^(W$3-$B$3)),"")</f>
        <v/>
      </c>
      <c r="X204" s="355" t="str">
        <f>IF(X$3&lt;=time,'Attributable fraction'!AW148*(1+Economics!$B$4)^(X$3-$B$3)/((1+Economics!$B$3)^(X$3-$B$3)),"")</f>
        <v/>
      </c>
      <c r="Y204" s="355" t="str">
        <f>IF(Y$3&lt;=time,'Attributable fraction'!AX148*(1+Economics!$B$4)^(Y$3-$B$3)/((1+Economics!$B$3)^(Y$3-$B$3)),"")</f>
        <v/>
      </c>
      <c r="Z204" s="356" t="str">
        <f>IF(Z$3&lt;=time,'Attributable fraction'!AY148*(1+Economics!$B$4)^(Z$3-$B$3)/((1+Economics!$B$3)^(Z$3-$B$3)),"")</f>
        <v/>
      </c>
      <c r="AC204" s="142">
        <f t="shared" si="39"/>
        <v>0</v>
      </c>
      <c r="AE204" s="376">
        <v>4</v>
      </c>
      <c r="AF204" s="176" t="e">
        <f t="array" ref="AF204">STDEV(IF(B204:Z204&lt;&gt;0,B204:Z204))</f>
        <v>#DIV/0!</v>
      </c>
      <c r="AG204" s="176">
        <v>1.96</v>
      </c>
      <c r="AH204" s="176" t="e">
        <f t="shared" si="40"/>
        <v>#DIV/0!</v>
      </c>
      <c r="AI204" s="176">
        <f t="shared" si="38"/>
        <v>0</v>
      </c>
    </row>
    <row r="205" spans="1:35" hidden="1">
      <c r="A205" s="378" t="str">
        <f>Costs!A149</f>
        <v>Services 5</v>
      </c>
      <c r="B205" s="355">
        <f>IF(B$3&lt;=time,'Attributable fraction'!AA149*(1+Economics!$B$4)^(B$3-$B$3)/((1+Economics!$B$3)^(B$3-$B$3)),"")</f>
        <v>0</v>
      </c>
      <c r="C205" s="355">
        <f>IF(C$3&lt;=time,'Attributable fraction'!AB149*(1+Economics!$B$4)^(C$3-$B$3)/((1+Economics!$B$3)^(C$3-$B$3)),"")</f>
        <v>0</v>
      </c>
      <c r="D205" s="355">
        <f>IF(D$3&lt;=time,'Attributable fraction'!AC149*(1+Economics!$B$4)^(D$3-$B$3)/((1+Economics!$B$3)^(D$3-$B$3)),"")</f>
        <v>0</v>
      </c>
      <c r="E205" s="355">
        <f>IF(E$3&lt;=time,'Attributable fraction'!AD149*(1+Economics!$B$4)^(E$3-$B$3)/((1+Economics!$B$3)^(E$3-$B$3)),"")</f>
        <v>0</v>
      </c>
      <c r="F205" s="355">
        <f>IF(F$3&lt;=time,'Attributable fraction'!AE149*(1+Economics!$B$4)^(F$3-$B$3)/((1+Economics!$B$3)^(F$3-$B$3)),"")</f>
        <v>0</v>
      </c>
      <c r="G205" s="355" t="str">
        <f>IF(G$3&lt;=time,'Attributable fraction'!AF149*(1+Economics!$B$4)^(G$3-$B$3)/((1+Economics!$B$3)^(G$3-$B$3)),"")</f>
        <v/>
      </c>
      <c r="H205" s="355" t="str">
        <f>IF(H$3&lt;=time,'Attributable fraction'!AG149*(1+Economics!$B$4)^(H$3-$B$3)/((1+Economics!$B$3)^(H$3-$B$3)),"")</f>
        <v/>
      </c>
      <c r="I205" s="355" t="str">
        <f>IF(I$3&lt;=time,'Attributable fraction'!AH149*(1+Economics!$B$4)^(I$3-$B$3)/((1+Economics!$B$3)^(I$3-$B$3)),"")</f>
        <v/>
      </c>
      <c r="J205" s="355" t="str">
        <f>IF(J$3&lt;=time,'Attributable fraction'!AI149*(1+Economics!$B$4)^(J$3-$B$3)/((1+Economics!$B$3)^(J$3-$B$3)),"")</f>
        <v/>
      </c>
      <c r="K205" s="355" t="str">
        <f>IF(K$3&lt;=time,'Attributable fraction'!AJ149*(1+Economics!$B$4)^(K$3-$B$3)/((1+Economics!$B$3)^(K$3-$B$3)),"")</f>
        <v/>
      </c>
      <c r="L205" s="355" t="str">
        <f>IF(L$3&lt;=time,'Attributable fraction'!AK149*(1+Economics!$B$4)^(L$3-$B$3)/((1+Economics!$B$3)^(L$3-$B$3)),"")</f>
        <v/>
      </c>
      <c r="M205" s="355" t="str">
        <f>IF(M$3&lt;=time,'Attributable fraction'!AL149*(1+Economics!$B$4)^(M$3-$B$3)/((1+Economics!$B$3)^(M$3-$B$3)),"")</f>
        <v/>
      </c>
      <c r="N205" s="355" t="str">
        <f>IF(N$3&lt;=time,'Attributable fraction'!AM149*(1+Economics!$B$4)^(N$3-$B$3)/((1+Economics!$B$3)^(N$3-$B$3)),"")</f>
        <v/>
      </c>
      <c r="O205" s="355" t="str">
        <f>IF(O$3&lt;=time,'Attributable fraction'!AN149*(1+Economics!$B$4)^(O$3-$B$3)/((1+Economics!$B$3)^(O$3-$B$3)),"")</f>
        <v/>
      </c>
      <c r="P205" s="355" t="str">
        <f>IF(P$3&lt;=time,'Attributable fraction'!AO149*(1+Economics!$B$4)^(P$3-$B$3)/((1+Economics!$B$3)^(P$3-$B$3)),"")</f>
        <v/>
      </c>
      <c r="Q205" s="355" t="str">
        <f>IF(Q$3&lt;=time,'Attributable fraction'!AP149*(1+Economics!$B$4)^(Q$3-$B$3)/((1+Economics!$B$3)^(Q$3-$B$3)),"")</f>
        <v/>
      </c>
      <c r="R205" s="355" t="str">
        <f>IF(R$3&lt;=time,'Attributable fraction'!AQ149*(1+Economics!$B$4)^(R$3-$B$3)/((1+Economics!$B$3)^(R$3-$B$3)),"")</f>
        <v/>
      </c>
      <c r="S205" s="355" t="str">
        <f>IF(S$3&lt;=time,'Attributable fraction'!AR149*(1+Economics!$B$4)^(S$3-$B$3)/((1+Economics!$B$3)^(S$3-$B$3)),"")</f>
        <v/>
      </c>
      <c r="T205" s="355" t="str">
        <f>IF(T$3&lt;=time,'Attributable fraction'!AS149*(1+Economics!$B$4)^(T$3-$B$3)/((1+Economics!$B$3)^(T$3-$B$3)),"")</f>
        <v/>
      </c>
      <c r="U205" s="355" t="str">
        <f>IF(U$3&lt;=time,'Attributable fraction'!AT149*(1+Economics!$B$4)^(U$3-$B$3)/((1+Economics!$B$3)^(U$3-$B$3)),"")</f>
        <v/>
      </c>
      <c r="V205" s="355" t="str">
        <f>IF(V$3&lt;=time,'Attributable fraction'!AU149*(1+Economics!$B$4)^(V$3-$B$3)/((1+Economics!$B$3)^(V$3-$B$3)),"")</f>
        <v/>
      </c>
      <c r="W205" s="355" t="str">
        <f>IF(W$3&lt;=time,'Attributable fraction'!AV149*(1+Economics!$B$4)^(W$3-$B$3)/((1+Economics!$B$3)^(W$3-$B$3)),"")</f>
        <v/>
      </c>
      <c r="X205" s="355" t="str">
        <f>IF(X$3&lt;=time,'Attributable fraction'!AW149*(1+Economics!$B$4)^(X$3-$B$3)/((1+Economics!$B$3)^(X$3-$B$3)),"")</f>
        <v/>
      </c>
      <c r="Y205" s="355" t="str">
        <f>IF(Y$3&lt;=time,'Attributable fraction'!AX149*(1+Economics!$B$4)^(Y$3-$B$3)/((1+Economics!$B$3)^(Y$3-$B$3)),"")</f>
        <v/>
      </c>
      <c r="Z205" s="356" t="str">
        <f>IF(Z$3&lt;=time,'Attributable fraction'!AY149*(1+Economics!$B$4)^(Z$3-$B$3)/((1+Economics!$B$3)^(Z$3-$B$3)),"")</f>
        <v/>
      </c>
      <c r="AC205" s="142">
        <f t="shared" si="39"/>
        <v>0</v>
      </c>
      <c r="AE205" s="376">
        <v>5</v>
      </c>
      <c r="AF205" s="176" t="e">
        <f t="array" ref="AF205">STDEV(IF(B205:Z205&lt;&gt;0,B205:Z205))</f>
        <v>#DIV/0!</v>
      </c>
      <c r="AG205" s="176">
        <v>1.96</v>
      </c>
      <c r="AH205" s="176" t="e">
        <f t="shared" si="40"/>
        <v>#DIV/0!</v>
      </c>
      <c r="AI205" s="176">
        <f t="shared" si="38"/>
        <v>0</v>
      </c>
    </row>
    <row r="206" spans="1:35" hidden="1">
      <c r="A206" s="378" t="str">
        <f>Costs!A150</f>
        <v>Services 6</v>
      </c>
      <c r="B206" s="355">
        <f>IF(B$3&lt;=time,'Attributable fraction'!AA150*(1+Economics!$B$4)^(B$3-$B$3)/((1+Economics!$B$3)^(B$3-$B$3)),"")</f>
        <v>0</v>
      </c>
      <c r="C206" s="355">
        <f>IF(C$3&lt;=time,'Attributable fraction'!AB150*(1+Economics!$B$4)^(C$3-$B$3)/((1+Economics!$B$3)^(C$3-$B$3)),"")</f>
        <v>0</v>
      </c>
      <c r="D206" s="355">
        <f>IF(D$3&lt;=time,'Attributable fraction'!AC150*(1+Economics!$B$4)^(D$3-$B$3)/((1+Economics!$B$3)^(D$3-$B$3)),"")</f>
        <v>0</v>
      </c>
      <c r="E206" s="355">
        <f>IF(E$3&lt;=time,'Attributable fraction'!AD150*(1+Economics!$B$4)^(E$3-$B$3)/((1+Economics!$B$3)^(E$3-$B$3)),"")</f>
        <v>0</v>
      </c>
      <c r="F206" s="355">
        <f>IF(F$3&lt;=time,'Attributable fraction'!AE150*(1+Economics!$B$4)^(F$3-$B$3)/((1+Economics!$B$3)^(F$3-$B$3)),"")</f>
        <v>0</v>
      </c>
      <c r="G206" s="355" t="str">
        <f>IF(G$3&lt;=time,'Attributable fraction'!AF150*(1+Economics!$B$4)^(G$3-$B$3)/((1+Economics!$B$3)^(G$3-$B$3)),"")</f>
        <v/>
      </c>
      <c r="H206" s="355" t="str">
        <f>IF(H$3&lt;=time,'Attributable fraction'!AG150*(1+Economics!$B$4)^(H$3-$B$3)/((1+Economics!$B$3)^(H$3-$B$3)),"")</f>
        <v/>
      </c>
      <c r="I206" s="355" t="str">
        <f>IF(I$3&lt;=time,'Attributable fraction'!AH150*(1+Economics!$B$4)^(I$3-$B$3)/((1+Economics!$B$3)^(I$3-$B$3)),"")</f>
        <v/>
      </c>
      <c r="J206" s="355" t="str">
        <f>IF(J$3&lt;=time,'Attributable fraction'!AI150*(1+Economics!$B$4)^(J$3-$B$3)/((1+Economics!$B$3)^(J$3-$B$3)),"")</f>
        <v/>
      </c>
      <c r="K206" s="355" t="str">
        <f>IF(K$3&lt;=time,'Attributable fraction'!AJ150*(1+Economics!$B$4)^(K$3-$B$3)/((1+Economics!$B$3)^(K$3-$B$3)),"")</f>
        <v/>
      </c>
      <c r="L206" s="355" t="str">
        <f>IF(L$3&lt;=time,'Attributable fraction'!AK150*(1+Economics!$B$4)^(L$3-$B$3)/((1+Economics!$B$3)^(L$3-$B$3)),"")</f>
        <v/>
      </c>
      <c r="M206" s="355" t="str">
        <f>IF(M$3&lt;=time,'Attributable fraction'!AL150*(1+Economics!$B$4)^(M$3-$B$3)/((1+Economics!$B$3)^(M$3-$B$3)),"")</f>
        <v/>
      </c>
      <c r="N206" s="355" t="str">
        <f>IF(N$3&lt;=time,'Attributable fraction'!AM150*(1+Economics!$B$4)^(N$3-$B$3)/((1+Economics!$B$3)^(N$3-$B$3)),"")</f>
        <v/>
      </c>
      <c r="O206" s="355" t="str">
        <f>IF(O$3&lt;=time,'Attributable fraction'!AN150*(1+Economics!$B$4)^(O$3-$B$3)/((1+Economics!$B$3)^(O$3-$B$3)),"")</f>
        <v/>
      </c>
      <c r="P206" s="355" t="str">
        <f>IF(P$3&lt;=time,'Attributable fraction'!AO150*(1+Economics!$B$4)^(P$3-$B$3)/((1+Economics!$B$3)^(P$3-$B$3)),"")</f>
        <v/>
      </c>
      <c r="Q206" s="355" t="str">
        <f>IF(Q$3&lt;=time,'Attributable fraction'!AP150*(1+Economics!$B$4)^(Q$3-$B$3)/((1+Economics!$B$3)^(Q$3-$B$3)),"")</f>
        <v/>
      </c>
      <c r="R206" s="355" t="str">
        <f>IF(R$3&lt;=time,'Attributable fraction'!AQ150*(1+Economics!$B$4)^(R$3-$B$3)/((1+Economics!$B$3)^(R$3-$B$3)),"")</f>
        <v/>
      </c>
      <c r="S206" s="355" t="str">
        <f>IF(S$3&lt;=time,'Attributable fraction'!AR150*(1+Economics!$B$4)^(S$3-$B$3)/((1+Economics!$B$3)^(S$3-$B$3)),"")</f>
        <v/>
      </c>
      <c r="T206" s="355" t="str">
        <f>IF(T$3&lt;=time,'Attributable fraction'!AS150*(1+Economics!$B$4)^(T$3-$B$3)/((1+Economics!$B$3)^(T$3-$B$3)),"")</f>
        <v/>
      </c>
      <c r="U206" s="355" t="str">
        <f>IF(U$3&lt;=time,'Attributable fraction'!AT150*(1+Economics!$B$4)^(U$3-$B$3)/((1+Economics!$B$3)^(U$3-$B$3)),"")</f>
        <v/>
      </c>
      <c r="V206" s="355" t="str">
        <f>IF(V$3&lt;=time,'Attributable fraction'!AU150*(1+Economics!$B$4)^(V$3-$B$3)/((1+Economics!$B$3)^(V$3-$B$3)),"")</f>
        <v/>
      </c>
      <c r="W206" s="355" t="str">
        <f>IF(W$3&lt;=time,'Attributable fraction'!AV150*(1+Economics!$B$4)^(W$3-$B$3)/((1+Economics!$B$3)^(W$3-$B$3)),"")</f>
        <v/>
      </c>
      <c r="X206" s="355" t="str">
        <f>IF(X$3&lt;=time,'Attributable fraction'!AW150*(1+Economics!$B$4)^(X$3-$B$3)/((1+Economics!$B$3)^(X$3-$B$3)),"")</f>
        <v/>
      </c>
      <c r="Y206" s="355" t="str">
        <f>IF(Y$3&lt;=time,'Attributable fraction'!AX150*(1+Economics!$B$4)^(Y$3-$B$3)/((1+Economics!$B$3)^(Y$3-$B$3)),"")</f>
        <v/>
      </c>
      <c r="Z206" s="356" t="str">
        <f>IF(Z$3&lt;=time,'Attributable fraction'!AY150*(1+Economics!$B$4)^(Z$3-$B$3)/((1+Economics!$B$3)^(Z$3-$B$3)),"")</f>
        <v/>
      </c>
      <c r="AC206" s="142">
        <f t="shared" si="39"/>
        <v>0</v>
      </c>
      <c r="AE206" s="376">
        <v>6</v>
      </c>
      <c r="AF206" s="176" t="e">
        <f t="array" ref="AF206">STDEV(IF(B206:Z206&lt;&gt;0,B206:Z206))</f>
        <v>#DIV/0!</v>
      </c>
      <c r="AG206" s="176">
        <v>1.96</v>
      </c>
      <c r="AH206" s="176" t="e">
        <f t="shared" si="40"/>
        <v>#DIV/0!</v>
      </c>
      <c r="AI206" s="176">
        <f t="shared" si="38"/>
        <v>0</v>
      </c>
    </row>
    <row r="207" spans="1:35" hidden="1">
      <c r="A207" s="378" t="str">
        <f>Costs!A151</f>
        <v>Services 7</v>
      </c>
      <c r="B207" s="355">
        <f>IF(B$3&lt;=time,'Attributable fraction'!AA151*(1+Economics!$B$4)^(B$3-$B$3)/((1+Economics!$B$3)^(B$3-$B$3)),"")</f>
        <v>0</v>
      </c>
      <c r="C207" s="355">
        <f>IF(C$3&lt;=time,'Attributable fraction'!AB151*(1+Economics!$B$4)^(C$3-$B$3)/((1+Economics!$B$3)^(C$3-$B$3)),"")</f>
        <v>0</v>
      </c>
      <c r="D207" s="355">
        <f>IF(D$3&lt;=time,'Attributable fraction'!AC151*(1+Economics!$B$4)^(D$3-$B$3)/((1+Economics!$B$3)^(D$3-$B$3)),"")</f>
        <v>0</v>
      </c>
      <c r="E207" s="355">
        <f>IF(E$3&lt;=time,'Attributable fraction'!AD151*(1+Economics!$B$4)^(E$3-$B$3)/((1+Economics!$B$3)^(E$3-$B$3)),"")</f>
        <v>0</v>
      </c>
      <c r="F207" s="355">
        <f>IF(F$3&lt;=time,'Attributable fraction'!AE151*(1+Economics!$B$4)^(F$3-$B$3)/((1+Economics!$B$3)^(F$3-$B$3)),"")</f>
        <v>0</v>
      </c>
      <c r="G207" s="355" t="str">
        <f>IF(G$3&lt;=time,'Attributable fraction'!AF151*(1+Economics!$B$4)^(G$3-$B$3)/((1+Economics!$B$3)^(G$3-$B$3)),"")</f>
        <v/>
      </c>
      <c r="H207" s="355" t="str">
        <f>IF(H$3&lt;=time,'Attributable fraction'!AG151*(1+Economics!$B$4)^(H$3-$B$3)/((1+Economics!$B$3)^(H$3-$B$3)),"")</f>
        <v/>
      </c>
      <c r="I207" s="355" t="str">
        <f>IF(I$3&lt;=time,'Attributable fraction'!AH151*(1+Economics!$B$4)^(I$3-$B$3)/((1+Economics!$B$3)^(I$3-$B$3)),"")</f>
        <v/>
      </c>
      <c r="J207" s="355" t="str">
        <f>IF(J$3&lt;=time,'Attributable fraction'!AI151*(1+Economics!$B$4)^(J$3-$B$3)/((1+Economics!$B$3)^(J$3-$B$3)),"")</f>
        <v/>
      </c>
      <c r="K207" s="355" t="str">
        <f>IF(K$3&lt;=time,'Attributable fraction'!AJ151*(1+Economics!$B$4)^(K$3-$B$3)/((1+Economics!$B$3)^(K$3-$B$3)),"")</f>
        <v/>
      </c>
      <c r="L207" s="355" t="str">
        <f>IF(L$3&lt;=time,'Attributable fraction'!AK151*(1+Economics!$B$4)^(L$3-$B$3)/((1+Economics!$B$3)^(L$3-$B$3)),"")</f>
        <v/>
      </c>
      <c r="M207" s="355" t="str">
        <f>IF(M$3&lt;=time,'Attributable fraction'!AL151*(1+Economics!$B$4)^(M$3-$B$3)/((1+Economics!$B$3)^(M$3-$B$3)),"")</f>
        <v/>
      </c>
      <c r="N207" s="355" t="str">
        <f>IF(N$3&lt;=time,'Attributable fraction'!AM151*(1+Economics!$B$4)^(N$3-$B$3)/((1+Economics!$B$3)^(N$3-$B$3)),"")</f>
        <v/>
      </c>
      <c r="O207" s="355" t="str">
        <f>IF(O$3&lt;=time,'Attributable fraction'!AN151*(1+Economics!$B$4)^(O$3-$B$3)/((1+Economics!$B$3)^(O$3-$B$3)),"")</f>
        <v/>
      </c>
      <c r="P207" s="355" t="str">
        <f>IF(P$3&lt;=time,'Attributable fraction'!AO151*(1+Economics!$B$4)^(P$3-$B$3)/((1+Economics!$B$3)^(P$3-$B$3)),"")</f>
        <v/>
      </c>
      <c r="Q207" s="355" t="str">
        <f>IF(Q$3&lt;=time,'Attributable fraction'!AP151*(1+Economics!$B$4)^(Q$3-$B$3)/((1+Economics!$B$3)^(Q$3-$B$3)),"")</f>
        <v/>
      </c>
      <c r="R207" s="355" t="str">
        <f>IF(R$3&lt;=time,'Attributable fraction'!AQ151*(1+Economics!$B$4)^(R$3-$B$3)/((1+Economics!$B$3)^(R$3-$B$3)),"")</f>
        <v/>
      </c>
      <c r="S207" s="355" t="str">
        <f>IF(S$3&lt;=time,'Attributable fraction'!AR151*(1+Economics!$B$4)^(S$3-$B$3)/((1+Economics!$B$3)^(S$3-$B$3)),"")</f>
        <v/>
      </c>
      <c r="T207" s="355" t="str">
        <f>IF(T$3&lt;=time,'Attributable fraction'!AS151*(1+Economics!$B$4)^(T$3-$B$3)/((1+Economics!$B$3)^(T$3-$B$3)),"")</f>
        <v/>
      </c>
      <c r="U207" s="355" t="str">
        <f>IF(U$3&lt;=time,'Attributable fraction'!AT151*(1+Economics!$B$4)^(U$3-$B$3)/((1+Economics!$B$3)^(U$3-$B$3)),"")</f>
        <v/>
      </c>
      <c r="V207" s="355" t="str">
        <f>IF(V$3&lt;=time,'Attributable fraction'!AU151*(1+Economics!$B$4)^(V$3-$B$3)/((1+Economics!$B$3)^(V$3-$B$3)),"")</f>
        <v/>
      </c>
      <c r="W207" s="355" t="str">
        <f>IF(W$3&lt;=time,'Attributable fraction'!AV151*(1+Economics!$B$4)^(W$3-$B$3)/((1+Economics!$B$3)^(W$3-$B$3)),"")</f>
        <v/>
      </c>
      <c r="X207" s="355" t="str">
        <f>IF(X$3&lt;=time,'Attributable fraction'!AW151*(1+Economics!$B$4)^(X$3-$B$3)/((1+Economics!$B$3)^(X$3-$B$3)),"")</f>
        <v/>
      </c>
      <c r="Y207" s="355" t="str">
        <f>IF(Y$3&lt;=time,'Attributable fraction'!AX151*(1+Economics!$B$4)^(Y$3-$B$3)/((1+Economics!$B$3)^(Y$3-$B$3)),"")</f>
        <v/>
      </c>
      <c r="Z207" s="356" t="str">
        <f>IF(Z$3&lt;=time,'Attributable fraction'!AY151*(1+Economics!$B$4)^(Z$3-$B$3)/((1+Economics!$B$3)^(Z$3-$B$3)),"")</f>
        <v/>
      </c>
      <c r="AC207" s="142">
        <f t="shared" si="39"/>
        <v>0</v>
      </c>
      <c r="AE207" s="376">
        <v>7</v>
      </c>
      <c r="AF207" s="176" t="e">
        <f t="array" ref="AF207">STDEV(IF(B207:Z207&lt;&gt;0,B207:Z207))</f>
        <v>#DIV/0!</v>
      </c>
      <c r="AG207" s="176">
        <v>1.96</v>
      </c>
      <c r="AH207" s="176" t="e">
        <f t="shared" si="40"/>
        <v>#DIV/0!</v>
      </c>
      <c r="AI207" s="176">
        <f t="shared" si="38"/>
        <v>0</v>
      </c>
    </row>
    <row r="208" spans="1:35" hidden="1">
      <c r="A208" s="378" t="str">
        <f>Costs!A152</f>
        <v>Services 8</v>
      </c>
      <c r="B208" s="355">
        <f>IF(B$3&lt;=time,'Attributable fraction'!AA152*(1+Economics!$B$4)^(B$3-$B$3)/((1+Economics!$B$3)^(B$3-$B$3)),"")</f>
        <v>0</v>
      </c>
      <c r="C208" s="355">
        <f>IF(C$3&lt;=time,'Attributable fraction'!AB152*(1+Economics!$B$4)^(C$3-$B$3)/((1+Economics!$B$3)^(C$3-$B$3)),"")</f>
        <v>0</v>
      </c>
      <c r="D208" s="355">
        <f>IF(D$3&lt;=time,'Attributable fraction'!AC152*(1+Economics!$B$4)^(D$3-$B$3)/((1+Economics!$B$3)^(D$3-$B$3)),"")</f>
        <v>0</v>
      </c>
      <c r="E208" s="355">
        <f>IF(E$3&lt;=time,'Attributable fraction'!AD152*(1+Economics!$B$4)^(E$3-$B$3)/((1+Economics!$B$3)^(E$3-$B$3)),"")</f>
        <v>0</v>
      </c>
      <c r="F208" s="355">
        <f>IF(F$3&lt;=time,'Attributable fraction'!AE152*(1+Economics!$B$4)^(F$3-$B$3)/((1+Economics!$B$3)^(F$3-$B$3)),"")</f>
        <v>0</v>
      </c>
      <c r="G208" s="355" t="str">
        <f>IF(G$3&lt;=time,'Attributable fraction'!AF152*(1+Economics!$B$4)^(G$3-$B$3)/((1+Economics!$B$3)^(G$3-$B$3)),"")</f>
        <v/>
      </c>
      <c r="H208" s="355" t="str">
        <f>IF(H$3&lt;=time,'Attributable fraction'!AG152*(1+Economics!$B$4)^(H$3-$B$3)/((1+Economics!$B$3)^(H$3-$B$3)),"")</f>
        <v/>
      </c>
      <c r="I208" s="355" t="str">
        <f>IF(I$3&lt;=time,'Attributable fraction'!AH152*(1+Economics!$B$4)^(I$3-$B$3)/((1+Economics!$B$3)^(I$3-$B$3)),"")</f>
        <v/>
      </c>
      <c r="J208" s="355" t="str">
        <f>IF(J$3&lt;=time,'Attributable fraction'!AI152*(1+Economics!$B$4)^(J$3-$B$3)/((1+Economics!$B$3)^(J$3-$B$3)),"")</f>
        <v/>
      </c>
      <c r="K208" s="355" t="str">
        <f>IF(K$3&lt;=time,'Attributable fraction'!AJ152*(1+Economics!$B$4)^(K$3-$B$3)/((1+Economics!$B$3)^(K$3-$B$3)),"")</f>
        <v/>
      </c>
      <c r="L208" s="355" t="str">
        <f>IF(L$3&lt;=time,'Attributable fraction'!AK152*(1+Economics!$B$4)^(L$3-$B$3)/((1+Economics!$B$3)^(L$3-$B$3)),"")</f>
        <v/>
      </c>
      <c r="M208" s="355" t="str">
        <f>IF(M$3&lt;=time,'Attributable fraction'!AL152*(1+Economics!$B$4)^(M$3-$B$3)/((1+Economics!$B$3)^(M$3-$B$3)),"")</f>
        <v/>
      </c>
      <c r="N208" s="355" t="str">
        <f>IF(N$3&lt;=time,'Attributable fraction'!AM152*(1+Economics!$B$4)^(N$3-$B$3)/((1+Economics!$B$3)^(N$3-$B$3)),"")</f>
        <v/>
      </c>
      <c r="O208" s="355" t="str">
        <f>IF(O$3&lt;=time,'Attributable fraction'!AN152*(1+Economics!$B$4)^(O$3-$B$3)/((1+Economics!$B$3)^(O$3-$B$3)),"")</f>
        <v/>
      </c>
      <c r="P208" s="355" t="str">
        <f>IF(P$3&lt;=time,'Attributable fraction'!AO152*(1+Economics!$B$4)^(P$3-$B$3)/((1+Economics!$B$3)^(P$3-$B$3)),"")</f>
        <v/>
      </c>
      <c r="Q208" s="355" t="str">
        <f>IF(Q$3&lt;=time,'Attributable fraction'!AP152*(1+Economics!$B$4)^(Q$3-$B$3)/((1+Economics!$B$3)^(Q$3-$B$3)),"")</f>
        <v/>
      </c>
      <c r="R208" s="355" t="str">
        <f>IF(R$3&lt;=time,'Attributable fraction'!AQ152*(1+Economics!$B$4)^(R$3-$B$3)/((1+Economics!$B$3)^(R$3-$B$3)),"")</f>
        <v/>
      </c>
      <c r="S208" s="355" t="str">
        <f>IF(S$3&lt;=time,'Attributable fraction'!AR152*(1+Economics!$B$4)^(S$3-$B$3)/((1+Economics!$B$3)^(S$3-$B$3)),"")</f>
        <v/>
      </c>
      <c r="T208" s="355" t="str">
        <f>IF(T$3&lt;=time,'Attributable fraction'!AS152*(1+Economics!$B$4)^(T$3-$B$3)/((1+Economics!$B$3)^(T$3-$B$3)),"")</f>
        <v/>
      </c>
      <c r="U208" s="355" t="str">
        <f>IF(U$3&lt;=time,'Attributable fraction'!AT152*(1+Economics!$B$4)^(U$3-$B$3)/((1+Economics!$B$3)^(U$3-$B$3)),"")</f>
        <v/>
      </c>
      <c r="V208" s="355" t="str">
        <f>IF(V$3&lt;=time,'Attributable fraction'!AU152*(1+Economics!$B$4)^(V$3-$B$3)/((1+Economics!$B$3)^(V$3-$B$3)),"")</f>
        <v/>
      </c>
      <c r="W208" s="355" t="str">
        <f>IF(W$3&lt;=time,'Attributable fraction'!AV152*(1+Economics!$B$4)^(W$3-$B$3)/((1+Economics!$B$3)^(W$3-$B$3)),"")</f>
        <v/>
      </c>
      <c r="X208" s="355" t="str">
        <f>IF(X$3&lt;=time,'Attributable fraction'!AW152*(1+Economics!$B$4)^(X$3-$B$3)/((1+Economics!$B$3)^(X$3-$B$3)),"")</f>
        <v/>
      </c>
      <c r="Y208" s="355" t="str">
        <f>IF(Y$3&lt;=time,'Attributable fraction'!AX152*(1+Economics!$B$4)^(Y$3-$B$3)/((1+Economics!$B$3)^(Y$3-$B$3)),"")</f>
        <v/>
      </c>
      <c r="Z208" s="356" t="str">
        <f>IF(Z$3&lt;=time,'Attributable fraction'!AY152*(1+Economics!$B$4)^(Z$3-$B$3)/((1+Economics!$B$3)^(Z$3-$B$3)),"")</f>
        <v/>
      </c>
      <c r="AC208" s="142">
        <f t="shared" si="39"/>
        <v>0</v>
      </c>
      <c r="AE208" s="376">
        <v>8</v>
      </c>
      <c r="AF208" s="176" t="e">
        <f t="array" ref="AF208">STDEV(IF(B208:Z208&lt;&gt;0,B208:Z208))</f>
        <v>#DIV/0!</v>
      </c>
      <c r="AG208" s="176">
        <v>1.96</v>
      </c>
      <c r="AH208" s="176" t="e">
        <f t="shared" si="40"/>
        <v>#DIV/0!</v>
      </c>
      <c r="AI208" s="176">
        <f t="shared" si="38"/>
        <v>0</v>
      </c>
    </row>
    <row r="209" spans="1:35" hidden="1">
      <c r="A209" s="378" t="str">
        <f>Costs!A153</f>
        <v>Services 9</v>
      </c>
      <c r="B209" s="355">
        <f>IF(B$3&lt;=time,'Attributable fraction'!AA153*(1+Economics!$B$4)^(B$3-$B$3)/((1+Economics!$B$3)^(B$3-$B$3)),"")</f>
        <v>0</v>
      </c>
      <c r="C209" s="355">
        <f>IF(C$3&lt;=time,'Attributable fraction'!AB153*(1+Economics!$B$4)^(C$3-$B$3)/((1+Economics!$B$3)^(C$3-$B$3)),"")</f>
        <v>0</v>
      </c>
      <c r="D209" s="355">
        <f>IF(D$3&lt;=time,'Attributable fraction'!AC153*(1+Economics!$B$4)^(D$3-$B$3)/((1+Economics!$B$3)^(D$3-$B$3)),"")</f>
        <v>0</v>
      </c>
      <c r="E209" s="355">
        <f>IF(E$3&lt;=time,'Attributable fraction'!AD153*(1+Economics!$B$4)^(E$3-$B$3)/((1+Economics!$B$3)^(E$3-$B$3)),"")</f>
        <v>0</v>
      </c>
      <c r="F209" s="355">
        <f>IF(F$3&lt;=time,'Attributable fraction'!AE153*(1+Economics!$B$4)^(F$3-$B$3)/((1+Economics!$B$3)^(F$3-$B$3)),"")</f>
        <v>0</v>
      </c>
      <c r="G209" s="355" t="str">
        <f>IF(G$3&lt;=time,'Attributable fraction'!AF153*(1+Economics!$B$4)^(G$3-$B$3)/((1+Economics!$B$3)^(G$3-$B$3)),"")</f>
        <v/>
      </c>
      <c r="H209" s="355" t="str">
        <f>IF(H$3&lt;=time,'Attributable fraction'!AG153*(1+Economics!$B$4)^(H$3-$B$3)/((1+Economics!$B$3)^(H$3-$B$3)),"")</f>
        <v/>
      </c>
      <c r="I209" s="355" t="str">
        <f>IF(I$3&lt;=time,'Attributable fraction'!AH153*(1+Economics!$B$4)^(I$3-$B$3)/((1+Economics!$B$3)^(I$3-$B$3)),"")</f>
        <v/>
      </c>
      <c r="J209" s="355" t="str">
        <f>IF(J$3&lt;=time,'Attributable fraction'!AI153*(1+Economics!$B$4)^(J$3-$B$3)/((1+Economics!$B$3)^(J$3-$B$3)),"")</f>
        <v/>
      </c>
      <c r="K209" s="355" t="str">
        <f>IF(K$3&lt;=time,'Attributable fraction'!AJ153*(1+Economics!$B$4)^(K$3-$B$3)/((1+Economics!$B$3)^(K$3-$B$3)),"")</f>
        <v/>
      </c>
      <c r="L209" s="355" t="str">
        <f>IF(L$3&lt;=time,'Attributable fraction'!AK153*(1+Economics!$B$4)^(L$3-$B$3)/((1+Economics!$B$3)^(L$3-$B$3)),"")</f>
        <v/>
      </c>
      <c r="M209" s="355" t="str">
        <f>IF(M$3&lt;=time,'Attributable fraction'!AL153*(1+Economics!$B$4)^(M$3-$B$3)/((1+Economics!$B$3)^(M$3-$B$3)),"")</f>
        <v/>
      </c>
      <c r="N209" s="355" t="str">
        <f>IF(N$3&lt;=time,'Attributable fraction'!AM153*(1+Economics!$B$4)^(N$3-$B$3)/((1+Economics!$B$3)^(N$3-$B$3)),"")</f>
        <v/>
      </c>
      <c r="O209" s="355" t="str">
        <f>IF(O$3&lt;=time,'Attributable fraction'!AN153*(1+Economics!$B$4)^(O$3-$B$3)/((1+Economics!$B$3)^(O$3-$B$3)),"")</f>
        <v/>
      </c>
      <c r="P209" s="355" t="str">
        <f>IF(P$3&lt;=time,'Attributable fraction'!AO153*(1+Economics!$B$4)^(P$3-$B$3)/((1+Economics!$B$3)^(P$3-$B$3)),"")</f>
        <v/>
      </c>
      <c r="Q209" s="355" t="str">
        <f>IF(Q$3&lt;=time,'Attributable fraction'!AP153*(1+Economics!$B$4)^(Q$3-$B$3)/((1+Economics!$B$3)^(Q$3-$B$3)),"")</f>
        <v/>
      </c>
      <c r="R209" s="355" t="str">
        <f>IF(R$3&lt;=time,'Attributable fraction'!AQ153*(1+Economics!$B$4)^(R$3-$B$3)/((1+Economics!$B$3)^(R$3-$B$3)),"")</f>
        <v/>
      </c>
      <c r="S209" s="355" t="str">
        <f>IF(S$3&lt;=time,'Attributable fraction'!AR153*(1+Economics!$B$4)^(S$3-$B$3)/((1+Economics!$B$3)^(S$3-$B$3)),"")</f>
        <v/>
      </c>
      <c r="T209" s="355" t="str">
        <f>IF(T$3&lt;=time,'Attributable fraction'!AS153*(1+Economics!$B$4)^(T$3-$B$3)/((1+Economics!$B$3)^(T$3-$B$3)),"")</f>
        <v/>
      </c>
      <c r="U209" s="355" t="str">
        <f>IF(U$3&lt;=time,'Attributable fraction'!AT153*(1+Economics!$B$4)^(U$3-$B$3)/((1+Economics!$B$3)^(U$3-$B$3)),"")</f>
        <v/>
      </c>
      <c r="V209" s="355" t="str">
        <f>IF(V$3&lt;=time,'Attributable fraction'!AU153*(1+Economics!$B$4)^(V$3-$B$3)/((1+Economics!$B$3)^(V$3-$B$3)),"")</f>
        <v/>
      </c>
      <c r="W209" s="355" t="str">
        <f>IF(W$3&lt;=time,'Attributable fraction'!AV153*(1+Economics!$B$4)^(W$3-$B$3)/((1+Economics!$B$3)^(W$3-$B$3)),"")</f>
        <v/>
      </c>
      <c r="X209" s="355" t="str">
        <f>IF(X$3&lt;=time,'Attributable fraction'!AW153*(1+Economics!$B$4)^(X$3-$B$3)/((1+Economics!$B$3)^(X$3-$B$3)),"")</f>
        <v/>
      </c>
      <c r="Y209" s="355" t="str">
        <f>IF(Y$3&lt;=time,'Attributable fraction'!AX153*(1+Economics!$B$4)^(Y$3-$B$3)/((1+Economics!$B$3)^(Y$3-$B$3)),"")</f>
        <v/>
      </c>
      <c r="Z209" s="356" t="str">
        <f>IF(Z$3&lt;=time,'Attributable fraction'!AY153*(1+Economics!$B$4)^(Z$3-$B$3)/((1+Economics!$B$3)^(Z$3-$B$3)),"")</f>
        <v/>
      </c>
      <c r="AC209" s="142">
        <f t="shared" si="39"/>
        <v>0</v>
      </c>
      <c r="AE209" s="376">
        <v>9</v>
      </c>
      <c r="AF209" s="176" t="e">
        <f t="array" ref="AF209">STDEV(IF(B209:Z209&lt;&gt;0,B209:Z209))</f>
        <v>#DIV/0!</v>
      </c>
      <c r="AG209" s="176">
        <v>1.96</v>
      </c>
      <c r="AH209" s="176" t="e">
        <f t="shared" si="40"/>
        <v>#DIV/0!</v>
      </c>
      <c r="AI209" s="176">
        <f t="shared" si="38"/>
        <v>0</v>
      </c>
    </row>
    <row r="210" spans="1:35" hidden="1">
      <c r="A210" s="378" t="str">
        <f>Costs!A154</f>
        <v>Services 10</v>
      </c>
      <c r="B210" s="355">
        <f>IF(B$3&lt;=time,'Attributable fraction'!AA154*(1+Economics!$B$4)^(B$3-$B$3)/((1+Economics!$B$3)^(B$3-$B$3)),"")</f>
        <v>0</v>
      </c>
      <c r="C210" s="355">
        <f>IF(C$3&lt;=time,'Attributable fraction'!AB154*(1+Economics!$B$4)^(C$3-$B$3)/((1+Economics!$B$3)^(C$3-$B$3)),"")</f>
        <v>0</v>
      </c>
      <c r="D210" s="355">
        <f>IF(D$3&lt;=time,'Attributable fraction'!AC154*(1+Economics!$B$4)^(D$3-$B$3)/((1+Economics!$B$3)^(D$3-$B$3)),"")</f>
        <v>0</v>
      </c>
      <c r="E210" s="355">
        <f>IF(E$3&lt;=time,'Attributable fraction'!AD154*(1+Economics!$B$4)^(E$3-$B$3)/((1+Economics!$B$3)^(E$3-$B$3)),"")</f>
        <v>0</v>
      </c>
      <c r="F210" s="355">
        <f>IF(F$3&lt;=time,'Attributable fraction'!AE154*(1+Economics!$B$4)^(F$3-$B$3)/((1+Economics!$B$3)^(F$3-$B$3)),"")</f>
        <v>0</v>
      </c>
      <c r="G210" s="355" t="str">
        <f>IF(G$3&lt;=time,'Attributable fraction'!AF154*(1+Economics!$B$4)^(G$3-$B$3)/((1+Economics!$B$3)^(G$3-$B$3)),"")</f>
        <v/>
      </c>
      <c r="H210" s="355" t="str">
        <f>IF(H$3&lt;=time,'Attributable fraction'!AG154*(1+Economics!$B$4)^(H$3-$B$3)/((1+Economics!$B$3)^(H$3-$B$3)),"")</f>
        <v/>
      </c>
      <c r="I210" s="355" t="str">
        <f>IF(I$3&lt;=time,'Attributable fraction'!AH154*(1+Economics!$B$4)^(I$3-$B$3)/((1+Economics!$B$3)^(I$3-$B$3)),"")</f>
        <v/>
      </c>
      <c r="J210" s="355" t="str">
        <f>IF(J$3&lt;=time,'Attributable fraction'!AI154*(1+Economics!$B$4)^(J$3-$B$3)/((1+Economics!$B$3)^(J$3-$B$3)),"")</f>
        <v/>
      </c>
      <c r="K210" s="355" t="str">
        <f>IF(K$3&lt;=time,'Attributable fraction'!AJ154*(1+Economics!$B$4)^(K$3-$B$3)/((1+Economics!$B$3)^(K$3-$B$3)),"")</f>
        <v/>
      </c>
      <c r="L210" s="355" t="str">
        <f>IF(L$3&lt;=time,'Attributable fraction'!AK154*(1+Economics!$B$4)^(L$3-$B$3)/((1+Economics!$B$3)^(L$3-$B$3)),"")</f>
        <v/>
      </c>
      <c r="M210" s="355" t="str">
        <f>IF(M$3&lt;=time,'Attributable fraction'!AL154*(1+Economics!$B$4)^(M$3-$B$3)/((1+Economics!$B$3)^(M$3-$B$3)),"")</f>
        <v/>
      </c>
      <c r="N210" s="355" t="str">
        <f>IF(N$3&lt;=time,'Attributable fraction'!AM154*(1+Economics!$B$4)^(N$3-$B$3)/((1+Economics!$B$3)^(N$3-$B$3)),"")</f>
        <v/>
      </c>
      <c r="O210" s="355" t="str">
        <f>IF(O$3&lt;=time,'Attributable fraction'!AN154*(1+Economics!$B$4)^(O$3-$B$3)/((1+Economics!$B$3)^(O$3-$B$3)),"")</f>
        <v/>
      </c>
      <c r="P210" s="355" t="str">
        <f>IF(P$3&lt;=time,'Attributable fraction'!AO154*(1+Economics!$B$4)^(P$3-$B$3)/((1+Economics!$B$3)^(P$3-$B$3)),"")</f>
        <v/>
      </c>
      <c r="Q210" s="355" t="str">
        <f>IF(Q$3&lt;=time,'Attributable fraction'!AP154*(1+Economics!$B$4)^(Q$3-$B$3)/((1+Economics!$B$3)^(Q$3-$B$3)),"")</f>
        <v/>
      </c>
      <c r="R210" s="355" t="str">
        <f>IF(R$3&lt;=time,'Attributable fraction'!AQ154*(1+Economics!$B$4)^(R$3-$B$3)/((1+Economics!$B$3)^(R$3-$B$3)),"")</f>
        <v/>
      </c>
      <c r="S210" s="355" t="str">
        <f>IF(S$3&lt;=time,'Attributable fraction'!AR154*(1+Economics!$B$4)^(S$3-$B$3)/((1+Economics!$B$3)^(S$3-$B$3)),"")</f>
        <v/>
      </c>
      <c r="T210" s="355" t="str">
        <f>IF(T$3&lt;=time,'Attributable fraction'!AS154*(1+Economics!$B$4)^(T$3-$B$3)/((1+Economics!$B$3)^(T$3-$B$3)),"")</f>
        <v/>
      </c>
      <c r="U210" s="355" t="str">
        <f>IF(U$3&lt;=time,'Attributable fraction'!AT154*(1+Economics!$B$4)^(U$3-$B$3)/((1+Economics!$B$3)^(U$3-$B$3)),"")</f>
        <v/>
      </c>
      <c r="V210" s="355" t="str">
        <f>IF(V$3&lt;=time,'Attributable fraction'!AU154*(1+Economics!$B$4)^(V$3-$B$3)/((1+Economics!$B$3)^(V$3-$B$3)),"")</f>
        <v/>
      </c>
      <c r="W210" s="355" t="str">
        <f>IF(W$3&lt;=time,'Attributable fraction'!AV154*(1+Economics!$B$4)^(W$3-$B$3)/((1+Economics!$B$3)^(W$3-$B$3)),"")</f>
        <v/>
      </c>
      <c r="X210" s="355" t="str">
        <f>IF(X$3&lt;=time,'Attributable fraction'!AW154*(1+Economics!$B$4)^(X$3-$B$3)/((1+Economics!$B$3)^(X$3-$B$3)),"")</f>
        <v/>
      </c>
      <c r="Y210" s="355" t="str">
        <f>IF(Y$3&lt;=time,'Attributable fraction'!AX154*(1+Economics!$B$4)^(Y$3-$B$3)/((1+Economics!$B$3)^(Y$3-$B$3)),"")</f>
        <v/>
      </c>
      <c r="Z210" s="356" t="str">
        <f>IF(Z$3&lt;=time,'Attributable fraction'!AY154*(1+Economics!$B$4)^(Z$3-$B$3)/((1+Economics!$B$3)^(Z$3-$B$3)),"")</f>
        <v/>
      </c>
      <c r="AC210" s="142">
        <f t="shared" si="39"/>
        <v>0</v>
      </c>
      <c r="AE210" s="376">
        <v>10</v>
      </c>
      <c r="AF210" s="176" t="e">
        <f t="array" ref="AF210">STDEV(IF(B210:Z210&lt;&gt;0,B210:Z210))</f>
        <v>#DIV/0!</v>
      </c>
      <c r="AG210" s="176">
        <v>1.96</v>
      </c>
      <c r="AH210" s="176" t="e">
        <f t="shared" si="40"/>
        <v>#DIV/0!</v>
      </c>
      <c r="AI210" s="176">
        <f t="shared" si="38"/>
        <v>0</v>
      </c>
    </row>
    <row r="211" spans="1:35" s="196" customFormat="1" ht="18" hidden="1">
      <c r="A211" s="290" t="s">
        <v>17</v>
      </c>
      <c r="B211" s="255"/>
      <c r="C211" s="255"/>
      <c r="D211" s="255"/>
      <c r="E211" s="255"/>
      <c r="F211" s="255"/>
      <c r="G211" s="255"/>
      <c r="H211" s="255"/>
      <c r="I211" s="255"/>
      <c r="J211" s="255"/>
      <c r="K211" s="255"/>
      <c r="L211" s="255"/>
      <c r="M211" s="255"/>
      <c r="N211" s="255"/>
      <c r="O211" s="255"/>
      <c r="P211" s="255"/>
      <c r="Q211" s="255"/>
      <c r="R211" s="255"/>
      <c r="S211" s="255"/>
      <c r="T211" s="255"/>
      <c r="U211" s="255"/>
      <c r="V211" s="255"/>
      <c r="W211" s="255"/>
      <c r="X211" s="255"/>
      <c r="Y211" s="255"/>
      <c r="Z211" s="377"/>
      <c r="AB211" s="114"/>
      <c r="AD211" s="114"/>
    </row>
    <row r="212" spans="1:35" s="196" customFormat="1" hidden="1">
      <c r="A212" s="302" t="s">
        <v>181</v>
      </c>
      <c r="B212" s="379"/>
      <c r="C212" s="379"/>
      <c r="D212" s="379"/>
      <c r="E212" s="379"/>
      <c r="F212" s="379"/>
      <c r="G212" s="379"/>
      <c r="H212" s="379"/>
      <c r="I212" s="379"/>
      <c r="J212" s="379"/>
      <c r="K212" s="379"/>
      <c r="L212" s="379"/>
      <c r="M212" s="379"/>
      <c r="N212" s="379"/>
      <c r="O212" s="379"/>
      <c r="P212" s="379"/>
      <c r="Q212" s="379"/>
      <c r="R212" s="379"/>
      <c r="S212" s="379"/>
      <c r="T212" s="379"/>
      <c r="U212" s="379"/>
      <c r="V212" s="379"/>
      <c r="W212" s="379"/>
      <c r="X212" s="379"/>
      <c r="Y212" s="379"/>
      <c r="Z212" s="380"/>
      <c r="AB212" s="114"/>
      <c r="AD212" s="114"/>
    </row>
    <row r="213" spans="1:35" hidden="1">
      <c r="A213" s="378" t="str">
        <f>Costs!A157</f>
        <v>Utilities 1</v>
      </c>
      <c r="B213" s="355">
        <f>IF(B$3&lt;=time,'Attributable fraction'!AA157*(1+Economics!$B$4)^(B$3-$B$3)/((1+Economics!$B$3)^(B$3-$B$3)),"")</f>
        <v>0</v>
      </c>
      <c r="C213" s="355">
        <f>IF(C$3&lt;=time,'Attributable fraction'!AB157*(1+Economics!$B$4)^(C$3-$B$3)/((1+Economics!$B$3)^(C$3-$B$3)),"")</f>
        <v>0</v>
      </c>
      <c r="D213" s="355">
        <f>IF(D$3&lt;=time,'Attributable fraction'!AC157*(1+Economics!$B$4)^(D$3-$B$3)/((1+Economics!$B$3)^(D$3-$B$3)),"")</f>
        <v>0</v>
      </c>
      <c r="E213" s="355">
        <f>IF(E$3&lt;=time,'Attributable fraction'!AD157*(1+Economics!$B$4)^(E$3-$B$3)/((1+Economics!$B$3)^(E$3-$B$3)),"")</f>
        <v>0</v>
      </c>
      <c r="F213" s="355">
        <f>IF(F$3&lt;=time,'Attributable fraction'!AE157*(1+Economics!$B$4)^(F$3-$B$3)/((1+Economics!$B$3)^(F$3-$B$3)),"")</f>
        <v>0</v>
      </c>
      <c r="G213" s="355" t="str">
        <f>IF(G$3&lt;=time,'Attributable fraction'!AF157*(1+Economics!$B$4)^(G$3-$B$3)/((1+Economics!$B$3)^(G$3-$B$3)),"")</f>
        <v/>
      </c>
      <c r="H213" s="355" t="str">
        <f>IF(H$3&lt;=time,'Attributable fraction'!AG157*(1+Economics!$B$4)^(H$3-$B$3)/((1+Economics!$B$3)^(H$3-$B$3)),"")</f>
        <v/>
      </c>
      <c r="I213" s="355" t="str">
        <f>IF(I$3&lt;=time,'Attributable fraction'!AH157*(1+Economics!$B$4)^(I$3-$B$3)/((1+Economics!$B$3)^(I$3-$B$3)),"")</f>
        <v/>
      </c>
      <c r="J213" s="355" t="str">
        <f>IF(J$3&lt;=time,'Attributable fraction'!AI157*(1+Economics!$B$4)^(J$3-$B$3)/((1+Economics!$B$3)^(J$3-$B$3)),"")</f>
        <v/>
      </c>
      <c r="K213" s="355" t="str">
        <f>IF(K$3&lt;=time,'Attributable fraction'!AJ157*(1+Economics!$B$4)^(K$3-$B$3)/((1+Economics!$B$3)^(K$3-$B$3)),"")</f>
        <v/>
      </c>
      <c r="L213" s="355" t="str">
        <f>IF(L$3&lt;=time,'Attributable fraction'!AK157*(1+Economics!$B$4)^(L$3-$B$3)/((1+Economics!$B$3)^(L$3-$B$3)),"")</f>
        <v/>
      </c>
      <c r="M213" s="355" t="str">
        <f>IF(M$3&lt;=time,'Attributable fraction'!AL157*(1+Economics!$B$4)^(M$3-$B$3)/((1+Economics!$B$3)^(M$3-$B$3)),"")</f>
        <v/>
      </c>
      <c r="N213" s="355" t="str">
        <f>IF(N$3&lt;=time,'Attributable fraction'!AM157*(1+Economics!$B$4)^(N$3-$B$3)/((1+Economics!$B$3)^(N$3-$B$3)),"")</f>
        <v/>
      </c>
      <c r="O213" s="355" t="str">
        <f>IF(O$3&lt;=time,'Attributable fraction'!AN157*(1+Economics!$B$4)^(O$3-$B$3)/((1+Economics!$B$3)^(O$3-$B$3)),"")</f>
        <v/>
      </c>
      <c r="P213" s="355" t="str">
        <f>IF(P$3&lt;=time,'Attributable fraction'!AO157*(1+Economics!$B$4)^(P$3-$B$3)/((1+Economics!$B$3)^(P$3-$B$3)),"")</f>
        <v/>
      </c>
      <c r="Q213" s="355" t="str">
        <f>IF(Q$3&lt;=time,'Attributable fraction'!AP157*(1+Economics!$B$4)^(Q$3-$B$3)/((1+Economics!$B$3)^(Q$3-$B$3)),"")</f>
        <v/>
      </c>
      <c r="R213" s="355" t="str">
        <f>IF(R$3&lt;=time,'Attributable fraction'!AQ157*(1+Economics!$B$4)^(R$3-$B$3)/((1+Economics!$B$3)^(R$3-$B$3)),"")</f>
        <v/>
      </c>
      <c r="S213" s="355" t="str">
        <f>IF(S$3&lt;=time,'Attributable fraction'!AR157*(1+Economics!$B$4)^(S$3-$B$3)/((1+Economics!$B$3)^(S$3-$B$3)),"")</f>
        <v/>
      </c>
      <c r="T213" s="355" t="str">
        <f>IF(T$3&lt;=time,'Attributable fraction'!AS157*(1+Economics!$B$4)^(T$3-$B$3)/((1+Economics!$B$3)^(T$3-$B$3)),"")</f>
        <v/>
      </c>
      <c r="U213" s="355" t="str">
        <f>IF(U$3&lt;=time,'Attributable fraction'!AT157*(1+Economics!$B$4)^(U$3-$B$3)/((1+Economics!$B$3)^(U$3-$B$3)),"")</f>
        <v/>
      </c>
      <c r="V213" s="355" t="str">
        <f>IF(V$3&lt;=time,'Attributable fraction'!AU157*(1+Economics!$B$4)^(V$3-$B$3)/((1+Economics!$B$3)^(V$3-$B$3)),"")</f>
        <v/>
      </c>
      <c r="W213" s="355" t="str">
        <f>IF(W$3&lt;=time,'Attributable fraction'!AV157*(1+Economics!$B$4)^(W$3-$B$3)/((1+Economics!$B$3)^(W$3-$B$3)),"")</f>
        <v/>
      </c>
      <c r="X213" s="355" t="str">
        <f>IF(X$3&lt;=time,'Attributable fraction'!AW157*(1+Economics!$B$4)^(X$3-$B$3)/((1+Economics!$B$3)^(X$3-$B$3)),"")</f>
        <v/>
      </c>
      <c r="Y213" s="355" t="str">
        <f>IF(Y$3&lt;=time,'Attributable fraction'!AX157*(1+Economics!$B$4)^(Y$3-$B$3)/((1+Economics!$B$3)^(Y$3-$B$3)),"")</f>
        <v/>
      </c>
      <c r="Z213" s="356" t="str">
        <f>IF(Z$3&lt;=time,'Attributable fraction'!AY157*(1+Economics!$B$4)^(Z$3-$B$3)/((1+Economics!$B$3)^(Z$3-$B$3)),"")</f>
        <v/>
      </c>
      <c r="AC213" s="142">
        <f t="shared" ref="AC213:AC222" si="41">(SUM(IF(ISERROR(Z213),"0",Z213),IF(ISERROR(Y213),"0",Y213),IF(ISERROR(X213),"0",X213),IF(ISERROR(W213),"0",W213),IF(ISERROR(V213),"0",V213),IF(ISERROR(U213),"0",U213),IF(ISERROR(T213),"0",T213),IF(ISERROR(S213),"0",S213),IF(ISERROR(R213),"0",R213),IF(ISERROR(Q213),"0",Q213), IF(ISERROR(P213),"0",P213),IF(ISERROR(O213),"0",O213),IF(ISERROR(N213),"0",N213),IF(ISERROR(M213),"0",M213),IF(ISERROR(L213),"0",L213),IF(ISERROR(K213),"0",K213),IF(ISERROR(J213),"0",J213),IF(ISERROR(I213),"0",I213),IF(ISERROR(H213),"0",H213),IF(ISERROR(G213),"0",G213),IF(ISERROR(F213),"0",F213),IF(ISERROR(E213),"0",E213),IF(ISERROR(D213),"0",D213),IF(ISERROR(C213),"0",C213),IF(ISERROR(B213),"0",B213)))/time</f>
        <v>0</v>
      </c>
      <c r="AE213" s="375">
        <v>1</v>
      </c>
      <c r="AF213" s="176" t="e">
        <f t="array" ref="AF213">STDEV(IF(B213:Z213&lt;&gt;0,B213:Z213))</f>
        <v>#DIV/0!</v>
      </c>
      <c r="AG213" s="176">
        <v>1.96</v>
      </c>
      <c r="AH213" s="176" t="e">
        <f t="shared" ref="AH213:AH222" si="42">(AG213*AF213)/(time^0.5)</f>
        <v>#DIV/0!</v>
      </c>
      <c r="AI213" s="176">
        <f t="shared" si="38"/>
        <v>0</v>
      </c>
    </row>
    <row r="214" spans="1:35" hidden="1">
      <c r="A214" s="378" t="str">
        <f>Costs!A158</f>
        <v>Utilities 2</v>
      </c>
      <c r="B214" s="355">
        <f>IF(B$3&lt;=time,'Attributable fraction'!AA158*(1+Economics!$B$4)^(B$3-$B$3)/((1+Economics!$B$3)^(B$3-$B$3)),"")</f>
        <v>0</v>
      </c>
      <c r="C214" s="355">
        <f>IF(C$3&lt;=time,'Attributable fraction'!AB158*(1+Economics!$B$4)^(C$3-$B$3)/((1+Economics!$B$3)^(C$3-$B$3)),"")</f>
        <v>0</v>
      </c>
      <c r="D214" s="355">
        <f>IF(D$3&lt;=time,'Attributable fraction'!AC158*(1+Economics!$B$4)^(D$3-$B$3)/((1+Economics!$B$3)^(D$3-$B$3)),"")</f>
        <v>0</v>
      </c>
      <c r="E214" s="355">
        <f>IF(E$3&lt;=time,'Attributable fraction'!AD158*(1+Economics!$B$4)^(E$3-$B$3)/((1+Economics!$B$3)^(E$3-$B$3)),"")</f>
        <v>0</v>
      </c>
      <c r="F214" s="355">
        <f>IF(F$3&lt;=time,'Attributable fraction'!AE158*(1+Economics!$B$4)^(F$3-$B$3)/((1+Economics!$B$3)^(F$3-$B$3)),"")</f>
        <v>0</v>
      </c>
      <c r="G214" s="355" t="str">
        <f>IF(G$3&lt;=time,'Attributable fraction'!AF158*(1+Economics!$B$4)^(G$3-$B$3)/((1+Economics!$B$3)^(G$3-$B$3)),"")</f>
        <v/>
      </c>
      <c r="H214" s="355" t="str">
        <f>IF(H$3&lt;=time,'Attributable fraction'!AG158*(1+Economics!$B$4)^(H$3-$B$3)/((1+Economics!$B$3)^(H$3-$B$3)),"")</f>
        <v/>
      </c>
      <c r="I214" s="355" t="str">
        <f>IF(I$3&lt;=time,'Attributable fraction'!AH158*(1+Economics!$B$4)^(I$3-$B$3)/((1+Economics!$B$3)^(I$3-$B$3)),"")</f>
        <v/>
      </c>
      <c r="J214" s="355" t="str">
        <f>IF(J$3&lt;=time,'Attributable fraction'!AI158*(1+Economics!$B$4)^(J$3-$B$3)/((1+Economics!$B$3)^(J$3-$B$3)),"")</f>
        <v/>
      </c>
      <c r="K214" s="355" t="str">
        <f>IF(K$3&lt;=time,'Attributable fraction'!AJ158*(1+Economics!$B$4)^(K$3-$B$3)/((1+Economics!$B$3)^(K$3-$B$3)),"")</f>
        <v/>
      </c>
      <c r="L214" s="355" t="str">
        <f>IF(L$3&lt;=time,'Attributable fraction'!AK158*(1+Economics!$B$4)^(L$3-$B$3)/((1+Economics!$B$3)^(L$3-$B$3)),"")</f>
        <v/>
      </c>
      <c r="M214" s="355" t="str">
        <f>IF(M$3&lt;=time,'Attributable fraction'!AL158*(1+Economics!$B$4)^(M$3-$B$3)/((1+Economics!$B$3)^(M$3-$B$3)),"")</f>
        <v/>
      </c>
      <c r="N214" s="355" t="str">
        <f>IF(N$3&lt;=time,'Attributable fraction'!AM158*(1+Economics!$B$4)^(N$3-$B$3)/((1+Economics!$B$3)^(N$3-$B$3)),"")</f>
        <v/>
      </c>
      <c r="O214" s="355" t="str">
        <f>IF(O$3&lt;=time,'Attributable fraction'!AN158*(1+Economics!$B$4)^(O$3-$B$3)/((1+Economics!$B$3)^(O$3-$B$3)),"")</f>
        <v/>
      </c>
      <c r="P214" s="355" t="str">
        <f>IF(P$3&lt;=time,'Attributable fraction'!AO158*(1+Economics!$B$4)^(P$3-$B$3)/((1+Economics!$B$3)^(P$3-$B$3)),"")</f>
        <v/>
      </c>
      <c r="Q214" s="355" t="str">
        <f>IF(Q$3&lt;=time,'Attributable fraction'!AP158*(1+Economics!$B$4)^(Q$3-$B$3)/((1+Economics!$B$3)^(Q$3-$B$3)),"")</f>
        <v/>
      </c>
      <c r="R214" s="355" t="str">
        <f>IF(R$3&lt;=time,'Attributable fraction'!AQ158*(1+Economics!$B$4)^(R$3-$B$3)/((1+Economics!$B$3)^(R$3-$B$3)),"")</f>
        <v/>
      </c>
      <c r="S214" s="355" t="str">
        <f>IF(S$3&lt;=time,'Attributable fraction'!AR158*(1+Economics!$B$4)^(S$3-$B$3)/((1+Economics!$B$3)^(S$3-$B$3)),"")</f>
        <v/>
      </c>
      <c r="T214" s="355" t="str">
        <f>IF(T$3&lt;=time,'Attributable fraction'!AS158*(1+Economics!$B$4)^(T$3-$B$3)/((1+Economics!$B$3)^(T$3-$B$3)),"")</f>
        <v/>
      </c>
      <c r="U214" s="355" t="str">
        <f>IF(U$3&lt;=time,'Attributable fraction'!AT158*(1+Economics!$B$4)^(U$3-$B$3)/((1+Economics!$B$3)^(U$3-$B$3)),"")</f>
        <v/>
      </c>
      <c r="V214" s="355" t="str">
        <f>IF(V$3&lt;=time,'Attributable fraction'!AU158*(1+Economics!$B$4)^(V$3-$B$3)/((1+Economics!$B$3)^(V$3-$B$3)),"")</f>
        <v/>
      </c>
      <c r="W214" s="355" t="str">
        <f>IF(W$3&lt;=time,'Attributable fraction'!AV158*(1+Economics!$B$4)^(W$3-$B$3)/((1+Economics!$B$3)^(W$3-$B$3)),"")</f>
        <v/>
      </c>
      <c r="X214" s="355" t="str">
        <f>IF(X$3&lt;=time,'Attributable fraction'!AW158*(1+Economics!$B$4)^(X$3-$B$3)/((1+Economics!$B$3)^(X$3-$B$3)),"")</f>
        <v/>
      </c>
      <c r="Y214" s="355" t="str">
        <f>IF(Y$3&lt;=time,'Attributable fraction'!AX158*(1+Economics!$B$4)^(Y$3-$B$3)/((1+Economics!$B$3)^(Y$3-$B$3)),"")</f>
        <v/>
      </c>
      <c r="Z214" s="356" t="str">
        <f>IF(Z$3&lt;=time,'Attributable fraction'!AY158*(1+Economics!$B$4)^(Z$3-$B$3)/((1+Economics!$B$3)^(Z$3-$B$3)),"")</f>
        <v/>
      </c>
      <c r="AC214" s="142">
        <f t="shared" si="41"/>
        <v>0</v>
      </c>
      <c r="AE214" s="376">
        <v>2</v>
      </c>
      <c r="AF214" s="176" t="e">
        <f t="array" ref="AF214">STDEV(IF(B214:Z214&lt;&gt;0,B214:Z214))</f>
        <v>#DIV/0!</v>
      </c>
      <c r="AG214" s="176">
        <v>1.96</v>
      </c>
      <c r="AH214" s="176" t="e">
        <f t="shared" si="42"/>
        <v>#DIV/0!</v>
      </c>
      <c r="AI214" s="176">
        <f t="shared" si="38"/>
        <v>0</v>
      </c>
    </row>
    <row r="215" spans="1:35" hidden="1">
      <c r="A215" s="378" t="str">
        <f>Costs!A159</f>
        <v>Utilities 3</v>
      </c>
      <c r="B215" s="355">
        <f>IF(B$3&lt;=time,'Attributable fraction'!AA159*(1+Economics!$B$4)^(B$3-$B$3)/((1+Economics!$B$3)^(B$3-$B$3)),"")</f>
        <v>0</v>
      </c>
      <c r="C215" s="355">
        <f>IF(C$3&lt;=time,'Attributable fraction'!AB159*(1+Economics!$B$4)^(C$3-$B$3)/((1+Economics!$B$3)^(C$3-$B$3)),"")</f>
        <v>0</v>
      </c>
      <c r="D215" s="355">
        <f>IF(D$3&lt;=time,'Attributable fraction'!AC159*(1+Economics!$B$4)^(D$3-$B$3)/((1+Economics!$B$3)^(D$3-$B$3)),"")</f>
        <v>0</v>
      </c>
      <c r="E215" s="355">
        <f>IF(E$3&lt;=time,'Attributable fraction'!AD159*(1+Economics!$B$4)^(E$3-$B$3)/((1+Economics!$B$3)^(E$3-$B$3)),"")</f>
        <v>0</v>
      </c>
      <c r="F215" s="355">
        <f>IF(F$3&lt;=time,'Attributable fraction'!AE159*(1+Economics!$B$4)^(F$3-$B$3)/((1+Economics!$B$3)^(F$3-$B$3)),"")</f>
        <v>0</v>
      </c>
      <c r="G215" s="355" t="str">
        <f>IF(G$3&lt;=time,'Attributable fraction'!AF159*(1+Economics!$B$4)^(G$3-$B$3)/((1+Economics!$B$3)^(G$3-$B$3)),"")</f>
        <v/>
      </c>
      <c r="H215" s="355" t="str">
        <f>IF(H$3&lt;=time,'Attributable fraction'!AG159*(1+Economics!$B$4)^(H$3-$B$3)/((1+Economics!$B$3)^(H$3-$B$3)),"")</f>
        <v/>
      </c>
      <c r="I215" s="355" t="str">
        <f>IF(I$3&lt;=time,'Attributable fraction'!AH159*(1+Economics!$B$4)^(I$3-$B$3)/((1+Economics!$B$3)^(I$3-$B$3)),"")</f>
        <v/>
      </c>
      <c r="J215" s="355" t="str">
        <f>IF(J$3&lt;=time,'Attributable fraction'!AI159*(1+Economics!$B$4)^(J$3-$B$3)/((1+Economics!$B$3)^(J$3-$B$3)),"")</f>
        <v/>
      </c>
      <c r="K215" s="355" t="str">
        <f>IF(K$3&lt;=time,'Attributable fraction'!AJ159*(1+Economics!$B$4)^(K$3-$B$3)/((1+Economics!$B$3)^(K$3-$B$3)),"")</f>
        <v/>
      </c>
      <c r="L215" s="355" t="str">
        <f>IF(L$3&lt;=time,'Attributable fraction'!AK159*(1+Economics!$B$4)^(L$3-$B$3)/((1+Economics!$B$3)^(L$3-$B$3)),"")</f>
        <v/>
      </c>
      <c r="M215" s="355" t="str">
        <f>IF(M$3&lt;=time,'Attributable fraction'!AL159*(1+Economics!$B$4)^(M$3-$B$3)/((1+Economics!$B$3)^(M$3-$B$3)),"")</f>
        <v/>
      </c>
      <c r="N215" s="355" t="str">
        <f>IF(N$3&lt;=time,'Attributable fraction'!AM159*(1+Economics!$B$4)^(N$3-$B$3)/((1+Economics!$B$3)^(N$3-$B$3)),"")</f>
        <v/>
      </c>
      <c r="O215" s="355" t="str">
        <f>IF(O$3&lt;=time,'Attributable fraction'!AN159*(1+Economics!$B$4)^(O$3-$B$3)/((1+Economics!$B$3)^(O$3-$B$3)),"")</f>
        <v/>
      </c>
      <c r="P215" s="355" t="str">
        <f>IF(P$3&lt;=time,'Attributable fraction'!AO159*(1+Economics!$B$4)^(P$3-$B$3)/((1+Economics!$B$3)^(P$3-$B$3)),"")</f>
        <v/>
      </c>
      <c r="Q215" s="355" t="str">
        <f>IF(Q$3&lt;=time,'Attributable fraction'!AP159*(1+Economics!$B$4)^(Q$3-$B$3)/((1+Economics!$B$3)^(Q$3-$B$3)),"")</f>
        <v/>
      </c>
      <c r="R215" s="355" t="str">
        <f>IF(R$3&lt;=time,'Attributable fraction'!AQ159*(1+Economics!$B$4)^(R$3-$B$3)/((1+Economics!$B$3)^(R$3-$B$3)),"")</f>
        <v/>
      </c>
      <c r="S215" s="355" t="str">
        <f>IF(S$3&lt;=time,'Attributable fraction'!AR159*(1+Economics!$B$4)^(S$3-$B$3)/((1+Economics!$B$3)^(S$3-$B$3)),"")</f>
        <v/>
      </c>
      <c r="T215" s="355" t="str">
        <f>IF(T$3&lt;=time,'Attributable fraction'!AS159*(1+Economics!$B$4)^(T$3-$B$3)/((1+Economics!$B$3)^(T$3-$B$3)),"")</f>
        <v/>
      </c>
      <c r="U215" s="355" t="str">
        <f>IF(U$3&lt;=time,'Attributable fraction'!AT159*(1+Economics!$B$4)^(U$3-$B$3)/((1+Economics!$B$3)^(U$3-$B$3)),"")</f>
        <v/>
      </c>
      <c r="V215" s="355" t="str">
        <f>IF(V$3&lt;=time,'Attributable fraction'!AU159*(1+Economics!$B$4)^(V$3-$B$3)/((1+Economics!$B$3)^(V$3-$B$3)),"")</f>
        <v/>
      </c>
      <c r="W215" s="355" t="str">
        <f>IF(W$3&lt;=time,'Attributable fraction'!AV159*(1+Economics!$B$4)^(W$3-$B$3)/((1+Economics!$B$3)^(W$3-$B$3)),"")</f>
        <v/>
      </c>
      <c r="X215" s="355" t="str">
        <f>IF(X$3&lt;=time,'Attributable fraction'!AW159*(1+Economics!$B$4)^(X$3-$B$3)/((1+Economics!$B$3)^(X$3-$B$3)),"")</f>
        <v/>
      </c>
      <c r="Y215" s="355" t="str">
        <f>IF(Y$3&lt;=time,'Attributable fraction'!AX159*(1+Economics!$B$4)^(Y$3-$B$3)/((1+Economics!$B$3)^(Y$3-$B$3)),"")</f>
        <v/>
      </c>
      <c r="Z215" s="356" t="str">
        <f>IF(Z$3&lt;=time,'Attributable fraction'!AY159*(1+Economics!$B$4)^(Z$3-$B$3)/((1+Economics!$B$3)^(Z$3-$B$3)),"")</f>
        <v/>
      </c>
      <c r="AC215" s="142">
        <f t="shared" si="41"/>
        <v>0</v>
      </c>
      <c r="AE215" s="376">
        <v>3</v>
      </c>
      <c r="AF215" s="176" t="e">
        <f t="array" ref="AF215">STDEV(IF(B215:Z215&lt;&gt;0,B215:Z215))</f>
        <v>#DIV/0!</v>
      </c>
      <c r="AG215" s="176">
        <v>1.96</v>
      </c>
      <c r="AH215" s="176" t="e">
        <f t="shared" si="42"/>
        <v>#DIV/0!</v>
      </c>
      <c r="AI215" s="176">
        <f t="shared" si="38"/>
        <v>0</v>
      </c>
    </row>
    <row r="216" spans="1:35" hidden="1">
      <c r="A216" s="378" t="str">
        <f>Costs!A160</f>
        <v>Utilities 4</v>
      </c>
      <c r="B216" s="355">
        <f>IF(B$3&lt;=time,'Attributable fraction'!AA160*(1+Economics!$B$4)^(B$3-$B$3)/((1+Economics!$B$3)^(B$3-$B$3)),"")</f>
        <v>0</v>
      </c>
      <c r="C216" s="355">
        <f>IF(C$3&lt;=time,'Attributable fraction'!AB160*(1+Economics!$B$4)^(C$3-$B$3)/((1+Economics!$B$3)^(C$3-$B$3)),"")</f>
        <v>0</v>
      </c>
      <c r="D216" s="355">
        <f>IF(D$3&lt;=time,'Attributable fraction'!AC160*(1+Economics!$B$4)^(D$3-$B$3)/((1+Economics!$B$3)^(D$3-$B$3)),"")</f>
        <v>0</v>
      </c>
      <c r="E216" s="355">
        <f>IF(E$3&lt;=time,'Attributable fraction'!AD160*(1+Economics!$B$4)^(E$3-$B$3)/((1+Economics!$B$3)^(E$3-$B$3)),"")</f>
        <v>0</v>
      </c>
      <c r="F216" s="355">
        <f>IF(F$3&lt;=time,'Attributable fraction'!AE160*(1+Economics!$B$4)^(F$3-$B$3)/((1+Economics!$B$3)^(F$3-$B$3)),"")</f>
        <v>0</v>
      </c>
      <c r="G216" s="355" t="str">
        <f>IF(G$3&lt;=time,'Attributable fraction'!AF160*(1+Economics!$B$4)^(G$3-$B$3)/((1+Economics!$B$3)^(G$3-$B$3)),"")</f>
        <v/>
      </c>
      <c r="H216" s="355" t="str">
        <f>IF(H$3&lt;=time,'Attributable fraction'!AG160*(1+Economics!$B$4)^(H$3-$B$3)/((1+Economics!$B$3)^(H$3-$B$3)),"")</f>
        <v/>
      </c>
      <c r="I216" s="355" t="str">
        <f>IF(I$3&lt;=time,'Attributable fraction'!AH160*(1+Economics!$B$4)^(I$3-$B$3)/((1+Economics!$B$3)^(I$3-$B$3)),"")</f>
        <v/>
      </c>
      <c r="J216" s="355" t="str">
        <f>IF(J$3&lt;=time,'Attributable fraction'!AI160*(1+Economics!$B$4)^(J$3-$B$3)/((1+Economics!$B$3)^(J$3-$B$3)),"")</f>
        <v/>
      </c>
      <c r="K216" s="355" t="str">
        <f>IF(K$3&lt;=time,'Attributable fraction'!AJ160*(1+Economics!$B$4)^(K$3-$B$3)/((1+Economics!$B$3)^(K$3-$B$3)),"")</f>
        <v/>
      </c>
      <c r="L216" s="355" t="str">
        <f>IF(L$3&lt;=time,'Attributable fraction'!AK160*(1+Economics!$B$4)^(L$3-$B$3)/((1+Economics!$B$3)^(L$3-$B$3)),"")</f>
        <v/>
      </c>
      <c r="M216" s="355" t="str">
        <f>IF(M$3&lt;=time,'Attributable fraction'!AL160*(1+Economics!$B$4)^(M$3-$B$3)/((1+Economics!$B$3)^(M$3-$B$3)),"")</f>
        <v/>
      </c>
      <c r="N216" s="355" t="str">
        <f>IF(N$3&lt;=time,'Attributable fraction'!AM160*(1+Economics!$B$4)^(N$3-$B$3)/((1+Economics!$B$3)^(N$3-$B$3)),"")</f>
        <v/>
      </c>
      <c r="O216" s="355" t="str">
        <f>IF(O$3&lt;=time,'Attributable fraction'!AN160*(1+Economics!$B$4)^(O$3-$B$3)/((1+Economics!$B$3)^(O$3-$B$3)),"")</f>
        <v/>
      </c>
      <c r="P216" s="355" t="str">
        <f>IF(P$3&lt;=time,'Attributable fraction'!AO160*(1+Economics!$B$4)^(P$3-$B$3)/((1+Economics!$B$3)^(P$3-$B$3)),"")</f>
        <v/>
      </c>
      <c r="Q216" s="355" t="str">
        <f>IF(Q$3&lt;=time,'Attributable fraction'!AP160*(1+Economics!$B$4)^(Q$3-$B$3)/((1+Economics!$B$3)^(Q$3-$B$3)),"")</f>
        <v/>
      </c>
      <c r="R216" s="355" t="str">
        <f>IF(R$3&lt;=time,'Attributable fraction'!AQ160*(1+Economics!$B$4)^(R$3-$B$3)/((1+Economics!$B$3)^(R$3-$B$3)),"")</f>
        <v/>
      </c>
      <c r="S216" s="355" t="str">
        <f>IF(S$3&lt;=time,'Attributable fraction'!AR160*(1+Economics!$B$4)^(S$3-$B$3)/((1+Economics!$B$3)^(S$3-$B$3)),"")</f>
        <v/>
      </c>
      <c r="T216" s="355" t="str">
        <f>IF(T$3&lt;=time,'Attributable fraction'!AS160*(1+Economics!$B$4)^(T$3-$B$3)/((1+Economics!$B$3)^(T$3-$B$3)),"")</f>
        <v/>
      </c>
      <c r="U216" s="355" t="str">
        <f>IF(U$3&lt;=time,'Attributable fraction'!AT160*(1+Economics!$B$4)^(U$3-$B$3)/((1+Economics!$B$3)^(U$3-$B$3)),"")</f>
        <v/>
      </c>
      <c r="V216" s="355" t="str">
        <f>IF(V$3&lt;=time,'Attributable fraction'!AU160*(1+Economics!$B$4)^(V$3-$B$3)/((1+Economics!$B$3)^(V$3-$B$3)),"")</f>
        <v/>
      </c>
      <c r="W216" s="355" t="str">
        <f>IF(W$3&lt;=time,'Attributable fraction'!AV160*(1+Economics!$B$4)^(W$3-$B$3)/((1+Economics!$B$3)^(W$3-$B$3)),"")</f>
        <v/>
      </c>
      <c r="X216" s="355" t="str">
        <f>IF(X$3&lt;=time,'Attributable fraction'!AW160*(1+Economics!$B$4)^(X$3-$B$3)/((1+Economics!$B$3)^(X$3-$B$3)),"")</f>
        <v/>
      </c>
      <c r="Y216" s="355" t="str">
        <f>IF(Y$3&lt;=time,'Attributable fraction'!AX160*(1+Economics!$B$4)^(Y$3-$B$3)/((1+Economics!$B$3)^(Y$3-$B$3)),"")</f>
        <v/>
      </c>
      <c r="Z216" s="356" t="str">
        <f>IF(Z$3&lt;=time,'Attributable fraction'!AY160*(1+Economics!$B$4)^(Z$3-$B$3)/((1+Economics!$B$3)^(Z$3-$B$3)),"")</f>
        <v/>
      </c>
      <c r="AC216" s="142">
        <f t="shared" si="41"/>
        <v>0</v>
      </c>
      <c r="AE216" s="376">
        <v>4</v>
      </c>
      <c r="AF216" s="176" t="e">
        <f t="array" ref="AF216">STDEV(IF(B216:Z216&lt;&gt;0,B216:Z216))</f>
        <v>#DIV/0!</v>
      </c>
      <c r="AG216" s="176">
        <v>1.96</v>
      </c>
      <c r="AH216" s="176" t="e">
        <f t="shared" si="42"/>
        <v>#DIV/0!</v>
      </c>
      <c r="AI216" s="176">
        <f t="shared" si="38"/>
        <v>0</v>
      </c>
    </row>
    <row r="217" spans="1:35" hidden="1">
      <c r="A217" s="378" t="str">
        <f>Costs!A161</f>
        <v>Utilities 5</v>
      </c>
      <c r="B217" s="355">
        <f>IF(B$3&lt;=time,'Attributable fraction'!AA161*(1+Economics!$B$4)^(B$3-$B$3)/((1+Economics!$B$3)^(B$3-$B$3)),"")</f>
        <v>0</v>
      </c>
      <c r="C217" s="355">
        <f>IF(C$3&lt;=time,'Attributable fraction'!AB161*(1+Economics!$B$4)^(C$3-$B$3)/((1+Economics!$B$3)^(C$3-$B$3)),"")</f>
        <v>0</v>
      </c>
      <c r="D217" s="355">
        <f>IF(D$3&lt;=time,'Attributable fraction'!AC161*(1+Economics!$B$4)^(D$3-$B$3)/((1+Economics!$B$3)^(D$3-$B$3)),"")</f>
        <v>0</v>
      </c>
      <c r="E217" s="355">
        <f>IF(E$3&lt;=time,'Attributable fraction'!AD161*(1+Economics!$B$4)^(E$3-$B$3)/((1+Economics!$B$3)^(E$3-$B$3)),"")</f>
        <v>0</v>
      </c>
      <c r="F217" s="355">
        <f>IF(F$3&lt;=time,'Attributable fraction'!AE161*(1+Economics!$B$4)^(F$3-$B$3)/((1+Economics!$B$3)^(F$3-$B$3)),"")</f>
        <v>0</v>
      </c>
      <c r="G217" s="355" t="str">
        <f>IF(G$3&lt;=time,'Attributable fraction'!AF161*(1+Economics!$B$4)^(G$3-$B$3)/((1+Economics!$B$3)^(G$3-$B$3)),"")</f>
        <v/>
      </c>
      <c r="H217" s="355" t="str">
        <f>IF(H$3&lt;=time,'Attributable fraction'!AG161*(1+Economics!$B$4)^(H$3-$B$3)/((1+Economics!$B$3)^(H$3-$B$3)),"")</f>
        <v/>
      </c>
      <c r="I217" s="355" t="str">
        <f>IF(I$3&lt;=time,'Attributable fraction'!AH161*(1+Economics!$B$4)^(I$3-$B$3)/((1+Economics!$B$3)^(I$3-$B$3)),"")</f>
        <v/>
      </c>
      <c r="J217" s="355" t="str">
        <f>IF(J$3&lt;=time,'Attributable fraction'!AI161*(1+Economics!$B$4)^(J$3-$B$3)/((1+Economics!$B$3)^(J$3-$B$3)),"")</f>
        <v/>
      </c>
      <c r="K217" s="355" t="str">
        <f>IF(K$3&lt;=time,'Attributable fraction'!AJ161*(1+Economics!$B$4)^(K$3-$B$3)/((1+Economics!$B$3)^(K$3-$B$3)),"")</f>
        <v/>
      </c>
      <c r="L217" s="355" t="str">
        <f>IF(L$3&lt;=time,'Attributable fraction'!AK161*(1+Economics!$B$4)^(L$3-$B$3)/((1+Economics!$B$3)^(L$3-$B$3)),"")</f>
        <v/>
      </c>
      <c r="M217" s="355" t="str">
        <f>IF(M$3&lt;=time,'Attributable fraction'!AL161*(1+Economics!$B$4)^(M$3-$B$3)/((1+Economics!$B$3)^(M$3-$B$3)),"")</f>
        <v/>
      </c>
      <c r="N217" s="355" t="str">
        <f>IF(N$3&lt;=time,'Attributable fraction'!AM161*(1+Economics!$B$4)^(N$3-$B$3)/((1+Economics!$B$3)^(N$3-$B$3)),"")</f>
        <v/>
      </c>
      <c r="O217" s="355" t="str">
        <f>IF(O$3&lt;=time,'Attributable fraction'!AN161*(1+Economics!$B$4)^(O$3-$B$3)/((1+Economics!$B$3)^(O$3-$B$3)),"")</f>
        <v/>
      </c>
      <c r="P217" s="355" t="str">
        <f>IF(P$3&lt;=time,'Attributable fraction'!AO161*(1+Economics!$B$4)^(P$3-$B$3)/((1+Economics!$B$3)^(P$3-$B$3)),"")</f>
        <v/>
      </c>
      <c r="Q217" s="355" t="str">
        <f>IF(Q$3&lt;=time,'Attributable fraction'!AP161*(1+Economics!$B$4)^(Q$3-$B$3)/((1+Economics!$B$3)^(Q$3-$B$3)),"")</f>
        <v/>
      </c>
      <c r="R217" s="355" t="str">
        <f>IF(R$3&lt;=time,'Attributable fraction'!AQ161*(1+Economics!$B$4)^(R$3-$B$3)/((1+Economics!$B$3)^(R$3-$B$3)),"")</f>
        <v/>
      </c>
      <c r="S217" s="355" t="str">
        <f>IF(S$3&lt;=time,'Attributable fraction'!AR161*(1+Economics!$B$4)^(S$3-$B$3)/((1+Economics!$B$3)^(S$3-$B$3)),"")</f>
        <v/>
      </c>
      <c r="T217" s="355" t="str">
        <f>IF(T$3&lt;=time,'Attributable fraction'!AS161*(1+Economics!$B$4)^(T$3-$B$3)/((1+Economics!$B$3)^(T$3-$B$3)),"")</f>
        <v/>
      </c>
      <c r="U217" s="355" t="str">
        <f>IF(U$3&lt;=time,'Attributable fraction'!AT161*(1+Economics!$B$4)^(U$3-$B$3)/((1+Economics!$B$3)^(U$3-$B$3)),"")</f>
        <v/>
      </c>
      <c r="V217" s="355" t="str">
        <f>IF(V$3&lt;=time,'Attributable fraction'!AU161*(1+Economics!$B$4)^(V$3-$B$3)/((1+Economics!$B$3)^(V$3-$B$3)),"")</f>
        <v/>
      </c>
      <c r="W217" s="355" t="str">
        <f>IF(W$3&lt;=time,'Attributable fraction'!AV161*(1+Economics!$B$4)^(W$3-$B$3)/((1+Economics!$B$3)^(W$3-$B$3)),"")</f>
        <v/>
      </c>
      <c r="X217" s="355" t="str">
        <f>IF(X$3&lt;=time,'Attributable fraction'!AW161*(1+Economics!$B$4)^(X$3-$B$3)/((1+Economics!$B$3)^(X$3-$B$3)),"")</f>
        <v/>
      </c>
      <c r="Y217" s="355" t="str">
        <f>IF(Y$3&lt;=time,'Attributable fraction'!AX161*(1+Economics!$B$4)^(Y$3-$B$3)/((1+Economics!$B$3)^(Y$3-$B$3)),"")</f>
        <v/>
      </c>
      <c r="Z217" s="356" t="str">
        <f>IF(Z$3&lt;=time,'Attributable fraction'!AY161*(1+Economics!$B$4)^(Z$3-$B$3)/((1+Economics!$B$3)^(Z$3-$B$3)),"")</f>
        <v/>
      </c>
      <c r="AC217" s="142">
        <f t="shared" si="41"/>
        <v>0</v>
      </c>
      <c r="AE217" s="376">
        <v>5</v>
      </c>
      <c r="AF217" s="176" t="e">
        <f t="array" ref="AF217">STDEV(IF(B217:Z217&lt;&gt;0,B217:Z217))</f>
        <v>#DIV/0!</v>
      </c>
      <c r="AG217" s="176">
        <v>1.96</v>
      </c>
      <c r="AH217" s="176" t="e">
        <f t="shared" si="42"/>
        <v>#DIV/0!</v>
      </c>
      <c r="AI217" s="176">
        <f t="shared" si="38"/>
        <v>0</v>
      </c>
    </row>
    <row r="218" spans="1:35" hidden="1">
      <c r="A218" s="378" t="str">
        <f>Costs!A162</f>
        <v>Utilities 6</v>
      </c>
      <c r="B218" s="355">
        <f>IF(B$3&lt;=time,'Attributable fraction'!AA162*(1+Economics!$B$4)^(B$3-$B$3)/((1+Economics!$B$3)^(B$3-$B$3)),"")</f>
        <v>0</v>
      </c>
      <c r="C218" s="355">
        <f>IF(C$3&lt;=time,'Attributable fraction'!AB162*(1+Economics!$B$4)^(C$3-$B$3)/((1+Economics!$B$3)^(C$3-$B$3)),"")</f>
        <v>0</v>
      </c>
      <c r="D218" s="355">
        <f>IF(D$3&lt;=time,'Attributable fraction'!AC162*(1+Economics!$B$4)^(D$3-$B$3)/((1+Economics!$B$3)^(D$3-$B$3)),"")</f>
        <v>0</v>
      </c>
      <c r="E218" s="355">
        <f>IF(E$3&lt;=time,'Attributable fraction'!AD162*(1+Economics!$B$4)^(E$3-$B$3)/((1+Economics!$B$3)^(E$3-$B$3)),"")</f>
        <v>0</v>
      </c>
      <c r="F218" s="355">
        <f>IF(F$3&lt;=time,'Attributable fraction'!AE162*(1+Economics!$B$4)^(F$3-$B$3)/((1+Economics!$B$3)^(F$3-$B$3)),"")</f>
        <v>0</v>
      </c>
      <c r="G218" s="355" t="str">
        <f>IF(G$3&lt;=time,'Attributable fraction'!AF162*(1+Economics!$B$4)^(G$3-$B$3)/((1+Economics!$B$3)^(G$3-$B$3)),"")</f>
        <v/>
      </c>
      <c r="H218" s="355" t="str">
        <f>IF(H$3&lt;=time,'Attributable fraction'!AG162*(1+Economics!$B$4)^(H$3-$B$3)/((1+Economics!$B$3)^(H$3-$B$3)),"")</f>
        <v/>
      </c>
      <c r="I218" s="355" t="str">
        <f>IF(I$3&lt;=time,'Attributable fraction'!AH162*(1+Economics!$B$4)^(I$3-$B$3)/((1+Economics!$B$3)^(I$3-$B$3)),"")</f>
        <v/>
      </c>
      <c r="J218" s="355" t="str">
        <f>IF(J$3&lt;=time,'Attributable fraction'!AI162*(1+Economics!$B$4)^(J$3-$B$3)/((1+Economics!$B$3)^(J$3-$B$3)),"")</f>
        <v/>
      </c>
      <c r="K218" s="355" t="str">
        <f>IF(K$3&lt;=time,'Attributable fraction'!AJ162*(1+Economics!$B$4)^(K$3-$B$3)/((1+Economics!$B$3)^(K$3-$B$3)),"")</f>
        <v/>
      </c>
      <c r="L218" s="355" t="str">
        <f>IF(L$3&lt;=time,'Attributable fraction'!AK162*(1+Economics!$B$4)^(L$3-$B$3)/((1+Economics!$B$3)^(L$3-$B$3)),"")</f>
        <v/>
      </c>
      <c r="M218" s="355" t="str">
        <f>IF(M$3&lt;=time,'Attributable fraction'!AL162*(1+Economics!$B$4)^(M$3-$B$3)/((1+Economics!$B$3)^(M$3-$B$3)),"")</f>
        <v/>
      </c>
      <c r="N218" s="355" t="str">
        <f>IF(N$3&lt;=time,'Attributable fraction'!AM162*(1+Economics!$B$4)^(N$3-$B$3)/((1+Economics!$B$3)^(N$3-$B$3)),"")</f>
        <v/>
      </c>
      <c r="O218" s="355" t="str">
        <f>IF(O$3&lt;=time,'Attributable fraction'!AN162*(1+Economics!$B$4)^(O$3-$B$3)/((1+Economics!$B$3)^(O$3-$B$3)),"")</f>
        <v/>
      </c>
      <c r="P218" s="355" t="str">
        <f>IF(P$3&lt;=time,'Attributable fraction'!AO162*(1+Economics!$B$4)^(P$3-$B$3)/((1+Economics!$B$3)^(P$3-$B$3)),"")</f>
        <v/>
      </c>
      <c r="Q218" s="355" t="str">
        <f>IF(Q$3&lt;=time,'Attributable fraction'!AP162*(1+Economics!$B$4)^(Q$3-$B$3)/((1+Economics!$B$3)^(Q$3-$B$3)),"")</f>
        <v/>
      </c>
      <c r="R218" s="355" t="str">
        <f>IF(R$3&lt;=time,'Attributable fraction'!AQ162*(1+Economics!$B$4)^(R$3-$B$3)/((1+Economics!$B$3)^(R$3-$B$3)),"")</f>
        <v/>
      </c>
      <c r="S218" s="355" t="str">
        <f>IF(S$3&lt;=time,'Attributable fraction'!AR162*(1+Economics!$B$4)^(S$3-$B$3)/((1+Economics!$B$3)^(S$3-$B$3)),"")</f>
        <v/>
      </c>
      <c r="T218" s="355" t="str">
        <f>IF(T$3&lt;=time,'Attributable fraction'!AS162*(1+Economics!$B$4)^(T$3-$B$3)/((1+Economics!$B$3)^(T$3-$B$3)),"")</f>
        <v/>
      </c>
      <c r="U218" s="355" t="str">
        <f>IF(U$3&lt;=time,'Attributable fraction'!AT162*(1+Economics!$B$4)^(U$3-$B$3)/((1+Economics!$B$3)^(U$3-$B$3)),"")</f>
        <v/>
      </c>
      <c r="V218" s="355" t="str">
        <f>IF(V$3&lt;=time,'Attributable fraction'!AU162*(1+Economics!$B$4)^(V$3-$B$3)/((1+Economics!$B$3)^(V$3-$B$3)),"")</f>
        <v/>
      </c>
      <c r="W218" s="355" t="str">
        <f>IF(W$3&lt;=time,'Attributable fraction'!AV162*(1+Economics!$B$4)^(W$3-$B$3)/((1+Economics!$B$3)^(W$3-$B$3)),"")</f>
        <v/>
      </c>
      <c r="X218" s="355" t="str">
        <f>IF(X$3&lt;=time,'Attributable fraction'!AW162*(1+Economics!$B$4)^(X$3-$B$3)/((1+Economics!$B$3)^(X$3-$B$3)),"")</f>
        <v/>
      </c>
      <c r="Y218" s="355" t="str">
        <f>IF(Y$3&lt;=time,'Attributable fraction'!AX162*(1+Economics!$B$4)^(Y$3-$B$3)/((1+Economics!$B$3)^(Y$3-$B$3)),"")</f>
        <v/>
      </c>
      <c r="Z218" s="356" t="str">
        <f>IF(Z$3&lt;=time,'Attributable fraction'!AY162*(1+Economics!$B$4)^(Z$3-$B$3)/((1+Economics!$B$3)^(Z$3-$B$3)),"")</f>
        <v/>
      </c>
      <c r="AC218" s="142">
        <f t="shared" si="41"/>
        <v>0</v>
      </c>
      <c r="AE218" s="376">
        <v>6</v>
      </c>
      <c r="AF218" s="176" t="e">
        <f t="array" ref="AF218">STDEV(IF(B218:Z218&lt;&gt;0,B218:Z218))</f>
        <v>#DIV/0!</v>
      </c>
      <c r="AG218" s="176">
        <v>1.96</v>
      </c>
      <c r="AH218" s="176" t="e">
        <f t="shared" si="42"/>
        <v>#DIV/0!</v>
      </c>
      <c r="AI218" s="176">
        <f t="shared" si="38"/>
        <v>0</v>
      </c>
    </row>
    <row r="219" spans="1:35" hidden="1">
      <c r="A219" s="378" t="str">
        <f>Costs!A163</f>
        <v>Utilities 7</v>
      </c>
      <c r="B219" s="355">
        <f>IF(B$3&lt;=time,'Attributable fraction'!AA163*(1+Economics!$B$4)^(B$3-$B$3)/((1+Economics!$B$3)^(B$3-$B$3)),"")</f>
        <v>0</v>
      </c>
      <c r="C219" s="355">
        <f>IF(C$3&lt;=time,'Attributable fraction'!AB163*(1+Economics!$B$4)^(C$3-$B$3)/((1+Economics!$B$3)^(C$3-$B$3)),"")</f>
        <v>0</v>
      </c>
      <c r="D219" s="355">
        <f>IF(D$3&lt;=time,'Attributable fraction'!AC163*(1+Economics!$B$4)^(D$3-$B$3)/((1+Economics!$B$3)^(D$3-$B$3)),"")</f>
        <v>0</v>
      </c>
      <c r="E219" s="355">
        <f>IF(E$3&lt;=time,'Attributable fraction'!AD163*(1+Economics!$B$4)^(E$3-$B$3)/((1+Economics!$B$3)^(E$3-$B$3)),"")</f>
        <v>0</v>
      </c>
      <c r="F219" s="355">
        <f>IF(F$3&lt;=time,'Attributable fraction'!AE163*(1+Economics!$B$4)^(F$3-$B$3)/((1+Economics!$B$3)^(F$3-$B$3)),"")</f>
        <v>0</v>
      </c>
      <c r="G219" s="355" t="str">
        <f>IF(G$3&lt;=time,'Attributable fraction'!AF163*(1+Economics!$B$4)^(G$3-$B$3)/((1+Economics!$B$3)^(G$3-$B$3)),"")</f>
        <v/>
      </c>
      <c r="H219" s="355" t="str">
        <f>IF(H$3&lt;=time,'Attributable fraction'!AG163*(1+Economics!$B$4)^(H$3-$B$3)/((1+Economics!$B$3)^(H$3-$B$3)),"")</f>
        <v/>
      </c>
      <c r="I219" s="355" t="str">
        <f>IF(I$3&lt;=time,'Attributable fraction'!AH163*(1+Economics!$B$4)^(I$3-$B$3)/((1+Economics!$B$3)^(I$3-$B$3)),"")</f>
        <v/>
      </c>
      <c r="J219" s="355" t="str">
        <f>IF(J$3&lt;=time,'Attributable fraction'!AI163*(1+Economics!$B$4)^(J$3-$B$3)/((1+Economics!$B$3)^(J$3-$B$3)),"")</f>
        <v/>
      </c>
      <c r="K219" s="355" t="str">
        <f>IF(K$3&lt;=time,'Attributable fraction'!AJ163*(1+Economics!$B$4)^(K$3-$B$3)/((1+Economics!$B$3)^(K$3-$B$3)),"")</f>
        <v/>
      </c>
      <c r="L219" s="355" t="str">
        <f>IF(L$3&lt;=time,'Attributable fraction'!AK163*(1+Economics!$B$4)^(L$3-$B$3)/((1+Economics!$B$3)^(L$3-$B$3)),"")</f>
        <v/>
      </c>
      <c r="M219" s="355" t="str">
        <f>IF(M$3&lt;=time,'Attributable fraction'!AL163*(1+Economics!$B$4)^(M$3-$B$3)/((1+Economics!$B$3)^(M$3-$B$3)),"")</f>
        <v/>
      </c>
      <c r="N219" s="355" t="str">
        <f>IF(N$3&lt;=time,'Attributable fraction'!AM163*(1+Economics!$B$4)^(N$3-$B$3)/((1+Economics!$B$3)^(N$3-$B$3)),"")</f>
        <v/>
      </c>
      <c r="O219" s="355" t="str">
        <f>IF(O$3&lt;=time,'Attributable fraction'!AN163*(1+Economics!$B$4)^(O$3-$B$3)/((1+Economics!$B$3)^(O$3-$B$3)),"")</f>
        <v/>
      </c>
      <c r="P219" s="355" t="str">
        <f>IF(P$3&lt;=time,'Attributable fraction'!AO163*(1+Economics!$B$4)^(P$3-$B$3)/((1+Economics!$B$3)^(P$3-$B$3)),"")</f>
        <v/>
      </c>
      <c r="Q219" s="355" t="str">
        <f>IF(Q$3&lt;=time,'Attributable fraction'!AP163*(1+Economics!$B$4)^(Q$3-$B$3)/((1+Economics!$B$3)^(Q$3-$B$3)),"")</f>
        <v/>
      </c>
      <c r="R219" s="355" t="str">
        <f>IF(R$3&lt;=time,'Attributable fraction'!AQ163*(1+Economics!$B$4)^(R$3-$B$3)/((1+Economics!$B$3)^(R$3-$B$3)),"")</f>
        <v/>
      </c>
      <c r="S219" s="355" t="str">
        <f>IF(S$3&lt;=time,'Attributable fraction'!AR163*(1+Economics!$B$4)^(S$3-$B$3)/((1+Economics!$B$3)^(S$3-$B$3)),"")</f>
        <v/>
      </c>
      <c r="T219" s="355" t="str">
        <f>IF(T$3&lt;=time,'Attributable fraction'!AS163*(1+Economics!$B$4)^(T$3-$B$3)/((1+Economics!$B$3)^(T$3-$B$3)),"")</f>
        <v/>
      </c>
      <c r="U219" s="355" t="str">
        <f>IF(U$3&lt;=time,'Attributable fraction'!AT163*(1+Economics!$B$4)^(U$3-$B$3)/((1+Economics!$B$3)^(U$3-$B$3)),"")</f>
        <v/>
      </c>
      <c r="V219" s="355" t="str">
        <f>IF(V$3&lt;=time,'Attributable fraction'!AU163*(1+Economics!$B$4)^(V$3-$B$3)/((1+Economics!$B$3)^(V$3-$B$3)),"")</f>
        <v/>
      </c>
      <c r="W219" s="355" t="str">
        <f>IF(W$3&lt;=time,'Attributable fraction'!AV163*(1+Economics!$B$4)^(W$3-$B$3)/((1+Economics!$B$3)^(W$3-$B$3)),"")</f>
        <v/>
      </c>
      <c r="X219" s="355" t="str">
        <f>IF(X$3&lt;=time,'Attributable fraction'!AW163*(1+Economics!$B$4)^(X$3-$B$3)/((1+Economics!$B$3)^(X$3-$B$3)),"")</f>
        <v/>
      </c>
      <c r="Y219" s="355" t="str">
        <f>IF(Y$3&lt;=time,'Attributable fraction'!AX163*(1+Economics!$B$4)^(Y$3-$B$3)/((1+Economics!$B$3)^(Y$3-$B$3)),"")</f>
        <v/>
      </c>
      <c r="Z219" s="356" t="str">
        <f>IF(Z$3&lt;=time,'Attributable fraction'!AY163*(1+Economics!$B$4)^(Z$3-$B$3)/((1+Economics!$B$3)^(Z$3-$B$3)),"")</f>
        <v/>
      </c>
      <c r="AC219" s="142">
        <f t="shared" si="41"/>
        <v>0</v>
      </c>
      <c r="AE219" s="376">
        <v>7</v>
      </c>
      <c r="AF219" s="176" t="e">
        <f t="array" ref="AF219">STDEV(IF(B219:Z219&lt;&gt;0,B219:Z219))</f>
        <v>#DIV/0!</v>
      </c>
      <c r="AG219" s="176">
        <v>1.96</v>
      </c>
      <c r="AH219" s="176" t="e">
        <f t="shared" si="42"/>
        <v>#DIV/0!</v>
      </c>
      <c r="AI219" s="176">
        <f t="shared" si="38"/>
        <v>0</v>
      </c>
    </row>
    <row r="220" spans="1:35" hidden="1">
      <c r="A220" s="378" t="str">
        <f>Costs!A164</f>
        <v>Utilities 8</v>
      </c>
      <c r="B220" s="355">
        <f>IF(B$3&lt;=time,'Attributable fraction'!AA164*(1+Economics!$B$4)^(B$3-$B$3)/((1+Economics!$B$3)^(B$3-$B$3)),"")</f>
        <v>0</v>
      </c>
      <c r="C220" s="355">
        <f>IF(C$3&lt;=time,'Attributable fraction'!AB164*(1+Economics!$B$4)^(C$3-$B$3)/((1+Economics!$B$3)^(C$3-$B$3)),"")</f>
        <v>0</v>
      </c>
      <c r="D220" s="355">
        <f>IF(D$3&lt;=time,'Attributable fraction'!AC164*(1+Economics!$B$4)^(D$3-$B$3)/((1+Economics!$B$3)^(D$3-$B$3)),"")</f>
        <v>0</v>
      </c>
      <c r="E220" s="355">
        <f>IF(E$3&lt;=time,'Attributable fraction'!AD164*(1+Economics!$B$4)^(E$3-$B$3)/((1+Economics!$B$3)^(E$3-$B$3)),"")</f>
        <v>0</v>
      </c>
      <c r="F220" s="355">
        <f>IF(F$3&lt;=time,'Attributable fraction'!AE164*(1+Economics!$B$4)^(F$3-$B$3)/((1+Economics!$B$3)^(F$3-$B$3)),"")</f>
        <v>0</v>
      </c>
      <c r="G220" s="355" t="str">
        <f>IF(G$3&lt;=time,'Attributable fraction'!AF164*(1+Economics!$B$4)^(G$3-$B$3)/((1+Economics!$B$3)^(G$3-$B$3)),"")</f>
        <v/>
      </c>
      <c r="H220" s="355" t="str">
        <f>IF(H$3&lt;=time,'Attributable fraction'!AG164*(1+Economics!$B$4)^(H$3-$B$3)/((1+Economics!$B$3)^(H$3-$B$3)),"")</f>
        <v/>
      </c>
      <c r="I220" s="355" t="str">
        <f>IF(I$3&lt;=time,'Attributable fraction'!AH164*(1+Economics!$B$4)^(I$3-$B$3)/((1+Economics!$B$3)^(I$3-$B$3)),"")</f>
        <v/>
      </c>
      <c r="J220" s="355" t="str">
        <f>IF(J$3&lt;=time,'Attributable fraction'!AI164*(1+Economics!$B$4)^(J$3-$B$3)/((1+Economics!$B$3)^(J$3-$B$3)),"")</f>
        <v/>
      </c>
      <c r="K220" s="355" t="str">
        <f>IF(K$3&lt;=time,'Attributable fraction'!AJ164*(1+Economics!$B$4)^(K$3-$B$3)/((1+Economics!$B$3)^(K$3-$B$3)),"")</f>
        <v/>
      </c>
      <c r="L220" s="355" t="str">
        <f>IF(L$3&lt;=time,'Attributable fraction'!AK164*(1+Economics!$B$4)^(L$3-$B$3)/((1+Economics!$B$3)^(L$3-$B$3)),"")</f>
        <v/>
      </c>
      <c r="M220" s="355" t="str">
        <f>IF(M$3&lt;=time,'Attributable fraction'!AL164*(1+Economics!$B$4)^(M$3-$B$3)/((1+Economics!$B$3)^(M$3-$B$3)),"")</f>
        <v/>
      </c>
      <c r="N220" s="355" t="str">
        <f>IF(N$3&lt;=time,'Attributable fraction'!AM164*(1+Economics!$B$4)^(N$3-$B$3)/((1+Economics!$B$3)^(N$3-$B$3)),"")</f>
        <v/>
      </c>
      <c r="O220" s="355" t="str">
        <f>IF(O$3&lt;=time,'Attributable fraction'!AN164*(1+Economics!$B$4)^(O$3-$B$3)/((1+Economics!$B$3)^(O$3-$B$3)),"")</f>
        <v/>
      </c>
      <c r="P220" s="355" t="str">
        <f>IF(P$3&lt;=time,'Attributable fraction'!AO164*(1+Economics!$B$4)^(P$3-$B$3)/((1+Economics!$B$3)^(P$3-$B$3)),"")</f>
        <v/>
      </c>
      <c r="Q220" s="355" t="str">
        <f>IF(Q$3&lt;=time,'Attributable fraction'!AP164*(1+Economics!$B$4)^(Q$3-$B$3)/((1+Economics!$B$3)^(Q$3-$B$3)),"")</f>
        <v/>
      </c>
      <c r="R220" s="355" t="str">
        <f>IF(R$3&lt;=time,'Attributable fraction'!AQ164*(1+Economics!$B$4)^(R$3-$B$3)/((1+Economics!$B$3)^(R$3-$B$3)),"")</f>
        <v/>
      </c>
      <c r="S220" s="355" t="str">
        <f>IF(S$3&lt;=time,'Attributable fraction'!AR164*(1+Economics!$B$4)^(S$3-$B$3)/((1+Economics!$B$3)^(S$3-$B$3)),"")</f>
        <v/>
      </c>
      <c r="T220" s="355" t="str">
        <f>IF(T$3&lt;=time,'Attributable fraction'!AS164*(1+Economics!$B$4)^(T$3-$B$3)/((1+Economics!$B$3)^(T$3-$B$3)),"")</f>
        <v/>
      </c>
      <c r="U220" s="355" t="str">
        <f>IF(U$3&lt;=time,'Attributable fraction'!AT164*(1+Economics!$B$4)^(U$3-$B$3)/((1+Economics!$B$3)^(U$3-$B$3)),"")</f>
        <v/>
      </c>
      <c r="V220" s="355" t="str">
        <f>IF(V$3&lt;=time,'Attributable fraction'!AU164*(1+Economics!$B$4)^(V$3-$B$3)/((1+Economics!$B$3)^(V$3-$B$3)),"")</f>
        <v/>
      </c>
      <c r="W220" s="355" t="str">
        <f>IF(W$3&lt;=time,'Attributable fraction'!AV164*(1+Economics!$B$4)^(W$3-$B$3)/((1+Economics!$B$3)^(W$3-$B$3)),"")</f>
        <v/>
      </c>
      <c r="X220" s="355" t="str">
        <f>IF(X$3&lt;=time,'Attributable fraction'!AW164*(1+Economics!$B$4)^(X$3-$B$3)/((1+Economics!$B$3)^(X$3-$B$3)),"")</f>
        <v/>
      </c>
      <c r="Y220" s="355" t="str">
        <f>IF(Y$3&lt;=time,'Attributable fraction'!AX164*(1+Economics!$B$4)^(Y$3-$B$3)/((1+Economics!$B$3)^(Y$3-$B$3)),"")</f>
        <v/>
      </c>
      <c r="Z220" s="356" t="str">
        <f>IF(Z$3&lt;=time,'Attributable fraction'!AY164*(1+Economics!$B$4)^(Z$3-$B$3)/((1+Economics!$B$3)^(Z$3-$B$3)),"")</f>
        <v/>
      </c>
      <c r="AC220" s="142">
        <f t="shared" si="41"/>
        <v>0</v>
      </c>
      <c r="AE220" s="376">
        <v>8</v>
      </c>
      <c r="AF220" s="176" t="e">
        <f t="array" ref="AF220">STDEV(IF(B220:Z220&lt;&gt;0,B220:Z220))</f>
        <v>#DIV/0!</v>
      </c>
      <c r="AG220" s="176">
        <v>1.96</v>
      </c>
      <c r="AH220" s="176" t="e">
        <f t="shared" si="42"/>
        <v>#DIV/0!</v>
      </c>
      <c r="AI220" s="176">
        <f t="shared" si="38"/>
        <v>0</v>
      </c>
    </row>
    <row r="221" spans="1:35" hidden="1">
      <c r="A221" s="378" t="str">
        <f>Costs!A165</f>
        <v>Utilities 9</v>
      </c>
      <c r="B221" s="355">
        <f>IF(B$3&lt;=time,'Attributable fraction'!AA165*(1+Economics!$B$4)^(B$3-$B$3)/((1+Economics!$B$3)^(B$3-$B$3)),"")</f>
        <v>0</v>
      </c>
      <c r="C221" s="355">
        <f>IF(C$3&lt;=time,'Attributable fraction'!AB165*(1+Economics!$B$4)^(C$3-$B$3)/((1+Economics!$B$3)^(C$3-$B$3)),"")</f>
        <v>0</v>
      </c>
      <c r="D221" s="355">
        <f>IF(D$3&lt;=time,'Attributable fraction'!AC165*(1+Economics!$B$4)^(D$3-$B$3)/((1+Economics!$B$3)^(D$3-$B$3)),"")</f>
        <v>0</v>
      </c>
      <c r="E221" s="355">
        <f>IF(E$3&lt;=time,'Attributable fraction'!AD165*(1+Economics!$B$4)^(E$3-$B$3)/((1+Economics!$B$3)^(E$3-$B$3)),"")</f>
        <v>0</v>
      </c>
      <c r="F221" s="355">
        <f>IF(F$3&lt;=time,'Attributable fraction'!AE165*(1+Economics!$B$4)^(F$3-$B$3)/((1+Economics!$B$3)^(F$3-$B$3)),"")</f>
        <v>0</v>
      </c>
      <c r="G221" s="355" t="str">
        <f>IF(G$3&lt;=time,'Attributable fraction'!AF165*(1+Economics!$B$4)^(G$3-$B$3)/((1+Economics!$B$3)^(G$3-$B$3)),"")</f>
        <v/>
      </c>
      <c r="H221" s="355" t="str">
        <f>IF(H$3&lt;=time,'Attributable fraction'!AG165*(1+Economics!$B$4)^(H$3-$B$3)/((1+Economics!$B$3)^(H$3-$B$3)),"")</f>
        <v/>
      </c>
      <c r="I221" s="355" t="str">
        <f>IF(I$3&lt;=time,'Attributable fraction'!AH165*(1+Economics!$B$4)^(I$3-$B$3)/((1+Economics!$B$3)^(I$3-$B$3)),"")</f>
        <v/>
      </c>
      <c r="J221" s="355" t="str">
        <f>IF(J$3&lt;=time,'Attributable fraction'!AI165*(1+Economics!$B$4)^(J$3-$B$3)/((1+Economics!$B$3)^(J$3-$B$3)),"")</f>
        <v/>
      </c>
      <c r="K221" s="355" t="str">
        <f>IF(K$3&lt;=time,'Attributable fraction'!AJ165*(1+Economics!$B$4)^(K$3-$B$3)/((1+Economics!$B$3)^(K$3-$B$3)),"")</f>
        <v/>
      </c>
      <c r="L221" s="355" t="str">
        <f>IF(L$3&lt;=time,'Attributable fraction'!AK165*(1+Economics!$B$4)^(L$3-$B$3)/((1+Economics!$B$3)^(L$3-$B$3)),"")</f>
        <v/>
      </c>
      <c r="M221" s="355" t="str">
        <f>IF(M$3&lt;=time,'Attributable fraction'!AL165*(1+Economics!$B$4)^(M$3-$B$3)/((1+Economics!$B$3)^(M$3-$B$3)),"")</f>
        <v/>
      </c>
      <c r="N221" s="355" t="str">
        <f>IF(N$3&lt;=time,'Attributable fraction'!AM165*(1+Economics!$B$4)^(N$3-$B$3)/((1+Economics!$B$3)^(N$3-$B$3)),"")</f>
        <v/>
      </c>
      <c r="O221" s="355" t="str">
        <f>IF(O$3&lt;=time,'Attributable fraction'!AN165*(1+Economics!$B$4)^(O$3-$B$3)/((1+Economics!$B$3)^(O$3-$B$3)),"")</f>
        <v/>
      </c>
      <c r="P221" s="355" t="str">
        <f>IF(P$3&lt;=time,'Attributable fraction'!AO165*(1+Economics!$B$4)^(P$3-$B$3)/((1+Economics!$B$3)^(P$3-$B$3)),"")</f>
        <v/>
      </c>
      <c r="Q221" s="355" t="str">
        <f>IF(Q$3&lt;=time,'Attributable fraction'!AP165*(1+Economics!$B$4)^(Q$3-$B$3)/((1+Economics!$B$3)^(Q$3-$B$3)),"")</f>
        <v/>
      </c>
      <c r="R221" s="355" t="str">
        <f>IF(R$3&lt;=time,'Attributable fraction'!AQ165*(1+Economics!$B$4)^(R$3-$B$3)/((1+Economics!$B$3)^(R$3-$B$3)),"")</f>
        <v/>
      </c>
      <c r="S221" s="355" t="str">
        <f>IF(S$3&lt;=time,'Attributable fraction'!AR165*(1+Economics!$B$4)^(S$3-$B$3)/((1+Economics!$B$3)^(S$3-$B$3)),"")</f>
        <v/>
      </c>
      <c r="T221" s="355" t="str">
        <f>IF(T$3&lt;=time,'Attributable fraction'!AS165*(1+Economics!$B$4)^(T$3-$B$3)/((1+Economics!$B$3)^(T$3-$B$3)),"")</f>
        <v/>
      </c>
      <c r="U221" s="355" t="str">
        <f>IF(U$3&lt;=time,'Attributable fraction'!AT165*(1+Economics!$B$4)^(U$3-$B$3)/((1+Economics!$B$3)^(U$3-$B$3)),"")</f>
        <v/>
      </c>
      <c r="V221" s="355" t="str">
        <f>IF(V$3&lt;=time,'Attributable fraction'!AU165*(1+Economics!$B$4)^(V$3-$B$3)/((1+Economics!$B$3)^(V$3-$B$3)),"")</f>
        <v/>
      </c>
      <c r="W221" s="355" t="str">
        <f>IF(W$3&lt;=time,'Attributable fraction'!AV165*(1+Economics!$B$4)^(W$3-$B$3)/((1+Economics!$B$3)^(W$3-$B$3)),"")</f>
        <v/>
      </c>
      <c r="X221" s="355" t="str">
        <f>IF(X$3&lt;=time,'Attributable fraction'!AW165*(1+Economics!$B$4)^(X$3-$B$3)/((1+Economics!$B$3)^(X$3-$B$3)),"")</f>
        <v/>
      </c>
      <c r="Y221" s="355" t="str">
        <f>IF(Y$3&lt;=time,'Attributable fraction'!AX165*(1+Economics!$B$4)^(Y$3-$B$3)/((1+Economics!$B$3)^(Y$3-$B$3)),"")</f>
        <v/>
      </c>
      <c r="Z221" s="356" t="str">
        <f>IF(Z$3&lt;=time,'Attributable fraction'!AY165*(1+Economics!$B$4)^(Z$3-$B$3)/((1+Economics!$B$3)^(Z$3-$B$3)),"")</f>
        <v/>
      </c>
      <c r="AC221" s="142">
        <f t="shared" si="41"/>
        <v>0</v>
      </c>
      <c r="AE221" s="376">
        <v>9</v>
      </c>
      <c r="AF221" s="176" t="e">
        <f t="array" ref="AF221">STDEV(IF(B221:Z221&lt;&gt;0,B221:Z221))</f>
        <v>#DIV/0!</v>
      </c>
      <c r="AG221" s="176">
        <v>1.96</v>
      </c>
      <c r="AH221" s="176" t="e">
        <f t="shared" si="42"/>
        <v>#DIV/0!</v>
      </c>
      <c r="AI221" s="176">
        <f t="shared" si="38"/>
        <v>0</v>
      </c>
    </row>
    <row r="222" spans="1:35" hidden="1">
      <c r="A222" s="378" t="str">
        <f>Costs!A166</f>
        <v>Utilities 10</v>
      </c>
      <c r="B222" s="355">
        <f>IF(B$3&lt;=time,'Attributable fraction'!AA166*(1+Economics!$B$4)^(B$3-$B$3)/((1+Economics!$B$3)^(B$3-$B$3)),"")</f>
        <v>0</v>
      </c>
      <c r="C222" s="355">
        <f>IF(C$3&lt;=time,'Attributable fraction'!AB166*(1+Economics!$B$4)^(C$3-$B$3)/((1+Economics!$B$3)^(C$3-$B$3)),"")</f>
        <v>0</v>
      </c>
      <c r="D222" s="355">
        <f>IF(D$3&lt;=time,'Attributable fraction'!AC166*(1+Economics!$B$4)^(D$3-$B$3)/((1+Economics!$B$3)^(D$3-$B$3)),"")</f>
        <v>0</v>
      </c>
      <c r="E222" s="355">
        <f>IF(E$3&lt;=time,'Attributable fraction'!AD166*(1+Economics!$B$4)^(E$3-$B$3)/((1+Economics!$B$3)^(E$3-$B$3)),"")</f>
        <v>0</v>
      </c>
      <c r="F222" s="355">
        <f>IF(F$3&lt;=time,'Attributable fraction'!AE166*(1+Economics!$B$4)^(F$3-$B$3)/((1+Economics!$B$3)^(F$3-$B$3)),"")</f>
        <v>0</v>
      </c>
      <c r="G222" s="355" t="str">
        <f>IF(G$3&lt;=time,'Attributable fraction'!AF166*(1+Economics!$B$4)^(G$3-$B$3)/((1+Economics!$B$3)^(G$3-$B$3)),"")</f>
        <v/>
      </c>
      <c r="H222" s="355" t="str">
        <f>IF(H$3&lt;=time,'Attributable fraction'!AG166*(1+Economics!$B$4)^(H$3-$B$3)/((1+Economics!$B$3)^(H$3-$B$3)),"")</f>
        <v/>
      </c>
      <c r="I222" s="355" t="str">
        <f>IF(I$3&lt;=time,'Attributable fraction'!AH166*(1+Economics!$B$4)^(I$3-$B$3)/((1+Economics!$B$3)^(I$3-$B$3)),"")</f>
        <v/>
      </c>
      <c r="J222" s="355" t="str">
        <f>IF(J$3&lt;=time,'Attributable fraction'!AI166*(1+Economics!$B$4)^(J$3-$B$3)/((1+Economics!$B$3)^(J$3-$B$3)),"")</f>
        <v/>
      </c>
      <c r="K222" s="355" t="str">
        <f>IF(K$3&lt;=time,'Attributable fraction'!AJ166*(1+Economics!$B$4)^(K$3-$B$3)/((1+Economics!$B$3)^(K$3-$B$3)),"")</f>
        <v/>
      </c>
      <c r="L222" s="355" t="str">
        <f>IF(L$3&lt;=time,'Attributable fraction'!AK166*(1+Economics!$B$4)^(L$3-$B$3)/((1+Economics!$B$3)^(L$3-$B$3)),"")</f>
        <v/>
      </c>
      <c r="M222" s="355" t="str">
        <f>IF(M$3&lt;=time,'Attributable fraction'!AL166*(1+Economics!$B$4)^(M$3-$B$3)/((1+Economics!$B$3)^(M$3-$B$3)),"")</f>
        <v/>
      </c>
      <c r="N222" s="355" t="str">
        <f>IF(N$3&lt;=time,'Attributable fraction'!AM166*(1+Economics!$B$4)^(N$3-$B$3)/((1+Economics!$B$3)^(N$3-$B$3)),"")</f>
        <v/>
      </c>
      <c r="O222" s="355" t="str">
        <f>IF(O$3&lt;=time,'Attributable fraction'!AN166*(1+Economics!$B$4)^(O$3-$B$3)/((1+Economics!$B$3)^(O$3-$B$3)),"")</f>
        <v/>
      </c>
      <c r="P222" s="355" t="str">
        <f>IF(P$3&lt;=time,'Attributable fraction'!AO166*(1+Economics!$B$4)^(P$3-$B$3)/((1+Economics!$B$3)^(P$3-$B$3)),"")</f>
        <v/>
      </c>
      <c r="Q222" s="355" t="str">
        <f>IF(Q$3&lt;=time,'Attributable fraction'!AP166*(1+Economics!$B$4)^(Q$3-$B$3)/((1+Economics!$B$3)^(Q$3-$B$3)),"")</f>
        <v/>
      </c>
      <c r="R222" s="355" t="str">
        <f>IF(R$3&lt;=time,'Attributable fraction'!AQ166*(1+Economics!$B$4)^(R$3-$B$3)/((1+Economics!$B$3)^(R$3-$B$3)),"")</f>
        <v/>
      </c>
      <c r="S222" s="355" t="str">
        <f>IF(S$3&lt;=time,'Attributable fraction'!AR166*(1+Economics!$B$4)^(S$3-$B$3)/((1+Economics!$B$3)^(S$3-$B$3)),"")</f>
        <v/>
      </c>
      <c r="T222" s="355" t="str">
        <f>IF(T$3&lt;=time,'Attributable fraction'!AS166*(1+Economics!$B$4)^(T$3-$B$3)/((1+Economics!$B$3)^(T$3-$B$3)),"")</f>
        <v/>
      </c>
      <c r="U222" s="355" t="str">
        <f>IF(U$3&lt;=time,'Attributable fraction'!AT166*(1+Economics!$B$4)^(U$3-$B$3)/((1+Economics!$B$3)^(U$3-$B$3)),"")</f>
        <v/>
      </c>
      <c r="V222" s="355" t="str">
        <f>IF(V$3&lt;=time,'Attributable fraction'!AU166*(1+Economics!$B$4)^(V$3-$B$3)/((1+Economics!$B$3)^(V$3-$B$3)),"")</f>
        <v/>
      </c>
      <c r="W222" s="355" t="str">
        <f>IF(W$3&lt;=time,'Attributable fraction'!AV166*(1+Economics!$B$4)^(W$3-$B$3)/((1+Economics!$B$3)^(W$3-$B$3)),"")</f>
        <v/>
      </c>
      <c r="X222" s="355" t="str">
        <f>IF(X$3&lt;=time,'Attributable fraction'!AW166*(1+Economics!$B$4)^(X$3-$B$3)/((1+Economics!$B$3)^(X$3-$B$3)),"")</f>
        <v/>
      </c>
      <c r="Y222" s="355" t="str">
        <f>IF(Y$3&lt;=time,'Attributable fraction'!AX166*(1+Economics!$B$4)^(Y$3-$B$3)/((1+Economics!$B$3)^(Y$3-$B$3)),"")</f>
        <v/>
      </c>
      <c r="Z222" s="356" t="str">
        <f>IF(Z$3&lt;=time,'Attributable fraction'!AY166*(1+Economics!$B$4)^(Z$3-$B$3)/((1+Economics!$B$3)^(Z$3-$B$3)),"")</f>
        <v/>
      </c>
      <c r="AC222" s="142">
        <f t="shared" si="41"/>
        <v>0</v>
      </c>
      <c r="AE222" s="376">
        <v>10</v>
      </c>
      <c r="AF222" s="176" t="e">
        <f t="array" ref="AF222">STDEV(IF(B222:Z222&lt;&gt;0,B222:Z222))</f>
        <v>#DIV/0!</v>
      </c>
      <c r="AG222" s="176">
        <v>1.96</v>
      </c>
      <c r="AH222" s="176" t="e">
        <f t="shared" si="42"/>
        <v>#DIV/0!</v>
      </c>
      <c r="AI222" s="176">
        <f t="shared" si="38"/>
        <v>0</v>
      </c>
    </row>
    <row r="223" spans="1:35" s="196" customFormat="1" hidden="1">
      <c r="A223" s="302" t="s">
        <v>18</v>
      </c>
      <c r="B223" s="379"/>
      <c r="C223" s="379"/>
      <c r="D223" s="379"/>
      <c r="E223" s="379"/>
      <c r="F223" s="379"/>
      <c r="G223" s="379"/>
      <c r="H223" s="379"/>
      <c r="I223" s="379"/>
      <c r="J223" s="379"/>
      <c r="K223" s="379"/>
      <c r="L223" s="379"/>
      <c r="M223" s="379"/>
      <c r="N223" s="379"/>
      <c r="O223" s="379"/>
      <c r="P223" s="379"/>
      <c r="Q223" s="379"/>
      <c r="R223" s="379"/>
      <c r="S223" s="379"/>
      <c r="T223" s="379"/>
      <c r="U223" s="379"/>
      <c r="V223" s="379"/>
      <c r="W223" s="379"/>
      <c r="X223" s="379"/>
      <c r="Y223" s="379"/>
      <c r="Z223" s="380"/>
      <c r="AB223" s="114"/>
      <c r="AD223" s="114"/>
    </row>
    <row r="224" spans="1:35" hidden="1">
      <c r="A224" s="378" t="str">
        <f>Costs!A168</f>
        <v>Cost of Maintenance 1</v>
      </c>
      <c r="B224" s="355">
        <f>IF(B$3&lt;=time,'Attributable fraction'!AA168*(1+Economics!$B$4)^(B$3-$B$3)/((1+Economics!$B$3)^(B$3-$B$3)),"")</f>
        <v>0</v>
      </c>
      <c r="C224" s="355">
        <f>IF(C$3&lt;=time,'Attributable fraction'!AB168*(1+Economics!$B$4)^(C$3-$B$3)/((1+Economics!$B$3)^(C$3-$B$3)),"")</f>
        <v>0</v>
      </c>
      <c r="D224" s="355">
        <f>IF(D$3&lt;=time,'Attributable fraction'!AC168*(1+Economics!$B$4)^(D$3-$B$3)/((1+Economics!$B$3)^(D$3-$B$3)),"")</f>
        <v>0</v>
      </c>
      <c r="E224" s="355">
        <f>IF(E$3&lt;=time,'Attributable fraction'!AD168*(1+Economics!$B$4)^(E$3-$B$3)/((1+Economics!$B$3)^(E$3-$B$3)),"")</f>
        <v>0</v>
      </c>
      <c r="F224" s="355">
        <f>IF(F$3&lt;=time,'Attributable fraction'!AE168*(1+Economics!$B$4)^(F$3-$B$3)/((1+Economics!$B$3)^(F$3-$B$3)),"")</f>
        <v>0</v>
      </c>
      <c r="G224" s="355" t="str">
        <f>IF(G$3&lt;=time,'Attributable fraction'!AF168*(1+Economics!$B$4)^(G$3-$B$3)/((1+Economics!$B$3)^(G$3-$B$3)),"")</f>
        <v/>
      </c>
      <c r="H224" s="355" t="str">
        <f>IF(H$3&lt;=time,'Attributable fraction'!AG168*(1+Economics!$B$4)^(H$3-$B$3)/((1+Economics!$B$3)^(H$3-$B$3)),"")</f>
        <v/>
      </c>
      <c r="I224" s="355" t="str">
        <f>IF(I$3&lt;=time,'Attributable fraction'!AH168*(1+Economics!$B$4)^(I$3-$B$3)/((1+Economics!$B$3)^(I$3-$B$3)),"")</f>
        <v/>
      </c>
      <c r="J224" s="355" t="str">
        <f>IF(J$3&lt;=time,'Attributable fraction'!AI168*(1+Economics!$B$4)^(J$3-$B$3)/((1+Economics!$B$3)^(J$3-$B$3)),"")</f>
        <v/>
      </c>
      <c r="K224" s="355" t="str">
        <f>IF(K$3&lt;=time,'Attributable fraction'!AJ168*(1+Economics!$B$4)^(K$3-$B$3)/((1+Economics!$B$3)^(K$3-$B$3)),"")</f>
        <v/>
      </c>
      <c r="L224" s="355" t="str">
        <f>IF(L$3&lt;=time,'Attributable fraction'!AK168*(1+Economics!$B$4)^(L$3-$B$3)/((1+Economics!$B$3)^(L$3-$B$3)),"")</f>
        <v/>
      </c>
      <c r="M224" s="355" t="str">
        <f>IF(M$3&lt;=time,'Attributable fraction'!AL168*(1+Economics!$B$4)^(M$3-$B$3)/((1+Economics!$B$3)^(M$3-$B$3)),"")</f>
        <v/>
      </c>
      <c r="N224" s="355" t="str">
        <f>IF(N$3&lt;=time,'Attributable fraction'!AM168*(1+Economics!$B$4)^(N$3-$B$3)/((1+Economics!$B$3)^(N$3-$B$3)),"")</f>
        <v/>
      </c>
      <c r="O224" s="355" t="str">
        <f>IF(O$3&lt;=time,'Attributable fraction'!AN168*(1+Economics!$B$4)^(O$3-$B$3)/((1+Economics!$B$3)^(O$3-$B$3)),"")</f>
        <v/>
      </c>
      <c r="P224" s="355" t="str">
        <f>IF(P$3&lt;=time,'Attributable fraction'!AO168*(1+Economics!$B$4)^(P$3-$B$3)/((1+Economics!$B$3)^(P$3-$B$3)),"")</f>
        <v/>
      </c>
      <c r="Q224" s="355" t="str">
        <f>IF(Q$3&lt;=time,'Attributable fraction'!AP168*(1+Economics!$B$4)^(Q$3-$B$3)/((1+Economics!$B$3)^(Q$3-$B$3)),"")</f>
        <v/>
      </c>
      <c r="R224" s="355" t="str">
        <f>IF(R$3&lt;=time,'Attributable fraction'!AQ168*(1+Economics!$B$4)^(R$3-$B$3)/((1+Economics!$B$3)^(R$3-$B$3)),"")</f>
        <v/>
      </c>
      <c r="S224" s="355" t="str">
        <f>IF(S$3&lt;=time,'Attributable fraction'!AR168*(1+Economics!$B$4)^(S$3-$B$3)/((1+Economics!$B$3)^(S$3-$B$3)),"")</f>
        <v/>
      </c>
      <c r="T224" s="355" t="str">
        <f>IF(T$3&lt;=time,'Attributable fraction'!AS168*(1+Economics!$B$4)^(T$3-$B$3)/((1+Economics!$B$3)^(T$3-$B$3)),"")</f>
        <v/>
      </c>
      <c r="U224" s="355" t="str">
        <f>IF(U$3&lt;=time,'Attributable fraction'!AT168*(1+Economics!$B$4)^(U$3-$B$3)/((1+Economics!$B$3)^(U$3-$B$3)),"")</f>
        <v/>
      </c>
      <c r="V224" s="355" t="str">
        <f>IF(V$3&lt;=time,'Attributable fraction'!AU168*(1+Economics!$B$4)^(V$3-$B$3)/((1+Economics!$B$3)^(V$3-$B$3)),"")</f>
        <v/>
      </c>
      <c r="W224" s="355" t="str">
        <f>IF(W$3&lt;=time,'Attributable fraction'!AV168*(1+Economics!$B$4)^(W$3-$B$3)/((1+Economics!$B$3)^(W$3-$B$3)),"")</f>
        <v/>
      </c>
      <c r="X224" s="355" t="str">
        <f>IF(X$3&lt;=time,'Attributable fraction'!AW168*(1+Economics!$B$4)^(X$3-$B$3)/((1+Economics!$B$3)^(X$3-$B$3)),"")</f>
        <v/>
      </c>
      <c r="Y224" s="355" t="str">
        <f>IF(Y$3&lt;=time,'Attributable fraction'!AX168*(1+Economics!$B$4)^(Y$3-$B$3)/((1+Economics!$B$3)^(Y$3-$B$3)),"")</f>
        <v/>
      </c>
      <c r="Z224" s="356" t="str">
        <f>IF(Z$3&lt;=time,'Attributable fraction'!AY168*(1+Economics!$B$4)^(Z$3-$B$3)/((1+Economics!$B$3)^(Z$3-$B$3)),"")</f>
        <v/>
      </c>
      <c r="AC224" s="142">
        <f t="shared" ref="AC224:AC233" si="43">(SUM(IF(ISERROR(Z224),"0",Z224),IF(ISERROR(Y224),"0",Y224),IF(ISERROR(X224),"0",X224),IF(ISERROR(W224),"0",W224),IF(ISERROR(V224),"0",V224),IF(ISERROR(U224),"0",U224),IF(ISERROR(T224),"0",T224),IF(ISERROR(S224),"0",S224),IF(ISERROR(R224),"0",R224),IF(ISERROR(Q224),"0",Q224), IF(ISERROR(P224),"0",P224),IF(ISERROR(O224),"0",O224),IF(ISERROR(N224),"0",N224),IF(ISERROR(M224),"0",M224),IF(ISERROR(L224),"0",L224),IF(ISERROR(K224),"0",K224),IF(ISERROR(J224),"0",J224),IF(ISERROR(I224),"0",I224),IF(ISERROR(H224),"0",H224),IF(ISERROR(G224),"0",G224),IF(ISERROR(F224),"0",F224),IF(ISERROR(E224),"0",E224),IF(ISERROR(D224),"0",D224),IF(ISERROR(C224),"0",C224),IF(ISERROR(B224),"0",B224)))/time</f>
        <v>0</v>
      </c>
      <c r="AE224" s="375">
        <v>1</v>
      </c>
      <c r="AF224" s="176" t="e">
        <f t="array" ref="AF224">STDEV(IF(B224:Z224&lt;&gt;0,B224:Z224))</f>
        <v>#DIV/0!</v>
      </c>
      <c r="AG224" s="176">
        <v>1.96</v>
      </c>
      <c r="AH224" s="176" t="e">
        <f t="shared" ref="AH224:AH233" si="44">(AG224*AF224)/(time^0.5)</f>
        <v>#DIV/0!</v>
      </c>
      <c r="AI224" s="176">
        <f t="shared" si="38"/>
        <v>0</v>
      </c>
    </row>
    <row r="225" spans="1:35" hidden="1">
      <c r="A225" s="378" t="str">
        <f>Costs!A169</f>
        <v>Cost of Maintenance 2</v>
      </c>
      <c r="B225" s="355">
        <f>IF(B$3&lt;=time,'Attributable fraction'!AA169*(1+Economics!$B$4)^(B$3-$B$3)/((1+Economics!$B$3)^(B$3-$B$3)),"")</f>
        <v>0</v>
      </c>
      <c r="C225" s="355">
        <f>IF(C$3&lt;=time,'Attributable fraction'!AB169*(1+Economics!$B$4)^(C$3-$B$3)/((1+Economics!$B$3)^(C$3-$B$3)),"")</f>
        <v>0</v>
      </c>
      <c r="D225" s="355">
        <f>IF(D$3&lt;=time,'Attributable fraction'!AC169*(1+Economics!$B$4)^(D$3-$B$3)/((1+Economics!$B$3)^(D$3-$B$3)),"")</f>
        <v>0</v>
      </c>
      <c r="E225" s="355">
        <f>IF(E$3&lt;=time,'Attributable fraction'!AD169*(1+Economics!$B$4)^(E$3-$B$3)/((1+Economics!$B$3)^(E$3-$B$3)),"")</f>
        <v>0</v>
      </c>
      <c r="F225" s="355">
        <f>IF(F$3&lt;=time,'Attributable fraction'!AE169*(1+Economics!$B$4)^(F$3-$B$3)/((1+Economics!$B$3)^(F$3-$B$3)),"")</f>
        <v>0</v>
      </c>
      <c r="G225" s="355" t="str">
        <f>IF(G$3&lt;=time,'Attributable fraction'!AF169*(1+Economics!$B$4)^(G$3-$B$3)/((1+Economics!$B$3)^(G$3-$B$3)),"")</f>
        <v/>
      </c>
      <c r="H225" s="355" t="str">
        <f>IF(H$3&lt;=time,'Attributable fraction'!AG169*(1+Economics!$B$4)^(H$3-$B$3)/((1+Economics!$B$3)^(H$3-$B$3)),"")</f>
        <v/>
      </c>
      <c r="I225" s="355" t="str">
        <f>IF(I$3&lt;=time,'Attributable fraction'!AH169*(1+Economics!$B$4)^(I$3-$B$3)/((1+Economics!$B$3)^(I$3-$B$3)),"")</f>
        <v/>
      </c>
      <c r="J225" s="355" t="str">
        <f>IF(J$3&lt;=time,'Attributable fraction'!AI169*(1+Economics!$B$4)^(J$3-$B$3)/((1+Economics!$B$3)^(J$3-$B$3)),"")</f>
        <v/>
      </c>
      <c r="K225" s="355" t="str">
        <f>IF(K$3&lt;=time,'Attributable fraction'!AJ169*(1+Economics!$B$4)^(K$3-$B$3)/((1+Economics!$B$3)^(K$3-$B$3)),"")</f>
        <v/>
      </c>
      <c r="L225" s="355" t="str">
        <f>IF(L$3&lt;=time,'Attributable fraction'!AK169*(1+Economics!$B$4)^(L$3-$B$3)/((1+Economics!$B$3)^(L$3-$B$3)),"")</f>
        <v/>
      </c>
      <c r="M225" s="355" t="str">
        <f>IF(M$3&lt;=time,'Attributable fraction'!AL169*(1+Economics!$B$4)^(M$3-$B$3)/((1+Economics!$B$3)^(M$3-$B$3)),"")</f>
        <v/>
      </c>
      <c r="N225" s="355" t="str">
        <f>IF(N$3&lt;=time,'Attributable fraction'!AM169*(1+Economics!$B$4)^(N$3-$B$3)/((1+Economics!$B$3)^(N$3-$B$3)),"")</f>
        <v/>
      </c>
      <c r="O225" s="355" t="str">
        <f>IF(O$3&lt;=time,'Attributable fraction'!AN169*(1+Economics!$B$4)^(O$3-$B$3)/((1+Economics!$B$3)^(O$3-$B$3)),"")</f>
        <v/>
      </c>
      <c r="P225" s="355" t="str">
        <f>IF(P$3&lt;=time,'Attributable fraction'!AO169*(1+Economics!$B$4)^(P$3-$B$3)/((1+Economics!$B$3)^(P$3-$B$3)),"")</f>
        <v/>
      </c>
      <c r="Q225" s="355" t="str">
        <f>IF(Q$3&lt;=time,'Attributable fraction'!AP169*(1+Economics!$B$4)^(Q$3-$B$3)/((1+Economics!$B$3)^(Q$3-$B$3)),"")</f>
        <v/>
      </c>
      <c r="R225" s="355" t="str">
        <f>IF(R$3&lt;=time,'Attributable fraction'!AQ169*(1+Economics!$B$4)^(R$3-$B$3)/((1+Economics!$B$3)^(R$3-$B$3)),"")</f>
        <v/>
      </c>
      <c r="S225" s="355" t="str">
        <f>IF(S$3&lt;=time,'Attributable fraction'!AR169*(1+Economics!$B$4)^(S$3-$B$3)/((1+Economics!$B$3)^(S$3-$B$3)),"")</f>
        <v/>
      </c>
      <c r="T225" s="355" t="str">
        <f>IF(T$3&lt;=time,'Attributable fraction'!AS169*(1+Economics!$B$4)^(T$3-$B$3)/((1+Economics!$B$3)^(T$3-$B$3)),"")</f>
        <v/>
      </c>
      <c r="U225" s="355" t="str">
        <f>IF(U$3&lt;=time,'Attributable fraction'!AT169*(1+Economics!$B$4)^(U$3-$B$3)/((1+Economics!$B$3)^(U$3-$B$3)),"")</f>
        <v/>
      </c>
      <c r="V225" s="355" t="str">
        <f>IF(V$3&lt;=time,'Attributable fraction'!AU169*(1+Economics!$B$4)^(V$3-$B$3)/((1+Economics!$B$3)^(V$3-$B$3)),"")</f>
        <v/>
      </c>
      <c r="W225" s="355" t="str">
        <f>IF(W$3&lt;=time,'Attributable fraction'!AV169*(1+Economics!$B$4)^(W$3-$B$3)/((1+Economics!$B$3)^(W$3-$B$3)),"")</f>
        <v/>
      </c>
      <c r="X225" s="355" t="str">
        <f>IF(X$3&lt;=time,'Attributable fraction'!AW169*(1+Economics!$B$4)^(X$3-$B$3)/((1+Economics!$B$3)^(X$3-$B$3)),"")</f>
        <v/>
      </c>
      <c r="Y225" s="355" t="str">
        <f>IF(Y$3&lt;=time,'Attributable fraction'!AX169*(1+Economics!$B$4)^(Y$3-$B$3)/((1+Economics!$B$3)^(Y$3-$B$3)),"")</f>
        <v/>
      </c>
      <c r="Z225" s="356" t="str">
        <f>IF(Z$3&lt;=time,'Attributable fraction'!AY169*(1+Economics!$B$4)^(Z$3-$B$3)/((1+Economics!$B$3)^(Z$3-$B$3)),"")</f>
        <v/>
      </c>
      <c r="AC225" s="142">
        <f t="shared" si="43"/>
        <v>0</v>
      </c>
      <c r="AE225" s="376">
        <v>2</v>
      </c>
      <c r="AF225" s="176" t="e">
        <f t="array" ref="AF225">STDEV(IF(B225:Z225&lt;&gt;0,B225:Z225))</f>
        <v>#DIV/0!</v>
      </c>
      <c r="AG225" s="176">
        <v>1.96</v>
      </c>
      <c r="AH225" s="176" t="e">
        <f t="shared" si="44"/>
        <v>#DIV/0!</v>
      </c>
      <c r="AI225" s="176">
        <f t="shared" si="38"/>
        <v>0</v>
      </c>
    </row>
    <row r="226" spans="1:35" hidden="1">
      <c r="A226" s="378" t="str">
        <f>Costs!A170</f>
        <v>Cost of Maintenance 3</v>
      </c>
      <c r="B226" s="355">
        <f>IF(B$3&lt;=time,'Attributable fraction'!AA170*(1+Economics!$B$4)^(B$3-$B$3)/((1+Economics!$B$3)^(B$3-$B$3)),"")</f>
        <v>0</v>
      </c>
      <c r="C226" s="355">
        <f>IF(C$3&lt;=time,'Attributable fraction'!AB170*(1+Economics!$B$4)^(C$3-$B$3)/((1+Economics!$B$3)^(C$3-$B$3)),"")</f>
        <v>0</v>
      </c>
      <c r="D226" s="355">
        <f>IF(D$3&lt;=time,'Attributable fraction'!AC170*(1+Economics!$B$4)^(D$3-$B$3)/((1+Economics!$B$3)^(D$3-$B$3)),"")</f>
        <v>0</v>
      </c>
      <c r="E226" s="355">
        <f>IF(E$3&lt;=time,'Attributable fraction'!AD170*(1+Economics!$B$4)^(E$3-$B$3)/((1+Economics!$B$3)^(E$3-$B$3)),"")</f>
        <v>0</v>
      </c>
      <c r="F226" s="355">
        <f>IF(F$3&lt;=time,'Attributable fraction'!AE170*(1+Economics!$B$4)^(F$3-$B$3)/((1+Economics!$B$3)^(F$3-$B$3)),"")</f>
        <v>0</v>
      </c>
      <c r="G226" s="355" t="str">
        <f>IF(G$3&lt;=time,'Attributable fraction'!AF170*(1+Economics!$B$4)^(G$3-$B$3)/((1+Economics!$B$3)^(G$3-$B$3)),"")</f>
        <v/>
      </c>
      <c r="H226" s="355" t="str">
        <f>IF(H$3&lt;=time,'Attributable fraction'!AG170*(1+Economics!$B$4)^(H$3-$B$3)/((1+Economics!$B$3)^(H$3-$B$3)),"")</f>
        <v/>
      </c>
      <c r="I226" s="355" t="str">
        <f>IF(I$3&lt;=time,'Attributable fraction'!AH170*(1+Economics!$B$4)^(I$3-$B$3)/((1+Economics!$B$3)^(I$3-$B$3)),"")</f>
        <v/>
      </c>
      <c r="J226" s="355" t="str">
        <f>IF(J$3&lt;=time,'Attributable fraction'!AI170*(1+Economics!$B$4)^(J$3-$B$3)/((1+Economics!$B$3)^(J$3-$B$3)),"")</f>
        <v/>
      </c>
      <c r="K226" s="355" t="str">
        <f>IF(K$3&lt;=time,'Attributable fraction'!AJ170*(1+Economics!$B$4)^(K$3-$B$3)/((1+Economics!$B$3)^(K$3-$B$3)),"")</f>
        <v/>
      </c>
      <c r="L226" s="355" t="str">
        <f>IF(L$3&lt;=time,'Attributable fraction'!AK170*(1+Economics!$B$4)^(L$3-$B$3)/((1+Economics!$B$3)^(L$3-$B$3)),"")</f>
        <v/>
      </c>
      <c r="M226" s="355" t="str">
        <f>IF(M$3&lt;=time,'Attributable fraction'!AL170*(1+Economics!$B$4)^(M$3-$B$3)/((1+Economics!$B$3)^(M$3-$B$3)),"")</f>
        <v/>
      </c>
      <c r="N226" s="355" t="str">
        <f>IF(N$3&lt;=time,'Attributable fraction'!AM170*(1+Economics!$B$4)^(N$3-$B$3)/((1+Economics!$B$3)^(N$3-$B$3)),"")</f>
        <v/>
      </c>
      <c r="O226" s="355" t="str">
        <f>IF(O$3&lt;=time,'Attributable fraction'!AN170*(1+Economics!$B$4)^(O$3-$B$3)/((1+Economics!$B$3)^(O$3-$B$3)),"")</f>
        <v/>
      </c>
      <c r="P226" s="355" t="str">
        <f>IF(P$3&lt;=time,'Attributable fraction'!AO170*(1+Economics!$B$4)^(P$3-$B$3)/((1+Economics!$B$3)^(P$3-$B$3)),"")</f>
        <v/>
      </c>
      <c r="Q226" s="355" t="str">
        <f>IF(Q$3&lt;=time,'Attributable fraction'!AP170*(1+Economics!$B$4)^(Q$3-$B$3)/((1+Economics!$B$3)^(Q$3-$B$3)),"")</f>
        <v/>
      </c>
      <c r="R226" s="355" t="str">
        <f>IF(R$3&lt;=time,'Attributable fraction'!AQ170*(1+Economics!$B$4)^(R$3-$B$3)/((1+Economics!$B$3)^(R$3-$B$3)),"")</f>
        <v/>
      </c>
      <c r="S226" s="355" t="str">
        <f>IF(S$3&lt;=time,'Attributable fraction'!AR170*(1+Economics!$B$4)^(S$3-$B$3)/((1+Economics!$B$3)^(S$3-$B$3)),"")</f>
        <v/>
      </c>
      <c r="T226" s="355" t="str">
        <f>IF(T$3&lt;=time,'Attributable fraction'!AS170*(1+Economics!$B$4)^(T$3-$B$3)/((1+Economics!$B$3)^(T$3-$B$3)),"")</f>
        <v/>
      </c>
      <c r="U226" s="355" t="str">
        <f>IF(U$3&lt;=time,'Attributable fraction'!AT170*(1+Economics!$B$4)^(U$3-$B$3)/((1+Economics!$B$3)^(U$3-$B$3)),"")</f>
        <v/>
      </c>
      <c r="V226" s="355" t="str">
        <f>IF(V$3&lt;=time,'Attributable fraction'!AU170*(1+Economics!$B$4)^(V$3-$B$3)/((1+Economics!$B$3)^(V$3-$B$3)),"")</f>
        <v/>
      </c>
      <c r="W226" s="355" t="str">
        <f>IF(W$3&lt;=time,'Attributable fraction'!AV170*(1+Economics!$B$4)^(W$3-$B$3)/((1+Economics!$B$3)^(W$3-$B$3)),"")</f>
        <v/>
      </c>
      <c r="X226" s="355" t="str">
        <f>IF(X$3&lt;=time,'Attributable fraction'!AW170*(1+Economics!$B$4)^(X$3-$B$3)/((1+Economics!$B$3)^(X$3-$B$3)),"")</f>
        <v/>
      </c>
      <c r="Y226" s="355" t="str">
        <f>IF(Y$3&lt;=time,'Attributable fraction'!AX170*(1+Economics!$B$4)^(Y$3-$B$3)/((1+Economics!$B$3)^(Y$3-$B$3)),"")</f>
        <v/>
      </c>
      <c r="Z226" s="356" t="str">
        <f>IF(Z$3&lt;=time,'Attributable fraction'!AY170*(1+Economics!$B$4)^(Z$3-$B$3)/((1+Economics!$B$3)^(Z$3-$B$3)),"")</f>
        <v/>
      </c>
      <c r="AC226" s="142">
        <f t="shared" si="43"/>
        <v>0</v>
      </c>
      <c r="AE226" s="376">
        <v>3</v>
      </c>
      <c r="AF226" s="176" t="e">
        <f t="array" ref="AF226">STDEV(IF(B226:Z226&lt;&gt;0,B226:Z226))</f>
        <v>#DIV/0!</v>
      </c>
      <c r="AG226" s="176">
        <v>1.96</v>
      </c>
      <c r="AH226" s="176" t="e">
        <f t="shared" si="44"/>
        <v>#DIV/0!</v>
      </c>
      <c r="AI226" s="176">
        <f t="shared" si="38"/>
        <v>0</v>
      </c>
    </row>
    <row r="227" spans="1:35" hidden="1">
      <c r="A227" s="378" t="str">
        <f>Costs!A171</f>
        <v>Cost of Maintenance 4</v>
      </c>
      <c r="B227" s="355">
        <f>IF(B$3&lt;=time,'Attributable fraction'!AA171*(1+Economics!$B$4)^(B$3-$B$3)/((1+Economics!$B$3)^(B$3-$B$3)),"")</f>
        <v>0</v>
      </c>
      <c r="C227" s="355">
        <f>IF(C$3&lt;=time,'Attributable fraction'!AB171*(1+Economics!$B$4)^(C$3-$B$3)/((1+Economics!$B$3)^(C$3-$B$3)),"")</f>
        <v>0</v>
      </c>
      <c r="D227" s="355">
        <f>IF(D$3&lt;=time,'Attributable fraction'!AC171*(1+Economics!$B$4)^(D$3-$B$3)/((1+Economics!$B$3)^(D$3-$B$3)),"")</f>
        <v>0</v>
      </c>
      <c r="E227" s="355">
        <f>IF(E$3&lt;=time,'Attributable fraction'!AD171*(1+Economics!$B$4)^(E$3-$B$3)/((1+Economics!$B$3)^(E$3-$B$3)),"")</f>
        <v>0</v>
      </c>
      <c r="F227" s="355">
        <f>IF(F$3&lt;=time,'Attributable fraction'!AE171*(1+Economics!$B$4)^(F$3-$B$3)/((1+Economics!$B$3)^(F$3-$B$3)),"")</f>
        <v>0</v>
      </c>
      <c r="G227" s="355" t="str">
        <f>IF(G$3&lt;=time,'Attributable fraction'!AF171*(1+Economics!$B$4)^(G$3-$B$3)/((1+Economics!$B$3)^(G$3-$B$3)),"")</f>
        <v/>
      </c>
      <c r="H227" s="355" t="str">
        <f>IF(H$3&lt;=time,'Attributable fraction'!AG171*(1+Economics!$B$4)^(H$3-$B$3)/((1+Economics!$B$3)^(H$3-$B$3)),"")</f>
        <v/>
      </c>
      <c r="I227" s="355" t="str">
        <f>IF(I$3&lt;=time,'Attributable fraction'!AH171*(1+Economics!$B$4)^(I$3-$B$3)/((1+Economics!$B$3)^(I$3-$B$3)),"")</f>
        <v/>
      </c>
      <c r="J227" s="355" t="str">
        <f>IF(J$3&lt;=time,'Attributable fraction'!AI171*(1+Economics!$B$4)^(J$3-$B$3)/((1+Economics!$B$3)^(J$3-$B$3)),"")</f>
        <v/>
      </c>
      <c r="K227" s="355" t="str">
        <f>IF(K$3&lt;=time,'Attributable fraction'!AJ171*(1+Economics!$B$4)^(K$3-$B$3)/((1+Economics!$B$3)^(K$3-$B$3)),"")</f>
        <v/>
      </c>
      <c r="L227" s="355" t="str">
        <f>IF(L$3&lt;=time,'Attributable fraction'!AK171*(1+Economics!$B$4)^(L$3-$B$3)/((1+Economics!$B$3)^(L$3-$B$3)),"")</f>
        <v/>
      </c>
      <c r="M227" s="355" t="str">
        <f>IF(M$3&lt;=time,'Attributable fraction'!AL171*(1+Economics!$B$4)^(M$3-$B$3)/((1+Economics!$B$3)^(M$3-$B$3)),"")</f>
        <v/>
      </c>
      <c r="N227" s="355" t="str">
        <f>IF(N$3&lt;=time,'Attributable fraction'!AM171*(1+Economics!$B$4)^(N$3-$B$3)/((1+Economics!$B$3)^(N$3-$B$3)),"")</f>
        <v/>
      </c>
      <c r="O227" s="355" t="str">
        <f>IF(O$3&lt;=time,'Attributable fraction'!AN171*(1+Economics!$B$4)^(O$3-$B$3)/((1+Economics!$B$3)^(O$3-$B$3)),"")</f>
        <v/>
      </c>
      <c r="P227" s="355" t="str">
        <f>IF(P$3&lt;=time,'Attributable fraction'!AO171*(1+Economics!$B$4)^(P$3-$B$3)/((1+Economics!$B$3)^(P$3-$B$3)),"")</f>
        <v/>
      </c>
      <c r="Q227" s="355" t="str">
        <f>IF(Q$3&lt;=time,'Attributable fraction'!AP171*(1+Economics!$B$4)^(Q$3-$B$3)/((1+Economics!$B$3)^(Q$3-$B$3)),"")</f>
        <v/>
      </c>
      <c r="R227" s="355" t="str">
        <f>IF(R$3&lt;=time,'Attributable fraction'!AQ171*(1+Economics!$B$4)^(R$3-$B$3)/((1+Economics!$B$3)^(R$3-$B$3)),"")</f>
        <v/>
      </c>
      <c r="S227" s="355" t="str">
        <f>IF(S$3&lt;=time,'Attributable fraction'!AR171*(1+Economics!$B$4)^(S$3-$B$3)/((1+Economics!$B$3)^(S$3-$B$3)),"")</f>
        <v/>
      </c>
      <c r="T227" s="355" t="str">
        <f>IF(T$3&lt;=time,'Attributable fraction'!AS171*(1+Economics!$B$4)^(T$3-$B$3)/((1+Economics!$B$3)^(T$3-$B$3)),"")</f>
        <v/>
      </c>
      <c r="U227" s="355" t="str">
        <f>IF(U$3&lt;=time,'Attributable fraction'!AT171*(1+Economics!$B$4)^(U$3-$B$3)/((1+Economics!$B$3)^(U$3-$B$3)),"")</f>
        <v/>
      </c>
      <c r="V227" s="355" t="str">
        <f>IF(V$3&lt;=time,'Attributable fraction'!AU171*(1+Economics!$B$4)^(V$3-$B$3)/((1+Economics!$B$3)^(V$3-$B$3)),"")</f>
        <v/>
      </c>
      <c r="W227" s="355" t="str">
        <f>IF(W$3&lt;=time,'Attributable fraction'!AV171*(1+Economics!$B$4)^(W$3-$B$3)/((1+Economics!$B$3)^(W$3-$B$3)),"")</f>
        <v/>
      </c>
      <c r="X227" s="355" t="str">
        <f>IF(X$3&lt;=time,'Attributable fraction'!AW171*(1+Economics!$B$4)^(X$3-$B$3)/((1+Economics!$B$3)^(X$3-$B$3)),"")</f>
        <v/>
      </c>
      <c r="Y227" s="355" t="str">
        <f>IF(Y$3&lt;=time,'Attributable fraction'!AX171*(1+Economics!$B$4)^(Y$3-$B$3)/((1+Economics!$B$3)^(Y$3-$B$3)),"")</f>
        <v/>
      </c>
      <c r="Z227" s="356" t="str">
        <f>IF(Z$3&lt;=time,'Attributable fraction'!AY171*(1+Economics!$B$4)^(Z$3-$B$3)/((1+Economics!$B$3)^(Z$3-$B$3)),"")</f>
        <v/>
      </c>
      <c r="AC227" s="142">
        <f t="shared" si="43"/>
        <v>0</v>
      </c>
      <c r="AE227" s="376">
        <v>4</v>
      </c>
      <c r="AF227" s="176" t="e">
        <f t="array" ref="AF227">STDEV(IF(B227:Z227&lt;&gt;0,B227:Z227))</f>
        <v>#DIV/0!</v>
      </c>
      <c r="AG227" s="176">
        <v>1.96</v>
      </c>
      <c r="AH227" s="176" t="e">
        <f t="shared" si="44"/>
        <v>#DIV/0!</v>
      </c>
      <c r="AI227" s="176">
        <f t="shared" si="38"/>
        <v>0</v>
      </c>
    </row>
    <row r="228" spans="1:35" hidden="1">
      <c r="A228" s="378" t="str">
        <f>Costs!A172</f>
        <v>Cost of Maintenance 5</v>
      </c>
      <c r="B228" s="355">
        <f>IF(B$3&lt;=time,'Attributable fraction'!AA172*(1+Economics!$B$4)^(B$3-$B$3)/((1+Economics!$B$3)^(B$3-$B$3)),"")</f>
        <v>0</v>
      </c>
      <c r="C228" s="355">
        <f>IF(C$3&lt;=time,'Attributable fraction'!AB172*(1+Economics!$B$4)^(C$3-$B$3)/((1+Economics!$B$3)^(C$3-$B$3)),"")</f>
        <v>0</v>
      </c>
      <c r="D228" s="355">
        <f>IF(D$3&lt;=time,'Attributable fraction'!AC172*(1+Economics!$B$4)^(D$3-$B$3)/((1+Economics!$B$3)^(D$3-$B$3)),"")</f>
        <v>0</v>
      </c>
      <c r="E228" s="355">
        <f>IF(E$3&lt;=time,'Attributable fraction'!AD172*(1+Economics!$B$4)^(E$3-$B$3)/((1+Economics!$B$3)^(E$3-$B$3)),"")</f>
        <v>0</v>
      </c>
      <c r="F228" s="355">
        <f>IF(F$3&lt;=time,'Attributable fraction'!AE172*(1+Economics!$B$4)^(F$3-$B$3)/((1+Economics!$B$3)^(F$3-$B$3)),"")</f>
        <v>0</v>
      </c>
      <c r="G228" s="355" t="str">
        <f>IF(G$3&lt;=time,'Attributable fraction'!AF172*(1+Economics!$B$4)^(G$3-$B$3)/((1+Economics!$B$3)^(G$3-$B$3)),"")</f>
        <v/>
      </c>
      <c r="H228" s="355" t="str">
        <f>IF(H$3&lt;=time,'Attributable fraction'!AG172*(1+Economics!$B$4)^(H$3-$B$3)/((1+Economics!$B$3)^(H$3-$B$3)),"")</f>
        <v/>
      </c>
      <c r="I228" s="355" t="str">
        <f>IF(I$3&lt;=time,'Attributable fraction'!AH172*(1+Economics!$B$4)^(I$3-$B$3)/((1+Economics!$B$3)^(I$3-$B$3)),"")</f>
        <v/>
      </c>
      <c r="J228" s="355" t="str">
        <f>IF(J$3&lt;=time,'Attributable fraction'!AI172*(1+Economics!$B$4)^(J$3-$B$3)/((1+Economics!$B$3)^(J$3-$B$3)),"")</f>
        <v/>
      </c>
      <c r="K228" s="355" t="str">
        <f>IF(K$3&lt;=time,'Attributable fraction'!AJ172*(1+Economics!$B$4)^(K$3-$B$3)/((1+Economics!$B$3)^(K$3-$B$3)),"")</f>
        <v/>
      </c>
      <c r="L228" s="355" t="str">
        <f>IF(L$3&lt;=time,'Attributable fraction'!AK172*(1+Economics!$B$4)^(L$3-$B$3)/((1+Economics!$B$3)^(L$3-$B$3)),"")</f>
        <v/>
      </c>
      <c r="M228" s="355" t="str">
        <f>IF(M$3&lt;=time,'Attributable fraction'!AL172*(1+Economics!$B$4)^(M$3-$B$3)/((1+Economics!$B$3)^(M$3-$B$3)),"")</f>
        <v/>
      </c>
      <c r="N228" s="355" t="str">
        <f>IF(N$3&lt;=time,'Attributable fraction'!AM172*(1+Economics!$B$4)^(N$3-$B$3)/((1+Economics!$B$3)^(N$3-$B$3)),"")</f>
        <v/>
      </c>
      <c r="O228" s="355" t="str">
        <f>IF(O$3&lt;=time,'Attributable fraction'!AN172*(1+Economics!$B$4)^(O$3-$B$3)/((1+Economics!$B$3)^(O$3-$B$3)),"")</f>
        <v/>
      </c>
      <c r="P228" s="355" t="str">
        <f>IF(P$3&lt;=time,'Attributable fraction'!AO172*(1+Economics!$B$4)^(P$3-$B$3)/((1+Economics!$B$3)^(P$3-$B$3)),"")</f>
        <v/>
      </c>
      <c r="Q228" s="355" t="str">
        <f>IF(Q$3&lt;=time,'Attributable fraction'!AP172*(1+Economics!$B$4)^(Q$3-$B$3)/((1+Economics!$B$3)^(Q$3-$B$3)),"")</f>
        <v/>
      </c>
      <c r="R228" s="355" t="str">
        <f>IF(R$3&lt;=time,'Attributable fraction'!AQ172*(1+Economics!$B$4)^(R$3-$B$3)/((1+Economics!$B$3)^(R$3-$B$3)),"")</f>
        <v/>
      </c>
      <c r="S228" s="355" t="str">
        <f>IF(S$3&lt;=time,'Attributable fraction'!AR172*(1+Economics!$B$4)^(S$3-$B$3)/((1+Economics!$B$3)^(S$3-$B$3)),"")</f>
        <v/>
      </c>
      <c r="T228" s="355" t="str">
        <f>IF(T$3&lt;=time,'Attributable fraction'!AS172*(1+Economics!$B$4)^(T$3-$B$3)/((1+Economics!$B$3)^(T$3-$B$3)),"")</f>
        <v/>
      </c>
      <c r="U228" s="355" t="str">
        <f>IF(U$3&lt;=time,'Attributable fraction'!AT172*(1+Economics!$B$4)^(U$3-$B$3)/((1+Economics!$B$3)^(U$3-$B$3)),"")</f>
        <v/>
      </c>
      <c r="V228" s="355" t="str">
        <f>IF(V$3&lt;=time,'Attributable fraction'!AU172*(1+Economics!$B$4)^(V$3-$B$3)/((1+Economics!$B$3)^(V$3-$B$3)),"")</f>
        <v/>
      </c>
      <c r="W228" s="355" t="str">
        <f>IF(W$3&lt;=time,'Attributable fraction'!AV172*(1+Economics!$B$4)^(W$3-$B$3)/((1+Economics!$B$3)^(W$3-$B$3)),"")</f>
        <v/>
      </c>
      <c r="X228" s="355" t="str">
        <f>IF(X$3&lt;=time,'Attributable fraction'!AW172*(1+Economics!$B$4)^(X$3-$B$3)/((1+Economics!$B$3)^(X$3-$B$3)),"")</f>
        <v/>
      </c>
      <c r="Y228" s="355" t="str">
        <f>IF(Y$3&lt;=time,'Attributable fraction'!AX172*(1+Economics!$B$4)^(Y$3-$B$3)/((1+Economics!$B$3)^(Y$3-$B$3)),"")</f>
        <v/>
      </c>
      <c r="Z228" s="356" t="str">
        <f>IF(Z$3&lt;=time,'Attributable fraction'!AY172*(1+Economics!$B$4)^(Z$3-$B$3)/((1+Economics!$B$3)^(Z$3-$B$3)),"")</f>
        <v/>
      </c>
      <c r="AC228" s="142">
        <f t="shared" si="43"/>
        <v>0</v>
      </c>
      <c r="AE228" s="376">
        <v>5</v>
      </c>
      <c r="AF228" s="176" t="e">
        <f t="array" ref="AF228">STDEV(IF(B228:Z228&lt;&gt;0,B228:Z228))</f>
        <v>#DIV/0!</v>
      </c>
      <c r="AG228" s="176">
        <v>1.96</v>
      </c>
      <c r="AH228" s="176" t="e">
        <f t="shared" si="44"/>
        <v>#DIV/0!</v>
      </c>
      <c r="AI228" s="176">
        <f t="shared" si="38"/>
        <v>0</v>
      </c>
    </row>
    <row r="229" spans="1:35" hidden="1">
      <c r="A229" s="378" t="str">
        <f>Costs!A173</f>
        <v>Cost of Maintenance 6</v>
      </c>
      <c r="B229" s="355">
        <f>IF(B$3&lt;=time,'Attributable fraction'!AA173*(1+Economics!$B$4)^(B$3-$B$3)/((1+Economics!$B$3)^(B$3-$B$3)),"")</f>
        <v>0</v>
      </c>
      <c r="C229" s="355">
        <f>IF(C$3&lt;=time,'Attributable fraction'!AB173*(1+Economics!$B$4)^(C$3-$B$3)/((1+Economics!$B$3)^(C$3-$B$3)),"")</f>
        <v>0</v>
      </c>
      <c r="D229" s="355">
        <f>IF(D$3&lt;=time,'Attributable fraction'!AC173*(1+Economics!$B$4)^(D$3-$B$3)/((1+Economics!$B$3)^(D$3-$B$3)),"")</f>
        <v>0</v>
      </c>
      <c r="E229" s="355">
        <f>IF(E$3&lt;=time,'Attributable fraction'!AD173*(1+Economics!$B$4)^(E$3-$B$3)/((1+Economics!$B$3)^(E$3-$B$3)),"")</f>
        <v>0</v>
      </c>
      <c r="F229" s="355">
        <f>IF(F$3&lt;=time,'Attributable fraction'!AE173*(1+Economics!$B$4)^(F$3-$B$3)/((1+Economics!$B$3)^(F$3-$B$3)),"")</f>
        <v>0</v>
      </c>
      <c r="G229" s="355" t="str">
        <f>IF(G$3&lt;=time,'Attributable fraction'!AF173*(1+Economics!$B$4)^(G$3-$B$3)/((1+Economics!$B$3)^(G$3-$B$3)),"")</f>
        <v/>
      </c>
      <c r="H229" s="355" t="str">
        <f>IF(H$3&lt;=time,'Attributable fraction'!AG173*(1+Economics!$B$4)^(H$3-$B$3)/((1+Economics!$B$3)^(H$3-$B$3)),"")</f>
        <v/>
      </c>
      <c r="I229" s="355" t="str">
        <f>IF(I$3&lt;=time,'Attributable fraction'!AH173*(1+Economics!$B$4)^(I$3-$B$3)/((1+Economics!$B$3)^(I$3-$B$3)),"")</f>
        <v/>
      </c>
      <c r="J229" s="355" t="str">
        <f>IF(J$3&lt;=time,'Attributable fraction'!AI173*(1+Economics!$B$4)^(J$3-$B$3)/((1+Economics!$B$3)^(J$3-$B$3)),"")</f>
        <v/>
      </c>
      <c r="K229" s="355" t="str">
        <f>IF(K$3&lt;=time,'Attributable fraction'!AJ173*(1+Economics!$B$4)^(K$3-$B$3)/((1+Economics!$B$3)^(K$3-$B$3)),"")</f>
        <v/>
      </c>
      <c r="L229" s="355" t="str">
        <f>IF(L$3&lt;=time,'Attributable fraction'!AK173*(1+Economics!$B$4)^(L$3-$B$3)/((1+Economics!$B$3)^(L$3-$B$3)),"")</f>
        <v/>
      </c>
      <c r="M229" s="355" t="str">
        <f>IF(M$3&lt;=time,'Attributable fraction'!AL173*(1+Economics!$B$4)^(M$3-$B$3)/((1+Economics!$B$3)^(M$3-$B$3)),"")</f>
        <v/>
      </c>
      <c r="N229" s="355" t="str">
        <f>IF(N$3&lt;=time,'Attributable fraction'!AM173*(1+Economics!$B$4)^(N$3-$B$3)/((1+Economics!$B$3)^(N$3-$B$3)),"")</f>
        <v/>
      </c>
      <c r="O229" s="355" t="str">
        <f>IF(O$3&lt;=time,'Attributable fraction'!AN173*(1+Economics!$B$4)^(O$3-$B$3)/((1+Economics!$B$3)^(O$3-$B$3)),"")</f>
        <v/>
      </c>
      <c r="P229" s="355" t="str">
        <f>IF(P$3&lt;=time,'Attributable fraction'!AO173*(1+Economics!$B$4)^(P$3-$B$3)/((1+Economics!$B$3)^(P$3-$B$3)),"")</f>
        <v/>
      </c>
      <c r="Q229" s="355" t="str">
        <f>IF(Q$3&lt;=time,'Attributable fraction'!AP173*(1+Economics!$B$4)^(Q$3-$B$3)/((1+Economics!$B$3)^(Q$3-$B$3)),"")</f>
        <v/>
      </c>
      <c r="R229" s="355" t="str">
        <f>IF(R$3&lt;=time,'Attributable fraction'!AQ173*(1+Economics!$B$4)^(R$3-$B$3)/((1+Economics!$B$3)^(R$3-$B$3)),"")</f>
        <v/>
      </c>
      <c r="S229" s="355" t="str">
        <f>IF(S$3&lt;=time,'Attributable fraction'!AR173*(1+Economics!$B$4)^(S$3-$B$3)/((1+Economics!$B$3)^(S$3-$B$3)),"")</f>
        <v/>
      </c>
      <c r="T229" s="355" t="str">
        <f>IF(T$3&lt;=time,'Attributable fraction'!AS173*(1+Economics!$B$4)^(T$3-$B$3)/((1+Economics!$B$3)^(T$3-$B$3)),"")</f>
        <v/>
      </c>
      <c r="U229" s="355" t="str">
        <f>IF(U$3&lt;=time,'Attributable fraction'!AT173*(1+Economics!$B$4)^(U$3-$B$3)/((1+Economics!$B$3)^(U$3-$B$3)),"")</f>
        <v/>
      </c>
      <c r="V229" s="355" t="str">
        <f>IF(V$3&lt;=time,'Attributable fraction'!AU173*(1+Economics!$B$4)^(V$3-$B$3)/((1+Economics!$B$3)^(V$3-$B$3)),"")</f>
        <v/>
      </c>
      <c r="W229" s="355" t="str">
        <f>IF(W$3&lt;=time,'Attributable fraction'!AV173*(1+Economics!$B$4)^(W$3-$B$3)/((1+Economics!$B$3)^(W$3-$B$3)),"")</f>
        <v/>
      </c>
      <c r="X229" s="355" t="str">
        <f>IF(X$3&lt;=time,'Attributable fraction'!AW173*(1+Economics!$B$4)^(X$3-$B$3)/((1+Economics!$B$3)^(X$3-$B$3)),"")</f>
        <v/>
      </c>
      <c r="Y229" s="355" t="str">
        <f>IF(Y$3&lt;=time,'Attributable fraction'!AX173*(1+Economics!$B$4)^(Y$3-$B$3)/((1+Economics!$B$3)^(Y$3-$B$3)),"")</f>
        <v/>
      </c>
      <c r="Z229" s="356" t="str">
        <f>IF(Z$3&lt;=time,'Attributable fraction'!AY173*(1+Economics!$B$4)^(Z$3-$B$3)/((1+Economics!$B$3)^(Z$3-$B$3)),"")</f>
        <v/>
      </c>
      <c r="AC229" s="142">
        <f t="shared" si="43"/>
        <v>0</v>
      </c>
      <c r="AE229" s="376">
        <v>6</v>
      </c>
      <c r="AF229" s="176" t="e">
        <f t="array" ref="AF229">STDEV(IF(B229:Z229&lt;&gt;0,B229:Z229))</f>
        <v>#DIV/0!</v>
      </c>
      <c r="AG229" s="176">
        <v>1.96</v>
      </c>
      <c r="AH229" s="176" t="e">
        <f t="shared" si="44"/>
        <v>#DIV/0!</v>
      </c>
      <c r="AI229" s="176">
        <f t="shared" si="38"/>
        <v>0</v>
      </c>
    </row>
    <row r="230" spans="1:35" hidden="1">
      <c r="A230" s="378" t="str">
        <f>Costs!A174</f>
        <v>Cost of Maintenance 7</v>
      </c>
      <c r="B230" s="355">
        <f>IF(B$3&lt;=time,'Attributable fraction'!AA174*(1+Economics!$B$4)^(B$3-$B$3)/((1+Economics!$B$3)^(B$3-$B$3)),"")</f>
        <v>0</v>
      </c>
      <c r="C230" s="355">
        <f>IF(C$3&lt;=time,'Attributable fraction'!AB174*(1+Economics!$B$4)^(C$3-$B$3)/((1+Economics!$B$3)^(C$3-$B$3)),"")</f>
        <v>0</v>
      </c>
      <c r="D230" s="355">
        <f>IF(D$3&lt;=time,'Attributable fraction'!AC174*(1+Economics!$B$4)^(D$3-$B$3)/((1+Economics!$B$3)^(D$3-$B$3)),"")</f>
        <v>0</v>
      </c>
      <c r="E230" s="355">
        <f>IF(E$3&lt;=time,'Attributable fraction'!AD174*(1+Economics!$B$4)^(E$3-$B$3)/((1+Economics!$B$3)^(E$3-$B$3)),"")</f>
        <v>0</v>
      </c>
      <c r="F230" s="355">
        <f>IF(F$3&lt;=time,'Attributable fraction'!AE174*(1+Economics!$B$4)^(F$3-$B$3)/((1+Economics!$B$3)^(F$3-$B$3)),"")</f>
        <v>0</v>
      </c>
      <c r="G230" s="355" t="str">
        <f>IF(G$3&lt;=time,'Attributable fraction'!AF174*(1+Economics!$B$4)^(G$3-$B$3)/((1+Economics!$B$3)^(G$3-$B$3)),"")</f>
        <v/>
      </c>
      <c r="H230" s="355" t="str">
        <f>IF(H$3&lt;=time,'Attributable fraction'!AG174*(1+Economics!$B$4)^(H$3-$B$3)/((1+Economics!$B$3)^(H$3-$B$3)),"")</f>
        <v/>
      </c>
      <c r="I230" s="355" t="str">
        <f>IF(I$3&lt;=time,'Attributable fraction'!AH174*(1+Economics!$B$4)^(I$3-$B$3)/((1+Economics!$B$3)^(I$3-$B$3)),"")</f>
        <v/>
      </c>
      <c r="J230" s="355" t="str">
        <f>IF(J$3&lt;=time,'Attributable fraction'!AI174*(1+Economics!$B$4)^(J$3-$B$3)/((1+Economics!$B$3)^(J$3-$B$3)),"")</f>
        <v/>
      </c>
      <c r="K230" s="355" t="str">
        <f>IF(K$3&lt;=time,'Attributable fraction'!AJ174*(1+Economics!$B$4)^(K$3-$B$3)/((1+Economics!$B$3)^(K$3-$B$3)),"")</f>
        <v/>
      </c>
      <c r="L230" s="355" t="str">
        <f>IF(L$3&lt;=time,'Attributable fraction'!AK174*(1+Economics!$B$4)^(L$3-$B$3)/((1+Economics!$B$3)^(L$3-$B$3)),"")</f>
        <v/>
      </c>
      <c r="M230" s="355" t="str">
        <f>IF(M$3&lt;=time,'Attributable fraction'!AL174*(1+Economics!$B$4)^(M$3-$B$3)/((1+Economics!$B$3)^(M$3-$B$3)),"")</f>
        <v/>
      </c>
      <c r="N230" s="355" t="str">
        <f>IF(N$3&lt;=time,'Attributable fraction'!AM174*(1+Economics!$B$4)^(N$3-$B$3)/((1+Economics!$B$3)^(N$3-$B$3)),"")</f>
        <v/>
      </c>
      <c r="O230" s="355" t="str">
        <f>IF(O$3&lt;=time,'Attributable fraction'!AN174*(1+Economics!$B$4)^(O$3-$B$3)/((1+Economics!$B$3)^(O$3-$B$3)),"")</f>
        <v/>
      </c>
      <c r="P230" s="355" t="str">
        <f>IF(P$3&lt;=time,'Attributable fraction'!AO174*(1+Economics!$B$4)^(P$3-$B$3)/((1+Economics!$B$3)^(P$3-$B$3)),"")</f>
        <v/>
      </c>
      <c r="Q230" s="355" t="str">
        <f>IF(Q$3&lt;=time,'Attributable fraction'!AP174*(1+Economics!$B$4)^(Q$3-$B$3)/((1+Economics!$B$3)^(Q$3-$B$3)),"")</f>
        <v/>
      </c>
      <c r="R230" s="355" t="str">
        <f>IF(R$3&lt;=time,'Attributable fraction'!AQ174*(1+Economics!$B$4)^(R$3-$B$3)/((1+Economics!$B$3)^(R$3-$B$3)),"")</f>
        <v/>
      </c>
      <c r="S230" s="355" t="str">
        <f>IF(S$3&lt;=time,'Attributable fraction'!AR174*(1+Economics!$B$4)^(S$3-$B$3)/((1+Economics!$B$3)^(S$3-$B$3)),"")</f>
        <v/>
      </c>
      <c r="T230" s="355" t="str">
        <f>IF(T$3&lt;=time,'Attributable fraction'!AS174*(1+Economics!$B$4)^(T$3-$B$3)/((1+Economics!$B$3)^(T$3-$B$3)),"")</f>
        <v/>
      </c>
      <c r="U230" s="355" t="str">
        <f>IF(U$3&lt;=time,'Attributable fraction'!AT174*(1+Economics!$B$4)^(U$3-$B$3)/((1+Economics!$B$3)^(U$3-$B$3)),"")</f>
        <v/>
      </c>
      <c r="V230" s="355" t="str">
        <f>IF(V$3&lt;=time,'Attributable fraction'!AU174*(1+Economics!$B$4)^(V$3-$B$3)/((1+Economics!$B$3)^(V$3-$B$3)),"")</f>
        <v/>
      </c>
      <c r="W230" s="355" t="str">
        <f>IF(W$3&lt;=time,'Attributable fraction'!AV174*(1+Economics!$B$4)^(W$3-$B$3)/((1+Economics!$B$3)^(W$3-$B$3)),"")</f>
        <v/>
      </c>
      <c r="X230" s="355" t="str">
        <f>IF(X$3&lt;=time,'Attributable fraction'!AW174*(1+Economics!$B$4)^(X$3-$B$3)/((1+Economics!$B$3)^(X$3-$B$3)),"")</f>
        <v/>
      </c>
      <c r="Y230" s="355" t="str">
        <f>IF(Y$3&lt;=time,'Attributable fraction'!AX174*(1+Economics!$B$4)^(Y$3-$B$3)/((1+Economics!$B$3)^(Y$3-$B$3)),"")</f>
        <v/>
      </c>
      <c r="Z230" s="356" t="str">
        <f>IF(Z$3&lt;=time,'Attributable fraction'!AY174*(1+Economics!$B$4)^(Z$3-$B$3)/((1+Economics!$B$3)^(Z$3-$B$3)),"")</f>
        <v/>
      </c>
      <c r="AC230" s="142">
        <f t="shared" si="43"/>
        <v>0</v>
      </c>
      <c r="AE230" s="376">
        <v>7</v>
      </c>
      <c r="AF230" s="176" t="e">
        <f t="array" ref="AF230">STDEV(IF(B230:Z230&lt;&gt;0,B230:Z230))</f>
        <v>#DIV/0!</v>
      </c>
      <c r="AG230" s="176">
        <v>1.96</v>
      </c>
      <c r="AH230" s="176" t="e">
        <f t="shared" si="44"/>
        <v>#DIV/0!</v>
      </c>
      <c r="AI230" s="176">
        <f t="shared" si="38"/>
        <v>0</v>
      </c>
    </row>
    <row r="231" spans="1:35" hidden="1">
      <c r="A231" s="378" t="str">
        <f>Costs!A175</f>
        <v>Cost of Maintenance 8</v>
      </c>
      <c r="B231" s="355">
        <f>IF(B$3&lt;=time,'Attributable fraction'!AA175*(1+Economics!$B$4)^(B$3-$B$3)/((1+Economics!$B$3)^(B$3-$B$3)),"")</f>
        <v>0</v>
      </c>
      <c r="C231" s="355">
        <f>IF(C$3&lt;=time,'Attributable fraction'!AB175*(1+Economics!$B$4)^(C$3-$B$3)/((1+Economics!$B$3)^(C$3-$B$3)),"")</f>
        <v>0</v>
      </c>
      <c r="D231" s="355">
        <f>IF(D$3&lt;=time,'Attributable fraction'!AC175*(1+Economics!$B$4)^(D$3-$B$3)/((1+Economics!$B$3)^(D$3-$B$3)),"")</f>
        <v>0</v>
      </c>
      <c r="E231" s="355">
        <f>IF(E$3&lt;=time,'Attributable fraction'!AD175*(1+Economics!$B$4)^(E$3-$B$3)/((1+Economics!$B$3)^(E$3-$B$3)),"")</f>
        <v>0</v>
      </c>
      <c r="F231" s="355">
        <f>IF(F$3&lt;=time,'Attributable fraction'!AE175*(1+Economics!$B$4)^(F$3-$B$3)/((1+Economics!$B$3)^(F$3-$B$3)),"")</f>
        <v>0</v>
      </c>
      <c r="G231" s="355" t="str">
        <f>IF(G$3&lt;=time,'Attributable fraction'!AF175*(1+Economics!$B$4)^(G$3-$B$3)/((1+Economics!$B$3)^(G$3-$B$3)),"")</f>
        <v/>
      </c>
      <c r="H231" s="355" t="str">
        <f>IF(H$3&lt;=time,'Attributable fraction'!AG175*(1+Economics!$B$4)^(H$3-$B$3)/((1+Economics!$B$3)^(H$3-$B$3)),"")</f>
        <v/>
      </c>
      <c r="I231" s="355" t="str">
        <f>IF(I$3&lt;=time,'Attributable fraction'!AH175*(1+Economics!$B$4)^(I$3-$B$3)/((1+Economics!$B$3)^(I$3-$B$3)),"")</f>
        <v/>
      </c>
      <c r="J231" s="355" t="str">
        <f>IF(J$3&lt;=time,'Attributable fraction'!AI175*(1+Economics!$B$4)^(J$3-$B$3)/((1+Economics!$B$3)^(J$3-$B$3)),"")</f>
        <v/>
      </c>
      <c r="K231" s="355" t="str">
        <f>IF(K$3&lt;=time,'Attributable fraction'!AJ175*(1+Economics!$B$4)^(K$3-$B$3)/((1+Economics!$B$3)^(K$3-$B$3)),"")</f>
        <v/>
      </c>
      <c r="L231" s="355" t="str">
        <f>IF(L$3&lt;=time,'Attributable fraction'!AK175*(1+Economics!$B$4)^(L$3-$B$3)/((1+Economics!$B$3)^(L$3-$B$3)),"")</f>
        <v/>
      </c>
      <c r="M231" s="355" t="str">
        <f>IF(M$3&lt;=time,'Attributable fraction'!AL175*(1+Economics!$B$4)^(M$3-$B$3)/((1+Economics!$B$3)^(M$3-$B$3)),"")</f>
        <v/>
      </c>
      <c r="N231" s="355" t="str">
        <f>IF(N$3&lt;=time,'Attributable fraction'!AM175*(1+Economics!$B$4)^(N$3-$B$3)/((1+Economics!$B$3)^(N$3-$B$3)),"")</f>
        <v/>
      </c>
      <c r="O231" s="355" t="str">
        <f>IF(O$3&lt;=time,'Attributable fraction'!AN175*(1+Economics!$B$4)^(O$3-$B$3)/((1+Economics!$B$3)^(O$3-$B$3)),"")</f>
        <v/>
      </c>
      <c r="P231" s="355" t="str">
        <f>IF(P$3&lt;=time,'Attributable fraction'!AO175*(1+Economics!$B$4)^(P$3-$B$3)/((1+Economics!$B$3)^(P$3-$B$3)),"")</f>
        <v/>
      </c>
      <c r="Q231" s="355" t="str">
        <f>IF(Q$3&lt;=time,'Attributable fraction'!AP175*(1+Economics!$B$4)^(Q$3-$B$3)/((1+Economics!$B$3)^(Q$3-$B$3)),"")</f>
        <v/>
      </c>
      <c r="R231" s="355" t="str">
        <f>IF(R$3&lt;=time,'Attributable fraction'!AQ175*(1+Economics!$B$4)^(R$3-$B$3)/((1+Economics!$B$3)^(R$3-$B$3)),"")</f>
        <v/>
      </c>
      <c r="S231" s="355" t="str">
        <f>IF(S$3&lt;=time,'Attributable fraction'!AR175*(1+Economics!$B$4)^(S$3-$B$3)/((1+Economics!$B$3)^(S$3-$B$3)),"")</f>
        <v/>
      </c>
      <c r="T231" s="355" t="str">
        <f>IF(T$3&lt;=time,'Attributable fraction'!AS175*(1+Economics!$B$4)^(T$3-$B$3)/((1+Economics!$B$3)^(T$3-$B$3)),"")</f>
        <v/>
      </c>
      <c r="U231" s="355" t="str">
        <f>IF(U$3&lt;=time,'Attributable fraction'!AT175*(1+Economics!$B$4)^(U$3-$B$3)/((1+Economics!$B$3)^(U$3-$B$3)),"")</f>
        <v/>
      </c>
      <c r="V231" s="355" t="str">
        <f>IF(V$3&lt;=time,'Attributable fraction'!AU175*(1+Economics!$B$4)^(V$3-$B$3)/((1+Economics!$B$3)^(V$3-$B$3)),"")</f>
        <v/>
      </c>
      <c r="W231" s="355" t="str">
        <f>IF(W$3&lt;=time,'Attributable fraction'!AV175*(1+Economics!$B$4)^(W$3-$B$3)/((1+Economics!$B$3)^(W$3-$B$3)),"")</f>
        <v/>
      </c>
      <c r="X231" s="355" t="str">
        <f>IF(X$3&lt;=time,'Attributable fraction'!AW175*(1+Economics!$B$4)^(X$3-$B$3)/((1+Economics!$B$3)^(X$3-$B$3)),"")</f>
        <v/>
      </c>
      <c r="Y231" s="355" t="str">
        <f>IF(Y$3&lt;=time,'Attributable fraction'!AX175*(1+Economics!$B$4)^(Y$3-$B$3)/((1+Economics!$B$3)^(Y$3-$B$3)),"")</f>
        <v/>
      </c>
      <c r="Z231" s="356" t="str">
        <f>IF(Z$3&lt;=time,'Attributable fraction'!AY175*(1+Economics!$B$4)^(Z$3-$B$3)/((1+Economics!$B$3)^(Z$3-$B$3)),"")</f>
        <v/>
      </c>
      <c r="AC231" s="142">
        <f t="shared" si="43"/>
        <v>0</v>
      </c>
      <c r="AE231" s="376">
        <v>8</v>
      </c>
      <c r="AF231" s="176" t="e">
        <f t="array" ref="AF231">STDEV(IF(B231:Z231&lt;&gt;0,B231:Z231))</f>
        <v>#DIV/0!</v>
      </c>
      <c r="AG231" s="176">
        <v>1.96</v>
      </c>
      <c r="AH231" s="176" t="e">
        <f t="shared" si="44"/>
        <v>#DIV/0!</v>
      </c>
      <c r="AI231" s="176">
        <f t="shared" si="38"/>
        <v>0</v>
      </c>
    </row>
    <row r="232" spans="1:35" hidden="1">
      <c r="A232" s="378" t="str">
        <f>Costs!A176</f>
        <v>Cost of Maintenance 9</v>
      </c>
      <c r="B232" s="355">
        <f>IF(B$3&lt;=time,'Attributable fraction'!AA176*(1+Economics!$B$4)^(B$3-$B$3)/((1+Economics!$B$3)^(B$3-$B$3)),"")</f>
        <v>0</v>
      </c>
      <c r="C232" s="355">
        <f>IF(C$3&lt;=time,'Attributable fraction'!AB176*(1+Economics!$B$4)^(C$3-$B$3)/((1+Economics!$B$3)^(C$3-$B$3)),"")</f>
        <v>0</v>
      </c>
      <c r="D232" s="355">
        <f>IF(D$3&lt;=time,'Attributable fraction'!AC176*(1+Economics!$B$4)^(D$3-$B$3)/((1+Economics!$B$3)^(D$3-$B$3)),"")</f>
        <v>0</v>
      </c>
      <c r="E232" s="355">
        <f>IF(E$3&lt;=time,'Attributable fraction'!AD176*(1+Economics!$B$4)^(E$3-$B$3)/((1+Economics!$B$3)^(E$3-$B$3)),"")</f>
        <v>0</v>
      </c>
      <c r="F232" s="355">
        <f>IF(F$3&lt;=time,'Attributable fraction'!AE176*(1+Economics!$B$4)^(F$3-$B$3)/((1+Economics!$B$3)^(F$3-$B$3)),"")</f>
        <v>0</v>
      </c>
      <c r="G232" s="355" t="str">
        <f>IF(G$3&lt;=time,'Attributable fraction'!AF176*(1+Economics!$B$4)^(G$3-$B$3)/((1+Economics!$B$3)^(G$3-$B$3)),"")</f>
        <v/>
      </c>
      <c r="H232" s="355" t="str">
        <f>IF(H$3&lt;=time,'Attributable fraction'!AG176*(1+Economics!$B$4)^(H$3-$B$3)/((1+Economics!$B$3)^(H$3-$B$3)),"")</f>
        <v/>
      </c>
      <c r="I232" s="355" t="str">
        <f>IF(I$3&lt;=time,'Attributable fraction'!AH176*(1+Economics!$B$4)^(I$3-$B$3)/((1+Economics!$B$3)^(I$3-$B$3)),"")</f>
        <v/>
      </c>
      <c r="J232" s="355" t="str">
        <f>IF(J$3&lt;=time,'Attributable fraction'!AI176*(1+Economics!$B$4)^(J$3-$B$3)/((1+Economics!$B$3)^(J$3-$B$3)),"")</f>
        <v/>
      </c>
      <c r="K232" s="355" t="str">
        <f>IF(K$3&lt;=time,'Attributable fraction'!AJ176*(1+Economics!$B$4)^(K$3-$B$3)/((1+Economics!$B$3)^(K$3-$B$3)),"")</f>
        <v/>
      </c>
      <c r="L232" s="355" t="str">
        <f>IF(L$3&lt;=time,'Attributable fraction'!AK176*(1+Economics!$B$4)^(L$3-$B$3)/((1+Economics!$B$3)^(L$3-$B$3)),"")</f>
        <v/>
      </c>
      <c r="M232" s="355" t="str">
        <f>IF(M$3&lt;=time,'Attributable fraction'!AL176*(1+Economics!$B$4)^(M$3-$B$3)/((1+Economics!$B$3)^(M$3-$B$3)),"")</f>
        <v/>
      </c>
      <c r="N232" s="355" t="str">
        <f>IF(N$3&lt;=time,'Attributable fraction'!AM176*(1+Economics!$B$4)^(N$3-$B$3)/((1+Economics!$B$3)^(N$3-$B$3)),"")</f>
        <v/>
      </c>
      <c r="O232" s="355" t="str">
        <f>IF(O$3&lt;=time,'Attributable fraction'!AN176*(1+Economics!$B$4)^(O$3-$B$3)/((1+Economics!$B$3)^(O$3-$B$3)),"")</f>
        <v/>
      </c>
      <c r="P232" s="355" t="str">
        <f>IF(P$3&lt;=time,'Attributable fraction'!AO176*(1+Economics!$B$4)^(P$3-$B$3)/((1+Economics!$B$3)^(P$3-$B$3)),"")</f>
        <v/>
      </c>
      <c r="Q232" s="355" t="str">
        <f>IF(Q$3&lt;=time,'Attributable fraction'!AP176*(1+Economics!$B$4)^(Q$3-$B$3)/((1+Economics!$B$3)^(Q$3-$B$3)),"")</f>
        <v/>
      </c>
      <c r="R232" s="355" t="str">
        <f>IF(R$3&lt;=time,'Attributable fraction'!AQ176*(1+Economics!$B$4)^(R$3-$B$3)/((1+Economics!$B$3)^(R$3-$B$3)),"")</f>
        <v/>
      </c>
      <c r="S232" s="355" t="str">
        <f>IF(S$3&lt;=time,'Attributable fraction'!AR176*(1+Economics!$B$4)^(S$3-$B$3)/((1+Economics!$B$3)^(S$3-$B$3)),"")</f>
        <v/>
      </c>
      <c r="T232" s="355" t="str">
        <f>IF(T$3&lt;=time,'Attributable fraction'!AS176*(1+Economics!$B$4)^(T$3-$B$3)/((1+Economics!$B$3)^(T$3-$B$3)),"")</f>
        <v/>
      </c>
      <c r="U232" s="355" t="str">
        <f>IF(U$3&lt;=time,'Attributable fraction'!AT176*(1+Economics!$B$4)^(U$3-$B$3)/((1+Economics!$B$3)^(U$3-$B$3)),"")</f>
        <v/>
      </c>
      <c r="V232" s="355" t="str">
        <f>IF(V$3&lt;=time,'Attributable fraction'!AU176*(1+Economics!$B$4)^(V$3-$B$3)/((1+Economics!$B$3)^(V$3-$B$3)),"")</f>
        <v/>
      </c>
      <c r="W232" s="355" t="str">
        <f>IF(W$3&lt;=time,'Attributable fraction'!AV176*(1+Economics!$B$4)^(W$3-$B$3)/((1+Economics!$B$3)^(W$3-$B$3)),"")</f>
        <v/>
      </c>
      <c r="X232" s="355" t="str">
        <f>IF(X$3&lt;=time,'Attributable fraction'!AW176*(1+Economics!$B$4)^(X$3-$B$3)/((1+Economics!$B$3)^(X$3-$B$3)),"")</f>
        <v/>
      </c>
      <c r="Y232" s="355" t="str">
        <f>IF(Y$3&lt;=time,'Attributable fraction'!AX176*(1+Economics!$B$4)^(Y$3-$B$3)/((1+Economics!$B$3)^(Y$3-$B$3)),"")</f>
        <v/>
      </c>
      <c r="Z232" s="356" t="str">
        <f>IF(Z$3&lt;=time,'Attributable fraction'!AY176*(1+Economics!$B$4)^(Z$3-$B$3)/((1+Economics!$B$3)^(Z$3-$B$3)),"")</f>
        <v/>
      </c>
      <c r="AC232" s="142">
        <f t="shared" si="43"/>
        <v>0</v>
      </c>
      <c r="AE232" s="376">
        <v>9</v>
      </c>
      <c r="AF232" s="176" t="e">
        <f t="array" ref="AF232">STDEV(IF(B232:Z232&lt;&gt;0,B232:Z232))</f>
        <v>#DIV/0!</v>
      </c>
      <c r="AG232" s="176">
        <v>1.96</v>
      </c>
      <c r="AH232" s="176" t="e">
        <f t="shared" si="44"/>
        <v>#DIV/0!</v>
      </c>
      <c r="AI232" s="176">
        <f t="shared" si="38"/>
        <v>0</v>
      </c>
    </row>
    <row r="233" spans="1:35" hidden="1">
      <c r="A233" s="378" t="str">
        <f>Costs!A177</f>
        <v>Cost of Maintenance 10</v>
      </c>
      <c r="B233" s="355">
        <f>IF(B$3&lt;=time,'Attributable fraction'!AA177*(1+Economics!$B$4)^(B$3-$B$3)/((1+Economics!$B$3)^(B$3-$B$3)),"")</f>
        <v>0</v>
      </c>
      <c r="C233" s="355">
        <f>IF(C$3&lt;=time,'Attributable fraction'!AB177*(1+Economics!$B$4)^(C$3-$B$3)/((1+Economics!$B$3)^(C$3-$B$3)),"")</f>
        <v>0</v>
      </c>
      <c r="D233" s="355">
        <f>IF(D$3&lt;=time,'Attributable fraction'!AC177*(1+Economics!$B$4)^(D$3-$B$3)/((1+Economics!$B$3)^(D$3-$B$3)),"")</f>
        <v>0</v>
      </c>
      <c r="E233" s="355">
        <f>IF(E$3&lt;=time,'Attributable fraction'!AD177*(1+Economics!$B$4)^(E$3-$B$3)/((1+Economics!$B$3)^(E$3-$B$3)),"")</f>
        <v>0</v>
      </c>
      <c r="F233" s="355">
        <f>IF(F$3&lt;=time,'Attributable fraction'!AE177*(1+Economics!$B$4)^(F$3-$B$3)/((1+Economics!$B$3)^(F$3-$B$3)),"")</f>
        <v>0</v>
      </c>
      <c r="G233" s="355" t="str">
        <f>IF(G$3&lt;=time,'Attributable fraction'!AF177*(1+Economics!$B$4)^(G$3-$B$3)/((1+Economics!$B$3)^(G$3-$B$3)),"")</f>
        <v/>
      </c>
      <c r="H233" s="355" t="str">
        <f>IF(H$3&lt;=time,'Attributable fraction'!AG177*(1+Economics!$B$4)^(H$3-$B$3)/((1+Economics!$B$3)^(H$3-$B$3)),"")</f>
        <v/>
      </c>
      <c r="I233" s="355" t="str">
        <f>IF(I$3&lt;=time,'Attributable fraction'!AH177*(1+Economics!$B$4)^(I$3-$B$3)/((1+Economics!$B$3)^(I$3-$B$3)),"")</f>
        <v/>
      </c>
      <c r="J233" s="355" t="str">
        <f>IF(J$3&lt;=time,'Attributable fraction'!AI177*(1+Economics!$B$4)^(J$3-$B$3)/((1+Economics!$B$3)^(J$3-$B$3)),"")</f>
        <v/>
      </c>
      <c r="K233" s="355" t="str">
        <f>IF(K$3&lt;=time,'Attributable fraction'!AJ177*(1+Economics!$B$4)^(K$3-$B$3)/((1+Economics!$B$3)^(K$3-$B$3)),"")</f>
        <v/>
      </c>
      <c r="L233" s="355" t="str">
        <f>IF(L$3&lt;=time,'Attributable fraction'!AK177*(1+Economics!$B$4)^(L$3-$B$3)/((1+Economics!$B$3)^(L$3-$B$3)),"")</f>
        <v/>
      </c>
      <c r="M233" s="355" t="str">
        <f>IF(M$3&lt;=time,'Attributable fraction'!AL177*(1+Economics!$B$4)^(M$3-$B$3)/((1+Economics!$B$3)^(M$3-$B$3)),"")</f>
        <v/>
      </c>
      <c r="N233" s="355" t="str">
        <f>IF(N$3&lt;=time,'Attributable fraction'!AM177*(1+Economics!$B$4)^(N$3-$B$3)/((1+Economics!$B$3)^(N$3-$B$3)),"")</f>
        <v/>
      </c>
      <c r="O233" s="355" t="str">
        <f>IF(O$3&lt;=time,'Attributable fraction'!AN177*(1+Economics!$B$4)^(O$3-$B$3)/((1+Economics!$B$3)^(O$3-$B$3)),"")</f>
        <v/>
      </c>
      <c r="P233" s="355" t="str">
        <f>IF(P$3&lt;=time,'Attributable fraction'!AO177*(1+Economics!$B$4)^(P$3-$B$3)/((1+Economics!$B$3)^(P$3-$B$3)),"")</f>
        <v/>
      </c>
      <c r="Q233" s="355" t="str">
        <f>IF(Q$3&lt;=time,'Attributable fraction'!AP177*(1+Economics!$B$4)^(Q$3-$B$3)/((1+Economics!$B$3)^(Q$3-$B$3)),"")</f>
        <v/>
      </c>
      <c r="R233" s="355" t="str">
        <f>IF(R$3&lt;=time,'Attributable fraction'!AQ177*(1+Economics!$B$4)^(R$3-$B$3)/((1+Economics!$B$3)^(R$3-$B$3)),"")</f>
        <v/>
      </c>
      <c r="S233" s="355" t="str">
        <f>IF(S$3&lt;=time,'Attributable fraction'!AR177*(1+Economics!$B$4)^(S$3-$B$3)/((1+Economics!$B$3)^(S$3-$B$3)),"")</f>
        <v/>
      </c>
      <c r="T233" s="355" t="str">
        <f>IF(T$3&lt;=time,'Attributable fraction'!AS177*(1+Economics!$B$4)^(T$3-$B$3)/((1+Economics!$B$3)^(T$3-$B$3)),"")</f>
        <v/>
      </c>
      <c r="U233" s="355" t="str">
        <f>IF(U$3&lt;=time,'Attributable fraction'!AT177*(1+Economics!$B$4)^(U$3-$B$3)/((1+Economics!$B$3)^(U$3-$B$3)),"")</f>
        <v/>
      </c>
      <c r="V233" s="355" t="str">
        <f>IF(V$3&lt;=time,'Attributable fraction'!AU177*(1+Economics!$B$4)^(V$3-$B$3)/((1+Economics!$B$3)^(V$3-$B$3)),"")</f>
        <v/>
      </c>
      <c r="W233" s="355" t="str">
        <f>IF(W$3&lt;=time,'Attributable fraction'!AV177*(1+Economics!$B$4)^(W$3-$B$3)/((1+Economics!$B$3)^(W$3-$B$3)),"")</f>
        <v/>
      </c>
      <c r="X233" s="355" t="str">
        <f>IF(X$3&lt;=time,'Attributable fraction'!AW177*(1+Economics!$B$4)^(X$3-$B$3)/((1+Economics!$B$3)^(X$3-$B$3)),"")</f>
        <v/>
      </c>
      <c r="Y233" s="355" t="str">
        <f>IF(Y$3&lt;=time,'Attributable fraction'!AX177*(1+Economics!$B$4)^(Y$3-$B$3)/((1+Economics!$B$3)^(Y$3-$B$3)),"")</f>
        <v/>
      </c>
      <c r="Z233" s="356" t="str">
        <f>IF(Z$3&lt;=time,'Attributable fraction'!AY177*(1+Economics!$B$4)^(Z$3-$B$3)/((1+Economics!$B$3)^(Z$3-$B$3)),"")</f>
        <v/>
      </c>
      <c r="AC233" s="142">
        <f t="shared" si="43"/>
        <v>0</v>
      </c>
      <c r="AE233" s="376">
        <v>10</v>
      </c>
      <c r="AF233" s="176" t="e">
        <f t="array" ref="AF233">STDEV(IF(B233:Z233&lt;&gt;0,B233:Z233))</f>
        <v>#DIV/0!</v>
      </c>
      <c r="AG233" s="176">
        <v>1.96</v>
      </c>
      <c r="AH233" s="176" t="e">
        <f t="shared" si="44"/>
        <v>#DIV/0!</v>
      </c>
      <c r="AI233" s="176">
        <f t="shared" si="38"/>
        <v>0</v>
      </c>
    </row>
    <row r="234" spans="1:35" s="196" customFormat="1" ht="18" hidden="1">
      <c r="A234" s="290" t="s">
        <v>9</v>
      </c>
      <c r="B234" s="255"/>
      <c r="C234" s="255"/>
      <c r="D234" s="255"/>
      <c r="E234" s="255"/>
      <c r="F234" s="255"/>
      <c r="G234" s="255"/>
      <c r="H234" s="255"/>
      <c r="I234" s="255"/>
      <c r="J234" s="255"/>
      <c r="K234" s="255"/>
      <c r="L234" s="255"/>
      <c r="M234" s="255"/>
      <c r="N234" s="255"/>
      <c r="O234" s="255"/>
      <c r="P234" s="255"/>
      <c r="Q234" s="255"/>
      <c r="R234" s="255"/>
      <c r="S234" s="255"/>
      <c r="T234" s="255"/>
      <c r="U234" s="255"/>
      <c r="V234" s="255"/>
      <c r="W234" s="255"/>
      <c r="X234" s="255"/>
      <c r="Y234" s="255"/>
      <c r="Z234" s="377"/>
      <c r="AB234" s="114"/>
      <c r="AD234" s="114"/>
    </row>
    <row r="235" spans="1:35" hidden="1">
      <c r="A235" s="378" t="str">
        <f>Costs!A179</f>
        <v>Training 1</v>
      </c>
      <c r="B235" s="355">
        <f>IF(B$3&lt;=time,'Attributable fraction'!AA179*(1+Economics!$B$4)^(B$3-$B$3)/((1+Economics!$B$3)^(B$3-$B$3)),"")</f>
        <v>0</v>
      </c>
      <c r="C235" s="355">
        <f>IF(C$3&lt;=time,'Attributable fraction'!AB179*(1+Economics!$B$4)^(C$3-$B$3)/((1+Economics!$B$3)^(C$3-$B$3)),"")</f>
        <v>0</v>
      </c>
      <c r="D235" s="355">
        <f>IF(D$3&lt;=time,'Attributable fraction'!AC179*(1+Economics!$B$4)^(D$3-$B$3)/((1+Economics!$B$3)^(D$3-$B$3)),"")</f>
        <v>0</v>
      </c>
      <c r="E235" s="355">
        <f>IF(E$3&lt;=time,'Attributable fraction'!AD179*(1+Economics!$B$4)^(E$3-$B$3)/((1+Economics!$B$3)^(E$3-$B$3)),"")</f>
        <v>0</v>
      </c>
      <c r="F235" s="355">
        <f>IF(F$3&lt;=time,'Attributable fraction'!AE179*(1+Economics!$B$4)^(F$3-$B$3)/((1+Economics!$B$3)^(F$3-$B$3)),"")</f>
        <v>0</v>
      </c>
      <c r="G235" s="355" t="str">
        <f>IF(G$3&lt;=time,'Attributable fraction'!AF179*(1+Economics!$B$4)^(G$3-$B$3)/((1+Economics!$B$3)^(G$3-$B$3)),"")</f>
        <v/>
      </c>
      <c r="H235" s="355" t="str">
        <f>IF(H$3&lt;=time,'Attributable fraction'!AG179*(1+Economics!$B$4)^(H$3-$B$3)/((1+Economics!$B$3)^(H$3-$B$3)),"")</f>
        <v/>
      </c>
      <c r="I235" s="355" t="str">
        <f>IF(I$3&lt;=time,'Attributable fraction'!AH179*(1+Economics!$B$4)^(I$3-$B$3)/((1+Economics!$B$3)^(I$3-$B$3)),"")</f>
        <v/>
      </c>
      <c r="J235" s="355" t="str">
        <f>IF(J$3&lt;=time,'Attributable fraction'!AI179*(1+Economics!$B$4)^(J$3-$B$3)/((1+Economics!$B$3)^(J$3-$B$3)),"")</f>
        <v/>
      </c>
      <c r="K235" s="355" t="str">
        <f>IF(K$3&lt;=time,'Attributable fraction'!AJ179*(1+Economics!$B$4)^(K$3-$B$3)/((1+Economics!$B$3)^(K$3-$B$3)),"")</f>
        <v/>
      </c>
      <c r="L235" s="355" t="str">
        <f>IF(L$3&lt;=time,'Attributable fraction'!AK179*(1+Economics!$B$4)^(L$3-$B$3)/((1+Economics!$B$3)^(L$3-$B$3)),"")</f>
        <v/>
      </c>
      <c r="M235" s="355" t="str">
        <f>IF(M$3&lt;=time,'Attributable fraction'!AL179*(1+Economics!$B$4)^(M$3-$B$3)/((1+Economics!$B$3)^(M$3-$B$3)),"")</f>
        <v/>
      </c>
      <c r="N235" s="355" t="str">
        <f>IF(N$3&lt;=time,'Attributable fraction'!AM179*(1+Economics!$B$4)^(N$3-$B$3)/((1+Economics!$B$3)^(N$3-$B$3)),"")</f>
        <v/>
      </c>
      <c r="O235" s="355" t="str">
        <f>IF(O$3&lt;=time,'Attributable fraction'!AN179*(1+Economics!$B$4)^(O$3-$B$3)/((1+Economics!$B$3)^(O$3-$B$3)),"")</f>
        <v/>
      </c>
      <c r="P235" s="355" t="str">
        <f>IF(P$3&lt;=time,'Attributable fraction'!AO179*(1+Economics!$B$4)^(P$3-$B$3)/((1+Economics!$B$3)^(P$3-$B$3)),"")</f>
        <v/>
      </c>
      <c r="Q235" s="355" t="str">
        <f>IF(Q$3&lt;=time,'Attributable fraction'!AP179*(1+Economics!$B$4)^(Q$3-$B$3)/((1+Economics!$B$3)^(Q$3-$B$3)),"")</f>
        <v/>
      </c>
      <c r="R235" s="355" t="str">
        <f>IF(R$3&lt;=time,'Attributable fraction'!AQ179*(1+Economics!$B$4)^(R$3-$B$3)/((1+Economics!$B$3)^(R$3-$B$3)),"")</f>
        <v/>
      </c>
      <c r="S235" s="355" t="str">
        <f>IF(S$3&lt;=time,'Attributable fraction'!AR179*(1+Economics!$B$4)^(S$3-$B$3)/((1+Economics!$B$3)^(S$3-$B$3)),"")</f>
        <v/>
      </c>
      <c r="T235" s="355" t="str">
        <f>IF(T$3&lt;=time,'Attributable fraction'!AS179*(1+Economics!$B$4)^(T$3-$B$3)/((1+Economics!$B$3)^(T$3-$B$3)),"")</f>
        <v/>
      </c>
      <c r="U235" s="355" t="str">
        <f>IF(U$3&lt;=time,'Attributable fraction'!AT179*(1+Economics!$B$4)^(U$3-$B$3)/((1+Economics!$B$3)^(U$3-$B$3)),"")</f>
        <v/>
      </c>
      <c r="V235" s="355" t="str">
        <f>IF(V$3&lt;=time,'Attributable fraction'!AU179*(1+Economics!$B$4)^(V$3-$B$3)/((1+Economics!$B$3)^(V$3-$B$3)),"")</f>
        <v/>
      </c>
      <c r="W235" s="355" t="str">
        <f>IF(W$3&lt;=time,'Attributable fraction'!AV179*(1+Economics!$B$4)^(W$3-$B$3)/((1+Economics!$B$3)^(W$3-$B$3)),"")</f>
        <v/>
      </c>
      <c r="X235" s="355" t="str">
        <f>IF(X$3&lt;=time,'Attributable fraction'!AW179*(1+Economics!$B$4)^(X$3-$B$3)/((1+Economics!$B$3)^(X$3-$B$3)),"")</f>
        <v/>
      </c>
      <c r="Y235" s="355" t="str">
        <f>IF(Y$3&lt;=time,'Attributable fraction'!AX179*(1+Economics!$B$4)^(Y$3-$B$3)/((1+Economics!$B$3)^(Y$3-$B$3)),"")</f>
        <v/>
      </c>
      <c r="Z235" s="356" t="str">
        <f>IF(Z$3&lt;=time,'Attributable fraction'!AY179*(1+Economics!$B$4)^(Z$3-$B$3)/((1+Economics!$B$3)^(Z$3-$B$3)),"")</f>
        <v/>
      </c>
      <c r="AC235" s="142">
        <f t="shared" ref="AC235:AC244" si="45">(SUM(IF(ISERROR(Z235),"0",Z235),IF(ISERROR(Y235),"0",Y235),IF(ISERROR(X235),"0",X235),IF(ISERROR(W235),"0",W235),IF(ISERROR(V235),"0",V235),IF(ISERROR(U235),"0",U235),IF(ISERROR(T235),"0",T235),IF(ISERROR(S235),"0",S235),IF(ISERROR(R235),"0",R235),IF(ISERROR(Q235),"0",Q235), IF(ISERROR(P235),"0",P235),IF(ISERROR(O235),"0",O235),IF(ISERROR(N235),"0",N235),IF(ISERROR(M235),"0",M235),IF(ISERROR(L235),"0",L235),IF(ISERROR(K235),"0",K235),IF(ISERROR(J235),"0",J235),IF(ISERROR(I235),"0",I235),IF(ISERROR(H235),"0",H235),IF(ISERROR(G235),"0",G235),IF(ISERROR(F235),"0",F235),IF(ISERROR(E235),"0",E235),IF(ISERROR(D235),"0",D235),IF(ISERROR(C235),"0",C235),IF(ISERROR(B235),"0",B235)))/time</f>
        <v>0</v>
      </c>
      <c r="AE235" s="375">
        <v>1</v>
      </c>
      <c r="AF235" s="176" t="e">
        <f t="array" ref="AF235">STDEV(IF(B235:Z235&lt;&gt;0,B235:Z235))</f>
        <v>#DIV/0!</v>
      </c>
      <c r="AG235" s="176">
        <v>1.96</v>
      </c>
      <c r="AH235" s="176" t="e">
        <f t="shared" ref="AH235:AH244" si="46">(AG235*AF235)/(time^0.5)</f>
        <v>#DIV/0!</v>
      </c>
      <c r="AI235" s="176">
        <f t="shared" si="38"/>
        <v>0</v>
      </c>
    </row>
    <row r="236" spans="1:35" hidden="1">
      <c r="A236" s="378" t="str">
        <f>Costs!A180</f>
        <v>Training 2</v>
      </c>
      <c r="B236" s="355">
        <f>IF(B$3&lt;=time,'Attributable fraction'!AA180*(1+Economics!$B$4)^(B$3-$B$3)/((1+Economics!$B$3)^(B$3-$B$3)),"")</f>
        <v>0</v>
      </c>
      <c r="C236" s="355">
        <f>IF(C$3&lt;=time,'Attributable fraction'!AB180*(1+Economics!$B$4)^(C$3-$B$3)/((1+Economics!$B$3)^(C$3-$B$3)),"")</f>
        <v>0</v>
      </c>
      <c r="D236" s="355">
        <f>IF(D$3&lt;=time,'Attributable fraction'!AC180*(1+Economics!$B$4)^(D$3-$B$3)/((1+Economics!$B$3)^(D$3-$B$3)),"")</f>
        <v>0</v>
      </c>
      <c r="E236" s="355">
        <f>IF(E$3&lt;=time,'Attributable fraction'!AD180*(1+Economics!$B$4)^(E$3-$B$3)/((1+Economics!$B$3)^(E$3-$B$3)),"")</f>
        <v>0</v>
      </c>
      <c r="F236" s="355">
        <f>IF(F$3&lt;=time,'Attributable fraction'!AE180*(1+Economics!$B$4)^(F$3-$B$3)/((1+Economics!$B$3)^(F$3-$B$3)),"")</f>
        <v>0</v>
      </c>
      <c r="G236" s="355" t="str">
        <f>IF(G$3&lt;=time,'Attributable fraction'!AF180*(1+Economics!$B$4)^(G$3-$B$3)/((1+Economics!$B$3)^(G$3-$B$3)),"")</f>
        <v/>
      </c>
      <c r="H236" s="355" t="str">
        <f>IF(H$3&lt;=time,'Attributable fraction'!AG180*(1+Economics!$B$4)^(H$3-$B$3)/((1+Economics!$B$3)^(H$3-$B$3)),"")</f>
        <v/>
      </c>
      <c r="I236" s="355" t="str">
        <f>IF(I$3&lt;=time,'Attributable fraction'!AH180*(1+Economics!$B$4)^(I$3-$B$3)/((1+Economics!$B$3)^(I$3-$B$3)),"")</f>
        <v/>
      </c>
      <c r="J236" s="355" t="str">
        <f>IF(J$3&lt;=time,'Attributable fraction'!AI180*(1+Economics!$B$4)^(J$3-$B$3)/((1+Economics!$B$3)^(J$3-$B$3)),"")</f>
        <v/>
      </c>
      <c r="K236" s="355" t="str">
        <f>IF(K$3&lt;=time,'Attributable fraction'!AJ180*(1+Economics!$B$4)^(K$3-$B$3)/((1+Economics!$B$3)^(K$3-$B$3)),"")</f>
        <v/>
      </c>
      <c r="L236" s="355" t="str">
        <f>IF(L$3&lt;=time,'Attributable fraction'!AK180*(1+Economics!$B$4)^(L$3-$B$3)/((1+Economics!$B$3)^(L$3-$B$3)),"")</f>
        <v/>
      </c>
      <c r="M236" s="355" t="str">
        <f>IF(M$3&lt;=time,'Attributable fraction'!AL180*(1+Economics!$B$4)^(M$3-$B$3)/((1+Economics!$B$3)^(M$3-$B$3)),"")</f>
        <v/>
      </c>
      <c r="N236" s="355" t="str">
        <f>IF(N$3&lt;=time,'Attributable fraction'!AM180*(1+Economics!$B$4)^(N$3-$B$3)/((1+Economics!$B$3)^(N$3-$B$3)),"")</f>
        <v/>
      </c>
      <c r="O236" s="355" t="str">
        <f>IF(O$3&lt;=time,'Attributable fraction'!AN180*(1+Economics!$B$4)^(O$3-$B$3)/((1+Economics!$B$3)^(O$3-$B$3)),"")</f>
        <v/>
      </c>
      <c r="P236" s="355" t="str">
        <f>IF(P$3&lt;=time,'Attributable fraction'!AO180*(1+Economics!$B$4)^(P$3-$B$3)/((1+Economics!$B$3)^(P$3-$B$3)),"")</f>
        <v/>
      </c>
      <c r="Q236" s="355" t="str">
        <f>IF(Q$3&lt;=time,'Attributable fraction'!AP180*(1+Economics!$B$4)^(Q$3-$B$3)/((1+Economics!$B$3)^(Q$3-$B$3)),"")</f>
        <v/>
      </c>
      <c r="R236" s="355" t="str">
        <f>IF(R$3&lt;=time,'Attributable fraction'!AQ180*(1+Economics!$B$4)^(R$3-$B$3)/((1+Economics!$B$3)^(R$3-$B$3)),"")</f>
        <v/>
      </c>
      <c r="S236" s="355" t="str">
        <f>IF(S$3&lt;=time,'Attributable fraction'!AR180*(1+Economics!$B$4)^(S$3-$B$3)/((1+Economics!$B$3)^(S$3-$B$3)),"")</f>
        <v/>
      </c>
      <c r="T236" s="355" t="str">
        <f>IF(T$3&lt;=time,'Attributable fraction'!AS180*(1+Economics!$B$4)^(T$3-$B$3)/((1+Economics!$B$3)^(T$3-$B$3)),"")</f>
        <v/>
      </c>
      <c r="U236" s="355" t="str">
        <f>IF(U$3&lt;=time,'Attributable fraction'!AT180*(1+Economics!$B$4)^(U$3-$B$3)/((1+Economics!$B$3)^(U$3-$B$3)),"")</f>
        <v/>
      </c>
      <c r="V236" s="355" t="str">
        <f>IF(V$3&lt;=time,'Attributable fraction'!AU180*(1+Economics!$B$4)^(V$3-$B$3)/((1+Economics!$B$3)^(V$3-$B$3)),"")</f>
        <v/>
      </c>
      <c r="W236" s="355" t="str">
        <f>IF(W$3&lt;=time,'Attributable fraction'!AV180*(1+Economics!$B$4)^(W$3-$B$3)/((1+Economics!$B$3)^(W$3-$B$3)),"")</f>
        <v/>
      </c>
      <c r="X236" s="355" t="str">
        <f>IF(X$3&lt;=time,'Attributable fraction'!AW180*(1+Economics!$B$4)^(X$3-$B$3)/((1+Economics!$B$3)^(X$3-$B$3)),"")</f>
        <v/>
      </c>
      <c r="Y236" s="355" t="str">
        <f>IF(Y$3&lt;=time,'Attributable fraction'!AX180*(1+Economics!$B$4)^(Y$3-$B$3)/((1+Economics!$B$3)^(Y$3-$B$3)),"")</f>
        <v/>
      </c>
      <c r="Z236" s="356" t="str">
        <f>IF(Z$3&lt;=time,'Attributable fraction'!AY180*(1+Economics!$B$4)^(Z$3-$B$3)/((1+Economics!$B$3)^(Z$3-$B$3)),"")</f>
        <v/>
      </c>
      <c r="AC236" s="142">
        <f t="shared" si="45"/>
        <v>0</v>
      </c>
      <c r="AE236" s="376">
        <v>2</v>
      </c>
      <c r="AF236" s="176" t="e">
        <f t="array" ref="AF236">STDEV(IF(B236:Z236&lt;&gt;0,B236:Z236))</f>
        <v>#DIV/0!</v>
      </c>
      <c r="AG236" s="176">
        <v>1.96</v>
      </c>
      <c r="AH236" s="176" t="e">
        <f t="shared" si="46"/>
        <v>#DIV/0!</v>
      </c>
      <c r="AI236" s="176">
        <f t="shared" si="38"/>
        <v>0</v>
      </c>
    </row>
    <row r="237" spans="1:35" hidden="1">
      <c r="A237" s="378" t="str">
        <f>Costs!A181</f>
        <v>Training 3</v>
      </c>
      <c r="B237" s="355">
        <f>IF(B$3&lt;=time,'Attributable fraction'!AA181*(1+Economics!$B$4)^(B$3-$B$3)/((1+Economics!$B$3)^(B$3-$B$3)),"")</f>
        <v>0</v>
      </c>
      <c r="C237" s="355">
        <f>IF(C$3&lt;=time,'Attributable fraction'!AB181*(1+Economics!$B$4)^(C$3-$B$3)/((1+Economics!$B$3)^(C$3-$B$3)),"")</f>
        <v>0</v>
      </c>
      <c r="D237" s="355">
        <f>IF(D$3&lt;=time,'Attributable fraction'!AC181*(1+Economics!$B$4)^(D$3-$B$3)/((1+Economics!$B$3)^(D$3-$B$3)),"")</f>
        <v>0</v>
      </c>
      <c r="E237" s="355">
        <f>IF(E$3&lt;=time,'Attributable fraction'!AD181*(1+Economics!$B$4)^(E$3-$B$3)/((1+Economics!$B$3)^(E$3-$B$3)),"")</f>
        <v>0</v>
      </c>
      <c r="F237" s="355">
        <f>IF(F$3&lt;=time,'Attributable fraction'!AE181*(1+Economics!$B$4)^(F$3-$B$3)/((1+Economics!$B$3)^(F$3-$B$3)),"")</f>
        <v>0</v>
      </c>
      <c r="G237" s="355" t="str">
        <f>IF(G$3&lt;=time,'Attributable fraction'!AF181*(1+Economics!$B$4)^(G$3-$B$3)/((1+Economics!$B$3)^(G$3-$B$3)),"")</f>
        <v/>
      </c>
      <c r="H237" s="355" t="str">
        <f>IF(H$3&lt;=time,'Attributable fraction'!AG181*(1+Economics!$B$4)^(H$3-$B$3)/((1+Economics!$B$3)^(H$3-$B$3)),"")</f>
        <v/>
      </c>
      <c r="I237" s="355" t="str">
        <f>IF(I$3&lt;=time,'Attributable fraction'!AH181*(1+Economics!$B$4)^(I$3-$B$3)/((1+Economics!$B$3)^(I$3-$B$3)),"")</f>
        <v/>
      </c>
      <c r="J237" s="355" t="str">
        <f>IF(J$3&lt;=time,'Attributable fraction'!AI181*(1+Economics!$B$4)^(J$3-$B$3)/((1+Economics!$B$3)^(J$3-$B$3)),"")</f>
        <v/>
      </c>
      <c r="K237" s="355" t="str">
        <f>IF(K$3&lt;=time,'Attributable fraction'!AJ181*(1+Economics!$B$4)^(K$3-$B$3)/((1+Economics!$B$3)^(K$3-$B$3)),"")</f>
        <v/>
      </c>
      <c r="L237" s="355" t="str">
        <f>IF(L$3&lt;=time,'Attributable fraction'!AK181*(1+Economics!$B$4)^(L$3-$B$3)/((1+Economics!$B$3)^(L$3-$B$3)),"")</f>
        <v/>
      </c>
      <c r="M237" s="355" t="str">
        <f>IF(M$3&lt;=time,'Attributable fraction'!AL181*(1+Economics!$B$4)^(M$3-$B$3)/((1+Economics!$B$3)^(M$3-$B$3)),"")</f>
        <v/>
      </c>
      <c r="N237" s="355" t="str">
        <f>IF(N$3&lt;=time,'Attributable fraction'!AM181*(1+Economics!$B$4)^(N$3-$B$3)/((1+Economics!$B$3)^(N$3-$B$3)),"")</f>
        <v/>
      </c>
      <c r="O237" s="355" t="str">
        <f>IF(O$3&lt;=time,'Attributable fraction'!AN181*(1+Economics!$B$4)^(O$3-$B$3)/((1+Economics!$B$3)^(O$3-$B$3)),"")</f>
        <v/>
      </c>
      <c r="P237" s="355" t="str">
        <f>IF(P$3&lt;=time,'Attributable fraction'!AO181*(1+Economics!$B$4)^(P$3-$B$3)/((1+Economics!$B$3)^(P$3-$B$3)),"")</f>
        <v/>
      </c>
      <c r="Q237" s="355" t="str">
        <f>IF(Q$3&lt;=time,'Attributable fraction'!AP181*(1+Economics!$B$4)^(Q$3-$B$3)/((1+Economics!$B$3)^(Q$3-$B$3)),"")</f>
        <v/>
      </c>
      <c r="R237" s="355" t="str">
        <f>IF(R$3&lt;=time,'Attributable fraction'!AQ181*(1+Economics!$B$4)^(R$3-$B$3)/((1+Economics!$B$3)^(R$3-$B$3)),"")</f>
        <v/>
      </c>
      <c r="S237" s="355" t="str">
        <f>IF(S$3&lt;=time,'Attributable fraction'!AR181*(1+Economics!$B$4)^(S$3-$B$3)/((1+Economics!$B$3)^(S$3-$B$3)),"")</f>
        <v/>
      </c>
      <c r="T237" s="355" t="str">
        <f>IF(T$3&lt;=time,'Attributable fraction'!AS181*(1+Economics!$B$4)^(T$3-$B$3)/((1+Economics!$B$3)^(T$3-$B$3)),"")</f>
        <v/>
      </c>
      <c r="U237" s="355" t="str">
        <f>IF(U$3&lt;=time,'Attributable fraction'!AT181*(1+Economics!$B$4)^(U$3-$B$3)/((1+Economics!$B$3)^(U$3-$B$3)),"")</f>
        <v/>
      </c>
      <c r="V237" s="355" t="str">
        <f>IF(V$3&lt;=time,'Attributable fraction'!AU181*(1+Economics!$B$4)^(V$3-$B$3)/((1+Economics!$B$3)^(V$3-$B$3)),"")</f>
        <v/>
      </c>
      <c r="W237" s="355" t="str">
        <f>IF(W$3&lt;=time,'Attributable fraction'!AV181*(1+Economics!$B$4)^(W$3-$B$3)/((1+Economics!$B$3)^(W$3-$B$3)),"")</f>
        <v/>
      </c>
      <c r="X237" s="355" t="str">
        <f>IF(X$3&lt;=time,'Attributable fraction'!AW181*(1+Economics!$B$4)^(X$3-$B$3)/((1+Economics!$B$3)^(X$3-$B$3)),"")</f>
        <v/>
      </c>
      <c r="Y237" s="355" t="str">
        <f>IF(Y$3&lt;=time,'Attributable fraction'!AX181*(1+Economics!$B$4)^(Y$3-$B$3)/((1+Economics!$B$3)^(Y$3-$B$3)),"")</f>
        <v/>
      </c>
      <c r="Z237" s="356" t="str">
        <f>IF(Z$3&lt;=time,'Attributable fraction'!AY181*(1+Economics!$B$4)^(Z$3-$B$3)/((1+Economics!$B$3)^(Z$3-$B$3)),"")</f>
        <v/>
      </c>
      <c r="AC237" s="142">
        <f t="shared" si="45"/>
        <v>0</v>
      </c>
      <c r="AE237" s="376">
        <v>3</v>
      </c>
      <c r="AF237" s="176" t="e">
        <f t="array" ref="AF237">STDEV(IF(B237:Z237&lt;&gt;0,B237:Z237))</f>
        <v>#DIV/0!</v>
      </c>
      <c r="AG237" s="176">
        <v>1.96</v>
      </c>
      <c r="AH237" s="176" t="e">
        <f t="shared" si="46"/>
        <v>#DIV/0!</v>
      </c>
      <c r="AI237" s="176">
        <f t="shared" si="38"/>
        <v>0</v>
      </c>
    </row>
    <row r="238" spans="1:35" hidden="1">
      <c r="A238" s="378" t="str">
        <f>Costs!A182</f>
        <v>Training 4</v>
      </c>
      <c r="B238" s="355">
        <f>IF(B$3&lt;=time,'Attributable fraction'!AA182*(1+Economics!$B$4)^(B$3-$B$3)/((1+Economics!$B$3)^(B$3-$B$3)),"")</f>
        <v>0</v>
      </c>
      <c r="C238" s="355">
        <f>IF(C$3&lt;=time,'Attributable fraction'!AB182*(1+Economics!$B$4)^(C$3-$B$3)/((1+Economics!$B$3)^(C$3-$B$3)),"")</f>
        <v>0</v>
      </c>
      <c r="D238" s="355">
        <f>IF(D$3&lt;=time,'Attributable fraction'!AC182*(1+Economics!$B$4)^(D$3-$B$3)/((1+Economics!$B$3)^(D$3-$B$3)),"")</f>
        <v>0</v>
      </c>
      <c r="E238" s="355">
        <f>IF(E$3&lt;=time,'Attributable fraction'!AD182*(1+Economics!$B$4)^(E$3-$B$3)/((1+Economics!$B$3)^(E$3-$B$3)),"")</f>
        <v>0</v>
      </c>
      <c r="F238" s="355">
        <f>IF(F$3&lt;=time,'Attributable fraction'!AE182*(1+Economics!$B$4)^(F$3-$B$3)/((1+Economics!$B$3)^(F$3-$B$3)),"")</f>
        <v>0</v>
      </c>
      <c r="G238" s="355" t="str">
        <f>IF(G$3&lt;=time,'Attributable fraction'!AF182*(1+Economics!$B$4)^(G$3-$B$3)/((1+Economics!$B$3)^(G$3-$B$3)),"")</f>
        <v/>
      </c>
      <c r="H238" s="355" t="str">
        <f>IF(H$3&lt;=time,'Attributable fraction'!AG182*(1+Economics!$B$4)^(H$3-$B$3)/((1+Economics!$B$3)^(H$3-$B$3)),"")</f>
        <v/>
      </c>
      <c r="I238" s="355" t="str">
        <f>IF(I$3&lt;=time,'Attributable fraction'!AH182*(1+Economics!$B$4)^(I$3-$B$3)/((1+Economics!$B$3)^(I$3-$B$3)),"")</f>
        <v/>
      </c>
      <c r="J238" s="355" t="str">
        <f>IF(J$3&lt;=time,'Attributable fraction'!AI182*(1+Economics!$B$4)^(J$3-$B$3)/((1+Economics!$B$3)^(J$3-$B$3)),"")</f>
        <v/>
      </c>
      <c r="K238" s="355" t="str">
        <f>IF(K$3&lt;=time,'Attributable fraction'!AJ182*(1+Economics!$B$4)^(K$3-$B$3)/((1+Economics!$B$3)^(K$3-$B$3)),"")</f>
        <v/>
      </c>
      <c r="L238" s="355" t="str">
        <f>IF(L$3&lt;=time,'Attributable fraction'!AK182*(1+Economics!$B$4)^(L$3-$B$3)/((1+Economics!$B$3)^(L$3-$B$3)),"")</f>
        <v/>
      </c>
      <c r="M238" s="355" t="str">
        <f>IF(M$3&lt;=time,'Attributable fraction'!AL182*(1+Economics!$B$4)^(M$3-$B$3)/((1+Economics!$B$3)^(M$3-$B$3)),"")</f>
        <v/>
      </c>
      <c r="N238" s="355" t="str">
        <f>IF(N$3&lt;=time,'Attributable fraction'!AM182*(1+Economics!$B$4)^(N$3-$B$3)/((1+Economics!$B$3)^(N$3-$B$3)),"")</f>
        <v/>
      </c>
      <c r="O238" s="355" t="str">
        <f>IF(O$3&lt;=time,'Attributable fraction'!AN182*(1+Economics!$B$4)^(O$3-$B$3)/((1+Economics!$B$3)^(O$3-$B$3)),"")</f>
        <v/>
      </c>
      <c r="P238" s="355" t="str">
        <f>IF(P$3&lt;=time,'Attributable fraction'!AO182*(1+Economics!$B$4)^(P$3-$B$3)/((1+Economics!$B$3)^(P$3-$B$3)),"")</f>
        <v/>
      </c>
      <c r="Q238" s="355" t="str">
        <f>IF(Q$3&lt;=time,'Attributable fraction'!AP182*(1+Economics!$B$4)^(Q$3-$B$3)/((1+Economics!$B$3)^(Q$3-$B$3)),"")</f>
        <v/>
      </c>
      <c r="R238" s="355" t="str">
        <f>IF(R$3&lt;=time,'Attributable fraction'!AQ182*(1+Economics!$B$4)^(R$3-$B$3)/((1+Economics!$B$3)^(R$3-$B$3)),"")</f>
        <v/>
      </c>
      <c r="S238" s="355" t="str">
        <f>IF(S$3&lt;=time,'Attributable fraction'!AR182*(1+Economics!$B$4)^(S$3-$B$3)/((1+Economics!$B$3)^(S$3-$B$3)),"")</f>
        <v/>
      </c>
      <c r="T238" s="355" t="str">
        <f>IF(T$3&lt;=time,'Attributable fraction'!AS182*(1+Economics!$B$4)^(T$3-$B$3)/((1+Economics!$B$3)^(T$3-$B$3)),"")</f>
        <v/>
      </c>
      <c r="U238" s="355" t="str">
        <f>IF(U$3&lt;=time,'Attributable fraction'!AT182*(1+Economics!$B$4)^(U$3-$B$3)/((1+Economics!$B$3)^(U$3-$B$3)),"")</f>
        <v/>
      </c>
      <c r="V238" s="355" t="str">
        <f>IF(V$3&lt;=time,'Attributable fraction'!AU182*(1+Economics!$B$4)^(V$3-$B$3)/((1+Economics!$B$3)^(V$3-$B$3)),"")</f>
        <v/>
      </c>
      <c r="W238" s="355" t="str">
        <f>IF(W$3&lt;=time,'Attributable fraction'!AV182*(1+Economics!$B$4)^(W$3-$B$3)/((1+Economics!$B$3)^(W$3-$B$3)),"")</f>
        <v/>
      </c>
      <c r="X238" s="355" t="str">
        <f>IF(X$3&lt;=time,'Attributable fraction'!AW182*(1+Economics!$B$4)^(X$3-$B$3)/((1+Economics!$B$3)^(X$3-$B$3)),"")</f>
        <v/>
      </c>
      <c r="Y238" s="355" t="str">
        <f>IF(Y$3&lt;=time,'Attributable fraction'!AX182*(1+Economics!$B$4)^(Y$3-$B$3)/((1+Economics!$B$3)^(Y$3-$B$3)),"")</f>
        <v/>
      </c>
      <c r="Z238" s="356" t="str">
        <f>IF(Z$3&lt;=time,'Attributable fraction'!AY182*(1+Economics!$B$4)^(Z$3-$B$3)/((1+Economics!$B$3)^(Z$3-$B$3)),"")</f>
        <v/>
      </c>
      <c r="AC238" s="142">
        <f t="shared" si="45"/>
        <v>0</v>
      </c>
      <c r="AE238" s="376">
        <v>4</v>
      </c>
      <c r="AF238" s="176" t="e">
        <f t="array" ref="AF238">STDEV(IF(B238:Z238&lt;&gt;0,B238:Z238))</f>
        <v>#DIV/0!</v>
      </c>
      <c r="AG238" s="176">
        <v>1.96</v>
      </c>
      <c r="AH238" s="176" t="e">
        <f t="shared" si="46"/>
        <v>#DIV/0!</v>
      </c>
      <c r="AI238" s="176">
        <f t="shared" si="38"/>
        <v>0</v>
      </c>
    </row>
    <row r="239" spans="1:35" hidden="1">
      <c r="A239" s="378" t="str">
        <f>Costs!A183</f>
        <v>Training 5</v>
      </c>
      <c r="B239" s="355">
        <f>IF(B$3&lt;=time,'Attributable fraction'!AA183*(1+Economics!$B$4)^(B$3-$B$3)/((1+Economics!$B$3)^(B$3-$B$3)),"")</f>
        <v>0</v>
      </c>
      <c r="C239" s="355">
        <f>IF(C$3&lt;=time,'Attributable fraction'!AB183*(1+Economics!$B$4)^(C$3-$B$3)/((1+Economics!$B$3)^(C$3-$B$3)),"")</f>
        <v>0</v>
      </c>
      <c r="D239" s="355">
        <f>IF(D$3&lt;=time,'Attributable fraction'!AC183*(1+Economics!$B$4)^(D$3-$B$3)/((1+Economics!$B$3)^(D$3-$B$3)),"")</f>
        <v>0</v>
      </c>
      <c r="E239" s="355">
        <f>IF(E$3&lt;=time,'Attributable fraction'!AD183*(1+Economics!$B$4)^(E$3-$B$3)/((1+Economics!$B$3)^(E$3-$B$3)),"")</f>
        <v>0</v>
      </c>
      <c r="F239" s="355">
        <f>IF(F$3&lt;=time,'Attributable fraction'!AE183*(1+Economics!$B$4)^(F$3-$B$3)/((1+Economics!$B$3)^(F$3-$B$3)),"")</f>
        <v>0</v>
      </c>
      <c r="G239" s="355" t="str">
        <f>IF(G$3&lt;=time,'Attributable fraction'!AF183*(1+Economics!$B$4)^(G$3-$B$3)/((1+Economics!$B$3)^(G$3-$B$3)),"")</f>
        <v/>
      </c>
      <c r="H239" s="355" t="str">
        <f>IF(H$3&lt;=time,'Attributable fraction'!AG183*(1+Economics!$B$4)^(H$3-$B$3)/((1+Economics!$B$3)^(H$3-$B$3)),"")</f>
        <v/>
      </c>
      <c r="I239" s="355" t="str">
        <f>IF(I$3&lt;=time,'Attributable fraction'!AH183*(1+Economics!$B$4)^(I$3-$B$3)/((1+Economics!$B$3)^(I$3-$B$3)),"")</f>
        <v/>
      </c>
      <c r="J239" s="355" t="str">
        <f>IF(J$3&lt;=time,'Attributable fraction'!AI183*(1+Economics!$B$4)^(J$3-$B$3)/((1+Economics!$B$3)^(J$3-$B$3)),"")</f>
        <v/>
      </c>
      <c r="K239" s="355" t="str">
        <f>IF(K$3&lt;=time,'Attributable fraction'!AJ183*(1+Economics!$B$4)^(K$3-$B$3)/((1+Economics!$B$3)^(K$3-$B$3)),"")</f>
        <v/>
      </c>
      <c r="L239" s="355" t="str">
        <f>IF(L$3&lt;=time,'Attributable fraction'!AK183*(1+Economics!$B$4)^(L$3-$B$3)/((1+Economics!$B$3)^(L$3-$B$3)),"")</f>
        <v/>
      </c>
      <c r="M239" s="355" t="str">
        <f>IF(M$3&lt;=time,'Attributable fraction'!AL183*(1+Economics!$B$4)^(M$3-$B$3)/((1+Economics!$B$3)^(M$3-$B$3)),"")</f>
        <v/>
      </c>
      <c r="N239" s="355" t="str">
        <f>IF(N$3&lt;=time,'Attributable fraction'!AM183*(1+Economics!$B$4)^(N$3-$B$3)/((1+Economics!$B$3)^(N$3-$B$3)),"")</f>
        <v/>
      </c>
      <c r="O239" s="355" t="str">
        <f>IF(O$3&lt;=time,'Attributable fraction'!AN183*(1+Economics!$B$4)^(O$3-$B$3)/((1+Economics!$B$3)^(O$3-$B$3)),"")</f>
        <v/>
      </c>
      <c r="P239" s="355" t="str">
        <f>IF(P$3&lt;=time,'Attributable fraction'!AO183*(1+Economics!$B$4)^(P$3-$B$3)/((1+Economics!$B$3)^(P$3-$B$3)),"")</f>
        <v/>
      </c>
      <c r="Q239" s="355" t="str">
        <f>IF(Q$3&lt;=time,'Attributable fraction'!AP183*(1+Economics!$B$4)^(Q$3-$B$3)/((1+Economics!$B$3)^(Q$3-$B$3)),"")</f>
        <v/>
      </c>
      <c r="R239" s="355" t="str">
        <f>IF(R$3&lt;=time,'Attributable fraction'!AQ183*(1+Economics!$B$4)^(R$3-$B$3)/((1+Economics!$B$3)^(R$3-$B$3)),"")</f>
        <v/>
      </c>
      <c r="S239" s="355" t="str">
        <f>IF(S$3&lt;=time,'Attributable fraction'!AR183*(1+Economics!$B$4)^(S$3-$B$3)/((1+Economics!$B$3)^(S$3-$B$3)),"")</f>
        <v/>
      </c>
      <c r="T239" s="355" t="str">
        <f>IF(T$3&lt;=time,'Attributable fraction'!AS183*(1+Economics!$B$4)^(T$3-$B$3)/((1+Economics!$B$3)^(T$3-$B$3)),"")</f>
        <v/>
      </c>
      <c r="U239" s="355" t="str">
        <f>IF(U$3&lt;=time,'Attributable fraction'!AT183*(1+Economics!$B$4)^(U$3-$B$3)/((1+Economics!$B$3)^(U$3-$B$3)),"")</f>
        <v/>
      </c>
      <c r="V239" s="355" t="str">
        <f>IF(V$3&lt;=time,'Attributable fraction'!AU183*(1+Economics!$B$4)^(V$3-$B$3)/((1+Economics!$B$3)^(V$3-$B$3)),"")</f>
        <v/>
      </c>
      <c r="W239" s="355" t="str">
        <f>IF(W$3&lt;=time,'Attributable fraction'!AV183*(1+Economics!$B$4)^(W$3-$B$3)/((1+Economics!$B$3)^(W$3-$B$3)),"")</f>
        <v/>
      </c>
      <c r="X239" s="355" t="str">
        <f>IF(X$3&lt;=time,'Attributable fraction'!AW183*(1+Economics!$B$4)^(X$3-$B$3)/((1+Economics!$B$3)^(X$3-$B$3)),"")</f>
        <v/>
      </c>
      <c r="Y239" s="355" t="str">
        <f>IF(Y$3&lt;=time,'Attributable fraction'!AX183*(1+Economics!$B$4)^(Y$3-$B$3)/((1+Economics!$B$3)^(Y$3-$B$3)),"")</f>
        <v/>
      </c>
      <c r="Z239" s="356" t="str">
        <f>IF(Z$3&lt;=time,'Attributable fraction'!AY183*(1+Economics!$B$4)^(Z$3-$B$3)/((1+Economics!$B$3)^(Z$3-$B$3)),"")</f>
        <v/>
      </c>
      <c r="AC239" s="142">
        <f t="shared" si="45"/>
        <v>0</v>
      </c>
      <c r="AE239" s="376">
        <v>5</v>
      </c>
      <c r="AF239" s="176" t="e">
        <f t="array" ref="AF239">STDEV(IF(B239:Z239&lt;&gt;0,B239:Z239))</f>
        <v>#DIV/0!</v>
      </c>
      <c r="AG239" s="176">
        <v>1.96</v>
      </c>
      <c r="AH239" s="176" t="e">
        <f t="shared" si="46"/>
        <v>#DIV/0!</v>
      </c>
      <c r="AI239" s="176">
        <f t="shared" si="38"/>
        <v>0</v>
      </c>
    </row>
    <row r="240" spans="1:35" hidden="1">
      <c r="A240" s="378" t="str">
        <f>Costs!A184</f>
        <v>Training 6</v>
      </c>
      <c r="B240" s="355">
        <f>IF(B$3&lt;=time,'Attributable fraction'!AA184*(1+Economics!$B$4)^(B$3-$B$3)/((1+Economics!$B$3)^(B$3-$B$3)),"")</f>
        <v>0</v>
      </c>
      <c r="C240" s="355">
        <f>IF(C$3&lt;=time,'Attributable fraction'!AB184*(1+Economics!$B$4)^(C$3-$B$3)/((1+Economics!$B$3)^(C$3-$B$3)),"")</f>
        <v>0</v>
      </c>
      <c r="D240" s="355">
        <f>IF(D$3&lt;=time,'Attributable fraction'!AC184*(1+Economics!$B$4)^(D$3-$B$3)/((1+Economics!$B$3)^(D$3-$B$3)),"")</f>
        <v>0</v>
      </c>
      <c r="E240" s="355">
        <f>IF(E$3&lt;=time,'Attributable fraction'!AD184*(1+Economics!$B$4)^(E$3-$B$3)/((1+Economics!$B$3)^(E$3-$B$3)),"")</f>
        <v>0</v>
      </c>
      <c r="F240" s="355">
        <f>IF(F$3&lt;=time,'Attributable fraction'!AE184*(1+Economics!$B$4)^(F$3-$B$3)/((1+Economics!$B$3)^(F$3-$B$3)),"")</f>
        <v>0</v>
      </c>
      <c r="G240" s="355" t="str">
        <f>IF(G$3&lt;=time,'Attributable fraction'!AF184*(1+Economics!$B$4)^(G$3-$B$3)/((1+Economics!$B$3)^(G$3-$B$3)),"")</f>
        <v/>
      </c>
      <c r="H240" s="355" t="str">
        <f>IF(H$3&lt;=time,'Attributable fraction'!AG184*(1+Economics!$B$4)^(H$3-$B$3)/((1+Economics!$B$3)^(H$3-$B$3)),"")</f>
        <v/>
      </c>
      <c r="I240" s="355" t="str">
        <f>IF(I$3&lt;=time,'Attributable fraction'!AH184*(1+Economics!$B$4)^(I$3-$B$3)/((1+Economics!$B$3)^(I$3-$B$3)),"")</f>
        <v/>
      </c>
      <c r="J240" s="355" t="str">
        <f>IF(J$3&lt;=time,'Attributable fraction'!AI184*(1+Economics!$B$4)^(J$3-$B$3)/((1+Economics!$B$3)^(J$3-$B$3)),"")</f>
        <v/>
      </c>
      <c r="K240" s="355" t="str">
        <f>IF(K$3&lt;=time,'Attributable fraction'!AJ184*(1+Economics!$B$4)^(K$3-$B$3)/((1+Economics!$B$3)^(K$3-$B$3)),"")</f>
        <v/>
      </c>
      <c r="L240" s="355" t="str">
        <f>IF(L$3&lt;=time,'Attributable fraction'!AK184*(1+Economics!$B$4)^(L$3-$B$3)/((1+Economics!$B$3)^(L$3-$B$3)),"")</f>
        <v/>
      </c>
      <c r="M240" s="355" t="str">
        <f>IF(M$3&lt;=time,'Attributable fraction'!AL184*(1+Economics!$B$4)^(M$3-$B$3)/((1+Economics!$B$3)^(M$3-$B$3)),"")</f>
        <v/>
      </c>
      <c r="N240" s="355" t="str">
        <f>IF(N$3&lt;=time,'Attributable fraction'!AM184*(1+Economics!$B$4)^(N$3-$B$3)/((1+Economics!$B$3)^(N$3-$B$3)),"")</f>
        <v/>
      </c>
      <c r="O240" s="355" t="str">
        <f>IF(O$3&lt;=time,'Attributable fraction'!AN184*(1+Economics!$B$4)^(O$3-$B$3)/((1+Economics!$B$3)^(O$3-$B$3)),"")</f>
        <v/>
      </c>
      <c r="P240" s="355" t="str">
        <f>IF(P$3&lt;=time,'Attributable fraction'!AO184*(1+Economics!$B$4)^(P$3-$B$3)/((1+Economics!$B$3)^(P$3-$B$3)),"")</f>
        <v/>
      </c>
      <c r="Q240" s="355" t="str">
        <f>IF(Q$3&lt;=time,'Attributable fraction'!AP184*(1+Economics!$B$4)^(Q$3-$B$3)/((1+Economics!$B$3)^(Q$3-$B$3)),"")</f>
        <v/>
      </c>
      <c r="R240" s="355" t="str">
        <f>IF(R$3&lt;=time,'Attributable fraction'!AQ184*(1+Economics!$B$4)^(R$3-$B$3)/((1+Economics!$B$3)^(R$3-$B$3)),"")</f>
        <v/>
      </c>
      <c r="S240" s="355" t="str">
        <f>IF(S$3&lt;=time,'Attributable fraction'!AR184*(1+Economics!$B$4)^(S$3-$B$3)/((1+Economics!$B$3)^(S$3-$B$3)),"")</f>
        <v/>
      </c>
      <c r="T240" s="355" t="str">
        <f>IF(T$3&lt;=time,'Attributable fraction'!AS184*(1+Economics!$B$4)^(T$3-$B$3)/((1+Economics!$B$3)^(T$3-$B$3)),"")</f>
        <v/>
      </c>
      <c r="U240" s="355" t="str">
        <f>IF(U$3&lt;=time,'Attributable fraction'!AT184*(1+Economics!$B$4)^(U$3-$B$3)/((1+Economics!$B$3)^(U$3-$B$3)),"")</f>
        <v/>
      </c>
      <c r="V240" s="355" t="str">
        <f>IF(V$3&lt;=time,'Attributable fraction'!AU184*(1+Economics!$B$4)^(V$3-$B$3)/((1+Economics!$B$3)^(V$3-$B$3)),"")</f>
        <v/>
      </c>
      <c r="W240" s="355" t="str">
        <f>IF(W$3&lt;=time,'Attributable fraction'!AV184*(1+Economics!$B$4)^(W$3-$B$3)/((1+Economics!$B$3)^(W$3-$B$3)),"")</f>
        <v/>
      </c>
      <c r="X240" s="355" t="str">
        <f>IF(X$3&lt;=time,'Attributable fraction'!AW184*(1+Economics!$B$4)^(X$3-$B$3)/((1+Economics!$B$3)^(X$3-$B$3)),"")</f>
        <v/>
      </c>
      <c r="Y240" s="355" t="str">
        <f>IF(Y$3&lt;=time,'Attributable fraction'!AX184*(1+Economics!$B$4)^(Y$3-$B$3)/((1+Economics!$B$3)^(Y$3-$B$3)),"")</f>
        <v/>
      </c>
      <c r="Z240" s="356" t="str">
        <f>IF(Z$3&lt;=time,'Attributable fraction'!AY184*(1+Economics!$B$4)^(Z$3-$B$3)/((1+Economics!$B$3)^(Z$3-$B$3)),"")</f>
        <v/>
      </c>
      <c r="AC240" s="142">
        <f t="shared" si="45"/>
        <v>0</v>
      </c>
      <c r="AE240" s="376">
        <v>6</v>
      </c>
      <c r="AF240" s="176" t="e">
        <f t="array" ref="AF240">STDEV(IF(B240:Z240&lt;&gt;0,B240:Z240))</f>
        <v>#DIV/0!</v>
      </c>
      <c r="AG240" s="176">
        <v>1.96</v>
      </c>
      <c r="AH240" s="176" t="e">
        <f t="shared" si="46"/>
        <v>#DIV/0!</v>
      </c>
      <c r="AI240" s="176">
        <f t="shared" si="38"/>
        <v>0</v>
      </c>
    </row>
    <row r="241" spans="1:35" hidden="1">
      <c r="A241" s="378" t="str">
        <f>Costs!A185</f>
        <v>Training 7</v>
      </c>
      <c r="B241" s="355">
        <f>IF(B$3&lt;=time,'Attributable fraction'!AA185*(1+Economics!$B$4)^(B$3-$B$3)/((1+Economics!$B$3)^(B$3-$B$3)),"")</f>
        <v>0</v>
      </c>
      <c r="C241" s="355">
        <f>IF(C$3&lt;=time,'Attributable fraction'!AB185*(1+Economics!$B$4)^(C$3-$B$3)/((1+Economics!$B$3)^(C$3-$B$3)),"")</f>
        <v>0</v>
      </c>
      <c r="D241" s="355">
        <f>IF(D$3&lt;=time,'Attributable fraction'!AC185*(1+Economics!$B$4)^(D$3-$B$3)/((1+Economics!$B$3)^(D$3-$B$3)),"")</f>
        <v>0</v>
      </c>
      <c r="E241" s="355">
        <f>IF(E$3&lt;=time,'Attributable fraction'!AD185*(1+Economics!$B$4)^(E$3-$B$3)/((1+Economics!$B$3)^(E$3-$B$3)),"")</f>
        <v>0</v>
      </c>
      <c r="F241" s="355">
        <f>IF(F$3&lt;=time,'Attributable fraction'!AE185*(1+Economics!$B$4)^(F$3-$B$3)/((1+Economics!$B$3)^(F$3-$B$3)),"")</f>
        <v>0</v>
      </c>
      <c r="G241" s="355" t="str">
        <f>IF(G$3&lt;=time,'Attributable fraction'!AF185*(1+Economics!$B$4)^(G$3-$B$3)/((1+Economics!$B$3)^(G$3-$B$3)),"")</f>
        <v/>
      </c>
      <c r="H241" s="355" t="str">
        <f>IF(H$3&lt;=time,'Attributable fraction'!AG185*(1+Economics!$B$4)^(H$3-$B$3)/((1+Economics!$B$3)^(H$3-$B$3)),"")</f>
        <v/>
      </c>
      <c r="I241" s="355" t="str">
        <f>IF(I$3&lt;=time,'Attributable fraction'!AH185*(1+Economics!$B$4)^(I$3-$B$3)/((1+Economics!$B$3)^(I$3-$B$3)),"")</f>
        <v/>
      </c>
      <c r="J241" s="355" t="str">
        <f>IF(J$3&lt;=time,'Attributable fraction'!AI185*(1+Economics!$B$4)^(J$3-$B$3)/((1+Economics!$B$3)^(J$3-$B$3)),"")</f>
        <v/>
      </c>
      <c r="K241" s="355" t="str">
        <f>IF(K$3&lt;=time,'Attributable fraction'!AJ185*(1+Economics!$B$4)^(K$3-$B$3)/((1+Economics!$B$3)^(K$3-$B$3)),"")</f>
        <v/>
      </c>
      <c r="L241" s="355" t="str">
        <f>IF(L$3&lt;=time,'Attributable fraction'!AK185*(1+Economics!$B$4)^(L$3-$B$3)/((1+Economics!$B$3)^(L$3-$B$3)),"")</f>
        <v/>
      </c>
      <c r="M241" s="355" t="str">
        <f>IF(M$3&lt;=time,'Attributable fraction'!AL185*(1+Economics!$B$4)^(M$3-$B$3)/((1+Economics!$B$3)^(M$3-$B$3)),"")</f>
        <v/>
      </c>
      <c r="N241" s="355" t="str">
        <f>IF(N$3&lt;=time,'Attributable fraction'!AM185*(1+Economics!$B$4)^(N$3-$B$3)/((1+Economics!$B$3)^(N$3-$B$3)),"")</f>
        <v/>
      </c>
      <c r="O241" s="355" t="str">
        <f>IF(O$3&lt;=time,'Attributable fraction'!AN185*(1+Economics!$B$4)^(O$3-$B$3)/((1+Economics!$B$3)^(O$3-$B$3)),"")</f>
        <v/>
      </c>
      <c r="P241" s="355" t="str">
        <f>IF(P$3&lt;=time,'Attributable fraction'!AO185*(1+Economics!$B$4)^(P$3-$B$3)/((1+Economics!$B$3)^(P$3-$B$3)),"")</f>
        <v/>
      </c>
      <c r="Q241" s="355" t="str">
        <f>IF(Q$3&lt;=time,'Attributable fraction'!AP185*(1+Economics!$B$4)^(Q$3-$B$3)/((1+Economics!$B$3)^(Q$3-$B$3)),"")</f>
        <v/>
      </c>
      <c r="R241" s="355" t="str">
        <f>IF(R$3&lt;=time,'Attributable fraction'!AQ185*(1+Economics!$B$4)^(R$3-$B$3)/((1+Economics!$B$3)^(R$3-$B$3)),"")</f>
        <v/>
      </c>
      <c r="S241" s="355" t="str">
        <f>IF(S$3&lt;=time,'Attributable fraction'!AR185*(1+Economics!$B$4)^(S$3-$B$3)/((1+Economics!$B$3)^(S$3-$B$3)),"")</f>
        <v/>
      </c>
      <c r="T241" s="355" t="str">
        <f>IF(T$3&lt;=time,'Attributable fraction'!AS185*(1+Economics!$B$4)^(T$3-$B$3)/((1+Economics!$B$3)^(T$3-$B$3)),"")</f>
        <v/>
      </c>
      <c r="U241" s="355" t="str">
        <f>IF(U$3&lt;=time,'Attributable fraction'!AT185*(1+Economics!$B$4)^(U$3-$B$3)/((1+Economics!$B$3)^(U$3-$B$3)),"")</f>
        <v/>
      </c>
      <c r="V241" s="355" t="str">
        <f>IF(V$3&lt;=time,'Attributable fraction'!AU185*(1+Economics!$B$4)^(V$3-$B$3)/((1+Economics!$B$3)^(V$3-$B$3)),"")</f>
        <v/>
      </c>
      <c r="W241" s="355" t="str">
        <f>IF(W$3&lt;=time,'Attributable fraction'!AV185*(1+Economics!$B$4)^(W$3-$B$3)/((1+Economics!$B$3)^(W$3-$B$3)),"")</f>
        <v/>
      </c>
      <c r="X241" s="355" t="str">
        <f>IF(X$3&lt;=time,'Attributable fraction'!AW185*(1+Economics!$B$4)^(X$3-$B$3)/((1+Economics!$B$3)^(X$3-$B$3)),"")</f>
        <v/>
      </c>
      <c r="Y241" s="355" t="str">
        <f>IF(Y$3&lt;=time,'Attributable fraction'!AX185*(1+Economics!$B$4)^(Y$3-$B$3)/((1+Economics!$B$3)^(Y$3-$B$3)),"")</f>
        <v/>
      </c>
      <c r="Z241" s="356" t="str">
        <f>IF(Z$3&lt;=time,'Attributable fraction'!AY185*(1+Economics!$B$4)^(Z$3-$B$3)/((1+Economics!$B$3)^(Z$3-$B$3)),"")</f>
        <v/>
      </c>
      <c r="AC241" s="142">
        <f t="shared" si="45"/>
        <v>0</v>
      </c>
      <c r="AE241" s="376">
        <v>7</v>
      </c>
      <c r="AF241" s="176" t="e">
        <f t="array" ref="AF241">STDEV(IF(B241:Z241&lt;&gt;0,B241:Z241))</f>
        <v>#DIV/0!</v>
      </c>
      <c r="AG241" s="176">
        <v>1.96</v>
      </c>
      <c r="AH241" s="176" t="e">
        <f t="shared" si="46"/>
        <v>#DIV/0!</v>
      </c>
      <c r="AI241" s="176">
        <f t="shared" si="38"/>
        <v>0</v>
      </c>
    </row>
    <row r="242" spans="1:35" hidden="1">
      <c r="A242" s="378" t="str">
        <f>Costs!A186</f>
        <v>Training 8</v>
      </c>
      <c r="B242" s="355">
        <f>IF(B$3&lt;=time,'Attributable fraction'!AA186*(1+Economics!$B$4)^(B$3-$B$3)/((1+Economics!$B$3)^(B$3-$B$3)),"")</f>
        <v>0</v>
      </c>
      <c r="C242" s="355">
        <f>IF(C$3&lt;=time,'Attributable fraction'!AB186*(1+Economics!$B$4)^(C$3-$B$3)/((1+Economics!$B$3)^(C$3-$B$3)),"")</f>
        <v>0</v>
      </c>
      <c r="D242" s="355">
        <f>IF(D$3&lt;=time,'Attributable fraction'!AC186*(1+Economics!$B$4)^(D$3-$B$3)/((1+Economics!$B$3)^(D$3-$B$3)),"")</f>
        <v>0</v>
      </c>
      <c r="E242" s="355">
        <f>IF(E$3&lt;=time,'Attributable fraction'!AD186*(1+Economics!$B$4)^(E$3-$B$3)/((1+Economics!$B$3)^(E$3-$B$3)),"")</f>
        <v>0</v>
      </c>
      <c r="F242" s="355">
        <f>IF(F$3&lt;=time,'Attributable fraction'!AE186*(1+Economics!$B$4)^(F$3-$B$3)/((1+Economics!$B$3)^(F$3-$B$3)),"")</f>
        <v>0</v>
      </c>
      <c r="G242" s="355" t="str">
        <f>IF(G$3&lt;=time,'Attributable fraction'!AF186*(1+Economics!$B$4)^(G$3-$B$3)/((1+Economics!$B$3)^(G$3-$B$3)),"")</f>
        <v/>
      </c>
      <c r="H242" s="355" t="str">
        <f>IF(H$3&lt;=time,'Attributable fraction'!AG186*(1+Economics!$B$4)^(H$3-$B$3)/((1+Economics!$B$3)^(H$3-$B$3)),"")</f>
        <v/>
      </c>
      <c r="I242" s="355" t="str">
        <f>IF(I$3&lt;=time,'Attributable fraction'!AH186*(1+Economics!$B$4)^(I$3-$B$3)/((1+Economics!$B$3)^(I$3-$B$3)),"")</f>
        <v/>
      </c>
      <c r="J242" s="355" t="str">
        <f>IF(J$3&lt;=time,'Attributable fraction'!AI186*(1+Economics!$B$4)^(J$3-$B$3)/((1+Economics!$B$3)^(J$3-$B$3)),"")</f>
        <v/>
      </c>
      <c r="K242" s="355" t="str">
        <f>IF(K$3&lt;=time,'Attributable fraction'!AJ186*(1+Economics!$B$4)^(K$3-$B$3)/((1+Economics!$B$3)^(K$3-$B$3)),"")</f>
        <v/>
      </c>
      <c r="L242" s="355" t="str">
        <f>IF(L$3&lt;=time,'Attributable fraction'!AK186*(1+Economics!$B$4)^(L$3-$B$3)/((1+Economics!$B$3)^(L$3-$B$3)),"")</f>
        <v/>
      </c>
      <c r="M242" s="355" t="str">
        <f>IF(M$3&lt;=time,'Attributable fraction'!AL186*(1+Economics!$B$4)^(M$3-$B$3)/((1+Economics!$B$3)^(M$3-$B$3)),"")</f>
        <v/>
      </c>
      <c r="N242" s="355" t="str">
        <f>IF(N$3&lt;=time,'Attributable fraction'!AM186*(1+Economics!$B$4)^(N$3-$B$3)/((1+Economics!$B$3)^(N$3-$B$3)),"")</f>
        <v/>
      </c>
      <c r="O242" s="355" t="str">
        <f>IF(O$3&lt;=time,'Attributable fraction'!AN186*(1+Economics!$B$4)^(O$3-$B$3)/((1+Economics!$B$3)^(O$3-$B$3)),"")</f>
        <v/>
      </c>
      <c r="P242" s="355" t="str">
        <f>IF(P$3&lt;=time,'Attributable fraction'!AO186*(1+Economics!$B$4)^(P$3-$B$3)/((1+Economics!$B$3)^(P$3-$B$3)),"")</f>
        <v/>
      </c>
      <c r="Q242" s="355" t="str">
        <f>IF(Q$3&lt;=time,'Attributable fraction'!AP186*(1+Economics!$B$4)^(Q$3-$B$3)/((1+Economics!$B$3)^(Q$3-$B$3)),"")</f>
        <v/>
      </c>
      <c r="R242" s="355" t="str">
        <f>IF(R$3&lt;=time,'Attributable fraction'!AQ186*(1+Economics!$B$4)^(R$3-$B$3)/((1+Economics!$B$3)^(R$3-$B$3)),"")</f>
        <v/>
      </c>
      <c r="S242" s="355" t="str">
        <f>IF(S$3&lt;=time,'Attributable fraction'!AR186*(1+Economics!$B$4)^(S$3-$B$3)/((1+Economics!$B$3)^(S$3-$B$3)),"")</f>
        <v/>
      </c>
      <c r="T242" s="355" t="str">
        <f>IF(T$3&lt;=time,'Attributable fraction'!AS186*(1+Economics!$B$4)^(T$3-$B$3)/((1+Economics!$B$3)^(T$3-$B$3)),"")</f>
        <v/>
      </c>
      <c r="U242" s="355" t="str">
        <f>IF(U$3&lt;=time,'Attributable fraction'!AT186*(1+Economics!$B$4)^(U$3-$B$3)/((1+Economics!$B$3)^(U$3-$B$3)),"")</f>
        <v/>
      </c>
      <c r="V242" s="355" t="str">
        <f>IF(V$3&lt;=time,'Attributable fraction'!AU186*(1+Economics!$B$4)^(V$3-$B$3)/((1+Economics!$B$3)^(V$3-$B$3)),"")</f>
        <v/>
      </c>
      <c r="W242" s="355" t="str">
        <f>IF(W$3&lt;=time,'Attributable fraction'!AV186*(1+Economics!$B$4)^(W$3-$B$3)/((1+Economics!$B$3)^(W$3-$B$3)),"")</f>
        <v/>
      </c>
      <c r="X242" s="355" t="str">
        <f>IF(X$3&lt;=time,'Attributable fraction'!AW186*(1+Economics!$B$4)^(X$3-$B$3)/((1+Economics!$B$3)^(X$3-$B$3)),"")</f>
        <v/>
      </c>
      <c r="Y242" s="355" t="str">
        <f>IF(Y$3&lt;=time,'Attributable fraction'!AX186*(1+Economics!$B$4)^(Y$3-$B$3)/((1+Economics!$B$3)^(Y$3-$B$3)),"")</f>
        <v/>
      </c>
      <c r="Z242" s="356" t="str">
        <f>IF(Z$3&lt;=time,'Attributable fraction'!AY186*(1+Economics!$B$4)^(Z$3-$B$3)/((1+Economics!$B$3)^(Z$3-$B$3)),"")</f>
        <v/>
      </c>
      <c r="AC242" s="142">
        <f t="shared" si="45"/>
        <v>0</v>
      </c>
      <c r="AE242" s="376">
        <v>8</v>
      </c>
      <c r="AF242" s="176" t="e">
        <f t="array" ref="AF242">STDEV(IF(B242:Z242&lt;&gt;0,B242:Z242))</f>
        <v>#DIV/0!</v>
      </c>
      <c r="AG242" s="176">
        <v>1.96</v>
      </c>
      <c r="AH242" s="176" t="e">
        <f t="shared" si="46"/>
        <v>#DIV/0!</v>
      </c>
      <c r="AI242" s="176">
        <f t="shared" si="38"/>
        <v>0</v>
      </c>
    </row>
    <row r="243" spans="1:35" hidden="1">
      <c r="A243" s="378" t="str">
        <f>Costs!A187</f>
        <v>Training 9</v>
      </c>
      <c r="B243" s="355">
        <f>IF(B$3&lt;=time,'Attributable fraction'!AA187*(1+Economics!$B$4)^(B$3-$B$3)/((1+Economics!$B$3)^(B$3-$B$3)),"")</f>
        <v>0</v>
      </c>
      <c r="C243" s="355">
        <f>IF(C$3&lt;=time,'Attributable fraction'!AB187*(1+Economics!$B$4)^(C$3-$B$3)/((1+Economics!$B$3)^(C$3-$B$3)),"")</f>
        <v>0</v>
      </c>
      <c r="D243" s="355">
        <f>IF(D$3&lt;=time,'Attributable fraction'!AC187*(1+Economics!$B$4)^(D$3-$B$3)/((1+Economics!$B$3)^(D$3-$B$3)),"")</f>
        <v>0</v>
      </c>
      <c r="E243" s="355">
        <f>IF(E$3&lt;=time,'Attributable fraction'!AD187*(1+Economics!$B$4)^(E$3-$B$3)/((1+Economics!$B$3)^(E$3-$B$3)),"")</f>
        <v>0</v>
      </c>
      <c r="F243" s="355">
        <f>IF(F$3&lt;=time,'Attributable fraction'!AE187*(1+Economics!$B$4)^(F$3-$B$3)/((1+Economics!$B$3)^(F$3-$B$3)),"")</f>
        <v>0</v>
      </c>
      <c r="G243" s="355" t="str">
        <f>IF(G$3&lt;=time,'Attributable fraction'!AF187*(1+Economics!$B$4)^(G$3-$B$3)/((1+Economics!$B$3)^(G$3-$B$3)),"")</f>
        <v/>
      </c>
      <c r="H243" s="355" t="str">
        <f>IF(H$3&lt;=time,'Attributable fraction'!AG187*(1+Economics!$B$4)^(H$3-$B$3)/((1+Economics!$B$3)^(H$3-$B$3)),"")</f>
        <v/>
      </c>
      <c r="I243" s="355" t="str">
        <f>IF(I$3&lt;=time,'Attributable fraction'!AH187*(1+Economics!$B$4)^(I$3-$B$3)/((1+Economics!$B$3)^(I$3-$B$3)),"")</f>
        <v/>
      </c>
      <c r="J243" s="355" t="str">
        <f>IF(J$3&lt;=time,'Attributable fraction'!AI187*(1+Economics!$B$4)^(J$3-$B$3)/((1+Economics!$B$3)^(J$3-$B$3)),"")</f>
        <v/>
      </c>
      <c r="K243" s="355" t="str">
        <f>IF(K$3&lt;=time,'Attributable fraction'!AJ187*(1+Economics!$B$4)^(K$3-$B$3)/((1+Economics!$B$3)^(K$3-$B$3)),"")</f>
        <v/>
      </c>
      <c r="L243" s="355" t="str">
        <f>IF(L$3&lt;=time,'Attributable fraction'!AK187*(1+Economics!$B$4)^(L$3-$B$3)/((1+Economics!$B$3)^(L$3-$B$3)),"")</f>
        <v/>
      </c>
      <c r="M243" s="355" t="str">
        <f>IF(M$3&lt;=time,'Attributable fraction'!AL187*(1+Economics!$B$4)^(M$3-$B$3)/((1+Economics!$B$3)^(M$3-$B$3)),"")</f>
        <v/>
      </c>
      <c r="N243" s="355" t="str">
        <f>IF(N$3&lt;=time,'Attributable fraction'!AM187*(1+Economics!$B$4)^(N$3-$B$3)/((1+Economics!$B$3)^(N$3-$B$3)),"")</f>
        <v/>
      </c>
      <c r="O243" s="355" t="str">
        <f>IF(O$3&lt;=time,'Attributable fraction'!AN187*(1+Economics!$B$4)^(O$3-$B$3)/((1+Economics!$B$3)^(O$3-$B$3)),"")</f>
        <v/>
      </c>
      <c r="P243" s="355" t="str">
        <f>IF(P$3&lt;=time,'Attributable fraction'!AO187*(1+Economics!$B$4)^(P$3-$B$3)/((1+Economics!$B$3)^(P$3-$B$3)),"")</f>
        <v/>
      </c>
      <c r="Q243" s="355" t="str">
        <f>IF(Q$3&lt;=time,'Attributable fraction'!AP187*(1+Economics!$B$4)^(Q$3-$B$3)/((1+Economics!$B$3)^(Q$3-$B$3)),"")</f>
        <v/>
      </c>
      <c r="R243" s="355" t="str">
        <f>IF(R$3&lt;=time,'Attributable fraction'!AQ187*(1+Economics!$B$4)^(R$3-$B$3)/((1+Economics!$B$3)^(R$3-$B$3)),"")</f>
        <v/>
      </c>
      <c r="S243" s="355" t="str">
        <f>IF(S$3&lt;=time,'Attributable fraction'!AR187*(1+Economics!$B$4)^(S$3-$B$3)/((1+Economics!$B$3)^(S$3-$B$3)),"")</f>
        <v/>
      </c>
      <c r="T243" s="355" t="str">
        <f>IF(T$3&lt;=time,'Attributable fraction'!AS187*(1+Economics!$B$4)^(T$3-$B$3)/((1+Economics!$B$3)^(T$3-$B$3)),"")</f>
        <v/>
      </c>
      <c r="U243" s="355" t="str">
        <f>IF(U$3&lt;=time,'Attributable fraction'!AT187*(1+Economics!$B$4)^(U$3-$B$3)/((1+Economics!$B$3)^(U$3-$B$3)),"")</f>
        <v/>
      </c>
      <c r="V243" s="355" t="str">
        <f>IF(V$3&lt;=time,'Attributable fraction'!AU187*(1+Economics!$B$4)^(V$3-$B$3)/((1+Economics!$B$3)^(V$3-$B$3)),"")</f>
        <v/>
      </c>
      <c r="W243" s="355" t="str">
        <f>IF(W$3&lt;=time,'Attributable fraction'!AV187*(1+Economics!$B$4)^(W$3-$B$3)/((1+Economics!$B$3)^(W$3-$B$3)),"")</f>
        <v/>
      </c>
      <c r="X243" s="355" t="str">
        <f>IF(X$3&lt;=time,'Attributable fraction'!AW187*(1+Economics!$B$4)^(X$3-$B$3)/((1+Economics!$B$3)^(X$3-$B$3)),"")</f>
        <v/>
      </c>
      <c r="Y243" s="355" t="str">
        <f>IF(Y$3&lt;=time,'Attributable fraction'!AX187*(1+Economics!$B$4)^(Y$3-$B$3)/((1+Economics!$B$3)^(Y$3-$B$3)),"")</f>
        <v/>
      </c>
      <c r="Z243" s="356" t="str">
        <f>IF(Z$3&lt;=time,'Attributable fraction'!AY187*(1+Economics!$B$4)^(Z$3-$B$3)/((1+Economics!$B$3)^(Z$3-$B$3)),"")</f>
        <v/>
      </c>
      <c r="AC243" s="142">
        <f t="shared" si="45"/>
        <v>0</v>
      </c>
      <c r="AE243" s="376">
        <v>9</v>
      </c>
      <c r="AF243" s="176" t="e">
        <f t="array" ref="AF243">STDEV(IF(B243:Z243&lt;&gt;0,B243:Z243))</f>
        <v>#DIV/0!</v>
      </c>
      <c r="AG243" s="176">
        <v>1.96</v>
      </c>
      <c r="AH243" s="176" t="e">
        <f t="shared" si="46"/>
        <v>#DIV/0!</v>
      </c>
      <c r="AI243" s="176">
        <f t="shared" si="38"/>
        <v>0</v>
      </c>
    </row>
    <row r="244" spans="1:35" hidden="1">
      <c r="A244" s="378" t="str">
        <f>Costs!A188</f>
        <v>Training 10</v>
      </c>
      <c r="B244" s="355">
        <f>IF(B$3&lt;=time,'Attributable fraction'!AA188*(1+Economics!$B$4)^(B$3-$B$3)/((1+Economics!$B$3)^(B$3-$B$3)),"")</f>
        <v>0</v>
      </c>
      <c r="C244" s="355">
        <f>IF(C$3&lt;=time,'Attributable fraction'!AB188*(1+Economics!$B$4)^(C$3-$B$3)/((1+Economics!$B$3)^(C$3-$B$3)),"")</f>
        <v>0</v>
      </c>
      <c r="D244" s="355">
        <f>IF(D$3&lt;=time,'Attributable fraction'!AC188*(1+Economics!$B$4)^(D$3-$B$3)/((1+Economics!$B$3)^(D$3-$B$3)),"")</f>
        <v>0</v>
      </c>
      <c r="E244" s="355">
        <f>IF(E$3&lt;=time,'Attributable fraction'!AD188*(1+Economics!$B$4)^(E$3-$B$3)/((1+Economics!$B$3)^(E$3-$B$3)),"")</f>
        <v>0</v>
      </c>
      <c r="F244" s="355">
        <f>IF(F$3&lt;=time,'Attributable fraction'!AE188*(1+Economics!$B$4)^(F$3-$B$3)/((1+Economics!$B$3)^(F$3-$B$3)),"")</f>
        <v>0</v>
      </c>
      <c r="G244" s="355" t="str">
        <f>IF(G$3&lt;=time,'Attributable fraction'!AF188*(1+Economics!$B$4)^(G$3-$B$3)/((1+Economics!$B$3)^(G$3-$B$3)),"")</f>
        <v/>
      </c>
      <c r="H244" s="355" t="str">
        <f>IF(H$3&lt;=time,'Attributable fraction'!AG188*(1+Economics!$B$4)^(H$3-$B$3)/((1+Economics!$B$3)^(H$3-$B$3)),"")</f>
        <v/>
      </c>
      <c r="I244" s="355" t="str">
        <f>IF(I$3&lt;=time,'Attributable fraction'!AH188*(1+Economics!$B$4)^(I$3-$B$3)/((1+Economics!$B$3)^(I$3-$B$3)),"")</f>
        <v/>
      </c>
      <c r="J244" s="355" t="str">
        <f>IF(J$3&lt;=time,'Attributable fraction'!AI188*(1+Economics!$B$4)^(J$3-$B$3)/((1+Economics!$B$3)^(J$3-$B$3)),"")</f>
        <v/>
      </c>
      <c r="K244" s="355" t="str">
        <f>IF(K$3&lt;=time,'Attributable fraction'!AJ188*(1+Economics!$B$4)^(K$3-$B$3)/((1+Economics!$B$3)^(K$3-$B$3)),"")</f>
        <v/>
      </c>
      <c r="L244" s="355" t="str">
        <f>IF(L$3&lt;=time,'Attributable fraction'!AK188*(1+Economics!$B$4)^(L$3-$B$3)/((1+Economics!$B$3)^(L$3-$B$3)),"")</f>
        <v/>
      </c>
      <c r="M244" s="355" t="str">
        <f>IF(M$3&lt;=time,'Attributable fraction'!AL188*(1+Economics!$B$4)^(M$3-$B$3)/((1+Economics!$B$3)^(M$3-$B$3)),"")</f>
        <v/>
      </c>
      <c r="N244" s="355" t="str">
        <f>IF(N$3&lt;=time,'Attributable fraction'!AM188*(1+Economics!$B$4)^(N$3-$B$3)/((1+Economics!$B$3)^(N$3-$B$3)),"")</f>
        <v/>
      </c>
      <c r="O244" s="355" t="str">
        <f>IF(O$3&lt;=time,'Attributable fraction'!AN188*(1+Economics!$B$4)^(O$3-$B$3)/((1+Economics!$B$3)^(O$3-$B$3)),"")</f>
        <v/>
      </c>
      <c r="P244" s="355" t="str">
        <f>IF(P$3&lt;=time,'Attributable fraction'!AO188*(1+Economics!$B$4)^(P$3-$B$3)/((1+Economics!$B$3)^(P$3-$B$3)),"")</f>
        <v/>
      </c>
      <c r="Q244" s="355" t="str">
        <f>IF(Q$3&lt;=time,'Attributable fraction'!AP188*(1+Economics!$B$4)^(Q$3-$B$3)/((1+Economics!$B$3)^(Q$3-$B$3)),"")</f>
        <v/>
      </c>
      <c r="R244" s="355" t="str">
        <f>IF(R$3&lt;=time,'Attributable fraction'!AQ188*(1+Economics!$B$4)^(R$3-$B$3)/((1+Economics!$B$3)^(R$3-$B$3)),"")</f>
        <v/>
      </c>
      <c r="S244" s="355" t="str">
        <f>IF(S$3&lt;=time,'Attributable fraction'!AR188*(1+Economics!$B$4)^(S$3-$B$3)/((1+Economics!$B$3)^(S$3-$B$3)),"")</f>
        <v/>
      </c>
      <c r="T244" s="355" t="str">
        <f>IF(T$3&lt;=time,'Attributable fraction'!AS188*(1+Economics!$B$4)^(T$3-$B$3)/((1+Economics!$B$3)^(T$3-$B$3)),"")</f>
        <v/>
      </c>
      <c r="U244" s="355" t="str">
        <f>IF(U$3&lt;=time,'Attributable fraction'!AT188*(1+Economics!$B$4)^(U$3-$B$3)/((1+Economics!$B$3)^(U$3-$B$3)),"")</f>
        <v/>
      </c>
      <c r="V244" s="355" t="str">
        <f>IF(V$3&lt;=time,'Attributable fraction'!AU188*(1+Economics!$B$4)^(V$3-$B$3)/((1+Economics!$B$3)^(V$3-$B$3)),"")</f>
        <v/>
      </c>
      <c r="W244" s="355" t="str">
        <f>IF(W$3&lt;=time,'Attributable fraction'!AV188*(1+Economics!$B$4)^(W$3-$B$3)/((1+Economics!$B$3)^(W$3-$B$3)),"")</f>
        <v/>
      </c>
      <c r="X244" s="355" t="str">
        <f>IF(X$3&lt;=time,'Attributable fraction'!AW188*(1+Economics!$B$4)^(X$3-$B$3)/((1+Economics!$B$3)^(X$3-$B$3)),"")</f>
        <v/>
      </c>
      <c r="Y244" s="355" t="str">
        <f>IF(Y$3&lt;=time,'Attributable fraction'!AX188*(1+Economics!$B$4)^(Y$3-$B$3)/((1+Economics!$B$3)^(Y$3-$B$3)),"")</f>
        <v/>
      </c>
      <c r="Z244" s="356" t="str">
        <f>IF(Z$3&lt;=time,'Attributable fraction'!AY188*(1+Economics!$B$4)^(Z$3-$B$3)/((1+Economics!$B$3)^(Z$3-$B$3)),"")</f>
        <v/>
      </c>
      <c r="AC244" s="142">
        <f t="shared" si="45"/>
        <v>0</v>
      </c>
      <c r="AE244" s="376">
        <v>10</v>
      </c>
      <c r="AF244" s="176" t="e">
        <f t="array" ref="AF244">STDEV(IF(B244:Z244&lt;&gt;0,B244:Z244))</f>
        <v>#DIV/0!</v>
      </c>
      <c r="AG244" s="176">
        <v>1.96</v>
      </c>
      <c r="AH244" s="176" t="e">
        <f t="shared" si="46"/>
        <v>#DIV/0!</v>
      </c>
      <c r="AI244" s="176">
        <f t="shared" si="38"/>
        <v>0</v>
      </c>
    </row>
    <row r="245" spans="1:35" s="196" customFormat="1" ht="18" hidden="1">
      <c r="A245" s="290" t="s">
        <v>10</v>
      </c>
      <c r="B245" s="255"/>
      <c r="C245" s="255"/>
      <c r="D245" s="255"/>
      <c r="E245" s="255"/>
      <c r="F245" s="255"/>
      <c r="G245" s="255"/>
      <c r="H245" s="255"/>
      <c r="I245" s="255"/>
      <c r="J245" s="255"/>
      <c r="K245" s="255"/>
      <c r="L245" s="255"/>
      <c r="M245" s="255"/>
      <c r="N245" s="255"/>
      <c r="O245" s="255"/>
      <c r="P245" s="255"/>
      <c r="Q245" s="255"/>
      <c r="R245" s="255"/>
      <c r="S245" s="255"/>
      <c r="T245" s="255"/>
      <c r="U245" s="255"/>
      <c r="V245" s="255"/>
      <c r="W245" s="255"/>
      <c r="X245" s="255"/>
      <c r="Y245" s="255"/>
      <c r="Z245" s="377"/>
      <c r="AB245" s="114"/>
      <c r="AD245" s="114"/>
    </row>
    <row r="246" spans="1:35" hidden="1">
      <c r="A246" s="378" t="str">
        <f>Costs!A190</f>
        <v>Other Costs 1</v>
      </c>
      <c r="B246" s="355">
        <f>IF(B$3&lt;=time,'Attributable fraction'!AA190*(1+Economics!$B$4)^(B$3-$B$3)/((1+Economics!$B$3)^(B$3-$B$3)),"")</f>
        <v>0</v>
      </c>
      <c r="C246" s="355">
        <f>IF(C$3&lt;=time,'Attributable fraction'!AB190*(1+Economics!$B$4)^(C$3-$B$3)/((1+Economics!$B$3)^(C$3-$B$3)),"")</f>
        <v>0</v>
      </c>
      <c r="D246" s="355">
        <f>IF(D$3&lt;=time,'Attributable fraction'!AC190*(1+Economics!$B$4)^(D$3-$B$3)/((1+Economics!$B$3)^(D$3-$B$3)),"")</f>
        <v>0</v>
      </c>
      <c r="E246" s="355">
        <f>IF(E$3&lt;=time,'Attributable fraction'!AD190*(1+Economics!$B$4)^(E$3-$B$3)/((1+Economics!$B$3)^(E$3-$B$3)),"")</f>
        <v>0</v>
      </c>
      <c r="F246" s="355">
        <f>IF(F$3&lt;=time,'Attributable fraction'!AE190*(1+Economics!$B$4)^(F$3-$B$3)/((1+Economics!$B$3)^(F$3-$B$3)),"")</f>
        <v>0</v>
      </c>
      <c r="G246" s="355" t="str">
        <f>IF(G$3&lt;=time,'Attributable fraction'!AF190*(1+Economics!$B$4)^(G$3-$B$3)/((1+Economics!$B$3)^(G$3-$B$3)),"")</f>
        <v/>
      </c>
      <c r="H246" s="355" t="str">
        <f>IF(H$3&lt;=time,'Attributable fraction'!AG190*(1+Economics!$B$4)^(H$3-$B$3)/((1+Economics!$B$3)^(H$3-$B$3)),"")</f>
        <v/>
      </c>
      <c r="I246" s="355" t="str">
        <f>IF(I$3&lt;=time,'Attributable fraction'!AH190*(1+Economics!$B$4)^(I$3-$B$3)/((1+Economics!$B$3)^(I$3-$B$3)),"")</f>
        <v/>
      </c>
      <c r="J246" s="355" t="str">
        <f>IF(J$3&lt;=time,'Attributable fraction'!AI190*(1+Economics!$B$4)^(J$3-$B$3)/((1+Economics!$B$3)^(J$3-$B$3)),"")</f>
        <v/>
      </c>
      <c r="K246" s="355" t="str">
        <f>IF(K$3&lt;=time,'Attributable fraction'!AJ190*(1+Economics!$B$4)^(K$3-$B$3)/((1+Economics!$B$3)^(K$3-$B$3)),"")</f>
        <v/>
      </c>
      <c r="L246" s="355" t="str">
        <f>IF(L$3&lt;=time,'Attributable fraction'!AK190*(1+Economics!$B$4)^(L$3-$B$3)/((1+Economics!$B$3)^(L$3-$B$3)),"")</f>
        <v/>
      </c>
      <c r="M246" s="355" t="str">
        <f>IF(M$3&lt;=time,'Attributable fraction'!AL190*(1+Economics!$B$4)^(M$3-$B$3)/((1+Economics!$B$3)^(M$3-$B$3)),"")</f>
        <v/>
      </c>
      <c r="N246" s="355" t="str">
        <f>IF(N$3&lt;=time,'Attributable fraction'!AM190*(1+Economics!$B$4)^(N$3-$B$3)/((1+Economics!$B$3)^(N$3-$B$3)),"")</f>
        <v/>
      </c>
      <c r="O246" s="355" t="str">
        <f>IF(O$3&lt;=time,'Attributable fraction'!AN190*(1+Economics!$B$4)^(O$3-$B$3)/((1+Economics!$B$3)^(O$3-$B$3)),"")</f>
        <v/>
      </c>
      <c r="P246" s="355" t="str">
        <f>IF(P$3&lt;=time,'Attributable fraction'!AO190*(1+Economics!$B$4)^(P$3-$B$3)/((1+Economics!$B$3)^(P$3-$B$3)),"")</f>
        <v/>
      </c>
      <c r="Q246" s="355" t="str">
        <f>IF(Q$3&lt;=time,'Attributable fraction'!AP190*(1+Economics!$B$4)^(Q$3-$B$3)/((1+Economics!$B$3)^(Q$3-$B$3)),"")</f>
        <v/>
      </c>
      <c r="R246" s="355" t="str">
        <f>IF(R$3&lt;=time,'Attributable fraction'!AQ190*(1+Economics!$B$4)^(R$3-$B$3)/((1+Economics!$B$3)^(R$3-$B$3)),"")</f>
        <v/>
      </c>
      <c r="S246" s="355" t="str">
        <f>IF(S$3&lt;=time,'Attributable fraction'!AR190*(1+Economics!$B$4)^(S$3-$B$3)/((1+Economics!$B$3)^(S$3-$B$3)),"")</f>
        <v/>
      </c>
      <c r="T246" s="355" t="str">
        <f>IF(T$3&lt;=time,'Attributable fraction'!AS190*(1+Economics!$B$4)^(T$3-$B$3)/((1+Economics!$B$3)^(T$3-$B$3)),"")</f>
        <v/>
      </c>
      <c r="U246" s="355" t="str">
        <f>IF(U$3&lt;=time,'Attributable fraction'!AT190*(1+Economics!$B$4)^(U$3-$B$3)/((1+Economics!$B$3)^(U$3-$B$3)),"")</f>
        <v/>
      </c>
      <c r="V246" s="355" t="str">
        <f>IF(V$3&lt;=time,'Attributable fraction'!AU190*(1+Economics!$B$4)^(V$3-$B$3)/((1+Economics!$B$3)^(V$3-$B$3)),"")</f>
        <v/>
      </c>
      <c r="W246" s="355" t="str">
        <f>IF(W$3&lt;=time,'Attributable fraction'!AV190*(1+Economics!$B$4)^(W$3-$B$3)/((1+Economics!$B$3)^(W$3-$B$3)),"")</f>
        <v/>
      </c>
      <c r="X246" s="355" t="str">
        <f>IF(X$3&lt;=time,'Attributable fraction'!AW190*(1+Economics!$B$4)^(X$3-$B$3)/((1+Economics!$B$3)^(X$3-$B$3)),"")</f>
        <v/>
      </c>
      <c r="Y246" s="355" t="str">
        <f>IF(Y$3&lt;=time,'Attributable fraction'!AX190*(1+Economics!$B$4)^(Y$3-$B$3)/((1+Economics!$B$3)^(Y$3-$B$3)),"")</f>
        <v/>
      </c>
      <c r="Z246" s="356" t="str">
        <f>IF(Z$3&lt;=time,'Attributable fraction'!AY190*(1+Economics!$B$4)^(Z$3-$B$3)/((1+Economics!$B$3)^(Z$3-$B$3)),"")</f>
        <v/>
      </c>
      <c r="AC246" s="142">
        <f t="shared" ref="AC246:AC255" si="47">(SUM(IF(ISERROR(Z246),"0",Z246),IF(ISERROR(Y246),"0",Y246),IF(ISERROR(X246),"0",X246),IF(ISERROR(W246),"0",W246),IF(ISERROR(V246),"0",V246),IF(ISERROR(U246),"0",U246),IF(ISERROR(T246),"0",T246),IF(ISERROR(S246),"0",S246),IF(ISERROR(R246),"0",R246),IF(ISERROR(Q246),"0",Q246), IF(ISERROR(P246),"0",P246),IF(ISERROR(O246),"0",O246),IF(ISERROR(N246),"0",N246),IF(ISERROR(M246),"0",M246),IF(ISERROR(L246),"0",L246),IF(ISERROR(K246),"0",K246),IF(ISERROR(J246),"0",J246),IF(ISERROR(I246),"0",I246),IF(ISERROR(H246),"0",H246),IF(ISERROR(G246),"0",G246),IF(ISERROR(F246),"0",F246),IF(ISERROR(E246),"0",E246),IF(ISERROR(D246),"0",D246),IF(ISERROR(C246),"0",C246),IF(ISERROR(B246),"0",B246)))/time</f>
        <v>0</v>
      </c>
      <c r="AE246" s="375">
        <v>1</v>
      </c>
      <c r="AF246" s="176" t="e">
        <f t="array" ref="AF246">STDEV(IF(B246:Z246&lt;&gt;0,B246:Z246))</f>
        <v>#DIV/0!</v>
      </c>
      <c r="AG246" s="176">
        <v>1.96</v>
      </c>
      <c r="AH246" s="176" t="e">
        <f t="shared" ref="AH246:AH255" si="48">(AG246*AF246)/(time^0.5)</f>
        <v>#DIV/0!</v>
      </c>
      <c r="AI246" s="176">
        <f t="shared" si="38"/>
        <v>0</v>
      </c>
    </row>
    <row r="247" spans="1:35" hidden="1">
      <c r="A247" s="378" t="str">
        <f>Costs!A191</f>
        <v>Other Costs 2</v>
      </c>
      <c r="B247" s="355">
        <f>IF(B$3&lt;=time,'Attributable fraction'!AA191*(1+Economics!$B$4)^(B$3-$B$3)/((1+Economics!$B$3)^(B$3-$B$3)),"")</f>
        <v>0</v>
      </c>
      <c r="C247" s="355">
        <f>IF(C$3&lt;=time,'Attributable fraction'!AB191*(1+Economics!$B$4)^(C$3-$B$3)/((1+Economics!$B$3)^(C$3-$B$3)),"")</f>
        <v>0</v>
      </c>
      <c r="D247" s="355">
        <f>IF(D$3&lt;=time,'Attributable fraction'!AC191*(1+Economics!$B$4)^(D$3-$B$3)/((1+Economics!$B$3)^(D$3-$B$3)),"")</f>
        <v>0</v>
      </c>
      <c r="E247" s="355">
        <f>IF(E$3&lt;=time,'Attributable fraction'!AD191*(1+Economics!$B$4)^(E$3-$B$3)/((1+Economics!$B$3)^(E$3-$B$3)),"")</f>
        <v>0</v>
      </c>
      <c r="F247" s="355">
        <f>IF(F$3&lt;=time,'Attributable fraction'!AE191*(1+Economics!$B$4)^(F$3-$B$3)/((1+Economics!$B$3)^(F$3-$B$3)),"")</f>
        <v>0</v>
      </c>
      <c r="G247" s="355" t="str">
        <f>IF(G$3&lt;=time,'Attributable fraction'!AF191*(1+Economics!$B$4)^(G$3-$B$3)/((1+Economics!$B$3)^(G$3-$B$3)),"")</f>
        <v/>
      </c>
      <c r="H247" s="355" t="str">
        <f>IF(H$3&lt;=time,'Attributable fraction'!AG191*(1+Economics!$B$4)^(H$3-$B$3)/((1+Economics!$B$3)^(H$3-$B$3)),"")</f>
        <v/>
      </c>
      <c r="I247" s="355" t="str">
        <f>IF(I$3&lt;=time,'Attributable fraction'!AH191*(1+Economics!$B$4)^(I$3-$B$3)/((1+Economics!$B$3)^(I$3-$B$3)),"")</f>
        <v/>
      </c>
      <c r="J247" s="355" t="str">
        <f>IF(J$3&lt;=time,'Attributable fraction'!AI191*(1+Economics!$B$4)^(J$3-$B$3)/((1+Economics!$B$3)^(J$3-$B$3)),"")</f>
        <v/>
      </c>
      <c r="K247" s="355" t="str">
        <f>IF(K$3&lt;=time,'Attributable fraction'!AJ191*(1+Economics!$B$4)^(K$3-$B$3)/((1+Economics!$B$3)^(K$3-$B$3)),"")</f>
        <v/>
      </c>
      <c r="L247" s="355" t="str">
        <f>IF(L$3&lt;=time,'Attributable fraction'!AK191*(1+Economics!$B$4)^(L$3-$B$3)/((1+Economics!$B$3)^(L$3-$B$3)),"")</f>
        <v/>
      </c>
      <c r="M247" s="355" t="str">
        <f>IF(M$3&lt;=time,'Attributable fraction'!AL191*(1+Economics!$B$4)^(M$3-$B$3)/((1+Economics!$B$3)^(M$3-$B$3)),"")</f>
        <v/>
      </c>
      <c r="N247" s="355" t="str">
        <f>IF(N$3&lt;=time,'Attributable fraction'!AM191*(1+Economics!$B$4)^(N$3-$B$3)/((1+Economics!$B$3)^(N$3-$B$3)),"")</f>
        <v/>
      </c>
      <c r="O247" s="355" t="str">
        <f>IF(O$3&lt;=time,'Attributable fraction'!AN191*(1+Economics!$B$4)^(O$3-$B$3)/((1+Economics!$B$3)^(O$3-$B$3)),"")</f>
        <v/>
      </c>
      <c r="P247" s="355" t="str">
        <f>IF(P$3&lt;=time,'Attributable fraction'!AO191*(1+Economics!$B$4)^(P$3-$B$3)/((1+Economics!$B$3)^(P$3-$B$3)),"")</f>
        <v/>
      </c>
      <c r="Q247" s="355" t="str">
        <f>IF(Q$3&lt;=time,'Attributable fraction'!AP191*(1+Economics!$B$4)^(Q$3-$B$3)/((1+Economics!$B$3)^(Q$3-$B$3)),"")</f>
        <v/>
      </c>
      <c r="R247" s="355" t="str">
        <f>IF(R$3&lt;=time,'Attributable fraction'!AQ191*(1+Economics!$B$4)^(R$3-$B$3)/((1+Economics!$B$3)^(R$3-$B$3)),"")</f>
        <v/>
      </c>
      <c r="S247" s="355" t="str">
        <f>IF(S$3&lt;=time,'Attributable fraction'!AR191*(1+Economics!$B$4)^(S$3-$B$3)/((1+Economics!$B$3)^(S$3-$B$3)),"")</f>
        <v/>
      </c>
      <c r="T247" s="355" t="str">
        <f>IF(T$3&lt;=time,'Attributable fraction'!AS191*(1+Economics!$B$4)^(T$3-$B$3)/((1+Economics!$B$3)^(T$3-$B$3)),"")</f>
        <v/>
      </c>
      <c r="U247" s="355" t="str">
        <f>IF(U$3&lt;=time,'Attributable fraction'!AT191*(1+Economics!$B$4)^(U$3-$B$3)/((1+Economics!$B$3)^(U$3-$B$3)),"")</f>
        <v/>
      </c>
      <c r="V247" s="355" t="str">
        <f>IF(V$3&lt;=time,'Attributable fraction'!AU191*(1+Economics!$B$4)^(V$3-$B$3)/((1+Economics!$B$3)^(V$3-$B$3)),"")</f>
        <v/>
      </c>
      <c r="W247" s="355" t="str">
        <f>IF(W$3&lt;=time,'Attributable fraction'!AV191*(1+Economics!$B$4)^(W$3-$B$3)/((1+Economics!$B$3)^(W$3-$B$3)),"")</f>
        <v/>
      </c>
      <c r="X247" s="355" t="str">
        <f>IF(X$3&lt;=time,'Attributable fraction'!AW191*(1+Economics!$B$4)^(X$3-$B$3)/((1+Economics!$B$3)^(X$3-$B$3)),"")</f>
        <v/>
      </c>
      <c r="Y247" s="355" t="str">
        <f>IF(Y$3&lt;=time,'Attributable fraction'!AX191*(1+Economics!$B$4)^(Y$3-$B$3)/((1+Economics!$B$3)^(Y$3-$B$3)),"")</f>
        <v/>
      </c>
      <c r="Z247" s="356" t="str">
        <f>IF(Z$3&lt;=time,'Attributable fraction'!AY191*(1+Economics!$B$4)^(Z$3-$B$3)/((1+Economics!$B$3)^(Z$3-$B$3)),"")</f>
        <v/>
      </c>
      <c r="AC247" s="142">
        <f t="shared" si="47"/>
        <v>0</v>
      </c>
      <c r="AE247" s="376">
        <v>2</v>
      </c>
      <c r="AF247" s="176" t="e">
        <f t="array" ref="AF247">STDEV(IF(B247:Z247&lt;&gt;0,B247:Z247))</f>
        <v>#DIV/0!</v>
      </c>
      <c r="AG247" s="176">
        <v>1.96</v>
      </c>
      <c r="AH247" s="176" t="e">
        <f t="shared" si="48"/>
        <v>#DIV/0!</v>
      </c>
      <c r="AI247" s="176">
        <f t="shared" si="38"/>
        <v>0</v>
      </c>
    </row>
    <row r="248" spans="1:35" hidden="1">
      <c r="A248" s="378" t="str">
        <f>Costs!A192</f>
        <v>Other Costs 3</v>
      </c>
      <c r="B248" s="355">
        <f>IF(B$3&lt;=time,'Attributable fraction'!AA192*(1+Economics!$B$4)^(B$3-$B$3)/((1+Economics!$B$3)^(B$3-$B$3)),"")</f>
        <v>0</v>
      </c>
      <c r="C248" s="355">
        <f>IF(C$3&lt;=time,'Attributable fraction'!AB192*(1+Economics!$B$4)^(C$3-$B$3)/((1+Economics!$B$3)^(C$3-$B$3)),"")</f>
        <v>0</v>
      </c>
      <c r="D248" s="355">
        <f>IF(D$3&lt;=time,'Attributable fraction'!AC192*(1+Economics!$B$4)^(D$3-$B$3)/((1+Economics!$B$3)^(D$3-$B$3)),"")</f>
        <v>0</v>
      </c>
      <c r="E248" s="355">
        <f>IF(E$3&lt;=time,'Attributable fraction'!AD192*(1+Economics!$B$4)^(E$3-$B$3)/((1+Economics!$B$3)^(E$3-$B$3)),"")</f>
        <v>0</v>
      </c>
      <c r="F248" s="355">
        <f>IF(F$3&lt;=time,'Attributable fraction'!AE192*(1+Economics!$B$4)^(F$3-$B$3)/((1+Economics!$B$3)^(F$3-$B$3)),"")</f>
        <v>0</v>
      </c>
      <c r="G248" s="355" t="str">
        <f>IF(G$3&lt;=time,'Attributable fraction'!AF192*(1+Economics!$B$4)^(G$3-$B$3)/((1+Economics!$B$3)^(G$3-$B$3)),"")</f>
        <v/>
      </c>
      <c r="H248" s="355" t="str">
        <f>IF(H$3&lt;=time,'Attributable fraction'!AG192*(1+Economics!$B$4)^(H$3-$B$3)/((1+Economics!$B$3)^(H$3-$B$3)),"")</f>
        <v/>
      </c>
      <c r="I248" s="355" t="str">
        <f>IF(I$3&lt;=time,'Attributable fraction'!AH192*(1+Economics!$B$4)^(I$3-$B$3)/((1+Economics!$B$3)^(I$3-$B$3)),"")</f>
        <v/>
      </c>
      <c r="J248" s="355" t="str">
        <f>IF(J$3&lt;=time,'Attributable fraction'!AI192*(1+Economics!$B$4)^(J$3-$B$3)/((1+Economics!$B$3)^(J$3-$B$3)),"")</f>
        <v/>
      </c>
      <c r="K248" s="355" t="str">
        <f>IF(K$3&lt;=time,'Attributable fraction'!AJ192*(1+Economics!$B$4)^(K$3-$B$3)/((1+Economics!$B$3)^(K$3-$B$3)),"")</f>
        <v/>
      </c>
      <c r="L248" s="355" t="str">
        <f>IF(L$3&lt;=time,'Attributable fraction'!AK192*(1+Economics!$B$4)^(L$3-$B$3)/((1+Economics!$B$3)^(L$3-$B$3)),"")</f>
        <v/>
      </c>
      <c r="M248" s="355" t="str">
        <f>IF(M$3&lt;=time,'Attributable fraction'!AL192*(1+Economics!$B$4)^(M$3-$B$3)/((1+Economics!$B$3)^(M$3-$B$3)),"")</f>
        <v/>
      </c>
      <c r="N248" s="355" t="str">
        <f>IF(N$3&lt;=time,'Attributable fraction'!AM192*(1+Economics!$B$4)^(N$3-$B$3)/((1+Economics!$B$3)^(N$3-$B$3)),"")</f>
        <v/>
      </c>
      <c r="O248" s="355" t="str">
        <f>IF(O$3&lt;=time,'Attributable fraction'!AN192*(1+Economics!$B$4)^(O$3-$B$3)/((1+Economics!$B$3)^(O$3-$B$3)),"")</f>
        <v/>
      </c>
      <c r="P248" s="355" t="str">
        <f>IF(P$3&lt;=time,'Attributable fraction'!AO192*(1+Economics!$B$4)^(P$3-$B$3)/((1+Economics!$B$3)^(P$3-$B$3)),"")</f>
        <v/>
      </c>
      <c r="Q248" s="355" t="str">
        <f>IF(Q$3&lt;=time,'Attributable fraction'!AP192*(1+Economics!$B$4)^(Q$3-$B$3)/((1+Economics!$B$3)^(Q$3-$B$3)),"")</f>
        <v/>
      </c>
      <c r="R248" s="355" t="str">
        <f>IF(R$3&lt;=time,'Attributable fraction'!AQ192*(1+Economics!$B$4)^(R$3-$B$3)/((1+Economics!$B$3)^(R$3-$B$3)),"")</f>
        <v/>
      </c>
      <c r="S248" s="355" t="str">
        <f>IF(S$3&lt;=time,'Attributable fraction'!AR192*(1+Economics!$B$4)^(S$3-$B$3)/((1+Economics!$B$3)^(S$3-$B$3)),"")</f>
        <v/>
      </c>
      <c r="T248" s="355" t="str">
        <f>IF(T$3&lt;=time,'Attributable fraction'!AS192*(1+Economics!$B$4)^(T$3-$B$3)/((1+Economics!$B$3)^(T$3-$B$3)),"")</f>
        <v/>
      </c>
      <c r="U248" s="355" t="str">
        <f>IF(U$3&lt;=time,'Attributable fraction'!AT192*(1+Economics!$B$4)^(U$3-$B$3)/((1+Economics!$B$3)^(U$3-$B$3)),"")</f>
        <v/>
      </c>
      <c r="V248" s="355" t="str">
        <f>IF(V$3&lt;=time,'Attributable fraction'!AU192*(1+Economics!$B$4)^(V$3-$B$3)/((1+Economics!$B$3)^(V$3-$B$3)),"")</f>
        <v/>
      </c>
      <c r="W248" s="355" t="str">
        <f>IF(W$3&lt;=time,'Attributable fraction'!AV192*(1+Economics!$B$4)^(W$3-$B$3)/((1+Economics!$B$3)^(W$3-$B$3)),"")</f>
        <v/>
      </c>
      <c r="X248" s="355" t="str">
        <f>IF(X$3&lt;=time,'Attributable fraction'!AW192*(1+Economics!$B$4)^(X$3-$B$3)/((1+Economics!$B$3)^(X$3-$B$3)),"")</f>
        <v/>
      </c>
      <c r="Y248" s="355" t="str">
        <f>IF(Y$3&lt;=time,'Attributable fraction'!AX192*(1+Economics!$B$4)^(Y$3-$B$3)/((1+Economics!$B$3)^(Y$3-$B$3)),"")</f>
        <v/>
      </c>
      <c r="Z248" s="356" t="str">
        <f>IF(Z$3&lt;=time,'Attributable fraction'!AY192*(1+Economics!$B$4)^(Z$3-$B$3)/((1+Economics!$B$3)^(Z$3-$B$3)),"")</f>
        <v/>
      </c>
      <c r="AC248" s="142">
        <f t="shared" si="47"/>
        <v>0</v>
      </c>
      <c r="AE248" s="376">
        <v>3</v>
      </c>
      <c r="AF248" s="176" t="e">
        <f t="array" ref="AF248">STDEV(IF(B248:Z248&lt;&gt;0,B248:Z248))</f>
        <v>#DIV/0!</v>
      </c>
      <c r="AG248" s="176">
        <v>1.96</v>
      </c>
      <c r="AH248" s="176" t="e">
        <f t="shared" si="48"/>
        <v>#DIV/0!</v>
      </c>
      <c r="AI248" s="176">
        <f t="shared" si="38"/>
        <v>0</v>
      </c>
    </row>
    <row r="249" spans="1:35" hidden="1">
      <c r="A249" s="378" t="str">
        <f>Costs!A193</f>
        <v>Other Costs 4</v>
      </c>
      <c r="B249" s="355">
        <f>IF(B$3&lt;=time,'Attributable fraction'!AA193*(1+Economics!$B$4)^(B$3-$B$3)/((1+Economics!$B$3)^(B$3-$B$3)),"")</f>
        <v>0</v>
      </c>
      <c r="C249" s="355">
        <f>IF(C$3&lt;=time,'Attributable fraction'!AB193*(1+Economics!$B$4)^(C$3-$B$3)/((1+Economics!$B$3)^(C$3-$B$3)),"")</f>
        <v>0</v>
      </c>
      <c r="D249" s="355">
        <f>IF(D$3&lt;=time,'Attributable fraction'!AC193*(1+Economics!$B$4)^(D$3-$B$3)/((1+Economics!$B$3)^(D$3-$B$3)),"")</f>
        <v>0</v>
      </c>
      <c r="E249" s="355">
        <f>IF(E$3&lt;=time,'Attributable fraction'!AD193*(1+Economics!$B$4)^(E$3-$B$3)/((1+Economics!$B$3)^(E$3-$B$3)),"")</f>
        <v>0</v>
      </c>
      <c r="F249" s="355">
        <f>IF(F$3&lt;=time,'Attributable fraction'!AE193*(1+Economics!$B$4)^(F$3-$B$3)/((1+Economics!$B$3)^(F$3-$B$3)),"")</f>
        <v>0</v>
      </c>
      <c r="G249" s="355" t="str">
        <f>IF(G$3&lt;=time,'Attributable fraction'!AF193*(1+Economics!$B$4)^(G$3-$B$3)/((1+Economics!$B$3)^(G$3-$B$3)),"")</f>
        <v/>
      </c>
      <c r="H249" s="355" t="str">
        <f>IF(H$3&lt;=time,'Attributable fraction'!AG193*(1+Economics!$B$4)^(H$3-$B$3)/((1+Economics!$B$3)^(H$3-$B$3)),"")</f>
        <v/>
      </c>
      <c r="I249" s="355" t="str">
        <f>IF(I$3&lt;=time,'Attributable fraction'!AH193*(1+Economics!$B$4)^(I$3-$B$3)/((1+Economics!$B$3)^(I$3-$B$3)),"")</f>
        <v/>
      </c>
      <c r="J249" s="355" t="str">
        <f>IF(J$3&lt;=time,'Attributable fraction'!AI193*(1+Economics!$B$4)^(J$3-$B$3)/((1+Economics!$B$3)^(J$3-$B$3)),"")</f>
        <v/>
      </c>
      <c r="K249" s="355" t="str">
        <f>IF(K$3&lt;=time,'Attributable fraction'!AJ193*(1+Economics!$B$4)^(K$3-$B$3)/((1+Economics!$B$3)^(K$3-$B$3)),"")</f>
        <v/>
      </c>
      <c r="L249" s="355" t="str">
        <f>IF(L$3&lt;=time,'Attributable fraction'!AK193*(1+Economics!$B$4)^(L$3-$B$3)/((1+Economics!$B$3)^(L$3-$B$3)),"")</f>
        <v/>
      </c>
      <c r="M249" s="355" t="str">
        <f>IF(M$3&lt;=time,'Attributable fraction'!AL193*(1+Economics!$B$4)^(M$3-$B$3)/((1+Economics!$B$3)^(M$3-$B$3)),"")</f>
        <v/>
      </c>
      <c r="N249" s="355" t="str">
        <f>IF(N$3&lt;=time,'Attributable fraction'!AM193*(1+Economics!$B$4)^(N$3-$B$3)/((1+Economics!$B$3)^(N$3-$B$3)),"")</f>
        <v/>
      </c>
      <c r="O249" s="355" t="str">
        <f>IF(O$3&lt;=time,'Attributable fraction'!AN193*(1+Economics!$B$4)^(O$3-$B$3)/((1+Economics!$B$3)^(O$3-$B$3)),"")</f>
        <v/>
      </c>
      <c r="P249" s="355" t="str">
        <f>IF(P$3&lt;=time,'Attributable fraction'!AO193*(1+Economics!$B$4)^(P$3-$B$3)/((1+Economics!$B$3)^(P$3-$B$3)),"")</f>
        <v/>
      </c>
      <c r="Q249" s="355" t="str">
        <f>IF(Q$3&lt;=time,'Attributable fraction'!AP193*(1+Economics!$B$4)^(Q$3-$B$3)/((1+Economics!$B$3)^(Q$3-$B$3)),"")</f>
        <v/>
      </c>
      <c r="R249" s="355" t="str">
        <f>IF(R$3&lt;=time,'Attributable fraction'!AQ193*(1+Economics!$B$4)^(R$3-$B$3)/((1+Economics!$B$3)^(R$3-$B$3)),"")</f>
        <v/>
      </c>
      <c r="S249" s="355" t="str">
        <f>IF(S$3&lt;=time,'Attributable fraction'!AR193*(1+Economics!$B$4)^(S$3-$B$3)/((1+Economics!$B$3)^(S$3-$B$3)),"")</f>
        <v/>
      </c>
      <c r="T249" s="355" t="str">
        <f>IF(T$3&lt;=time,'Attributable fraction'!AS193*(1+Economics!$B$4)^(T$3-$B$3)/((1+Economics!$B$3)^(T$3-$B$3)),"")</f>
        <v/>
      </c>
      <c r="U249" s="355" t="str">
        <f>IF(U$3&lt;=time,'Attributable fraction'!AT193*(1+Economics!$B$4)^(U$3-$B$3)/((1+Economics!$B$3)^(U$3-$B$3)),"")</f>
        <v/>
      </c>
      <c r="V249" s="355" t="str">
        <f>IF(V$3&lt;=time,'Attributable fraction'!AU193*(1+Economics!$B$4)^(V$3-$B$3)/((1+Economics!$B$3)^(V$3-$B$3)),"")</f>
        <v/>
      </c>
      <c r="W249" s="355" t="str">
        <f>IF(W$3&lt;=time,'Attributable fraction'!AV193*(1+Economics!$B$4)^(W$3-$B$3)/((1+Economics!$B$3)^(W$3-$B$3)),"")</f>
        <v/>
      </c>
      <c r="X249" s="355" t="str">
        <f>IF(X$3&lt;=time,'Attributable fraction'!AW193*(1+Economics!$B$4)^(X$3-$B$3)/((1+Economics!$B$3)^(X$3-$B$3)),"")</f>
        <v/>
      </c>
      <c r="Y249" s="355" t="str">
        <f>IF(Y$3&lt;=time,'Attributable fraction'!AX193*(1+Economics!$B$4)^(Y$3-$B$3)/((1+Economics!$B$3)^(Y$3-$B$3)),"")</f>
        <v/>
      </c>
      <c r="Z249" s="356" t="str">
        <f>IF(Z$3&lt;=time,'Attributable fraction'!AY193*(1+Economics!$B$4)^(Z$3-$B$3)/((1+Economics!$B$3)^(Z$3-$B$3)),"")</f>
        <v/>
      </c>
      <c r="AC249" s="142">
        <f t="shared" si="47"/>
        <v>0</v>
      </c>
      <c r="AE249" s="376">
        <v>4</v>
      </c>
      <c r="AF249" s="176" t="e">
        <f t="array" ref="AF249">STDEV(IF(B249:Z249&lt;&gt;0,B249:Z249))</f>
        <v>#DIV/0!</v>
      </c>
      <c r="AG249" s="176">
        <v>1.96</v>
      </c>
      <c r="AH249" s="176" t="e">
        <f t="shared" si="48"/>
        <v>#DIV/0!</v>
      </c>
      <c r="AI249" s="176">
        <f t="shared" si="38"/>
        <v>0</v>
      </c>
    </row>
    <row r="250" spans="1:35" hidden="1">
      <c r="A250" s="378" t="str">
        <f>Costs!A194</f>
        <v>Other Costs 5</v>
      </c>
      <c r="B250" s="355">
        <f>IF(B$3&lt;=time,'Attributable fraction'!AA194*(1+Economics!$B$4)^(B$3-$B$3)/((1+Economics!$B$3)^(B$3-$B$3)),"")</f>
        <v>0</v>
      </c>
      <c r="C250" s="355">
        <f>IF(C$3&lt;=time,'Attributable fraction'!AB194*(1+Economics!$B$4)^(C$3-$B$3)/((1+Economics!$B$3)^(C$3-$B$3)),"")</f>
        <v>0</v>
      </c>
      <c r="D250" s="355">
        <f>IF(D$3&lt;=time,'Attributable fraction'!AC194*(1+Economics!$B$4)^(D$3-$B$3)/((1+Economics!$B$3)^(D$3-$B$3)),"")</f>
        <v>0</v>
      </c>
      <c r="E250" s="355">
        <f>IF(E$3&lt;=time,'Attributable fraction'!AD194*(1+Economics!$B$4)^(E$3-$B$3)/((1+Economics!$B$3)^(E$3-$B$3)),"")</f>
        <v>0</v>
      </c>
      <c r="F250" s="355">
        <f>IF(F$3&lt;=time,'Attributable fraction'!AE194*(1+Economics!$B$4)^(F$3-$B$3)/((1+Economics!$B$3)^(F$3-$B$3)),"")</f>
        <v>0</v>
      </c>
      <c r="G250" s="355" t="str">
        <f>IF(G$3&lt;=time,'Attributable fraction'!AF194*(1+Economics!$B$4)^(G$3-$B$3)/((1+Economics!$B$3)^(G$3-$B$3)),"")</f>
        <v/>
      </c>
      <c r="H250" s="355" t="str">
        <f>IF(H$3&lt;=time,'Attributable fraction'!AG194*(1+Economics!$B$4)^(H$3-$B$3)/((1+Economics!$B$3)^(H$3-$B$3)),"")</f>
        <v/>
      </c>
      <c r="I250" s="355" t="str">
        <f>IF(I$3&lt;=time,'Attributable fraction'!AH194*(1+Economics!$B$4)^(I$3-$B$3)/((1+Economics!$B$3)^(I$3-$B$3)),"")</f>
        <v/>
      </c>
      <c r="J250" s="355" t="str">
        <f>IF(J$3&lt;=time,'Attributable fraction'!AI194*(1+Economics!$B$4)^(J$3-$B$3)/((1+Economics!$B$3)^(J$3-$B$3)),"")</f>
        <v/>
      </c>
      <c r="K250" s="355" t="str">
        <f>IF(K$3&lt;=time,'Attributable fraction'!AJ194*(1+Economics!$B$4)^(K$3-$B$3)/((1+Economics!$B$3)^(K$3-$B$3)),"")</f>
        <v/>
      </c>
      <c r="L250" s="355" t="str">
        <f>IF(L$3&lt;=time,'Attributable fraction'!AK194*(1+Economics!$B$4)^(L$3-$B$3)/((1+Economics!$B$3)^(L$3-$B$3)),"")</f>
        <v/>
      </c>
      <c r="M250" s="355" t="str">
        <f>IF(M$3&lt;=time,'Attributable fraction'!AL194*(1+Economics!$B$4)^(M$3-$B$3)/((1+Economics!$B$3)^(M$3-$B$3)),"")</f>
        <v/>
      </c>
      <c r="N250" s="355" t="str">
        <f>IF(N$3&lt;=time,'Attributable fraction'!AM194*(1+Economics!$B$4)^(N$3-$B$3)/((1+Economics!$B$3)^(N$3-$B$3)),"")</f>
        <v/>
      </c>
      <c r="O250" s="355" t="str">
        <f>IF(O$3&lt;=time,'Attributable fraction'!AN194*(1+Economics!$B$4)^(O$3-$B$3)/((1+Economics!$B$3)^(O$3-$B$3)),"")</f>
        <v/>
      </c>
      <c r="P250" s="355" t="str">
        <f>IF(P$3&lt;=time,'Attributable fraction'!AO194*(1+Economics!$B$4)^(P$3-$B$3)/((1+Economics!$B$3)^(P$3-$B$3)),"")</f>
        <v/>
      </c>
      <c r="Q250" s="355" t="str">
        <f>IF(Q$3&lt;=time,'Attributable fraction'!AP194*(1+Economics!$B$4)^(Q$3-$B$3)/((1+Economics!$B$3)^(Q$3-$B$3)),"")</f>
        <v/>
      </c>
      <c r="R250" s="355" t="str">
        <f>IF(R$3&lt;=time,'Attributable fraction'!AQ194*(1+Economics!$B$4)^(R$3-$B$3)/((1+Economics!$B$3)^(R$3-$B$3)),"")</f>
        <v/>
      </c>
      <c r="S250" s="355" t="str">
        <f>IF(S$3&lt;=time,'Attributable fraction'!AR194*(1+Economics!$B$4)^(S$3-$B$3)/((1+Economics!$B$3)^(S$3-$B$3)),"")</f>
        <v/>
      </c>
      <c r="T250" s="355" t="str">
        <f>IF(T$3&lt;=time,'Attributable fraction'!AS194*(1+Economics!$B$4)^(T$3-$B$3)/((1+Economics!$B$3)^(T$3-$B$3)),"")</f>
        <v/>
      </c>
      <c r="U250" s="355" t="str">
        <f>IF(U$3&lt;=time,'Attributable fraction'!AT194*(1+Economics!$B$4)^(U$3-$B$3)/((1+Economics!$B$3)^(U$3-$B$3)),"")</f>
        <v/>
      </c>
      <c r="V250" s="355" t="str">
        <f>IF(V$3&lt;=time,'Attributable fraction'!AU194*(1+Economics!$B$4)^(V$3-$B$3)/((1+Economics!$B$3)^(V$3-$B$3)),"")</f>
        <v/>
      </c>
      <c r="W250" s="355" t="str">
        <f>IF(W$3&lt;=time,'Attributable fraction'!AV194*(1+Economics!$B$4)^(W$3-$B$3)/((1+Economics!$B$3)^(W$3-$B$3)),"")</f>
        <v/>
      </c>
      <c r="X250" s="355" t="str">
        <f>IF(X$3&lt;=time,'Attributable fraction'!AW194*(1+Economics!$B$4)^(X$3-$B$3)/((1+Economics!$B$3)^(X$3-$B$3)),"")</f>
        <v/>
      </c>
      <c r="Y250" s="355" t="str">
        <f>IF(Y$3&lt;=time,'Attributable fraction'!AX194*(1+Economics!$B$4)^(Y$3-$B$3)/((1+Economics!$B$3)^(Y$3-$B$3)),"")</f>
        <v/>
      </c>
      <c r="Z250" s="356" t="str">
        <f>IF(Z$3&lt;=time,'Attributable fraction'!AY194*(1+Economics!$B$4)^(Z$3-$B$3)/((1+Economics!$B$3)^(Z$3-$B$3)),"")</f>
        <v/>
      </c>
      <c r="AC250" s="142">
        <f t="shared" si="47"/>
        <v>0</v>
      </c>
      <c r="AE250" s="376">
        <v>5</v>
      </c>
      <c r="AF250" s="176" t="e">
        <f t="array" ref="AF250">STDEV(IF(B250:Z250&lt;&gt;0,B250:Z250))</f>
        <v>#DIV/0!</v>
      </c>
      <c r="AG250" s="176">
        <v>1.96</v>
      </c>
      <c r="AH250" s="176" t="e">
        <f t="shared" si="48"/>
        <v>#DIV/0!</v>
      </c>
      <c r="AI250" s="176">
        <f t="shared" si="38"/>
        <v>0</v>
      </c>
    </row>
    <row r="251" spans="1:35" hidden="1">
      <c r="A251" s="378" t="str">
        <f>Costs!A195</f>
        <v>Other Costs 6</v>
      </c>
      <c r="B251" s="355">
        <f>IF(B$3&lt;=time,'Attributable fraction'!AA195*(1+Economics!$B$4)^(B$3-$B$3)/((1+Economics!$B$3)^(B$3-$B$3)),"")</f>
        <v>0</v>
      </c>
      <c r="C251" s="355">
        <f>IF(C$3&lt;=time,'Attributable fraction'!AB195*(1+Economics!$B$4)^(C$3-$B$3)/((1+Economics!$B$3)^(C$3-$B$3)),"")</f>
        <v>0</v>
      </c>
      <c r="D251" s="355">
        <f>IF(D$3&lt;=time,'Attributable fraction'!AC195*(1+Economics!$B$4)^(D$3-$B$3)/((1+Economics!$B$3)^(D$3-$B$3)),"")</f>
        <v>0</v>
      </c>
      <c r="E251" s="355">
        <f>IF(E$3&lt;=time,'Attributable fraction'!AD195*(1+Economics!$B$4)^(E$3-$B$3)/((1+Economics!$B$3)^(E$3-$B$3)),"")</f>
        <v>0</v>
      </c>
      <c r="F251" s="355">
        <f>IF(F$3&lt;=time,'Attributable fraction'!AE195*(1+Economics!$B$4)^(F$3-$B$3)/((1+Economics!$B$3)^(F$3-$B$3)),"")</f>
        <v>0</v>
      </c>
      <c r="G251" s="355" t="str">
        <f>IF(G$3&lt;=time,'Attributable fraction'!AF195*(1+Economics!$B$4)^(G$3-$B$3)/((1+Economics!$B$3)^(G$3-$B$3)),"")</f>
        <v/>
      </c>
      <c r="H251" s="355" t="str">
        <f>IF(H$3&lt;=time,'Attributable fraction'!AG195*(1+Economics!$B$4)^(H$3-$B$3)/((1+Economics!$B$3)^(H$3-$B$3)),"")</f>
        <v/>
      </c>
      <c r="I251" s="355" t="str">
        <f>IF(I$3&lt;=time,'Attributable fraction'!AH195*(1+Economics!$B$4)^(I$3-$B$3)/((1+Economics!$B$3)^(I$3-$B$3)),"")</f>
        <v/>
      </c>
      <c r="J251" s="355" t="str">
        <f>IF(J$3&lt;=time,'Attributable fraction'!AI195*(1+Economics!$B$4)^(J$3-$B$3)/((1+Economics!$B$3)^(J$3-$B$3)),"")</f>
        <v/>
      </c>
      <c r="K251" s="355" t="str">
        <f>IF(K$3&lt;=time,'Attributable fraction'!AJ195*(1+Economics!$B$4)^(K$3-$B$3)/((1+Economics!$B$3)^(K$3-$B$3)),"")</f>
        <v/>
      </c>
      <c r="L251" s="355" t="str">
        <f>IF(L$3&lt;=time,'Attributable fraction'!AK195*(1+Economics!$B$4)^(L$3-$B$3)/((1+Economics!$B$3)^(L$3-$B$3)),"")</f>
        <v/>
      </c>
      <c r="M251" s="355" t="str">
        <f>IF(M$3&lt;=time,'Attributable fraction'!AL195*(1+Economics!$B$4)^(M$3-$B$3)/((1+Economics!$B$3)^(M$3-$B$3)),"")</f>
        <v/>
      </c>
      <c r="N251" s="355" t="str">
        <f>IF(N$3&lt;=time,'Attributable fraction'!AM195*(1+Economics!$B$4)^(N$3-$B$3)/((1+Economics!$B$3)^(N$3-$B$3)),"")</f>
        <v/>
      </c>
      <c r="O251" s="355" t="str">
        <f>IF(O$3&lt;=time,'Attributable fraction'!AN195*(1+Economics!$B$4)^(O$3-$B$3)/((1+Economics!$B$3)^(O$3-$B$3)),"")</f>
        <v/>
      </c>
      <c r="P251" s="355" t="str">
        <f>IF(P$3&lt;=time,'Attributable fraction'!AO195*(1+Economics!$B$4)^(P$3-$B$3)/((1+Economics!$B$3)^(P$3-$B$3)),"")</f>
        <v/>
      </c>
      <c r="Q251" s="355" t="str">
        <f>IF(Q$3&lt;=time,'Attributable fraction'!AP195*(1+Economics!$B$4)^(Q$3-$B$3)/((1+Economics!$B$3)^(Q$3-$B$3)),"")</f>
        <v/>
      </c>
      <c r="R251" s="355" t="str">
        <f>IF(R$3&lt;=time,'Attributable fraction'!AQ195*(1+Economics!$B$4)^(R$3-$B$3)/((1+Economics!$B$3)^(R$3-$B$3)),"")</f>
        <v/>
      </c>
      <c r="S251" s="355" t="str">
        <f>IF(S$3&lt;=time,'Attributable fraction'!AR195*(1+Economics!$B$4)^(S$3-$B$3)/((1+Economics!$B$3)^(S$3-$B$3)),"")</f>
        <v/>
      </c>
      <c r="T251" s="355" t="str">
        <f>IF(T$3&lt;=time,'Attributable fraction'!AS195*(1+Economics!$B$4)^(T$3-$B$3)/((1+Economics!$B$3)^(T$3-$B$3)),"")</f>
        <v/>
      </c>
      <c r="U251" s="355" t="str">
        <f>IF(U$3&lt;=time,'Attributable fraction'!AT195*(1+Economics!$B$4)^(U$3-$B$3)/((1+Economics!$B$3)^(U$3-$B$3)),"")</f>
        <v/>
      </c>
      <c r="V251" s="355" t="str">
        <f>IF(V$3&lt;=time,'Attributable fraction'!AU195*(1+Economics!$B$4)^(V$3-$B$3)/((1+Economics!$B$3)^(V$3-$B$3)),"")</f>
        <v/>
      </c>
      <c r="W251" s="355" t="str">
        <f>IF(W$3&lt;=time,'Attributable fraction'!AV195*(1+Economics!$B$4)^(W$3-$B$3)/((1+Economics!$B$3)^(W$3-$B$3)),"")</f>
        <v/>
      </c>
      <c r="X251" s="355" t="str">
        <f>IF(X$3&lt;=time,'Attributable fraction'!AW195*(1+Economics!$B$4)^(X$3-$B$3)/((1+Economics!$B$3)^(X$3-$B$3)),"")</f>
        <v/>
      </c>
      <c r="Y251" s="355" t="str">
        <f>IF(Y$3&lt;=time,'Attributable fraction'!AX195*(1+Economics!$B$4)^(Y$3-$B$3)/((1+Economics!$B$3)^(Y$3-$B$3)),"")</f>
        <v/>
      </c>
      <c r="Z251" s="356" t="str">
        <f>IF(Z$3&lt;=time,'Attributable fraction'!AY195*(1+Economics!$B$4)^(Z$3-$B$3)/((1+Economics!$B$3)^(Z$3-$B$3)),"")</f>
        <v/>
      </c>
      <c r="AC251" s="142">
        <f t="shared" si="47"/>
        <v>0</v>
      </c>
      <c r="AE251" s="376">
        <v>6</v>
      </c>
      <c r="AF251" s="176" t="e">
        <f t="array" ref="AF251">STDEV(IF(B251:Z251&lt;&gt;0,B251:Z251))</f>
        <v>#DIV/0!</v>
      </c>
      <c r="AG251" s="176">
        <v>1.96</v>
      </c>
      <c r="AH251" s="176" t="e">
        <f t="shared" si="48"/>
        <v>#DIV/0!</v>
      </c>
      <c r="AI251" s="176">
        <f t="shared" si="38"/>
        <v>0</v>
      </c>
    </row>
    <row r="252" spans="1:35" hidden="1">
      <c r="A252" s="378" t="str">
        <f>Costs!A196</f>
        <v>Other Costs 7</v>
      </c>
      <c r="B252" s="355">
        <f>IF(B$3&lt;=time,'Attributable fraction'!AA196*(1+Economics!$B$4)^(B$3-$B$3)/((1+Economics!$B$3)^(B$3-$B$3)),"")</f>
        <v>0</v>
      </c>
      <c r="C252" s="355">
        <f>IF(C$3&lt;=time,'Attributable fraction'!AB196*(1+Economics!$B$4)^(C$3-$B$3)/((1+Economics!$B$3)^(C$3-$B$3)),"")</f>
        <v>0</v>
      </c>
      <c r="D252" s="355">
        <f>IF(D$3&lt;=time,'Attributable fraction'!AC196*(1+Economics!$B$4)^(D$3-$B$3)/((1+Economics!$B$3)^(D$3-$B$3)),"")</f>
        <v>0</v>
      </c>
      <c r="E252" s="355">
        <f>IF(E$3&lt;=time,'Attributable fraction'!AD196*(1+Economics!$B$4)^(E$3-$B$3)/((1+Economics!$B$3)^(E$3-$B$3)),"")</f>
        <v>0</v>
      </c>
      <c r="F252" s="355">
        <f>IF(F$3&lt;=time,'Attributable fraction'!AE196*(1+Economics!$B$4)^(F$3-$B$3)/((1+Economics!$B$3)^(F$3-$B$3)),"")</f>
        <v>0</v>
      </c>
      <c r="G252" s="355" t="str">
        <f>IF(G$3&lt;=time,'Attributable fraction'!AF196*(1+Economics!$B$4)^(G$3-$B$3)/((1+Economics!$B$3)^(G$3-$B$3)),"")</f>
        <v/>
      </c>
      <c r="H252" s="355" t="str">
        <f>IF(H$3&lt;=time,'Attributable fraction'!AG196*(1+Economics!$B$4)^(H$3-$B$3)/((1+Economics!$B$3)^(H$3-$B$3)),"")</f>
        <v/>
      </c>
      <c r="I252" s="355" t="str">
        <f>IF(I$3&lt;=time,'Attributable fraction'!AH196*(1+Economics!$B$4)^(I$3-$B$3)/((1+Economics!$B$3)^(I$3-$B$3)),"")</f>
        <v/>
      </c>
      <c r="J252" s="355" t="str">
        <f>IF(J$3&lt;=time,'Attributable fraction'!AI196*(1+Economics!$B$4)^(J$3-$B$3)/((1+Economics!$B$3)^(J$3-$B$3)),"")</f>
        <v/>
      </c>
      <c r="K252" s="355" t="str">
        <f>IF(K$3&lt;=time,'Attributable fraction'!AJ196*(1+Economics!$B$4)^(K$3-$B$3)/((1+Economics!$B$3)^(K$3-$B$3)),"")</f>
        <v/>
      </c>
      <c r="L252" s="355" t="str">
        <f>IF(L$3&lt;=time,'Attributable fraction'!AK196*(1+Economics!$B$4)^(L$3-$B$3)/((1+Economics!$B$3)^(L$3-$B$3)),"")</f>
        <v/>
      </c>
      <c r="M252" s="355" t="str">
        <f>IF(M$3&lt;=time,'Attributable fraction'!AL196*(1+Economics!$B$4)^(M$3-$B$3)/((1+Economics!$B$3)^(M$3-$B$3)),"")</f>
        <v/>
      </c>
      <c r="N252" s="355" t="str">
        <f>IF(N$3&lt;=time,'Attributable fraction'!AM196*(1+Economics!$B$4)^(N$3-$B$3)/((1+Economics!$B$3)^(N$3-$B$3)),"")</f>
        <v/>
      </c>
      <c r="O252" s="355" t="str">
        <f>IF(O$3&lt;=time,'Attributable fraction'!AN196*(1+Economics!$B$4)^(O$3-$B$3)/((1+Economics!$B$3)^(O$3-$B$3)),"")</f>
        <v/>
      </c>
      <c r="P252" s="355" t="str">
        <f>IF(P$3&lt;=time,'Attributable fraction'!AO196*(1+Economics!$B$4)^(P$3-$B$3)/((1+Economics!$B$3)^(P$3-$B$3)),"")</f>
        <v/>
      </c>
      <c r="Q252" s="355" t="str">
        <f>IF(Q$3&lt;=time,'Attributable fraction'!AP196*(1+Economics!$B$4)^(Q$3-$B$3)/((1+Economics!$B$3)^(Q$3-$B$3)),"")</f>
        <v/>
      </c>
      <c r="R252" s="355" t="str">
        <f>IF(R$3&lt;=time,'Attributable fraction'!AQ196*(1+Economics!$B$4)^(R$3-$B$3)/((1+Economics!$B$3)^(R$3-$B$3)),"")</f>
        <v/>
      </c>
      <c r="S252" s="355" t="str">
        <f>IF(S$3&lt;=time,'Attributable fraction'!AR196*(1+Economics!$B$4)^(S$3-$B$3)/((1+Economics!$B$3)^(S$3-$B$3)),"")</f>
        <v/>
      </c>
      <c r="T252" s="355" t="str">
        <f>IF(T$3&lt;=time,'Attributable fraction'!AS196*(1+Economics!$B$4)^(T$3-$B$3)/((1+Economics!$B$3)^(T$3-$B$3)),"")</f>
        <v/>
      </c>
      <c r="U252" s="355" t="str">
        <f>IF(U$3&lt;=time,'Attributable fraction'!AT196*(1+Economics!$B$4)^(U$3-$B$3)/((1+Economics!$B$3)^(U$3-$B$3)),"")</f>
        <v/>
      </c>
      <c r="V252" s="355" t="str">
        <f>IF(V$3&lt;=time,'Attributable fraction'!AU196*(1+Economics!$B$4)^(V$3-$B$3)/((1+Economics!$B$3)^(V$3-$B$3)),"")</f>
        <v/>
      </c>
      <c r="W252" s="355" t="str">
        <f>IF(W$3&lt;=time,'Attributable fraction'!AV196*(1+Economics!$B$4)^(W$3-$B$3)/((1+Economics!$B$3)^(W$3-$B$3)),"")</f>
        <v/>
      </c>
      <c r="X252" s="355" t="str">
        <f>IF(X$3&lt;=time,'Attributable fraction'!AW196*(1+Economics!$B$4)^(X$3-$B$3)/((1+Economics!$B$3)^(X$3-$B$3)),"")</f>
        <v/>
      </c>
      <c r="Y252" s="355" t="str">
        <f>IF(Y$3&lt;=time,'Attributable fraction'!AX196*(1+Economics!$B$4)^(Y$3-$B$3)/((1+Economics!$B$3)^(Y$3-$B$3)),"")</f>
        <v/>
      </c>
      <c r="Z252" s="356" t="str">
        <f>IF(Z$3&lt;=time,'Attributable fraction'!AY196*(1+Economics!$B$4)^(Z$3-$B$3)/((1+Economics!$B$3)^(Z$3-$B$3)),"")</f>
        <v/>
      </c>
      <c r="AC252" s="142">
        <f t="shared" si="47"/>
        <v>0</v>
      </c>
      <c r="AE252" s="376">
        <v>7</v>
      </c>
      <c r="AF252" s="176" t="e">
        <f t="array" ref="AF252">STDEV(IF(B252:Z252&lt;&gt;0,B252:Z252))</f>
        <v>#DIV/0!</v>
      </c>
      <c r="AG252" s="176">
        <v>1.96</v>
      </c>
      <c r="AH252" s="176" t="e">
        <f t="shared" si="48"/>
        <v>#DIV/0!</v>
      </c>
      <c r="AI252" s="176">
        <f t="shared" si="38"/>
        <v>0</v>
      </c>
    </row>
    <row r="253" spans="1:35" hidden="1">
      <c r="A253" s="378" t="str">
        <f>Costs!A197</f>
        <v>Other Costs 8</v>
      </c>
      <c r="B253" s="355">
        <f>IF(B$3&lt;=time,'Attributable fraction'!AA197*(1+Economics!$B$4)^(B$3-$B$3)/((1+Economics!$B$3)^(B$3-$B$3)),"")</f>
        <v>0</v>
      </c>
      <c r="C253" s="355">
        <f>IF(C$3&lt;=time,'Attributable fraction'!AB197*(1+Economics!$B$4)^(C$3-$B$3)/((1+Economics!$B$3)^(C$3-$B$3)),"")</f>
        <v>0</v>
      </c>
      <c r="D253" s="355">
        <f>IF(D$3&lt;=time,'Attributable fraction'!AC197*(1+Economics!$B$4)^(D$3-$B$3)/((1+Economics!$B$3)^(D$3-$B$3)),"")</f>
        <v>0</v>
      </c>
      <c r="E253" s="355">
        <f>IF(E$3&lt;=time,'Attributable fraction'!AD197*(1+Economics!$B$4)^(E$3-$B$3)/((1+Economics!$B$3)^(E$3-$B$3)),"")</f>
        <v>0</v>
      </c>
      <c r="F253" s="355">
        <f>IF(F$3&lt;=time,'Attributable fraction'!AE197*(1+Economics!$B$4)^(F$3-$B$3)/((1+Economics!$B$3)^(F$3-$B$3)),"")</f>
        <v>0</v>
      </c>
      <c r="G253" s="355" t="str">
        <f>IF(G$3&lt;=time,'Attributable fraction'!AF197*(1+Economics!$B$4)^(G$3-$B$3)/((1+Economics!$B$3)^(G$3-$B$3)),"")</f>
        <v/>
      </c>
      <c r="H253" s="355" t="str">
        <f>IF(H$3&lt;=time,'Attributable fraction'!AG197*(1+Economics!$B$4)^(H$3-$B$3)/((1+Economics!$B$3)^(H$3-$B$3)),"")</f>
        <v/>
      </c>
      <c r="I253" s="355" t="str">
        <f>IF(I$3&lt;=time,'Attributable fraction'!AH197*(1+Economics!$B$4)^(I$3-$B$3)/((1+Economics!$B$3)^(I$3-$B$3)),"")</f>
        <v/>
      </c>
      <c r="J253" s="355" t="str">
        <f>IF(J$3&lt;=time,'Attributable fraction'!AI197*(1+Economics!$B$4)^(J$3-$B$3)/((1+Economics!$B$3)^(J$3-$B$3)),"")</f>
        <v/>
      </c>
      <c r="K253" s="355" t="str">
        <f>IF(K$3&lt;=time,'Attributable fraction'!AJ197*(1+Economics!$B$4)^(K$3-$B$3)/((1+Economics!$B$3)^(K$3-$B$3)),"")</f>
        <v/>
      </c>
      <c r="L253" s="355" t="str">
        <f>IF(L$3&lt;=time,'Attributable fraction'!AK197*(1+Economics!$B$4)^(L$3-$B$3)/((1+Economics!$B$3)^(L$3-$B$3)),"")</f>
        <v/>
      </c>
      <c r="M253" s="355" t="str">
        <f>IF(M$3&lt;=time,'Attributable fraction'!AL197*(1+Economics!$B$4)^(M$3-$B$3)/((1+Economics!$B$3)^(M$3-$B$3)),"")</f>
        <v/>
      </c>
      <c r="N253" s="355" t="str">
        <f>IF(N$3&lt;=time,'Attributable fraction'!AM197*(1+Economics!$B$4)^(N$3-$B$3)/((1+Economics!$B$3)^(N$3-$B$3)),"")</f>
        <v/>
      </c>
      <c r="O253" s="355" t="str">
        <f>IF(O$3&lt;=time,'Attributable fraction'!AN197*(1+Economics!$B$4)^(O$3-$B$3)/((1+Economics!$B$3)^(O$3-$B$3)),"")</f>
        <v/>
      </c>
      <c r="P253" s="355" t="str">
        <f>IF(P$3&lt;=time,'Attributable fraction'!AO197*(1+Economics!$B$4)^(P$3-$B$3)/((1+Economics!$B$3)^(P$3-$B$3)),"")</f>
        <v/>
      </c>
      <c r="Q253" s="355" t="str">
        <f>IF(Q$3&lt;=time,'Attributable fraction'!AP197*(1+Economics!$B$4)^(Q$3-$B$3)/((1+Economics!$B$3)^(Q$3-$B$3)),"")</f>
        <v/>
      </c>
      <c r="R253" s="355" t="str">
        <f>IF(R$3&lt;=time,'Attributable fraction'!AQ197*(1+Economics!$B$4)^(R$3-$B$3)/((1+Economics!$B$3)^(R$3-$B$3)),"")</f>
        <v/>
      </c>
      <c r="S253" s="355" t="str">
        <f>IF(S$3&lt;=time,'Attributable fraction'!AR197*(1+Economics!$B$4)^(S$3-$B$3)/((1+Economics!$B$3)^(S$3-$B$3)),"")</f>
        <v/>
      </c>
      <c r="T253" s="355" t="str">
        <f>IF(T$3&lt;=time,'Attributable fraction'!AS197*(1+Economics!$B$4)^(T$3-$B$3)/((1+Economics!$B$3)^(T$3-$B$3)),"")</f>
        <v/>
      </c>
      <c r="U253" s="355" t="str">
        <f>IF(U$3&lt;=time,'Attributable fraction'!AT197*(1+Economics!$B$4)^(U$3-$B$3)/((1+Economics!$B$3)^(U$3-$B$3)),"")</f>
        <v/>
      </c>
      <c r="V253" s="355" t="str">
        <f>IF(V$3&lt;=time,'Attributable fraction'!AU197*(1+Economics!$B$4)^(V$3-$B$3)/((1+Economics!$B$3)^(V$3-$B$3)),"")</f>
        <v/>
      </c>
      <c r="W253" s="355" t="str">
        <f>IF(W$3&lt;=time,'Attributable fraction'!AV197*(1+Economics!$B$4)^(W$3-$B$3)/((1+Economics!$B$3)^(W$3-$B$3)),"")</f>
        <v/>
      </c>
      <c r="X253" s="355" t="str">
        <f>IF(X$3&lt;=time,'Attributable fraction'!AW197*(1+Economics!$B$4)^(X$3-$B$3)/((1+Economics!$B$3)^(X$3-$B$3)),"")</f>
        <v/>
      </c>
      <c r="Y253" s="355" t="str">
        <f>IF(Y$3&lt;=time,'Attributable fraction'!AX197*(1+Economics!$B$4)^(Y$3-$B$3)/((1+Economics!$B$3)^(Y$3-$B$3)),"")</f>
        <v/>
      </c>
      <c r="Z253" s="356" t="str">
        <f>IF(Z$3&lt;=time,'Attributable fraction'!AY197*(1+Economics!$B$4)^(Z$3-$B$3)/((1+Economics!$B$3)^(Z$3-$B$3)),"")</f>
        <v/>
      </c>
      <c r="AC253" s="142">
        <f t="shared" si="47"/>
        <v>0</v>
      </c>
      <c r="AE253" s="376">
        <v>8</v>
      </c>
      <c r="AF253" s="176" t="e">
        <f t="array" ref="AF253">STDEV(IF(B253:Z253&lt;&gt;0,B253:Z253))</f>
        <v>#DIV/0!</v>
      </c>
      <c r="AG253" s="176">
        <v>1.96</v>
      </c>
      <c r="AH253" s="176" t="e">
        <f t="shared" si="48"/>
        <v>#DIV/0!</v>
      </c>
      <c r="AI253" s="176">
        <f t="shared" si="38"/>
        <v>0</v>
      </c>
    </row>
    <row r="254" spans="1:35" hidden="1">
      <c r="A254" s="378" t="str">
        <f>Costs!A198</f>
        <v>Other Costs 9</v>
      </c>
      <c r="B254" s="355">
        <f>IF(B$3&lt;=time,'Attributable fraction'!AA198*(1+Economics!$B$4)^(B$3-$B$3)/((1+Economics!$B$3)^(B$3-$B$3)),"")</f>
        <v>0</v>
      </c>
      <c r="C254" s="355">
        <f>IF(C$3&lt;=time,'Attributable fraction'!AB198*(1+Economics!$B$4)^(C$3-$B$3)/((1+Economics!$B$3)^(C$3-$B$3)),"")</f>
        <v>0</v>
      </c>
      <c r="D254" s="355">
        <f>IF(D$3&lt;=time,'Attributable fraction'!AC198*(1+Economics!$B$4)^(D$3-$B$3)/((1+Economics!$B$3)^(D$3-$B$3)),"")</f>
        <v>0</v>
      </c>
      <c r="E254" s="355">
        <f>IF(E$3&lt;=time,'Attributable fraction'!AD198*(1+Economics!$B$4)^(E$3-$B$3)/((1+Economics!$B$3)^(E$3-$B$3)),"")</f>
        <v>0</v>
      </c>
      <c r="F254" s="355">
        <f>IF(F$3&lt;=time,'Attributable fraction'!AE198*(1+Economics!$B$4)^(F$3-$B$3)/((1+Economics!$B$3)^(F$3-$B$3)),"")</f>
        <v>0</v>
      </c>
      <c r="G254" s="355" t="str">
        <f>IF(G$3&lt;=time,'Attributable fraction'!AF198*(1+Economics!$B$4)^(G$3-$B$3)/((1+Economics!$B$3)^(G$3-$B$3)),"")</f>
        <v/>
      </c>
      <c r="H254" s="355" t="str">
        <f>IF(H$3&lt;=time,'Attributable fraction'!AG198*(1+Economics!$B$4)^(H$3-$B$3)/((1+Economics!$B$3)^(H$3-$B$3)),"")</f>
        <v/>
      </c>
      <c r="I254" s="355" t="str">
        <f>IF(I$3&lt;=time,'Attributable fraction'!AH198*(1+Economics!$B$4)^(I$3-$B$3)/((1+Economics!$B$3)^(I$3-$B$3)),"")</f>
        <v/>
      </c>
      <c r="J254" s="355" t="str">
        <f>IF(J$3&lt;=time,'Attributable fraction'!AI198*(1+Economics!$B$4)^(J$3-$B$3)/((1+Economics!$B$3)^(J$3-$B$3)),"")</f>
        <v/>
      </c>
      <c r="K254" s="355" t="str">
        <f>IF(K$3&lt;=time,'Attributable fraction'!AJ198*(1+Economics!$B$4)^(K$3-$B$3)/((1+Economics!$B$3)^(K$3-$B$3)),"")</f>
        <v/>
      </c>
      <c r="L254" s="355" t="str">
        <f>IF(L$3&lt;=time,'Attributable fraction'!AK198*(1+Economics!$B$4)^(L$3-$B$3)/((1+Economics!$B$3)^(L$3-$B$3)),"")</f>
        <v/>
      </c>
      <c r="M254" s="355" t="str">
        <f>IF(M$3&lt;=time,'Attributable fraction'!AL198*(1+Economics!$B$4)^(M$3-$B$3)/((1+Economics!$B$3)^(M$3-$B$3)),"")</f>
        <v/>
      </c>
      <c r="N254" s="355" t="str">
        <f>IF(N$3&lt;=time,'Attributable fraction'!AM198*(1+Economics!$B$4)^(N$3-$B$3)/((1+Economics!$B$3)^(N$3-$B$3)),"")</f>
        <v/>
      </c>
      <c r="O254" s="355" t="str">
        <f>IF(O$3&lt;=time,'Attributable fraction'!AN198*(1+Economics!$B$4)^(O$3-$B$3)/((1+Economics!$B$3)^(O$3-$B$3)),"")</f>
        <v/>
      </c>
      <c r="P254" s="355" t="str">
        <f>IF(P$3&lt;=time,'Attributable fraction'!AO198*(1+Economics!$B$4)^(P$3-$B$3)/((1+Economics!$B$3)^(P$3-$B$3)),"")</f>
        <v/>
      </c>
      <c r="Q254" s="355" t="str">
        <f>IF(Q$3&lt;=time,'Attributable fraction'!AP198*(1+Economics!$B$4)^(Q$3-$B$3)/((1+Economics!$B$3)^(Q$3-$B$3)),"")</f>
        <v/>
      </c>
      <c r="R254" s="355" t="str">
        <f>IF(R$3&lt;=time,'Attributable fraction'!AQ198*(1+Economics!$B$4)^(R$3-$B$3)/((1+Economics!$B$3)^(R$3-$B$3)),"")</f>
        <v/>
      </c>
      <c r="S254" s="355" t="str">
        <f>IF(S$3&lt;=time,'Attributable fraction'!AR198*(1+Economics!$B$4)^(S$3-$B$3)/((1+Economics!$B$3)^(S$3-$B$3)),"")</f>
        <v/>
      </c>
      <c r="T254" s="355" t="str">
        <f>IF(T$3&lt;=time,'Attributable fraction'!AS198*(1+Economics!$B$4)^(T$3-$B$3)/((1+Economics!$B$3)^(T$3-$B$3)),"")</f>
        <v/>
      </c>
      <c r="U254" s="355" t="str">
        <f>IF(U$3&lt;=time,'Attributable fraction'!AT198*(1+Economics!$B$4)^(U$3-$B$3)/((1+Economics!$B$3)^(U$3-$B$3)),"")</f>
        <v/>
      </c>
      <c r="V254" s="355" t="str">
        <f>IF(V$3&lt;=time,'Attributable fraction'!AU198*(1+Economics!$B$4)^(V$3-$B$3)/((1+Economics!$B$3)^(V$3-$B$3)),"")</f>
        <v/>
      </c>
      <c r="W254" s="355" t="str">
        <f>IF(W$3&lt;=time,'Attributable fraction'!AV198*(1+Economics!$B$4)^(W$3-$B$3)/((1+Economics!$B$3)^(W$3-$B$3)),"")</f>
        <v/>
      </c>
      <c r="X254" s="355" t="str">
        <f>IF(X$3&lt;=time,'Attributable fraction'!AW198*(1+Economics!$B$4)^(X$3-$B$3)/((1+Economics!$B$3)^(X$3-$B$3)),"")</f>
        <v/>
      </c>
      <c r="Y254" s="355" t="str">
        <f>IF(Y$3&lt;=time,'Attributable fraction'!AX198*(1+Economics!$B$4)^(Y$3-$B$3)/((1+Economics!$B$3)^(Y$3-$B$3)),"")</f>
        <v/>
      </c>
      <c r="Z254" s="356" t="str">
        <f>IF(Z$3&lt;=time,'Attributable fraction'!AY198*(1+Economics!$B$4)^(Z$3-$B$3)/((1+Economics!$B$3)^(Z$3-$B$3)),"")</f>
        <v/>
      </c>
      <c r="AC254" s="142">
        <f t="shared" si="47"/>
        <v>0</v>
      </c>
      <c r="AE254" s="376">
        <v>9</v>
      </c>
      <c r="AF254" s="176" t="e">
        <f t="array" ref="AF254">STDEV(IF(B254:Z254&lt;&gt;0,B254:Z254))</f>
        <v>#DIV/0!</v>
      </c>
      <c r="AG254" s="176">
        <v>1.96</v>
      </c>
      <c r="AH254" s="176" t="e">
        <f t="shared" si="48"/>
        <v>#DIV/0!</v>
      </c>
      <c r="AI254" s="176">
        <f t="shared" si="38"/>
        <v>0</v>
      </c>
    </row>
    <row r="255" spans="1:35" hidden="1">
      <c r="A255" s="378" t="str">
        <f>Costs!A199</f>
        <v>Other Costs 10</v>
      </c>
      <c r="B255" s="355">
        <f>IF(B$3&lt;=time,'Attributable fraction'!AA199*(1+Economics!$B$4)^(B$3-$B$3)/((1+Economics!$B$3)^(B$3-$B$3)),"")</f>
        <v>0</v>
      </c>
      <c r="C255" s="355">
        <f>IF(C$3&lt;=time,'Attributable fraction'!AB199*(1+Economics!$B$4)^(C$3-$B$3)/((1+Economics!$B$3)^(C$3-$B$3)),"")</f>
        <v>0</v>
      </c>
      <c r="D255" s="355">
        <f>IF(D$3&lt;=time,'Attributable fraction'!AC199*(1+Economics!$B$4)^(D$3-$B$3)/((1+Economics!$B$3)^(D$3-$B$3)),"")</f>
        <v>0</v>
      </c>
      <c r="E255" s="355">
        <f>IF(E$3&lt;=time,'Attributable fraction'!AD199*(1+Economics!$B$4)^(E$3-$B$3)/((1+Economics!$B$3)^(E$3-$B$3)),"")</f>
        <v>0</v>
      </c>
      <c r="F255" s="355">
        <f>IF(F$3&lt;=time,'Attributable fraction'!AE199*(1+Economics!$B$4)^(F$3-$B$3)/((1+Economics!$B$3)^(F$3-$B$3)),"")</f>
        <v>0</v>
      </c>
      <c r="G255" s="355" t="str">
        <f>IF(G$3&lt;=time,'Attributable fraction'!AF199*(1+Economics!$B$4)^(G$3-$B$3)/((1+Economics!$B$3)^(G$3-$B$3)),"")</f>
        <v/>
      </c>
      <c r="H255" s="355" t="str">
        <f>IF(H$3&lt;=time,'Attributable fraction'!AG199*(1+Economics!$B$4)^(H$3-$B$3)/((1+Economics!$B$3)^(H$3-$B$3)),"")</f>
        <v/>
      </c>
      <c r="I255" s="355" t="str">
        <f>IF(I$3&lt;=time,'Attributable fraction'!AH199*(1+Economics!$B$4)^(I$3-$B$3)/((1+Economics!$B$3)^(I$3-$B$3)),"")</f>
        <v/>
      </c>
      <c r="J255" s="355" t="str">
        <f>IF(J$3&lt;=time,'Attributable fraction'!AI199*(1+Economics!$B$4)^(J$3-$B$3)/((1+Economics!$B$3)^(J$3-$B$3)),"")</f>
        <v/>
      </c>
      <c r="K255" s="355" t="str">
        <f>IF(K$3&lt;=time,'Attributable fraction'!AJ199*(1+Economics!$B$4)^(K$3-$B$3)/((1+Economics!$B$3)^(K$3-$B$3)),"")</f>
        <v/>
      </c>
      <c r="L255" s="355" t="str">
        <f>IF(L$3&lt;=time,'Attributable fraction'!AK199*(1+Economics!$B$4)^(L$3-$B$3)/((1+Economics!$B$3)^(L$3-$B$3)),"")</f>
        <v/>
      </c>
      <c r="M255" s="355" t="str">
        <f>IF(M$3&lt;=time,'Attributable fraction'!AL199*(1+Economics!$B$4)^(M$3-$B$3)/((1+Economics!$B$3)^(M$3-$B$3)),"")</f>
        <v/>
      </c>
      <c r="N255" s="355" t="str">
        <f>IF(N$3&lt;=time,'Attributable fraction'!AM199*(1+Economics!$B$4)^(N$3-$B$3)/((1+Economics!$B$3)^(N$3-$B$3)),"")</f>
        <v/>
      </c>
      <c r="O255" s="355" t="str">
        <f>IF(O$3&lt;=time,'Attributable fraction'!AN199*(1+Economics!$B$4)^(O$3-$B$3)/((1+Economics!$B$3)^(O$3-$B$3)),"")</f>
        <v/>
      </c>
      <c r="P255" s="355" t="str">
        <f>IF(P$3&lt;=time,'Attributable fraction'!AO199*(1+Economics!$B$4)^(P$3-$B$3)/((1+Economics!$B$3)^(P$3-$B$3)),"")</f>
        <v/>
      </c>
      <c r="Q255" s="355" t="str">
        <f>IF(Q$3&lt;=time,'Attributable fraction'!AP199*(1+Economics!$B$4)^(Q$3-$B$3)/((1+Economics!$B$3)^(Q$3-$B$3)),"")</f>
        <v/>
      </c>
      <c r="R255" s="355" t="str">
        <f>IF(R$3&lt;=time,'Attributable fraction'!AQ199*(1+Economics!$B$4)^(R$3-$B$3)/((1+Economics!$B$3)^(R$3-$B$3)),"")</f>
        <v/>
      </c>
      <c r="S255" s="355" t="str">
        <f>IF(S$3&lt;=time,'Attributable fraction'!AR199*(1+Economics!$B$4)^(S$3-$B$3)/((1+Economics!$B$3)^(S$3-$B$3)),"")</f>
        <v/>
      </c>
      <c r="T255" s="355" t="str">
        <f>IF(T$3&lt;=time,'Attributable fraction'!AS199*(1+Economics!$B$4)^(T$3-$B$3)/((1+Economics!$B$3)^(T$3-$B$3)),"")</f>
        <v/>
      </c>
      <c r="U255" s="355" t="str">
        <f>IF(U$3&lt;=time,'Attributable fraction'!AT199*(1+Economics!$B$4)^(U$3-$B$3)/((1+Economics!$B$3)^(U$3-$B$3)),"")</f>
        <v/>
      </c>
      <c r="V255" s="355" t="str">
        <f>IF(V$3&lt;=time,'Attributable fraction'!AU199*(1+Economics!$B$4)^(V$3-$B$3)/((1+Economics!$B$3)^(V$3-$B$3)),"")</f>
        <v/>
      </c>
      <c r="W255" s="355" t="str">
        <f>IF(W$3&lt;=time,'Attributable fraction'!AV199*(1+Economics!$B$4)^(W$3-$B$3)/((1+Economics!$B$3)^(W$3-$B$3)),"")</f>
        <v/>
      </c>
      <c r="X255" s="355" t="str">
        <f>IF(X$3&lt;=time,'Attributable fraction'!AW199*(1+Economics!$B$4)^(X$3-$B$3)/((1+Economics!$B$3)^(X$3-$B$3)),"")</f>
        <v/>
      </c>
      <c r="Y255" s="355" t="str">
        <f>IF(Y$3&lt;=time,'Attributable fraction'!AX199*(1+Economics!$B$4)^(Y$3-$B$3)/((1+Economics!$B$3)^(Y$3-$B$3)),"")</f>
        <v/>
      </c>
      <c r="Z255" s="356" t="str">
        <f>IF(Z$3&lt;=time,'Attributable fraction'!AY199*(1+Economics!$B$4)^(Z$3-$B$3)/((1+Economics!$B$3)^(Z$3-$B$3)),"")</f>
        <v/>
      </c>
      <c r="AC255" s="142">
        <f t="shared" si="47"/>
        <v>0</v>
      </c>
      <c r="AE255" s="376">
        <v>10</v>
      </c>
      <c r="AF255" s="176" t="e">
        <f t="array" ref="AF255">STDEV(IF(B255:Z255&lt;&gt;0,B255:Z255))</f>
        <v>#DIV/0!</v>
      </c>
      <c r="AG255" s="176">
        <v>1.96</v>
      </c>
      <c r="AH255" s="176" t="e">
        <f t="shared" si="48"/>
        <v>#DIV/0!</v>
      </c>
      <c r="AI255" s="176">
        <f t="shared" si="38"/>
        <v>0</v>
      </c>
    </row>
    <row r="256" spans="1:35" s="196" customFormat="1" ht="18" hidden="1">
      <c r="A256" s="293"/>
      <c r="B256" s="358"/>
      <c r="C256" s="358"/>
      <c r="D256" s="358"/>
      <c r="E256" s="358"/>
      <c r="F256" s="358"/>
      <c r="G256" s="358"/>
      <c r="H256" s="358"/>
      <c r="I256" s="358"/>
      <c r="J256" s="358"/>
      <c r="K256" s="358"/>
      <c r="L256" s="358"/>
      <c r="M256" s="358"/>
      <c r="N256" s="358"/>
      <c r="O256" s="358"/>
      <c r="P256" s="358"/>
      <c r="Q256" s="358"/>
      <c r="R256" s="358"/>
      <c r="S256" s="358"/>
      <c r="T256" s="358"/>
      <c r="U256" s="358"/>
      <c r="V256" s="358"/>
      <c r="W256" s="358"/>
      <c r="X256" s="358"/>
      <c r="Y256" s="358"/>
      <c r="Z256" s="359"/>
      <c r="AB256" s="114"/>
      <c r="AC256" s="358"/>
      <c r="AD256" s="114"/>
    </row>
    <row r="257" spans="1:35" s="196" customFormat="1" ht="18" hidden="1">
      <c r="A257" s="297"/>
      <c r="B257" s="353"/>
      <c r="C257" s="353"/>
      <c r="D257" s="353"/>
      <c r="E257" s="353"/>
      <c r="F257" s="353"/>
      <c r="G257" s="353"/>
      <c r="H257" s="353"/>
      <c r="I257" s="353"/>
      <c r="J257" s="353"/>
      <c r="K257" s="353"/>
      <c r="L257" s="353"/>
      <c r="M257" s="353"/>
      <c r="N257" s="353"/>
      <c r="O257" s="353"/>
      <c r="P257" s="353"/>
      <c r="Q257" s="353"/>
      <c r="R257" s="353"/>
      <c r="S257" s="353"/>
      <c r="T257" s="353"/>
      <c r="U257" s="353"/>
      <c r="V257" s="353"/>
      <c r="W257" s="353"/>
      <c r="X257" s="353"/>
      <c r="Y257" s="353"/>
      <c r="Z257" s="360"/>
      <c r="AB257" s="114"/>
      <c r="AC257" s="353"/>
      <c r="AD257" s="114"/>
    </row>
    <row r="258" spans="1:35" s="196" customFormat="1" ht="18" hidden="1">
      <c r="A258" s="293" t="s">
        <v>218</v>
      </c>
      <c r="B258" s="358"/>
      <c r="C258" s="358"/>
      <c r="D258" s="358"/>
      <c r="E258" s="358"/>
      <c r="F258" s="358"/>
      <c r="G258" s="358"/>
      <c r="H258" s="358"/>
      <c r="I258" s="358"/>
      <c r="J258" s="358"/>
      <c r="K258" s="358"/>
      <c r="L258" s="358"/>
      <c r="M258" s="358"/>
      <c r="N258" s="358"/>
      <c r="O258" s="358"/>
      <c r="P258" s="358"/>
      <c r="Q258" s="358"/>
      <c r="R258" s="358"/>
      <c r="S258" s="358"/>
      <c r="T258" s="358"/>
      <c r="U258" s="358"/>
      <c r="V258" s="358"/>
      <c r="W258" s="358"/>
      <c r="X258" s="358"/>
      <c r="Y258" s="358"/>
      <c r="Z258" s="359"/>
      <c r="AB258" s="114"/>
      <c r="AD258" s="114"/>
    </row>
    <row r="259" spans="1:35" hidden="1">
      <c r="A259" s="378" t="str">
        <f>Costs!A203</f>
        <v>Indirect Costs 1</v>
      </c>
      <c r="B259" s="355">
        <f>IF(B$3&lt;=time,'Attributable fraction'!AA203*(1+Economics!$B$4)^(B$3-$B$3)/((1+Economics!$B$3)^(B$3-$B$3)),"")</f>
        <v>0</v>
      </c>
      <c r="C259" s="355">
        <f>IF(C$3&lt;=time,'Attributable fraction'!AB203*(1+Economics!$B$4)^(C$3-$B$3)/((1+Economics!$B$3)^(C$3-$B$3)),"")</f>
        <v>0</v>
      </c>
      <c r="D259" s="355">
        <f>IF(D$3&lt;=time,'Attributable fraction'!AC203*(1+Economics!$B$4)^(D$3-$B$3)/((1+Economics!$B$3)^(D$3-$B$3)),"")</f>
        <v>0</v>
      </c>
      <c r="E259" s="355">
        <f>IF(E$3&lt;=time,'Attributable fraction'!AD203*(1+Economics!$B$4)^(E$3-$B$3)/((1+Economics!$B$3)^(E$3-$B$3)),"")</f>
        <v>0</v>
      </c>
      <c r="F259" s="355">
        <f>IF(F$3&lt;=time,'Attributable fraction'!AE203*(1+Economics!$B$4)^(F$3-$B$3)/((1+Economics!$B$3)^(F$3-$B$3)),"")</f>
        <v>0</v>
      </c>
      <c r="G259" s="355" t="str">
        <f>IF(G$3&lt;=time,'Attributable fraction'!AF203*(1+Economics!$B$4)^(G$3-$B$3)/((1+Economics!$B$3)^(G$3-$B$3)),"")</f>
        <v/>
      </c>
      <c r="H259" s="355" t="str">
        <f>IF(H$3&lt;=time,'Attributable fraction'!AG203*(1+Economics!$B$4)^(H$3-$B$3)/((1+Economics!$B$3)^(H$3-$B$3)),"")</f>
        <v/>
      </c>
      <c r="I259" s="355" t="str">
        <f>IF(I$3&lt;=time,'Attributable fraction'!AH203*(1+Economics!$B$4)^(I$3-$B$3)/((1+Economics!$B$3)^(I$3-$B$3)),"")</f>
        <v/>
      </c>
      <c r="J259" s="355" t="str">
        <f>IF(J$3&lt;=time,'Attributable fraction'!AI203*(1+Economics!$B$4)^(J$3-$B$3)/((1+Economics!$B$3)^(J$3-$B$3)),"")</f>
        <v/>
      </c>
      <c r="K259" s="355" t="str">
        <f>IF(K$3&lt;=time,'Attributable fraction'!AJ203*(1+Economics!$B$4)^(K$3-$B$3)/((1+Economics!$B$3)^(K$3-$B$3)),"")</f>
        <v/>
      </c>
      <c r="L259" s="355" t="str">
        <f>IF(L$3&lt;=time,'Attributable fraction'!AK203*(1+Economics!$B$4)^(L$3-$B$3)/((1+Economics!$B$3)^(L$3-$B$3)),"")</f>
        <v/>
      </c>
      <c r="M259" s="355" t="str">
        <f>IF(M$3&lt;=time,'Attributable fraction'!AL203*(1+Economics!$B$4)^(M$3-$B$3)/((1+Economics!$B$3)^(M$3-$B$3)),"")</f>
        <v/>
      </c>
      <c r="N259" s="355" t="str">
        <f>IF(N$3&lt;=time,'Attributable fraction'!AM203*(1+Economics!$B$4)^(N$3-$B$3)/((1+Economics!$B$3)^(N$3-$B$3)),"")</f>
        <v/>
      </c>
      <c r="O259" s="355" t="str">
        <f>IF(O$3&lt;=time,'Attributable fraction'!AN203*(1+Economics!$B$4)^(O$3-$B$3)/((1+Economics!$B$3)^(O$3-$B$3)),"")</f>
        <v/>
      </c>
      <c r="P259" s="355" t="str">
        <f>IF(P$3&lt;=time,'Attributable fraction'!AO203*(1+Economics!$B$4)^(P$3-$B$3)/((1+Economics!$B$3)^(P$3-$B$3)),"")</f>
        <v/>
      </c>
      <c r="Q259" s="355" t="str">
        <f>IF(Q$3&lt;=time,'Attributable fraction'!AP203*(1+Economics!$B$4)^(Q$3-$B$3)/((1+Economics!$B$3)^(Q$3-$B$3)),"")</f>
        <v/>
      </c>
      <c r="R259" s="355" t="str">
        <f>IF(R$3&lt;=time,'Attributable fraction'!AQ203*(1+Economics!$B$4)^(R$3-$B$3)/((1+Economics!$B$3)^(R$3-$B$3)),"")</f>
        <v/>
      </c>
      <c r="S259" s="355" t="str">
        <f>IF(S$3&lt;=time,'Attributable fraction'!AR203*(1+Economics!$B$4)^(S$3-$B$3)/((1+Economics!$B$3)^(S$3-$B$3)),"")</f>
        <v/>
      </c>
      <c r="T259" s="355" t="str">
        <f>IF(T$3&lt;=time,'Attributable fraction'!AS203*(1+Economics!$B$4)^(T$3-$B$3)/((1+Economics!$B$3)^(T$3-$B$3)),"")</f>
        <v/>
      </c>
      <c r="U259" s="355" t="str">
        <f>IF(U$3&lt;=time,'Attributable fraction'!AT203*(1+Economics!$B$4)^(U$3-$B$3)/((1+Economics!$B$3)^(U$3-$B$3)),"")</f>
        <v/>
      </c>
      <c r="V259" s="355" t="str">
        <f>IF(V$3&lt;=time,'Attributable fraction'!AU203*(1+Economics!$B$4)^(V$3-$B$3)/((1+Economics!$B$3)^(V$3-$B$3)),"")</f>
        <v/>
      </c>
      <c r="W259" s="355" t="str">
        <f>IF(W$3&lt;=time,'Attributable fraction'!AV203*(1+Economics!$B$4)^(W$3-$B$3)/((1+Economics!$B$3)^(W$3-$B$3)),"")</f>
        <v/>
      </c>
      <c r="X259" s="355" t="str">
        <f>IF(X$3&lt;=time,'Attributable fraction'!AW203*(1+Economics!$B$4)^(X$3-$B$3)/((1+Economics!$B$3)^(X$3-$B$3)),"")</f>
        <v/>
      </c>
      <c r="Y259" s="355" t="str">
        <f>IF(Y$3&lt;=time,'Attributable fraction'!AX203*(1+Economics!$B$4)^(Y$3-$B$3)/((1+Economics!$B$3)^(Y$3-$B$3)),"")</f>
        <v/>
      </c>
      <c r="Z259" s="356" t="str">
        <f>IF(Z$3&lt;=time,'Attributable fraction'!AY203*(1+Economics!$B$4)^(Z$3-$B$3)/((1+Economics!$B$3)^(Z$3-$B$3)),"")</f>
        <v/>
      </c>
      <c r="AC259" s="142">
        <f t="shared" ref="AC259:AC268" si="49">(SUM(IF(ISERROR(Z259),"0",Z259),IF(ISERROR(Y259),"0",Y259),IF(ISERROR(X259),"0",X259),IF(ISERROR(W259),"0",W259),IF(ISERROR(V259),"0",V259),IF(ISERROR(U259),"0",U259),IF(ISERROR(T259),"0",T259),IF(ISERROR(S259),"0",S259),IF(ISERROR(R259),"0",R259),IF(ISERROR(Q259),"0",Q259), IF(ISERROR(P259),"0",P259),IF(ISERROR(O259),"0",O259),IF(ISERROR(N259),"0",N259),IF(ISERROR(M259),"0",M259),IF(ISERROR(L259),"0",L259),IF(ISERROR(K259),"0",K259),IF(ISERROR(J259),"0",J259),IF(ISERROR(I259),"0",I259),IF(ISERROR(H259),"0",H259),IF(ISERROR(G259),"0",G259),IF(ISERROR(F259),"0",F259),IF(ISERROR(E259),"0",E259),IF(ISERROR(D259),"0",D259),IF(ISERROR(C259),"0",C259),IF(ISERROR(B259),"0",B259)))/time</f>
        <v>0</v>
      </c>
      <c r="AE259" s="375">
        <v>1</v>
      </c>
      <c r="AF259" s="176" t="e">
        <f t="array" ref="AF259">STDEV(IF(B259:Z259&lt;&gt;0,B259:Z259))</f>
        <v>#DIV/0!</v>
      </c>
      <c r="AG259" s="176">
        <v>1.96</v>
      </c>
      <c r="AH259" s="176" t="e">
        <f t="shared" ref="AH259:AH268" si="50">(AG259*AF259)/(time^0.5)</f>
        <v>#DIV/0!</v>
      </c>
      <c r="AI259" s="176">
        <f t="shared" ref="AI259:AI279" si="51">IFERROR(AF259,0)</f>
        <v>0</v>
      </c>
    </row>
    <row r="260" spans="1:35" hidden="1">
      <c r="A260" s="378" t="str">
        <f>Costs!A204</f>
        <v>Indirect Costs 2</v>
      </c>
      <c r="B260" s="355">
        <f>IF(B$3&lt;=time,'Attributable fraction'!AA204*(1+Economics!$B$4)^(B$3-$B$3)/((1+Economics!$B$3)^(B$3-$B$3)),"")</f>
        <v>0</v>
      </c>
      <c r="C260" s="355">
        <f>IF(C$3&lt;=time,'Attributable fraction'!AB204*(1+Economics!$B$4)^(C$3-$B$3)/((1+Economics!$B$3)^(C$3-$B$3)),"")</f>
        <v>0</v>
      </c>
      <c r="D260" s="355">
        <f>IF(D$3&lt;=time,'Attributable fraction'!AC204*(1+Economics!$B$4)^(D$3-$B$3)/((1+Economics!$B$3)^(D$3-$B$3)),"")</f>
        <v>0</v>
      </c>
      <c r="E260" s="355">
        <f>IF(E$3&lt;=time,'Attributable fraction'!AD204*(1+Economics!$B$4)^(E$3-$B$3)/((1+Economics!$B$3)^(E$3-$B$3)),"")</f>
        <v>0</v>
      </c>
      <c r="F260" s="355">
        <f>IF(F$3&lt;=time,'Attributable fraction'!AE204*(1+Economics!$B$4)^(F$3-$B$3)/((1+Economics!$B$3)^(F$3-$B$3)),"")</f>
        <v>0</v>
      </c>
      <c r="G260" s="355" t="str">
        <f>IF(G$3&lt;=time,'Attributable fraction'!AF204*(1+Economics!$B$4)^(G$3-$B$3)/((1+Economics!$B$3)^(G$3-$B$3)),"")</f>
        <v/>
      </c>
      <c r="H260" s="355" t="str">
        <f>IF(H$3&lt;=time,'Attributable fraction'!AG204*(1+Economics!$B$4)^(H$3-$B$3)/((1+Economics!$B$3)^(H$3-$B$3)),"")</f>
        <v/>
      </c>
      <c r="I260" s="355" t="str">
        <f>IF(I$3&lt;=time,'Attributable fraction'!AH204*(1+Economics!$B$4)^(I$3-$B$3)/((1+Economics!$B$3)^(I$3-$B$3)),"")</f>
        <v/>
      </c>
      <c r="J260" s="355" t="str">
        <f>IF(J$3&lt;=time,'Attributable fraction'!AI204*(1+Economics!$B$4)^(J$3-$B$3)/((1+Economics!$B$3)^(J$3-$B$3)),"")</f>
        <v/>
      </c>
      <c r="K260" s="355" t="str">
        <f>IF(K$3&lt;=time,'Attributable fraction'!AJ204*(1+Economics!$B$4)^(K$3-$B$3)/((1+Economics!$B$3)^(K$3-$B$3)),"")</f>
        <v/>
      </c>
      <c r="L260" s="355" t="str">
        <f>IF(L$3&lt;=time,'Attributable fraction'!AK204*(1+Economics!$B$4)^(L$3-$B$3)/((1+Economics!$B$3)^(L$3-$B$3)),"")</f>
        <v/>
      </c>
      <c r="M260" s="355" t="str">
        <f>IF(M$3&lt;=time,'Attributable fraction'!AL204*(1+Economics!$B$4)^(M$3-$B$3)/((1+Economics!$B$3)^(M$3-$B$3)),"")</f>
        <v/>
      </c>
      <c r="N260" s="355" t="str">
        <f>IF(N$3&lt;=time,'Attributable fraction'!AM204*(1+Economics!$B$4)^(N$3-$B$3)/((1+Economics!$B$3)^(N$3-$B$3)),"")</f>
        <v/>
      </c>
      <c r="O260" s="355" t="str">
        <f>IF(O$3&lt;=time,'Attributable fraction'!AN204*(1+Economics!$B$4)^(O$3-$B$3)/((1+Economics!$B$3)^(O$3-$B$3)),"")</f>
        <v/>
      </c>
      <c r="P260" s="355" t="str">
        <f>IF(P$3&lt;=time,'Attributable fraction'!AO204*(1+Economics!$B$4)^(P$3-$B$3)/((1+Economics!$B$3)^(P$3-$B$3)),"")</f>
        <v/>
      </c>
      <c r="Q260" s="355" t="str">
        <f>IF(Q$3&lt;=time,'Attributable fraction'!AP204*(1+Economics!$B$4)^(Q$3-$B$3)/((1+Economics!$B$3)^(Q$3-$B$3)),"")</f>
        <v/>
      </c>
      <c r="R260" s="355" t="str">
        <f>IF(R$3&lt;=time,'Attributable fraction'!AQ204*(1+Economics!$B$4)^(R$3-$B$3)/((1+Economics!$B$3)^(R$3-$B$3)),"")</f>
        <v/>
      </c>
      <c r="S260" s="355" t="str">
        <f>IF(S$3&lt;=time,'Attributable fraction'!AR204*(1+Economics!$B$4)^(S$3-$B$3)/((1+Economics!$B$3)^(S$3-$B$3)),"")</f>
        <v/>
      </c>
      <c r="T260" s="355" t="str">
        <f>IF(T$3&lt;=time,'Attributable fraction'!AS204*(1+Economics!$B$4)^(T$3-$B$3)/((1+Economics!$B$3)^(T$3-$B$3)),"")</f>
        <v/>
      </c>
      <c r="U260" s="355" t="str">
        <f>IF(U$3&lt;=time,'Attributable fraction'!AT204*(1+Economics!$B$4)^(U$3-$B$3)/((1+Economics!$B$3)^(U$3-$B$3)),"")</f>
        <v/>
      </c>
      <c r="V260" s="355" t="str">
        <f>IF(V$3&lt;=time,'Attributable fraction'!AU204*(1+Economics!$B$4)^(V$3-$B$3)/((1+Economics!$B$3)^(V$3-$B$3)),"")</f>
        <v/>
      </c>
      <c r="W260" s="355" t="str">
        <f>IF(W$3&lt;=time,'Attributable fraction'!AV204*(1+Economics!$B$4)^(W$3-$B$3)/((1+Economics!$B$3)^(W$3-$B$3)),"")</f>
        <v/>
      </c>
      <c r="X260" s="355" t="str">
        <f>IF(X$3&lt;=time,'Attributable fraction'!AW204*(1+Economics!$B$4)^(X$3-$B$3)/((1+Economics!$B$3)^(X$3-$B$3)),"")</f>
        <v/>
      </c>
      <c r="Y260" s="355" t="str">
        <f>IF(Y$3&lt;=time,'Attributable fraction'!AX204*(1+Economics!$B$4)^(Y$3-$B$3)/((1+Economics!$B$3)^(Y$3-$B$3)),"")</f>
        <v/>
      </c>
      <c r="Z260" s="356" t="str">
        <f>IF(Z$3&lt;=time,'Attributable fraction'!AY204*(1+Economics!$B$4)^(Z$3-$B$3)/((1+Economics!$B$3)^(Z$3-$B$3)),"")</f>
        <v/>
      </c>
      <c r="AC260" s="142">
        <f t="shared" si="49"/>
        <v>0</v>
      </c>
      <c r="AE260" s="376">
        <v>2</v>
      </c>
      <c r="AF260" s="176" t="e">
        <f t="array" ref="AF260">STDEV(IF(B260:Z260&lt;&gt;0,B260:Z260))</f>
        <v>#DIV/0!</v>
      </c>
      <c r="AG260" s="176">
        <v>1.96</v>
      </c>
      <c r="AH260" s="176" t="e">
        <f t="shared" si="50"/>
        <v>#DIV/0!</v>
      </c>
      <c r="AI260" s="176">
        <f t="shared" si="51"/>
        <v>0</v>
      </c>
    </row>
    <row r="261" spans="1:35" hidden="1">
      <c r="A261" s="378" t="str">
        <f>Costs!A205</f>
        <v>Indirect Costs 3</v>
      </c>
      <c r="B261" s="355">
        <f>IF(B$3&lt;=time,'Attributable fraction'!AA205*(1+Economics!$B$4)^(B$3-$B$3)/((1+Economics!$B$3)^(B$3-$B$3)),"")</f>
        <v>0</v>
      </c>
      <c r="C261" s="355">
        <f>IF(C$3&lt;=time,'Attributable fraction'!AB205*(1+Economics!$B$4)^(C$3-$B$3)/((1+Economics!$B$3)^(C$3-$B$3)),"")</f>
        <v>0</v>
      </c>
      <c r="D261" s="355">
        <f>IF(D$3&lt;=time,'Attributable fraction'!AC205*(1+Economics!$B$4)^(D$3-$B$3)/((1+Economics!$B$3)^(D$3-$B$3)),"")</f>
        <v>0</v>
      </c>
      <c r="E261" s="355">
        <f>IF(E$3&lt;=time,'Attributable fraction'!AD205*(1+Economics!$B$4)^(E$3-$B$3)/((1+Economics!$B$3)^(E$3-$B$3)),"")</f>
        <v>0</v>
      </c>
      <c r="F261" s="355">
        <f>IF(F$3&lt;=time,'Attributable fraction'!AE205*(1+Economics!$B$4)^(F$3-$B$3)/((1+Economics!$B$3)^(F$3-$B$3)),"")</f>
        <v>0</v>
      </c>
      <c r="G261" s="355" t="str">
        <f>IF(G$3&lt;=time,'Attributable fraction'!AF205*(1+Economics!$B$4)^(G$3-$B$3)/((1+Economics!$B$3)^(G$3-$B$3)),"")</f>
        <v/>
      </c>
      <c r="H261" s="355" t="str">
        <f>IF(H$3&lt;=time,'Attributable fraction'!AG205*(1+Economics!$B$4)^(H$3-$B$3)/((1+Economics!$B$3)^(H$3-$B$3)),"")</f>
        <v/>
      </c>
      <c r="I261" s="355" t="str">
        <f>IF(I$3&lt;=time,'Attributable fraction'!AH205*(1+Economics!$B$4)^(I$3-$B$3)/((1+Economics!$B$3)^(I$3-$B$3)),"")</f>
        <v/>
      </c>
      <c r="J261" s="355" t="str">
        <f>IF(J$3&lt;=time,'Attributable fraction'!AI205*(1+Economics!$B$4)^(J$3-$B$3)/((1+Economics!$B$3)^(J$3-$B$3)),"")</f>
        <v/>
      </c>
      <c r="K261" s="355" t="str">
        <f>IF(K$3&lt;=time,'Attributable fraction'!AJ205*(1+Economics!$B$4)^(K$3-$B$3)/((1+Economics!$B$3)^(K$3-$B$3)),"")</f>
        <v/>
      </c>
      <c r="L261" s="355" t="str">
        <f>IF(L$3&lt;=time,'Attributable fraction'!AK205*(1+Economics!$B$4)^(L$3-$B$3)/((1+Economics!$B$3)^(L$3-$B$3)),"")</f>
        <v/>
      </c>
      <c r="M261" s="355" t="str">
        <f>IF(M$3&lt;=time,'Attributable fraction'!AL205*(1+Economics!$B$4)^(M$3-$B$3)/((1+Economics!$B$3)^(M$3-$B$3)),"")</f>
        <v/>
      </c>
      <c r="N261" s="355" t="str">
        <f>IF(N$3&lt;=time,'Attributable fraction'!AM205*(1+Economics!$B$4)^(N$3-$B$3)/((1+Economics!$B$3)^(N$3-$B$3)),"")</f>
        <v/>
      </c>
      <c r="O261" s="355" t="str">
        <f>IF(O$3&lt;=time,'Attributable fraction'!AN205*(1+Economics!$B$4)^(O$3-$B$3)/((1+Economics!$B$3)^(O$3-$B$3)),"")</f>
        <v/>
      </c>
      <c r="P261" s="355" t="str">
        <f>IF(P$3&lt;=time,'Attributable fraction'!AO205*(1+Economics!$B$4)^(P$3-$B$3)/((1+Economics!$B$3)^(P$3-$B$3)),"")</f>
        <v/>
      </c>
      <c r="Q261" s="355" t="str">
        <f>IF(Q$3&lt;=time,'Attributable fraction'!AP205*(1+Economics!$B$4)^(Q$3-$B$3)/((1+Economics!$B$3)^(Q$3-$B$3)),"")</f>
        <v/>
      </c>
      <c r="R261" s="355" t="str">
        <f>IF(R$3&lt;=time,'Attributable fraction'!AQ205*(1+Economics!$B$4)^(R$3-$B$3)/((1+Economics!$B$3)^(R$3-$B$3)),"")</f>
        <v/>
      </c>
      <c r="S261" s="355" t="str">
        <f>IF(S$3&lt;=time,'Attributable fraction'!AR205*(1+Economics!$B$4)^(S$3-$B$3)/((1+Economics!$B$3)^(S$3-$B$3)),"")</f>
        <v/>
      </c>
      <c r="T261" s="355" t="str">
        <f>IF(T$3&lt;=time,'Attributable fraction'!AS205*(1+Economics!$B$4)^(T$3-$B$3)/((1+Economics!$B$3)^(T$3-$B$3)),"")</f>
        <v/>
      </c>
      <c r="U261" s="355" t="str">
        <f>IF(U$3&lt;=time,'Attributable fraction'!AT205*(1+Economics!$B$4)^(U$3-$B$3)/((1+Economics!$B$3)^(U$3-$B$3)),"")</f>
        <v/>
      </c>
      <c r="V261" s="355" t="str">
        <f>IF(V$3&lt;=time,'Attributable fraction'!AU205*(1+Economics!$B$4)^(V$3-$B$3)/((1+Economics!$B$3)^(V$3-$B$3)),"")</f>
        <v/>
      </c>
      <c r="W261" s="355" t="str">
        <f>IF(W$3&lt;=time,'Attributable fraction'!AV205*(1+Economics!$B$4)^(W$3-$B$3)/((1+Economics!$B$3)^(W$3-$B$3)),"")</f>
        <v/>
      </c>
      <c r="X261" s="355" t="str">
        <f>IF(X$3&lt;=time,'Attributable fraction'!AW205*(1+Economics!$B$4)^(X$3-$B$3)/((1+Economics!$B$3)^(X$3-$B$3)),"")</f>
        <v/>
      </c>
      <c r="Y261" s="355" t="str">
        <f>IF(Y$3&lt;=time,'Attributable fraction'!AX205*(1+Economics!$B$4)^(Y$3-$B$3)/((1+Economics!$B$3)^(Y$3-$B$3)),"")</f>
        <v/>
      </c>
      <c r="Z261" s="356" t="str">
        <f>IF(Z$3&lt;=time,'Attributable fraction'!AY205*(1+Economics!$B$4)^(Z$3-$B$3)/((1+Economics!$B$3)^(Z$3-$B$3)),"")</f>
        <v/>
      </c>
      <c r="AC261" s="142">
        <f t="shared" si="49"/>
        <v>0</v>
      </c>
      <c r="AE261" s="376">
        <v>3</v>
      </c>
      <c r="AF261" s="176" t="e">
        <f t="array" ref="AF261">STDEV(IF(B261:Z261&lt;&gt;0,B261:Z261))</f>
        <v>#DIV/0!</v>
      </c>
      <c r="AG261" s="176">
        <v>1.96</v>
      </c>
      <c r="AH261" s="176" t="e">
        <f t="shared" si="50"/>
        <v>#DIV/0!</v>
      </c>
      <c r="AI261" s="176">
        <f t="shared" si="51"/>
        <v>0</v>
      </c>
    </row>
    <row r="262" spans="1:35" hidden="1">
      <c r="A262" s="378" t="str">
        <f>Costs!A206</f>
        <v>Indirect Costs 4</v>
      </c>
      <c r="B262" s="355">
        <f>IF(B$3&lt;=time,'Attributable fraction'!AA206*(1+Economics!$B$4)^(B$3-$B$3)/((1+Economics!$B$3)^(B$3-$B$3)),"")</f>
        <v>0</v>
      </c>
      <c r="C262" s="355">
        <f>IF(C$3&lt;=time,'Attributable fraction'!AB206*(1+Economics!$B$4)^(C$3-$B$3)/((1+Economics!$B$3)^(C$3-$B$3)),"")</f>
        <v>0</v>
      </c>
      <c r="D262" s="355">
        <f>IF(D$3&lt;=time,'Attributable fraction'!AC206*(1+Economics!$B$4)^(D$3-$B$3)/((1+Economics!$B$3)^(D$3-$B$3)),"")</f>
        <v>0</v>
      </c>
      <c r="E262" s="355">
        <f>IF(E$3&lt;=time,'Attributable fraction'!AD206*(1+Economics!$B$4)^(E$3-$B$3)/((1+Economics!$B$3)^(E$3-$B$3)),"")</f>
        <v>0</v>
      </c>
      <c r="F262" s="355">
        <f>IF(F$3&lt;=time,'Attributable fraction'!AE206*(1+Economics!$B$4)^(F$3-$B$3)/((1+Economics!$B$3)^(F$3-$B$3)),"")</f>
        <v>0</v>
      </c>
      <c r="G262" s="355" t="str">
        <f>IF(G$3&lt;=time,'Attributable fraction'!AF206*(1+Economics!$B$4)^(G$3-$B$3)/((1+Economics!$B$3)^(G$3-$B$3)),"")</f>
        <v/>
      </c>
      <c r="H262" s="355" t="str">
        <f>IF(H$3&lt;=time,'Attributable fraction'!AG206*(1+Economics!$B$4)^(H$3-$B$3)/((1+Economics!$B$3)^(H$3-$B$3)),"")</f>
        <v/>
      </c>
      <c r="I262" s="355" t="str">
        <f>IF(I$3&lt;=time,'Attributable fraction'!AH206*(1+Economics!$B$4)^(I$3-$B$3)/((1+Economics!$B$3)^(I$3-$B$3)),"")</f>
        <v/>
      </c>
      <c r="J262" s="355" t="str">
        <f>IF(J$3&lt;=time,'Attributable fraction'!AI206*(1+Economics!$B$4)^(J$3-$B$3)/((1+Economics!$B$3)^(J$3-$B$3)),"")</f>
        <v/>
      </c>
      <c r="K262" s="355" t="str">
        <f>IF(K$3&lt;=time,'Attributable fraction'!AJ206*(1+Economics!$B$4)^(K$3-$B$3)/((1+Economics!$B$3)^(K$3-$B$3)),"")</f>
        <v/>
      </c>
      <c r="L262" s="355" t="str">
        <f>IF(L$3&lt;=time,'Attributable fraction'!AK206*(1+Economics!$B$4)^(L$3-$B$3)/((1+Economics!$B$3)^(L$3-$B$3)),"")</f>
        <v/>
      </c>
      <c r="M262" s="355" t="str">
        <f>IF(M$3&lt;=time,'Attributable fraction'!AL206*(1+Economics!$B$4)^(M$3-$B$3)/((1+Economics!$B$3)^(M$3-$B$3)),"")</f>
        <v/>
      </c>
      <c r="N262" s="355" t="str">
        <f>IF(N$3&lt;=time,'Attributable fraction'!AM206*(1+Economics!$B$4)^(N$3-$B$3)/((1+Economics!$B$3)^(N$3-$B$3)),"")</f>
        <v/>
      </c>
      <c r="O262" s="355" t="str">
        <f>IF(O$3&lt;=time,'Attributable fraction'!AN206*(1+Economics!$B$4)^(O$3-$B$3)/((1+Economics!$B$3)^(O$3-$B$3)),"")</f>
        <v/>
      </c>
      <c r="P262" s="355" t="str">
        <f>IF(P$3&lt;=time,'Attributable fraction'!AO206*(1+Economics!$B$4)^(P$3-$B$3)/((1+Economics!$B$3)^(P$3-$B$3)),"")</f>
        <v/>
      </c>
      <c r="Q262" s="355" t="str">
        <f>IF(Q$3&lt;=time,'Attributable fraction'!AP206*(1+Economics!$B$4)^(Q$3-$B$3)/((1+Economics!$B$3)^(Q$3-$B$3)),"")</f>
        <v/>
      </c>
      <c r="R262" s="355" t="str">
        <f>IF(R$3&lt;=time,'Attributable fraction'!AQ206*(1+Economics!$B$4)^(R$3-$B$3)/((1+Economics!$B$3)^(R$3-$B$3)),"")</f>
        <v/>
      </c>
      <c r="S262" s="355" t="str">
        <f>IF(S$3&lt;=time,'Attributable fraction'!AR206*(1+Economics!$B$4)^(S$3-$B$3)/((1+Economics!$B$3)^(S$3-$B$3)),"")</f>
        <v/>
      </c>
      <c r="T262" s="355" t="str">
        <f>IF(T$3&lt;=time,'Attributable fraction'!AS206*(1+Economics!$B$4)^(T$3-$B$3)/((1+Economics!$B$3)^(T$3-$B$3)),"")</f>
        <v/>
      </c>
      <c r="U262" s="355" t="str">
        <f>IF(U$3&lt;=time,'Attributable fraction'!AT206*(1+Economics!$B$4)^(U$3-$B$3)/((1+Economics!$B$3)^(U$3-$B$3)),"")</f>
        <v/>
      </c>
      <c r="V262" s="355" t="str">
        <f>IF(V$3&lt;=time,'Attributable fraction'!AU206*(1+Economics!$B$4)^(V$3-$B$3)/((1+Economics!$B$3)^(V$3-$B$3)),"")</f>
        <v/>
      </c>
      <c r="W262" s="355" t="str">
        <f>IF(W$3&lt;=time,'Attributable fraction'!AV206*(1+Economics!$B$4)^(W$3-$B$3)/((1+Economics!$B$3)^(W$3-$B$3)),"")</f>
        <v/>
      </c>
      <c r="X262" s="355" t="str">
        <f>IF(X$3&lt;=time,'Attributable fraction'!AW206*(1+Economics!$B$4)^(X$3-$B$3)/((1+Economics!$B$3)^(X$3-$B$3)),"")</f>
        <v/>
      </c>
      <c r="Y262" s="355" t="str">
        <f>IF(Y$3&lt;=time,'Attributable fraction'!AX206*(1+Economics!$B$4)^(Y$3-$B$3)/((1+Economics!$B$3)^(Y$3-$B$3)),"")</f>
        <v/>
      </c>
      <c r="Z262" s="356" t="str">
        <f>IF(Z$3&lt;=time,'Attributable fraction'!AY206*(1+Economics!$B$4)^(Z$3-$B$3)/((1+Economics!$B$3)^(Z$3-$B$3)),"")</f>
        <v/>
      </c>
      <c r="AC262" s="142">
        <f t="shared" si="49"/>
        <v>0</v>
      </c>
      <c r="AE262" s="376">
        <v>4</v>
      </c>
      <c r="AF262" s="176" t="e">
        <f t="array" ref="AF262">STDEV(IF(B262:Z262&lt;&gt;0,B262:Z262))</f>
        <v>#DIV/0!</v>
      </c>
      <c r="AG262" s="176">
        <v>1.96</v>
      </c>
      <c r="AH262" s="176" t="e">
        <f t="shared" si="50"/>
        <v>#DIV/0!</v>
      </c>
      <c r="AI262" s="176">
        <f t="shared" si="51"/>
        <v>0</v>
      </c>
    </row>
    <row r="263" spans="1:35" hidden="1">
      <c r="A263" s="378" t="str">
        <f>Costs!A207</f>
        <v>Indirect Costs 5</v>
      </c>
      <c r="B263" s="355">
        <f>IF(B$3&lt;=time,'Attributable fraction'!AA207*(1+Economics!$B$4)^(B$3-$B$3)/((1+Economics!$B$3)^(B$3-$B$3)),"")</f>
        <v>0</v>
      </c>
      <c r="C263" s="355">
        <f>IF(C$3&lt;=time,'Attributable fraction'!AB207*(1+Economics!$B$4)^(C$3-$B$3)/((1+Economics!$B$3)^(C$3-$B$3)),"")</f>
        <v>0</v>
      </c>
      <c r="D263" s="355">
        <f>IF(D$3&lt;=time,'Attributable fraction'!AC207*(1+Economics!$B$4)^(D$3-$B$3)/((1+Economics!$B$3)^(D$3-$B$3)),"")</f>
        <v>0</v>
      </c>
      <c r="E263" s="355">
        <f>IF(E$3&lt;=time,'Attributable fraction'!AD207*(1+Economics!$B$4)^(E$3-$B$3)/((1+Economics!$B$3)^(E$3-$B$3)),"")</f>
        <v>0</v>
      </c>
      <c r="F263" s="355">
        <f>IF(F$3&lt;=time,'Attributable fraction'!AE207*(1+Economics!$B$4)^(F$3-$B$3)/((1+Economics!$B$3)^(F$3-$B$3)),"")</f>
        <v>0</v>
      </c>
      <c r="G263" s="355" t="str">
        <f>IF(G$3&lt;=time,'Attributable fraction'!AF207*(1+Economics!$B$4)^(G$3-$B$3)/((1+Economics!$B$3)^(G$3-$B$3)),"")</f>
        <v/>
      </c>
      <c r="H263" s="355" t="str">
        <f>IF(H$3&lt;=time,'Attributable fraction'!AG207*(1+Economics!$B$4)^(H$3-$B$3)/((1+Economics!$B$3)^(H$3-$B$3)),"")</f>
        <v/>
      </c>
      <c r="I263" s="355" t="str">
        <f>IF(I$3&lt;=time,'Attributable fraction'!AH207*(1+Economics!$B$4)^(I$3-$B$3)/((1+Economics!$B$3)^(I$3-$B$3)),"")</f>
        <v/>
      </c>
      <c r="J263" s="355" t="str">
        <f>IF(J$3&lt;=time,'Attributable fraction'!AI207*(1+Economics!$B$4)^(J$3-$B$3)/((1+Economics!$B$3)^(J$3-$B$3)),"")</f>
        <v/>
      </c>
      <c r="K263" s="355" t="str">
        <f>IF(K$3&lt;=time,'Attributable fraction'!AJ207*(1+Economics!$B$4)^(K$3-$B$3)/((1+Economics!$B$3)^(K$3-$B$3)),"")</f>
        <v/>
      </c>
      <c r="L263" s="355" t="str">
        <f>IF(L$3&lt;=time,'Attributable fraction'!AK207*(1+Economics!$B$4)^(L$3-$B$3)/((1+Economics!$B$3)^(L$3-$B$3)),"")</f>
        <v/>
      </c>
      <c r="M263" s="355" t="str">
        <f>IF(M$3&lt;=time,'Attributable fraction'!AL207*(1+Economics!$B$4)^(M$3-$B$3)/((1+Economics!$B$3)^(M$3-$B$3)),"")</f>
        <v/>
      </c>
      <c r="N263" s="355" t="str">
        <f>IF(N$3&lt;=time,'Attributable fraction'!AM207*(1+Economics!$B$4)^(N$3-$B$3)/((1+Economics!$B$3)^(N$3-$B$3)),"")</f>
        <v/>
      </c>
      <c r="O263" s="355" t="str">
        <f>IF(O$3&lt;=time,'Attributable fraction'!AN207*(1+Economics!$B$4)^(O$3-$B$3)/((1+Economics!$B$3)^(O$3-$B$3)),"")</f>
        <v/>
      </c>
      <c r="P263" s="355" t="str">
        <f>IF(P$3&lt;=time,'Attributable fraction'!AO207*(1+Economics!$B$4)^(P$3-$B$3)/((1+Economics!$B$3)^(P$3-$B$3)),"")</f>
        <v/>
      </c>
      <c r="Q263" s="355" t="str">
        <f>IF(Q$3&lt;=time,'Attributable fraction'!AP207*(1+Economics!$B$4)^(Q$3-$B$3)/((1+Economics!$B$3)^(Q$3-$B$3)),"")</f>
        <v/>
      </c>
      <c r="R263" s="355" t="str">
        <f>IF(R$3&lt;=time,'Attributable fraction'!AQ207*(1+Economics!$B$4)^(R$3-$B$3)/((1+Economics!$B$3)^(R$3-$B$3)),"")</f>
        <v/>
      </c>
      <c r="S263" s="355" t="str">
        <f>IF(S$3&lt;=time,'Attributable fraction'!AR207*(1+Economics!$B$4)^(S$3-$B$3)/((1+Economics!$B$3)^(S$3-$B$3)),"")</f>
        <v/>
      </c>
      <c r="T263" s="355" t="str">
        <f>IF(T$3&lt;=time,'Attributable fraction'!AS207*(1+Economics!$B$4)^(T$3-$B$3)/((1+Economics!$B$3)^(T$3-$B$3)),"")</f>
        <v/>
      </c>
      <c r="U263" s="355" t="str">
        <f>IF(U$3&lt;=time,'Attributable fraction'!AT207*(1+Economics!$B$4)^(U$3-$B$3)/((1+Economics!$B$3)^(U$3-$B$3)),"")</f>
        <v/>
      </c>
      <c r="V263" s="355" t="str">
        <f>IF(V$3&lt;=time,'Attributable fraction'!AU207*(1+Economics!$B$4)^(V$3-$B$3)/((1+Economics!$B$3)^(V$3-$B$3)),"")</f>
        <v/>
      </c>
      <c r="W263" s="355" t="str">
        <f>IF(W$3&lt;=time,'Attributable fraction'!AV207*(1+Economics!$B$4)^(W$3-$B$3)/((1+Economics!$B$3)^(W$3-$B$3)),"")</f>
        <v/>
      </c>
      <c r="X263" s="355" t="str">
        <f>IF(X$3&lt;=time,'Attributable fraction'!AW207*(1+Economics!$B$4)^(X$3-$B$3)/((1+Economics!$B$3)^(X$3-$B$3)),"")</f>
        <v/>
      </c>
      <c r="Y263" s="355" t="str">
        <f>IF(Y$3&lt;=time,'Attributable fraction'!AX207*(1+Economics!$B$4)^(Y$3-$B$3)/((1+Economics!$B$3)^(Y$3-$B$3)),"")</f>
        <v/>
      </c>
      <c r="Z263" s="356" t="str">
        <f>IF(Z$3&lt;=time,'Attributable fraction'!AY207*(1+Economics!$B$4)^(Z$3-$B$3)/((1+Economics!$B$3)^(Z$3-$B$3)),"")</f>
        <v/>
      </c>
      <c r="AC263" s="142">
        <f t="shared" si="49"/>
        <v>0</v>
      </c>
      <c r="AE263" s="376">
        <v>5</v>
      </c>
      <c r="AF263" s="176" t="e">
        <f t="array" ref="AF263">STDEV(IF(B263:Z263&lt;&gt;0,B263:Z263))</f>
        <v>#DIV/0!</v>
      </c>
      <c r="AG263" s="176">
        <v>1.96</v>
      </c>
      <c r="AH263" s="176" t="e">
        <f t="shared" si="50"/>
        <v>#DIV/0!</v>
      </c>
      <c r="AI263" s="176">
        <f t="shared" si="51"/>
        <v>0</v>
      </c>
    </row>
    <row r="264" spans="1:35" hidden="1">
      <c r="A264" s="378" t="str">
        <f>Costs!A208</f>
        <v>Indirect Costs 6</v>
      </c>
      <c r="B264" s="355">
        <f>IF(B$3&lt;=time,'Attributable fraction'!AA208*(1+Economics!$B$4)^(B$3-$B$3)/((1+Economics!$B$3)^(B$3-$B$3)),"")</f>
        <v>0</v>
      </c>
      <c r="C264" s="355">
        <f>IF(C$3&lt;=time,'Attributable fraction'!AB208*(1+Economics!$B$4)^(C$3-$B$3)/((1+Economics!$B$3)^(C$3-$B$3)),"")</f>
        <v>0</v>
      </c>
      <c r="D264" s="355">
        <f>IF(D$3&lt;=time,'Attributable fraction'!AC208*(1+Economics!$B$4)^(D$3-$B$3)/((1+Economics!$B$3)^(D$3-$B$3)),"")</f>
        <v>0</v>
      </c>
      <c r="E264" s="355">
        <f>IF(E$3&lt;=time,'Attributable fraction'!AD208*(1+Economics!$B$4)^(E$3-$B$3)/((1+Economics!$B$3)^(E$3-$B$3)),"")</f>
        <v>0</v>
      </c>
      <c r="F264" s="355">
        <f>IF(F$3&lt;=time,'Attributable fraction'!AE208*(1+Economics!$B$4)^(F$3-$B$3)/((1+Economics!$B$3)^(F$3-$B$3)),"")</f>
        <v>0</v>
      </c>
      <c r="G264" s="355" t="str">
        <f>IF(G$3&lt;=time,'Attributable fraction'!AF208*(1+Economics!$B$4)^(G$3-$B$3)/((1+Economics!$B$3)^(G$3-$B$3)),"")</f>
        <v/>
      </c>
      <c r="H264" s="355" t="str">
        <f>IF(H$3&lt;=time,'Attributable fraction'!AG208*(1+Economics!$B$4)^(H$3-$B$3)/((1+Economics!$B$3)^(H$3-$B$3)),"")</f>
        <v/>
      </c>
      <c r="I264" s="355" t="str">
        <f>IF(I$3&lt;=time,'Attributable fraction'!AH208*(1+Economics!$B$4)^(I$3-$B$3)/((1+Economics!$B$3)^(I$3-$B$3)),"")</f>
        <v/>
      </c>
      <c r="J264" s="355" t="str">
        <f>IF(J$3&lt;=time,'Attributable fraction'!AI208*(1+Economics!$B$4)^(J$3-$B$3)/((1+Economics!$B$3)^(J$3-$B$3)),"")</f>
        <v/>
      </c>
      <c r="K264" s="355" t="str">
        <f>IF(K$3&lt;=time,'Attributable fraction'!AJ208*(1+Economics!$B$4)^(K$3-$B$3)/((1+Economics!$B$3)^(K$3-$B$3)),"")</f>
        <v/>
      </c>
      <c r="L264" s="355" t="str">
        <f>IF(L$3&lt;=time,'Attributable fraction'!AK208*(1+Economics!$B$4)^(L$3-$B$3)/((1+Economics!$B$3)^(L$3-$B$3)),"")</f>
        <v/>
      </c>
      <c r="M264" s="355" t="str">
        <f>IF(M$3&lt;=time,'Attributable fraction'!AL208*(1+Economics!$B$4)^(M$3-$B$3)/((1+Economics!$B$3)^(M$3-$B$3)),"")</f>
        <v/>
      </c>
      <c r="N264" s="355" t="str">
        <f>IF(N$3&lt;=time,'Attributable fraction'!AM208*(1+Economics!$B$4)^(N$3-$B$3)/((1+Economics!$B$3)^(N$3-$B$3)),"")</f>
        <v/>
      </c>
      <c r="O264" s="355" t="str">
        <f>IF(O$3&lt;=time,'Attributable fraction'!AN208*(1+Economics!$B$4)^(O$3-$B$3)/((1+Economics!$B$3)^(O$3-$B$3)),"")</f>
        <v/>
      </c>
      <c r="P264" s="355" t="str">
        <f>IF(P$3&lt;=time,'Attributable fraction'!AO208*(1+Economics!$B$4)^(P$3-$B$3)/((1+Economics!$B$3)^(P$3-$B$3)),"")</f>
        <v/>
      </c>
      <c r="Q264" s="355" t="str">
        <f>IF(Q$3&lt;=time,'Attributable fraction'!AP208*(1+Economics!$B$4)^(Q$3-$B$3)/((1+Economics!$B$3)^(Q$3-$B$3)),"")</f>
        <v/>
      </c>
      <c r="R264" s="355" t="str">
        <f>IF(R$3&lt;=time,'Attributable fraction'!AQ208*(1+Economics!$B$4)^(R$3-$B$3)/((1+Economics!$B$3)^(R$3-$B$3)),"")</f>
        <v/>
      </c>
      <c r="S264" s="355" t="str">
        <f>IF(S$3&lt;=time,'Attributable fraction'!AR208*(1+Economics!$B$4)^(S$3-$B$3)/((1+Economics!$B$3)^(S$3-$B$3)),"")</f>
        <v/>
      </c>
      <c r="T264" s="355" t="str">
        <f>IF(T$3&lt;=time,'Attributable fraction'!AS208*(1+Economics!$B$4)^(T$3-$B$3)/((1+Economics!$B$3)^(T$3-$B$3)),"")</f>
        <v/>
      </c>
      <c r="U264" s="355" t="str">
        <f>IF(U$3&lt;=time,'Attributable fraction'!AT208*(1+Economics!$B$4)^(U$3-$B$3)/((1+Economics!$B$3)^(U$3-$B$3)),"")</f>
        <v/>
      </c>
      <c r="V264" s="355" t="str">
        <f>IF(V$3&lt;=time,'Attributable fraction'!AU208*(1+Economics!$B$4)^(V$3-$B$3)/((1+Economics!$B$3)^(V$3-$B$3)),"")</f>
        <v/>
      </c>
      <c r="W264" s="355" t="str">
        <f>IF(W$3&lt;=time,'Attributable fraction'!AV208*(1+Economics!$B$4)^(W$3-$B$3)/((1+Economics!$B$3)^(W$3-$B$3)),"")</f>
        <v/>
      </c>
      <c r="X264" s="355" t="str">
        <f>IF(X$3&lt;=time,'Attributable fraction'!AW208*(1+Economics!$B$4)^(X$3-$B$3)/((1+Economics!$B$3)^(X$3-$B$3)),"")</f>
        <v/>
      </c>
      <c r="Y264" s="355" t="str">
        <f>IF(Y$3&lt;=time,'Attributable fraction'!AX208*(1+Economics!$B$4)^(Y$3-$B$3)/((1+Economics!$B$3)^(Y$3-$B$3)),"")</f>
        <v/>
      </c>
      <c r="Z264" s="356" t="str">
        <f>IF(Z$3&lt;=time,'Attributable fraction'!AY208*(1+Economics!$B$4)^(Z$3-$B$3)/((1+Economics!$B$3)^(Z$3-$B$3)),"")</f>
        <v/>
      </c>
      <c r="AC264" s="142">
        <f t="shared" si="49"/>
        <v>0</v>
      </c>
      <c r="AE264" s="376">
        <v>6</v>
      </c>
      <c r="AF264" s="176" t="e">
        <f t="array" ref="AF264">STDEV(IF(B264:Z264&lt;&gt;0,B264:Z264))</f>
        <v>#DIV/0!</v>
      </c>
      <c r="AG264" s="176">
        <v>1.96</v>
      </c>
      <c r="AH264" s="176" t="e">
        <f t="shared" si="50"/>
        <v>#DIV/0!</v>
      </c>
      <c r="AI264" s="176">
        <f t="shared" si="51"/>
        <v>0</v>
      </c>
    </row>
    <row r="265" spans="1:35" hidden="1">
      <c r="A265" s="378" t="str">
        <f>Costs!A209</f>
        <v>Indirect Costs 7</v>
      </c>
      <c r="B265" s="355">
        <f>IF(B$3&lt;=time,'Attributable fraction'!AA209*(1+Economics!$B$4)^(B$3-$B$3)/((1+Economics!$B$3)^(B$3-$B$3)),"")</f>
        <v>0</v>
      </c>
      <c r="C265" s="355">
        <f>IF(C$3&lt;=time,'Attributable fraction'!AB209*(1+Economics!$B$4)^(C$3-$B$3)/((1+Economics!$B$3)^(C$3-$B$3)),"")</f>
        <v>0</v>
      </c>
      <c r="D265" s="355">
        <f>IF(D$3&lt;=time,'Attributable fraction'!AC209*(1+Economics!$B$4)^(D$3-$B$3)/((1+Economics!$B$3)^(D$3-$B$3)),"")</f>
        <v>0</v>
      </c>
      <c r="E265" s="355">
        <f>IF(E$3&lt;=time,'Attributable fraction'!AD209*(1+Economics!$B$4)^(E$3-$B$3)/((1+Economics!$B$3)^(E$3-$B$3)),"")</f>
        <v>0</v>
      </c>
      <c r="F265" s="355">
        <f>IF(F$3&lt;=time,'Attributable fraction'!AE209*(1+Economics!$B$4)^(F$3-$B$3)/((1+Economics!$B$3)^(F$3-$B$3)),"")</f>
        <v>0</v>
      </c>
      <c r="G265" s="355" t="str">
        <f>IF(G$3&lt;=time,'Attributable fraction'!AF209*(1+Economics!$B$4)^(G$3-$B$3)/((1+Economics!$B$3)^(G$3-$B$3)),"")</f>
        <v/>
      </c>
      <c r="H265" s="355" t="str">
        <f>IF(H$3&lt;=time,'Attributable fraction'!AG209*(1+Economics!$B$4)^(H$3-$B$3)/((1+Economics!$B$3)^(H$3-$B$3)),"")</f>
        <v/>
      </c>
      <c r="I265" s="355" t="str">
        <f>IF(I$3&lt;=time,'Attributable fraction'!AH209*(1+Economics!$B$4)^(I$3-$B$3)/((1+Economics!$B$3)^(I$3-$B$3)),"")</f>
        <v/>
      </c>
      <c r="J265" s="355" t="str">
        <f>IF(J$3&lt;=time,'Attributable fraction'!AI209*(1+Economics!$B$4)^(J$3-$B$3)/((1+Economics!$B$3)^(J$3-$B$3)),"")</f>
        <v/>
      </c>
      <c r="K265" s="355" t="str">
        <f>IF(K$3&lt;=time,'Attributable fraction'!AJ209*(1+Economics!$B$4)^(K$3-$B$3)/((1+Economics!$B$3)^(K$3-$B$3)),"")</f>
        <v/>
      </c>
      <c r="L265" s="355" t="str">
        <f>IF(L$3&lt;=time,'Attributable fraction'!AK209*(1+Economics!$B$4)^(L$3-$B$3)/((1+Economics!$B$3)^(L$3-$B$3)),"")</f>
        <v/>
      </c>
      <c r="M265" s="355" t="str">
        <f>IF(M$3&lt;=time,'Attributable fraction'!AL209*(1+Economics!$B$4)^(M$3-$B$3)/((1+Economics!$B$3)^(M$3-$B$3)),"")</f>
        <v/>
      </c>
      <c r="N265" s="355" t="str">
        <f>IF(N$3&lt;=time,'Attributable fraction'!AM209*(1+Economics!$B$4)^(N$3-$B$3)/((1+Economics!$B$3)^(N$3-$B$3)),"")</f>
        <v/>
      </c>
      <c r="O265" s="355" t="str">
        <f>IF(O$3&lt;=time,'Attributable fraction'!AN209*(1+Economics!$B$4)^(O$3-$B$3)/((1+Economics!$B$3)^(O$3-$B$3)),"")</f>
        <v/>
      </c>
      <c r="P265" s="355" t="str">
        <f>IF(P$3&lt;=time,'Attributable fraction'!AO209*(1+Economics!$B$4)^(P$3-$B$3)/((1+Economics!$B$3)^(P$3-$B$3)),"")</f>
        <v/>
      </c>
      <c r="Q265" s="355" t="str">
        <f>IF(Q$3&lt;=time,'Attributable fraction'!AP209*(1+Economics!$B$4)^(Q$3-$B$3)/((1+Economics!$B$3)^(Q$3-$B$3)),"")</f>
        <v/>
      </c>
      <c r="R265" s="355" t="str">
        <f>IF(R$3&lt;=time,'Attributable fraction'!AQ209*(1+Economics!$B$4)^(R$3-$B$3)/((1+Economics!$B$3)^(R$3-$B$3)),"")</f>
        <v/>
      </c>
      <c r="S265" s="355" t="str">
        <f>IF(S$3&lt;=time,'Attributable fraction'!AR209*(1+Economics!$B$4)^(S$3-$B$3)/((1+Economics!$B$3)^(S$3-$B$3)),"")</f>
        <v/>
      </c>
      <c r="T265" s="355" t="str">
        <f>IF(T$3&lt;=time,'Attributable fraction'!AS209*(1+Economics!$B$4)^(T$3-$B$3)/((1+Economics!$B$3)^(T$3-$B$3)),"")</f>
        <v/>
      </c>
      <c r="U265" s="355" t="str">
        <f>IF(U$3&lt;=time,'Attributable fraction'!AT209*(1+Economics!$B$4)^(U$3-$B$3)/((1+Economics!$B$3)^(U$3-$B$3)),"")</f>
        <v/>
      </c>
      <c r="V265" s="355" t="str">
        <f>IF(V$3&lt;=time,'Attributable fraction'!AU209*(1+Economics!$B$4)^(V$3-$B$3)/((1+Economics!$B$3)^(V$3-$B$3)),"")</f>
        <v/>
      </c>
      <c r="W265" s="355" t="str">
        <f>IF(W$3&lt;=time,'Attributable fraction'!AV209*(1+Economics!$B$4)^(W$3-$B$3)/((1+Economics!$B$3)^(W$3-$B$3)),"")</f>
        <v/>
      </c>
      <c r="X265" s="355" t="str">
        <f>IF(X$3&lt;=time,'Attributable fraction'!AW209*(1+Economics!$B$4)^(X$3-$B$3)/((1+Economics!$B$3)^(X$3-$B$3)),"")</f>
        <v/>
      </c>
      <c r="Y265" s="355" t="str">
        <f>IF(Y$3&lt;=time,'Attributable fraction'!AX209*(1+Economics!$B$4)^(Y$3-$B$3)/((1+Economics!$B$3)^(Y$3-$B$3)),"")</f>
        <v/>
      </c>
      <c r="Z265" s="356" t="str">
        <f>IF(Z$3&lt;=time,'Attributable fraction'!AY209*(1+Economics!$B$4)^(Z$3-$B$3)/((1+Economics!$B$3)^(Z$3-$B$3)),"")</f>
        <v/>
      </c>
      <c r="AC265" s="142">
        <f t="shared" si="49"/>
        <v>0</v>
      </c>
      <c r="AE265" s="376">
        <v>7</v>
      </c>
      <c r="AF265" s="176" t="e">
        <f t="array" ref="AF265">STDEV(IF(B265:Z265&lt;&gt;0,B265:Z265))</f>
        <v>#DIV/0!</v>
      </c>
      <c r="AG265" s="176">
        <v>1.96</v>
      </c>
      <c r="AH265" s="176" t="e">
        <f t="shared" si="50"/>
        <v>#DIV/0!</v>
      </c>
      <c r="AI265" s="176">
        <f t="shared" si="51"/>
        <v>0</v>
      </c>
    </row>
    <row r="266" spans="1:35" hidden="1">
      <c r="A266" s="378" t="str">
        <f>Costs!A210</f>
        <v>Indirect Costs 8</v>
      </c>
      <c r="B266" s="355">
        <f>IF(B$3&lt;=time,'Attributable fraction'!AA210*(1+Economics!$B$4)^(B$3-$B$3)/((1+Economics!$B$3)^(B$3-$B$3)),"")</f>
        <v>0</v>
      </c>
      <c r="C266" s="355">
        <f>IF(C$3&lt;=time,'Attributable fraction'!AB210*(1+Economics!$B$4)^(C$3-$B$3)/((1+Economics!$B$3)^(C$3-$B$3)),"")</f>
        <v>0</v>
      </c>
      <c r="D266" s="355">
        <f>IF(D$3&lt;=time,'Attributable fraction'!AC210*(1+Economics!$B$4)^(D$3-$B$3)/((1+Economics!$B$3)^(D$3-$B$3)),"")</f>
        <v>0</v>
      </c>
      <c r="E266" s="355">
        <f>IF(E$3&lt;=time,'Attributable fraction'!AD210*(1+Economics!$B$4)^(E$3-$B$3)/((1+Economics!$B$3)^(E$3-$B$3)),"")</f>
        <v>0</v>
      </c>
      <c r="F266" s="355">
        <f>IF(F$3&lt;=time,'Attributable fraction'!AE210*(1+Economics!$B$4)^(F$3-$B$3)/((1+Economics!$B$3)^(F$3-$B$3)),"")</f>
        <v>0</v>
      </c>
      <c r="G266" s="355" t="str">
        <f>IF(G$3&lt;=time,'Attributable fraction'!AF210*(1+Economics!$B$4)^(G$3-$B$3)/((1+Economics!$B$3)^(G$3-$B$3)),"")</f>
        <v/>
      </c>
      <c r="H266" s="355" t="str">
        <f>IF(H$3&lt;=time,'Attributable fraction'!AG210*(1+Economics!$B$4)^(H$3-$B$3)/((1+Economics!$B$3)^(H$3-$B$3)),"")</f>
        <v/>
      </c>
      <c r="I266" s="355" t="str">
        <f>IF(I$3&lt;=time,'Attributable fraction'!AH210*(1+Economics!$B$4)^(I$3-$B$3)/((1+Economics!$B$3)^(I$3-$B$3)),"")</f>
        <v/>
      </c>
      <c r="J266" s="355" t="str">
        <f>IF(J$3&lt;=time,'Attributable fraction'!AI210*(1+Economics!$B$4)^(J$3-$B$3)/((1+Economics!$B$3)^(J$3-$B$3)),"")</f>
        <v/>
      </c>
      <c r="K266" s="355" t="str">
        <f>IF(K$3&lt;=time,'Attributable fraction'!AJ210*(1+Economics!$B$4)^(K$3-$B$3)/((1+Economics!$B$3)^(K$3-$B$3)),"")</f>
        <v/>
      </c>
      <c r="L266" s="355" t="str">
        <f>IF(L$3&lt;=time,'Attributable fraction'!AK210*(1+Economics!$B$4)^(L$3-$B$3)/((1+Economics!$B$3)^(L$3-$B$3)),"")</f>
        <v/>
      </c>
      <c r="M266" s="355" t="str">
        <f>IF(M$3&lt;=time,'Attributable fraction'!AL210*(1+Economics!$B$4)^(M$3-$B$3)/((1+Economics!$B$3)^(M$3-$B$3)),"")</f>
        <v/>
      </c>
      <c r="N266" s="355" t="str">
        <f>IF(N$3&lt;=time,'Attributable fraction'!AM210*(1+Economics!$B$4)^(N$3-$B$3)/((1+Economics!$B$3)^(N$3-$B$3)),"")</f>
        <v/>
      </c>
      <c r="O266" s="355" t="str">
        <f>IF(O$3&lt;=time,'Attributable fraction'!AN210*(1+Economics!$B$4)^(O$3-$B$3)/((1+Economics!$B$3)^(O$3-$B$3)),"")</f>
        <v/>
      </c>
      <c r="P266" s="355" t="str">
        <f>IF(P$3&lt;=time,'Attributable fraction'!AO210*(1+Economics!$B$4)^(P$3-$B$3)/((1+Economics!$B$3)^(P$3-$B$3)),"")</f>
        <v/>
      </c>
      <c r="Q266" s="355" t="str">
        <f>IF(Q$3&lt;=time,'Attributable fraction'!AP210*(1+Economics!$B$4)^(Q$3-$B$3)/((1+Economics!$B$3)^(Q$3-$B$3)),"")</f>
        <v/>
      </c>
      <c r="R266" s="355" t="str">
        <f>IF(R$3&lt;=time,'Attributable fraction'!AQ210*(1+Economics!$B$4)^(R$3-$B$3)/((1+Economics!$B$3)^(R$3-$B$3)),"")</f>
        <v/>
      </c>
      <c r="S266" s="355" t="str">
        <f>IF(S$3&lt;=time,'Attributable fraction'!AR210*(1+Economics!$B$4)^(S$3-$B$3)/((1+Economics!$B$3)^(S$3-$B$3)),"")</f>
        <v/>
      </c>
      <c r="T266" s="355" t="str">
        <f>IF(T$3&lt;=time,'Attributable fraction'!AS210*(1+Economics!$B$4)^(T$3-$B$3)/((1+Economics!$B$3)^(T$3-$B$3)),"")</f>
        <v/>
      </c>
      <c r="U266" s="355" t="str">
        <f>IF(U$3&lt;=time,'Attributable fraction'!AT210*(1+Economics!$B$4)^(U$3-$B$3)/((1+Economics!$B$3)^(U$3-$B$3)),"")</f>
        <v/>
      </c>
      <c r="V266" s="355" t="str">
        <f>IF(V$3&lt;=time,'Attributable fraction'!AU210*(1+Economics!$B$4)^(V$3-$B$3)/((1+Economics!$B$3)^(V$3-$B$3)),"")</f>
        <v/>
      </c>
      <c r="W266" s="355" t="str">
        <f>IF(W$3&lt;=time,'Attributable fraction'!AV210*(1+Economics!$B$4)^(W$3-$B$3)/((1+Economics!$B$3)^(W$3-$B$3)),"")</f>
        <v/>
      </c>
      <c r="X266" s="355" t="str">
        <f>IF(X$3&lt;=time,'Attributable fraction'!AW210*(1+Economics!$B$4)^(X$3-$B$3)/((1+Economics!$B$3)^(X$3-$B$3)),"")</f>
        <v/>
      </c>
      <c r="Y266" s="355" t="str">
        <f>IF(Y$3&lt;=time,'Attributable fraction'!AX210*(1+Economics!$B$4)^(Y$3-$B$3)/((1+Economics!$B$3)^(Y$3-$B$3)),"")</f>
        <v/>
      </c>
      <c r="Z266" s="356" t="str">
        <f>IF(Z$3&lt;=time,'Attributable fraction'!AY210*(1+Economics!$B$4)^(Z$3-$B$3)/((1+Economics!$B$3)^(Z$3-$B$3)),"")</f>
        <v/>
      </c>
      <c r="AC266" s="142">
        <f t="shared" si="49"/>
        <v>0</v>
      </c>
      <c r="AE266" s="376">
        <v>8</v>
      </c>
      <c r="AF266" s="176" t="e">
        <f t="array" ref="AF266">STDEV(IF(B266:Z266&lt;&gt;0,B266:Z266))</f>
        <v>#DIV/0!</v>
      </c>
      <c r="AG266" s="176">
        <v>1.96</v>
      </c>
      <c r="AH266" s="176" t="e">
        <f t="shared" si="50"/>
        <v>#DIV/0!</v>
      </c>
      <c r="AI266" s="176">
        <f t="shared" si="51"/>
        <v>0</v>
      </c>
    </row>
    <row r="267" spans="1:35" hidden="1">
      <c r="A267" s="378" t="str">
        <f>Costs!A211</f>
        <v>Indirect Costs 9</v>
      </c>
      <c r="B267" s="355">
        <f>IF(B$3&lt;=time,'Attributable fraction'!AA211*(1+Economics!$B$4)^(B$3-$B$3)/((1+Economics!$B$3)^(B$3-$B$3)),"")</f>
        <v>0</v>
      </c>
      <c r="C267" s="355">
        <f>IF(C$3&lt;=time,'Attributable fraction'!AB211*(1+Economics!$B$4)^(C$3-$B$3)/((1+Economics!$B$3)^(C$3-$B$3)),"")</f>
        <v>0</v>
      </c>
      <c r="D267" s="355">
        <f>IF(D$3&lt;=time,'Attributable fraction'!AC211*(1+Economics!$B$4)^(D$3-$B$3)/((1+Economics!$B$3)^(D$3-$B$3)),"")</f>
        <v>0</v>
      </c>
      <c r="E267" s="355">
        <f>IF(E$3&lt;=time,'Attributable fraction'!AD211*(1+Economics!$B$4)^(E$3-$B$3)/((1+Economics!$B$3)^(E$3-$B$3)),"")</f>
        <v>0</v>
      </c>
      <c r="F267" s="355">
        <f>IF(F$3&lt;=time,'Attributable fraction'!AE211*(1+Economics!$B$4)^(F$3-$B$3)/((1+Economics!$B$3)^(F$3-$B$3)),"")</f>
        <v>0</v>
      </c>
      <c r="G267" s="355" t="str">
        <f>IF(G$3&lt;=time,'Attributable fraction'!AF211*(1+Economics!$B$4)^(G$3-$B$3)/((1+Economics!$B$3)^(G$3-$B$3)),"")</f>
        <v/>
      </c>
      <c r="H267" s="355" t="str">
        <f>IF(H$3&lt;=time,'Attributable fraction'!AG211*(1+Economics!$B$4)^(H$3-$B$3)/((1+Economics!$B$3)^(H$3-$B$3)),"")</f>
        <v/>
      </c>
      <c r="I267" s="355" t="str">
        <f>IF(I$3&lt;=time,'Attributable fraction'!AH211*(1+Economics!$B$4)^(I$3-$B$3)/((1+Economics!$B$3)^(I$3-$B$3)),"")</f>
        <v/>
      </c>
      <c r="J267" s="355" t="str">
        <f>IF(J$3&lt;=time,'Attributable fraction'!AI211*(1+Economics!$B$4)^(J$3-$B$3)/((1+Economics!$B$3)^(J$3-$B$3)),"")</f>
        <v/>
      </c>
      <c r="K267" s="355" t="str">
        <f>IF(K$3&lt;=time,'Attributable fraction'!AJ211*(1+Economics!$B$4)^(K$3-$B$3)/((1+Economics!$B$3)^(K$3-$B$3)),"")</f>
        <v/>
      </c>
      <c r="L267" s="355" t="str">
        <f>IF(L$3&lt;=time,'Attributable fraction'!AK211*(1+Economics!$B$4)^(L$3-$B$3)/((1+Economics!$B$3)^(L$3-$B$3)),"")</f>
        <v/>
      </c>
      <c r="M267" s="355" t="str">
        <f>IF(M$3&lt;=time,'Attributable fraction'!AL211*(1+Economics!$B$4)^(M$3-$B$3)/((1+Economics!$B$3)^(M$3-$B$3)),"")</f>
        <v/>
      </c>
      <c r="N267" s="355" t="str">
        <f>IF(N$3&lt;=time,'Attributable fraction'!AM211*(1+Economics!$B$4)^(N$3-$B$3)/((1+Economics!$B$3)^(N$3-$B$3)),"")</f>
        <v/>
      </c>
      <c r="O267" s="355" t="str">
        <f>IF(O$3&lt;=time,'Attributable fraction'!AN211*(1+Economics!$B$4)^(O$3-$B$3)/((1+Economics!$B$3)^(O$3-$B$3)),"")</f>
        <v/>
      </c>
      <c r="P267" s="355" t="str">
        <f>IF(P$3&lt;=time,'Attributable fraction'!AO211*(1+Economics!$B$4)^(P$3-$B$3)/((1+Economics!$B$3)^(P$3-$B$3)),"")</f>
        <v/>
      </c>
      <c r="Q267" s="355" t="str">
        <f>IF(Q$3&lt;=time,'Attributable fraction'!AP211*(1+Economics!$B$4)^(Q$3-$B$3)/((1+Economics!$B$3)^(Q$3-$B$3)),"")</f>
        <v/>
      </c>
      <c r="R267" s="355" t="str">
        <f>IF(R$3&lt;=time,'Attributable fraction'!AQ211*(1+Economics!$B$4)^(R$3-$B$3)/((1+Economics!$B$3)^(R$3-$B$3)),"")</f>
        <v/>
      </c>
      <c r="S267" s="355" t="str">
        <f>IF(S$3&lt;=time,'Attributable fraction'!AR211*(1+Economics!$B$4)^(S$3-$B$3)/((1+Economics!$B$3)^(S$3-$B$3)),"")</f>
        <v/>
      </c>
      <c r="T267" s="355" t="str">
        <f>IF(T$3&lt;=time,'Attributable fraction'!AS211*(1+Economics!$B$4)^(T$3-$B$3)/((1+Economics!$B$3)^(T$3-$B$3)),"")</f>
        <v/>
      </c>
      <c r="U267" s="355" t="str">
        <f>IF(U$3&lt;=time,'Attributable fraction'!AT211*(1+Economics!$B$4)^(U$3-$B$3)/((1+Economics!$B$3)^(U$3-$B$3)),"")</f>
        <v/>
      </c>
      <c r="V267" s="355" t="str">
        <f>IF(V$3&lt;=time,'Attributable fraction'!AU211*(1+Economics!$B$4)^(V$3-$B$3)/((1+Economics!$B$3)^(V$3-$B$3)),"")</f>
        <v/>
      </c>
      <c r="W267" s="355" t="str">
        <f>IF(W$3&lt;=time,'Attributable fraction'!AV211*(1+Economics!$B$4)^(W$3-$B$3)/((1+Economics!$B$3)^(W$3-$B$3)),"")</f>
        <v/>
      </c>
      <c r="X267" s="355" t="str">
        <f>IF(X$3&lt;=time,'Attributable fraction'!AW211*(1+Economics!$B$4)^(X$3-$B$3)/((1+Economics!$B$3)^(X$3-$B$3)),"")</f>
        <v/>
      </c>
      <c r="Y267" s="355" t="str">
        <f>IF(Y$3&lt;=time,'Attributable fraction'!AX211*(1+Economics!$B$4)^(Y$3-$B$3)/((1+Economics!$B$3)^(Y$3-$B$3)),"")</f>
        <v/>
      </c>
      <c r="Z267" s="356" t="str">
        <f>IF(Z$3&lt;=time,'Attributable fraction'!AY211*(1+Economics!$B$4)^(Z$3-$B$3)/((1+Economics!$B$3)^(Z$3-$B$3)),"")</f>
        <v/>
      </c>
      <c r="AC267" s="142">
        <f t="shared" si="49"/>
        <v>0</v>
      </c>
      <c r="AE267" s="376">
        <v>9</v>
      </c>
      <c r="AF267" s="176" t="e">
        <f t="array" ref="AF267">STDEV(IF(B267:Z267&lt;&gt;0,B267:Z267))</f>
        <v>#DIV/0!</v>
      </c>
      <c r="AG267" s="176">
        <v>1.96</v>
      </c>
      <c r="AH267" s="176" t="e">
        <f t="shared" si="50"/>
        <v>#DIV/0!</v>
      </c>
      <c r="AI267" s="176">
        <f t="shared" si="51"/>
        <v>0</v>
      </c>
    </row>
    <row r="268" spans="1:35" hidden="1">
      <c r="A268" s="378" t="str">
        <f>Costs!A212</f>
        <v>Indirect Costs 10</v>
      </c>
      <c r="B268" s="355">
        <f>IF(B$3&lt;=time,'Attributable fraction'!AA212*(1+Economics!$B$4)^(B$3-$B$3)/((1+Economics!$B$3)^(B$3-$B$3)),"")</f>
        <v>0</v>
      </c>
      <c r="C268" s="355">
        <f>IF(C$3&lt;=time,'Attributable fraction'!AB212*(1+Economics!$B$4)^(C$3-$B$3)/((1+Economics!$B$3)^(C$3-$B$3)),"")</f>
        <v>0</v>
      </c>
      <c r="D268" s="355">
        <f>IF(D$3&lt;=time,'Attributable fraction'!AC212*(1+Economics!$B$4)^(D$3-$B$3)/((1+Economics!$B$3)^(D$3-$B$3)),"")</f>
        <v>0</v>
      </c>
      <c r="E268" s="355">
        <f>IF(E$3&lt;=time,'Attributable fraction'!AD212*(1+Economics!$B$4)^(E$3-$B$3)/((1+Economics!$B$3)^(E$3-$B$3)),"")</f>
        <v>0</v>
      </c>
      <c r="F268" s="355">
        <f>IF(F$3&lt;=time,'Attributable fraction'!AE212*(1+Economics!$B$4)^(F$3-$B$3)/((1+Economics!$B$3)^(F$3-$B$3)),"")</f>
        <v>0</v>
      </c>
      <c r="G268" s="355" t="str">
        <f>IF(G$3&lt;=time,'Attributable fraction'!AF212*(1+Economics!$B$4)^(G$3-$B$3)/((1+Economics!$B$3)^(G$3-$B$3)),"")</f>
        <v/>
      </c>
      <c r="H268" s="355" t="str">
        <f>IF(H$3&lt;=time,'Attributable fraction'!AG212*(1+Economics!$B$4)^(H$3-$B$3)/((1+Economics!$B$3)^(H$3-$B$3)),"")</f>
        <v/>
      </c>
      <c r="I268" s="355" t="str">
        <f>IF(I$3&lt;=time,'Attributable fraction'!AH212*(1+Economics!$B$4)^(I$3-$B$3)/((1+Economics!$B$3)^(I$3-$B$3)),"")</f>
        <v/>
      </c>
      <c r="J268" s="355" t="str">
        <f>IF(J$3&lt;=time,'Attributable fraction'!AI212*(1+Economics!$B$4)^(J$3-$B$3)/((1+Economics!$B$3)^(J$3-$B$3)),"")</f>
        <v/>
      </c>
      <c r="K268" s="355" t="str">
        <f>IF(K$3&lt;=time,'Attributable fraction'!AJ212*(1+Economics!$B$4)^(K$3-$B$3)/((1+Economics!$B$3)^(K$3-$B$3)),"")</f>
        <v/>
      </c>
      <c r="L268" s="355" t="str">
        <f>IF(L$3&lt;=time,'Attributable fraction'!AK212*(1+Economics!$B$4)^(L$3-$B$3)/((1+Economics!$B$3)^(L$3-$B$3)),"")</f>
        <v/>
      </c>
      <c r="M268" s="355" t="str">
        <f>IF(M$3&lt;=time,'Attributable fraction'!AL212*(1+Economics!$B$4)^(M$3-$B$3)/((1+Economics!$B$3)^(M$3-$B$3)),"")</f>
        <v/>
      </c>
      <c r="N268" s="355" t="str">
        <f>IF(N$3&lt;=time,'Attributable fraction'!AM212*(1+Economics!$B$4)^(N$3-$B$3)/((1+Economics!$B$3)^(N$3-$B$3)),"")</f>
        <v/>
      </c>
      <c r="O268" s="355" t="str">
        <f>IF(O$3&lt;=time,'Attributable fraction'!AN212*(1+Economics!$B$4)^(O$3-$B$3)/((1+Economics!$B$3)^(O$3-$B$3)),"")</f>
        <v/>
      </c>
      <c r="P268" s="355" t="str">
        <f>IF(P$3&lt;=time,'Attributable fraction'!AO212*(1+Economics!$B$4)^(P$3-$B$3)/((1+Economics!$B$3)^(P$3-$B$3)),"")</f>
        <v/>
      </c>
      <c r="Q268" s="355" t="str">
        <f>IF(Q$3&lt;=time,'Attributable fraction'!AP212*(1+Economics!$B$4)^(Q$3-$B$3)/((1+Economics!$B$3)^(Q$3-$B$3)),"")</f>
        <v/>
      </c>
      <c r="R268" s="355" t="str">
        <f>IF(R$3&lt;=time,'Attributable fraction'!AQ212*(1+Economics!$B$4)^(R$3-$B$3)/((1+Economics!$B$3)^(R$3-$B$3)),"")</f>
        <v/>
      </c>
      <c r="S268" s="355" t="str">
        <f>IF(S$3&lt;=time,'Attributable fraction'!AR212*(1+Economics!$B$4)^(S$3-$B$3)/((1+Economics!$B$3)^(S$3-$B$3)),"")</f>
        <v/>
      </c>
      <c r="T268" s="355" t="str">
        <f>IF(T$3&lt;=time,'Attributable fraction'!AS212*(1+Economics!$B$4)^(T$3-$B$3)/((1+Economics!$B$3)^(T$3-$B$3)),"")</f>
        <v/>
      </c>
      <c r="U268" s="355" t="str">
        <f>IF(U$3&lt;=time,'Attributable fraction'!AT212*(1+Economics!$B$4)^(U$3-$B$3)/((1+Economics!$B$3)^(U$3-$B$3)),"")</f>
        <v/>
      </c>
      <c r="V268" s="355" t="str">
        <f>IF(V$3&lt;=time,'Attributable fraction'!AU212*(1+Economics!$B$4)^(V$3-$B$3)/((1+Economics!$B$3)^(V$3-$B$3)),"")</f>
        <v/>
      </c>
      <c r="W268" s="355" t="str">
        <f>IF(W$3&lt;=time,'Attributable fraction'!AV212*(1+Economics!$B$4)^(W$3-$B$3)/((1+Economics!$B$3)^(W$3-$B$3)),"")</f>
        <v/>
      </c>
      <c r="X268" s="355" t="str">
        <f>IF(X$3&lt;=time,'Attributable fraction'!AW212*(1+Economics!$B$4)^(X$3-$B$3)/((1+Economics!$B$3)^(X$3-$B$3)),"")</f>
        <v/>
      </c>
      <c r="Y268" s="355" t="str">
        <f>IF(Y$3&lt;=time,'Attributable fraction'!AX212*(1+Economics!$B$4)^(Y$3-$B$3)/((1+Economics!$B$3)^(Y$3-$B$3)),"")</f>
        <v/>
      </c>
      <c r="Z268" s="356" t="str">
        <f>IF(Z$3&lt;=time,'Attributable fraction'!AY212*(1+Economics!$B$4)^(Z$3-$B$3)/((1+Economics!$B$3)^(Z$3-$B$3)),"")</f>
        <v/>
      </c>
      <c r="AC268" s="142">
        <f t="shared" si="49"/>
        <v>0</v>
      </c>
      <c r="AE268" s="376">
        <v>10</v>
      </c>
      <c r="AF268" s="176" t="e">
        <f t="array" ref="AF268">STDEV(IF(B268:Z268&lt;&gt;0,B268:Z268))</f>
        <v>#DIV/0!</v>
      </c>
      <c r="AG268" s="176">
        <v>1.96</v>
      </c>
      <c r="AH268" s="176" t="e">
        <f t="shared" si="50"/>
        <v>#DIV/0!</v>
      </c>
      <c r="AI268" s="176">
        <f t="shared" si="51"/>
        <v>0</v>
      </c>
    </row>
    <row r="269" spans="1:35" s="196" customFormat="1" ht="18" hidden="1">
      <c r="A269" s="293" t="s">
        <v>219</v>
      </c>
      <c r="B269" s="358"/>
      <c r="C269" s="358"/>
      <c r="D269" s="358"/>
      <c r="E269" s="358"/>
      <c r="F269" s="358"/>
      <c r="G269" s="358"/>
      <c r="H269" s="358"/>
      <c r="I269" s="358"/>
      <c r="J269" s="358"/>
      <c r="K269" s="358"/>
      <c r="L269" s="358"/>
      <c r="M269" s="358"/>
      <c r="N269" s="358"/>
      <c r="O269" s="358"/>
      <c r="P269" s="358"/>
      <c r="Q269" s="358"/>
      <c r="R269" s="358"/>
      <c r="S269" s="358"/>
      <c r="T269" s="358"/>
      <c r="U269" s="358"/>
      <c r="V269" s="358"/>
      <c r="W269" s="358"/>
      <c r="X269" s="358"/>
      <c r="Y269" s="358"/>
      <c r="Z269" s="359"/>
      <c r="AB269" s="114"/>
      <c r="AD269" s="114"/>
    </row>
    <row r="270" spans="1:35" hidden="1">
      <c r="A270" s="378" t="str">
        <f>Costs!A214</f>
        <v>Intangible Costs 1</v>
      </c>
      <c r="B270" s="355">
        <f>IF(B$3&lt;=time,'Attributable fraction'!AA214*(1+Economics!$B$4)^(B$3-$B$3)/((1+Economics!$B$3)^(B$3-$B$3)),"")</f>
        <v>0</v>
      </c>
      <c r="C270" s="355">
        <f>IF(C$3&lt;=time,'Attributable fraction'!AB214*(1+Economics!$B$4)^(C$3-$B$3)/((1+Economics!$B$3)^(C$3-$B$3)),"")</f>
        <v>0</v>
      </c>
      <c r="D270" s="355">
        <f>IF(D$3&lt;=time,'Attributable fraction'!AC214*(1+Economics!$B$4)^(D$3-$B$3)/((1+Economics!$B$3)^(D$3-$B$3)),"")</f>
        <v>0</v>
      </c>
      <c r="E270" s="355">
        <f>IF(E$3&lt;=time,'Attributable fraction'!AD214*(1+Economics!$B$4)^(E$3-$B$3)/((1+Economics!$B$3)^(E$3-$B$3)),"")</f>
        <v>0</v>
      </c>
      <c r="F270" s="355">
        <f>IF(F$3&lt;=time,'Attributable fraction'!AE214*(1+Economics!$B$4)^(F$3-$B$3)/((1+Economics!$B$3)^(F$3-$B$3)),"")</f>
        <v>0</v>
      </c>
      <c r="G270" s="355" t="str">
        <f>IF(G$3&lt;=time,'Attributable fraction'!AF214*(1+Economics!$B$4)^(G$3-$B$3)/((1+Economics!$B$3)^(G$3-$B$3)),"")</f>
        <v/>
      </c>
      <c r="H270" s="355" t="str">
        <f>IF(H$3&lt;=time,'Attributable fraction'!AG214*(1+Economics!$B$4)^(H$3-$B$3)/((1+Economics!$B$3)^(H$3-$B$3)),"")</f>
        <v/>
      </c>
      <c r="I270" s="355" t="str">
        <f>IF(I$3&lt;=time,'Attributable fraction'!AH214*(1+Economics!$B$4)^(I$3-$B$3)/((1+Economics!$B$3)^(I$3-$B$3)),"")</f>
        <v/>
      </c>
      <c r="J270" s="355" t="str">
        <f>IF(J$3&lt;=time,'Attributable fraction'!AI214*(1+Economics!$B$4)^(J$3-$B$3)/((1+Economics!$B$3)^(J$3-$B$3)),"")</f>
        <v/>
      </c>
      <c r="K270" s="355" t="str">
        <f>IF(K$3&lt;=time,'Attributable fraction'!AJ214*(1+Economics!$B$4)^(K$3-$B$3)/((1+Economics!$B$3)^(K$3-$B$3)),"")</f>
        <v/>
      </c>
      <c r="L270" s="355" t="str">
        <f>IF(L$3&lt;=time,'Attributable fraction'!AK214*(1+Economics!$B$4)^(L$3-$B$3)/((1+Economics!$B$3)^(L$3-$B$3)),"")</f>
        <v/>
      </c>
      <c r="M270" s="355" t="str">
        <f>IF(M$3&lt;=time,'Attributable fraction'!AL214*(1+Economics!$B$4)^(M$3-$B$3)/((1+Economics!$B$3)^(M$3-$B$3)),"")</f>
        <v/>
      </c>
      <c r="N270" s="355" t="str">
        <f>IF(N$3&lt;=time,'Attributable fraction'!AM214*(1+Economics!$B$4)^(N$3-$B$3)/((1+Economics!$B$3)^(N$3-$B$3)),"")</f>
        <v/>
      </c>
      <c r="O270" s="355" t="str">
        <f>IF(O$3&lt;=time,'Attributable fraction'!AN214*(1+Economics!$B$4)^(O$3-$B$3)/((1+Economics!$B$3)^(O$3-$B$3)),"")</f>
        <v/>
      </c>
      <c r="P270" s="355" t="str">
        <f>IF(P$3&lt;=time,'Attributable fraction'!AO214*(1+Economics!$B$4)^(P$3-$B$3)/((1+Economics!$B$3)^(P$3-$B$3)),"")</f>
        <v/>
      </c>
      <c r="Q270" s="355" t="str">
        <f>IF(Q$3&lt;=time,'Attributable fraction'!AP214*(1+Economics!$B$4)^(Q$3-$B$3)/((1+Economics!$B$3)^(Q$3-$B$3)),"")</f>
        <v/>
      </c>
      <c r="R270" s="355" t="str">
        <f>IF(R$3&lt;=time,'Attributable fraction'!AQ214*(1+Economics!$B$4)^(R$3-$B$3)/((1+Economics!$B$3)^(R$3-$B$3)),"")</f>
        <v/>
      </c>
      <c r="S270" s="355" t="str">
        <f>IF(S$3&lt;=time,'Attributable fraction'!AR214*(1+Economics!$B$4)^(S$3-$B$3)/((1+Economics!$B$3)^(S$3-$B$3)),"")</f>
        <v/>
      </c>
      <c r="T270" s="355" t="str">
        <f>IF(T$3&lt;=time,'Attributable fraction'!AS214*(1+Economics!$B$4)^(T$3-$B$3)/((1+Economics!$B$3)^(T$3-$B$3)),"")</f>
        <v/>
      </c>
      <c r="U270" s="355" t="str">
        <f>IF(U$3&lt;=time,'Attributable fraction'!AT214*(1+Economics!$B$4)^(U$3-$B$3)/((1+Economics!$B$3)^(U$3-$B$3)),"")</f>
        <v/>
      </c>
      <c r="V270" s="355" t="str">
        <f>IF(V$3&lt;=time,'Attributable fraction'!AU214*(1+Economics!$B$4)^(V$3-$B$3)/((1+Economics!$B$3)^(V$3-$B$3)),"")</f>
        <v/>
      </c>
      <c r="W270" s="355" t="str">
        <f>IF(W$3&lt;=time,'Attributable fraction'!AV214*(1+Economics!$B$4)^(W$3-$B$3)/((1+Economics!$B$3)^(W$3-$B$3)),"")</f>
        <v/>
      </c>
      <c r="X270" s="355" t="str">
        <f>IF(X$3&lt;=time,'Attributable fraction'!AW214*(1+Economics!$B$4)^(X$3-$B$3)/((1+Economics!$B$3)^(X$3-$B$3)),"")</f>
        <v/>
      </c>
      <c r="Y270" s="355" t="str">
        <f>IF(Y$3&lt;=time,'Attributable fraction'!AX214*(1+Economics!$B$4)^(Y$3-$B$3)/((1+Economics!$B$3)^(Y$3-$B$3)),"")</f>
        <v/>
      </c>
      <c r="Z270" s="356" t="str">
        <f>IF(Z$3&lt;=time,'Attributable fraction'!AY214*(1+Economics!$B$4)^(Z$3-$B$3)/((1+Economics!$B$3)^(Z$3-$B$3)),"")</f>
        <v/>
      </c>
      <c r="AC270" s="142">
        <f t="shared" ref="AC270:AC279" si="52">(SUM(IF(ISERROR(Z270),"0",Z270),IF(ISERROR(Y270),"0",Y270),IF(ISERROR(X270),"0",X270),IF(ISERROR(W270),"0",W270),IF(ISERROR(V270),"0",V270),IF(ISERROR(U270),"0",U270),IF(ISERROR(T270),"0",T270),IF(ISERROR(S270),"0",S270),IF(ISERROR(R270),"0",R270),IF(ISERROR(Q270),"0",Q270), IF(ISERROR(P270),"0",P270),IF(ISERROR(O270),"0",O270),IF(ISERROR(N270),"0",N270),IF(ISERROR(M270),"0",M270),IF(ISERROR(L270),"0",L270),IF(ISERROR(K270),"0",K270),IF(ISERROR(J270),"0",J270),IF(ISERROR(I270),"0",I270),IF(ISERROR(H270),"0",H270),IF(ISERROR(G270),"0",G270),IF(ISERROR(F270),"0",F270),IF(ISERROR(E270),"0",E270),IF(ISERROR(D270),"0",D270),IF(ISERROR(C270),"0",C270),IF(ISERROR(B270),"0",B270)))/time</f>
        <v>0</v>
      </c>
      <c r="AE270" s="375">
        <v>1</v>
      </c>
      <c r="AF270" s="176" t="e">
        <f t="array" ref="AF270">STDEV(IF(B270:Z270&lt;&gt;0,B270:Z270))</f>
        <v>#DIV/0!</v>
      </c>
      <c r="AG270" s="176">
        <v>1.96</v>
      </c>
      <c r="AH270" s="176" t="e">
        <f t="shared" ref="AH270:AH279" si="53">(AG270*AF270)/(time^0.5)</f>
        <v>#DIV/0!</v>
      </c>
      <c r="AI270" s="176">
        <f t="shared" si="51"/>
        <v>0</v>
      </c>
    </row>
    <row r="271" spans="1:35" hidden="1">
      <c r="A271" s="378" t="str">
        <f>Costs!A215</f>
        <v>Intangible Costs 2</v>
      </c>
      <c r="B271" s="355">
        <f>IF(B$3&lt;=time,'Attributable fraction'!AA215*(1+Economics!$B$4)^(B$3-$B$3)/((1+Economics!$B$3)^(B$3-$B$3)),"")</f>
        <v>0</v>
      </c>
      <c r="C271" s="355">
        <f>IF(C$3&lt;=time,'Attributable fraction'!AB215*(1+Economics!$B$4)^(C$3-$B$3)/((1+Economics!$B$3)^(C$3-$B$3)),"")</f>
        <v>0</v>
      </c>
      <c r="D271" s="355">
        <f>IF(D$3&lt;=time,'Attributable fraction'!AC215*(1+Economics!$B$4)^(D$3-$B$3)/((1+Economics!$B$3)^(D$3-$B$3)),"")</f>
        <v>0</v>
      </c>
      <c r="E271" s="355">
        <f>IF(E$3&lt;=time,'Attributable fraction'!AD215*(1+Economics!$B$4)^(E$3-$B$3)/((1+Economics!$B$3)^(E$3-$B$3)),"")</f>
        <v>0</v>
      </c>
      <c r="F271" s="355">
        <f>IF(F$3&lt;=time,'Attributable fraction'!AE215*(1+Economics!$B$4)^(F$3-$B$3)/((1+Economics!$B$3)^(F$3-$B$3)),"")</f>
        <v>0</v>
      </c>
      <c r="G271" s="355" t="str">
        <f>IF(G$3&lt;=time,'Attributable fraction'!AF215*(1+Economics!$B$4)^(G$3-$B$3)/((1+Economics!$B$3)^(G$3-$B$3)),"")</f>
        <v/>
      </c>
      <c r="H271" s="355" t="str">
        <f>IF(H$3&lt;=time,'Attributable fraction'!AG215*(1+Economics!$B$4)^(H$3-$B$3)/((1+Economics!$B$3)^(H$3-$B$3)),"")</f>
        <v/>
      </c>
      <c r="I271" s="355" t="str">
        <f>IF(I$3&lt;=time,'Attributable fraction'!AH215*(1+Economics!$B$4)^(I$3-$B$3)/((1+Economics!$B$3)^(I$3-$B$3)),"")</f>
        <v/>
      </c>
      <c r="J271" s="355" t="str">
        <f>IF(J$3&lt;=time,'Attributable fraction'!AI215*(1+Economics!$B$4)^(J$3-$B$3)/((1+Economics!$B$3)^(J$3-$B$3)),"")</f>
        <v/>
      </c>
      <c r="K271" s="355" t="str">
        <f>IF(K$3&lt;=time,'Attributable fraction'!AJ215*(1+Economics!$B$4)^(K$3-$B$3)/((1+Economics!$B$3)^(K$3-$B$3)),"")</f>
        <v/>
      </c>
      <c r="L271" s="355" t="str">
        <f>IF(L$3&lt;=time,'Attributable fraction'!AK215*(1+Economics!$B$4)^(L$3-$B$3)/((1+Economics!$B$3)^(L$3-$B$3)),"")</f>
        <v/>
      </c>
      <c r="M271" s="355" t="str">
        <f>IF(M$3&lt;=time,'Attributable fraction'!AL215*(1+Economics!$B$4)^(M$3-$B$3)/((1+Economics!$B$3)^(M$3-$B$3)),"")</f>
        <v/>
      </c>
      <c r="N271" s="355" t="str">
        <f>IF(N$3&lt;=time,'Attributable fraction'!AM215*(1+Economics!$B$4)^(N$3-$B$3)/((1+Economics!$B$3)^(N$3-$B$3)),"")</f>
        <v/>
      </c>
      <c r="O271" s="355" t="str">
        <f>IF(O$3&lt;=time,'Attributable fraction'!AN215*(1+Economics!$B$4)^(O$3-$B$3)/((1+Economics!$B$3)^(O$3-$B$3)),"")</f>
        <v/>
      </c>
      <c r="P271" s="355" t="str">
        <f>IF(P$3&lt;=time,'Attributable fraction'!AO215*(1+Economics!$B$4)^(P$3-$B$3)/((1+Economics!$B$3)^(P$3-$B$3)),"")</f>
        <v/>
      </c>
      <c r="Q271" s="355" t="str">
        <f>IF(Q$3&lt;=time,'Attributable fraction'!AP215*(1+Economics!$B$4)^(Q$3-$B$3)/((1+Economics!$B$3)^(Q$3-$B$3)),"")</f>
        <v/>
      </c>
      <c r="R271" s="355" t="str">
        <f>IF(R$3&lt;=time,'Attributable fraction'!AQ215*(1+Economics!$B$4)^(R$3-$B$3)/((1+Economics!$B$3)^(R$3-$B$3)),"")</f>
        <v/>
      </c>
      <c r="S271" s="355" t="str">
        <f>IF(S$3&lt;=time,'Attributable fraction'!AR215*(1+Economics!$B$4)^(S$3-$B$3)/((1+Economics!$B$3)^(S$3-$B$3)),"")</f>
        <v/>
      </c>
      <c r="T271" s="355" t="str">
        <f>IF(T$3&lt;=time,'Attributable fraction'!AS215*(1+Economics!$B$4)^(T$3-$B$3)/((1+Economics!$B$3)^(T$3-$B$3)),"")</f>
        <v/>
      </c>
      <c r="U271" s="355" t="str">
        <f>IF(U$3&lt;=time,'Attributable fraction'!AT215*(1+Economics!$B$4)^(U$3-$B$3)/((1+Economics!$B$3)^(U$3-$B$3)),"")</f>
        <v/>
      </c>
      <c r="V271" s="355" t="str">
        <f>IF(V$3&lt;=time,'Attributable fraction'!AU215*(1+Economics!$B$4)^(V$3-$B$3)/((1+Economics!$B$3)^(V$3-$B$3)),"")</f>
        <v/>
      </c>
      <c r="W271" s="355" t="str">
        <f>IF(W$3&lt;=time,'Attributable fraction'!AV215*(1+Economics!$B$4)^(W$3-$B$3)/((1+Economics!$B$3)^(W$3-$B$3)),"")</f>
        <v/>
      </c>
      <c r="X271" s="355" t="str">
        <f>IF(X$3&lt;=time,'Attributable fraction'!AW215*(1+Economics!$B$4)^(X$3-$B$3)/((1+Economics!$B$3)^(X$3-$B$3)),"")</f>
        <v/>
      </c>
      <c r="Y271" s="355" t="str">
        <f>IF(Y$3&lt;=time,'Attributable fraction'!AX215*(1+Economics!$B$4)^(Y$3-$B$3)/((1+Economics!$B$3)^(Y$3-$B$3)),"")</f>
        <v/>
      </c>
      <c r="Z271" s="356" t="str">
        <f>IF(Z$3&lt;=time,'Attributable fraction'!AY215*(1+Economics!$B$4)^(Z$3-$B$3)/((1+Economics!$B$3)^(Z$3-$B$3)),"")</f>
        <v/>
      </c>
      <c r="AC271" s="142">
        <f t="shared" si="52"/>
        <v>0</v>
      </c>
      <c r="AE271" s="376">
        <v>2</v>
      </c>
      <c r="AF271" s="176" t="e">
        <f t="array" ref="AF271">STDEV(IF(B271:Z271&lt;&gt;0,B271:Z271))</f>
        <v>#DIV/0!</v>
      </c>
      <c r="AG271" s="176">
        <v>1.96</v>
      </c>
      <c r="AH271" s="176" t="e">
        <f t="shared" si="53"/>
        <v>#DIV/0!</v>
      </c>
      <c r="AI271" s="176">
        <f t="shared" si="51"/>
        <v>0</v>
      </c>
    </row>
    <row r="272" spans="1:35" hidden="1">
      <c r="A272" s="378" t="str">
        <f>Costs!A216</f>
        <v>Intangible Costs 3</v>
      </c>
      <c r="B272" s="355">
        <f>IF(B$3&lt;=time,'Attributable fraction'!AA216*(1+Economics!$B$4)^(B$3-$B$3)/((1+Economics!$B$3)^(B$3-$B$3)),"")</f>
        <v>0</v>
      </c>
      <c r="C272" s="355">
        <f>IF(C$3&lt;=time,'Attributable fraction'!AB216*(1+Economics!$B$4)^(C$3-$B$3)/((1+Economics!$B$3)^(C$3-$B$3)),"")</f>
        <v>0</v>
      </c>
      <c r="D272" s="355">
        <f>IF(D$3&lt;=time,'Attributable fraction'!AC216*(1+Economics!$B$4)^(D$3-$B$3)/((1+Economics!$B$3)^(D$3-$B$3)),"")</f>
        <v>0</v>
      </c>
      <c r="E272" s="355">
        <f>IF(E$3&lt;=time,'Attributable fraction'!AD216*(1+Economics!$B$4)^(E$3-$B$3)/((1+Economics!$B$3)^(E$3-$B$3)),"")</f>
        <v>0</v>
      </c>
      <c r="F272" s="355">
        <f>IF(F$3&lt;=time,'Attributable fraction'!AE216*(1+Economics!$B$4)^(F$3-$B$3)/((1+Economics!$B$3)^(F$3-$B$3)),"")</f>
        <v>0</v>
      </c>
      <c r="G272" s="355" t="str">
        <f>IF(G$3&lt;=time,'Attributable fraction'!AF216*(1+Economics!$B$4)^(G$3-$B$3)/((1+Economics!$B$3)^(G$3-$B$3)),"")</f>
        <v/>
      </c>
      <c r="H272" s="355" t="str">
        <f>IF(H$3&lt;=time,'Attributable fraction'!AG216*(1+Economics!$B$4)^(H$3-$B$3)/((1+Economics!$B$3)^(H$3-$B$3)),"")</f>
        <v/>
      </c>
      <c r="I272" s="355" t="str">
        <f>IF(I$3&lt;=time,'Attributable fraction'!AH216*(1+Economics!$B$4)^(I$3-$B$3)/((1+Economics!$B$3)^(I$3-$B$3)),"")</f>
        <v/>
      </c>
      <c r="J272" s="355" t="str">
        <f>IF(J$3&lt;=time,'Attributable fraction'!AI216*(1+Economics!$B$4)^(J$3-$B$3)/((1+Economics!$B$3)^(J$3-$B$3)),"")</f>
        <v/>
      </c>
      <c r="K272" s="355" t="str">
        <f>IF(K$3&lt;=time,'Attributable fraction'!AJ216*(1+Economics!$B$4)^(K$3-$B$3)/((1+Economics!$B$3)^(K$3-$B$3)),"")</f>
        <v/>
      </c>
      <c r="L272" s="355" t="str">
        <f>IF(L$3&lt;=time,'Attributable fraction'!AK216*(1+Economics!$B$4)^(L$3-$B$3)/((1+Economics!$B$3)^(L$3-$B$3)),"")</f>
        <v/>
      </c>
      <c r="M272" s="355" t="str">
        <f>IF(M$3&lt;=time,'Attributable fraction'!AL216*(1+Economics!$B$4)^(M$3-$B$3)/((1+Economics!$B$3)^(M$3-$B$3)),"")</f>
        <v/>
      </c>
      <c r="N272" s="355" t="str">
        <f>IF(N$3&lt;=time,'Attributable fraction'!AM216*(1+Economics!$B$4)^(N$3-$B$3)/((1+Economics!$B$3)^(N$3-$B$3)),"")</f>
        <v/>
      </c>
      <c r="O272" s="355" t="str">
        <f>IF(O$3&lt;=time,'Attributable fraction'!AN216*(1+Economics!$B$4)^(O$3-$B$3)/((1+Economics!$B$3)^(O$3-$B$3)),"")</f>
        <v/>
      </c>
      <c r="P272" s="355" t="str">
        <f>IF(P$3&lt;=time,'Attributable fraction'!AO216*(1+Economics!$B$4)^(P$3-$B$3)/((1+Economics!$B$3)^(P$3-$B$3)),"")</f>
        <v/>
      </c>
      <c r="Q272" s="355" t="str">
        <f>IF(Q$3&lt;=time,'Attributable fraction'!AP216*(1+Economics!$B$4)^(Q$3-$B$3)/((1+Economics!$B$3)^(Q$3-$B$3)),"")</f>
        <v/>
      </c>
      <c r="R272" s="355" t="str">
        <f>IF(R$3&lt;=time,'Attributable fraction'!AQ216*(1+Economics!$B$4)^(R$3-$B$3)/((1+Economics!$B$3)^(R$3-$B$3)),"")</f>
        <v/>
      </c>
      <c r="S272" s="355" t="str">
        <f>IF(S$3&lt;=time,'Attributable fraction'!AR216*(1+Economics!$B$4)^(S$3-$B$3)/((1+Economics!$B$3)^(S$3-$B$3)),"")</f>
        <v/>
      </c>
      <c r="T272" s="355" t="str">
        <f>IF(T$3&lt;=time,'Attributable fraction'!AS216*(1+Economics!$B$4)^(T$3-$B$3)/((1+Economics!$B$3)^(T$3-$B$3)),"")</f>
        <v/>
      </c>
      <c r="U272" s="355" t="str">
        <f>IF(U$3&lt;=time,'Attributable fraction'!AT216*(1+Economics!$B$4)^(U$3-$B$3)/((1+Economics!$B$3)^(U$3-$B$3)),"")</f>
        <v/>
      </c>
      <c r="V272" s="355" t="str">
        <f>IF(V$3&lt;=time,'Attributable fraction'!AU216*(1+Economics!$B$4)^(V$3-$B$3)/((1+Economics!$B$3)^(V$3-$B$3)),"")</f>
        <v/>
      </c>
      <c r="W272" s="355" t="str">
        <f>IF(W$3&lt;=time,'Attributable fraction'!AV216*(1+Economics!$B$4)^(W$3-$B$3)/((1+Economics!$B$3)^(W$3-$B$3)),"")</f>
        <v/>
      </c>
      <c r="X272" s="355" t="str">
        <f>IF(X$3&lt;=time,'Attributable fraction'!AW216*(1+Economics!$B$4)^(X$3-$B$3)/((1+Economics!$B$3)^(X$3-$B$3)),"")</f>
        <v/>
      </c>
      <c r="Y272" s="355" t="str">
        <f>IF(Y$3&lt;=time,'Attributable fraction'!AX216*(1+Economics!$B$4)^(Y$3-$B$3)/((1+Economics!$B$3)^(Y$3-$B$3)),"")</f>
        <v/>
      </c>
      <c r="Z272" s="356" t="str">
        <f>IF(Z$3&lt;=time,'Attributable fraction'!AY216*(1+Economics!$B$4)^(Z$3-$B$3)/((1+Economics!$B$3)^(Z$3-$B$3)),"")</f>
        <v/>
      </c>
      <c r="AC272" s="142">
        <f t="shared" si="52"/>
        <v>0</v>
      </c>
      <c r="AE272" s="376">
        <v>3</v>
      </c>
      <c r="AF272" s="176" t="e">
        <f t="array" ref="AF272">STDEV(IF(B272:Z272&lt;&gt;0,B272:Z272))</f>
        <v>#DIV/0!</v>
      </c>
      <c r="AG272" s="176">
        <v>1.96</v>
      </c>
      <c r="AH272" s="176" t="e">
        <f t="shared" si="53"/>
        <v>#DIV/0!</v>
      </c>
      <c r="AI272" s="176">
        <f t="shared" si="51"/>
        <v>0</v>
      </c>
    </row>
    <row r="273" spans="1:35" hidden="1">
      <c r="A273" s="378" t="str">
        <f>Costs!A217</f>
        <v>Intangible Costs 4</v>
      </c>
      <c r="B273" s="355">
        <f>IF(B$3&lt;=time,'Attributable fraction'!AA217*(1+Economics!$B$4)^(B$3-$B$3)/((1+Economics!$B$3)^(B$3-$B$3)),"")</f>
        <v>0</v>
      </c>
      <c r="C273" s="355">
        <f>IF(C$3&lt;=time,'Attributable fraction'!AB217*(1+Economics!$B$4)^(C$3-$B$3)/((1+Economics!$B$3)^(C$3-$B$3)),"")</f>
        <v>0</v>
      </c>
      <c r="D273" s="355">
        <f>IF(D$3&lt;=time,'Attributable fraction'!AC217*(1+Economics!$B$4)^(D$3-$B$3)/((1+Economics!$B$3)^(D$3-$B$3)),"")</f>
        <v>0</v>
      </c>
      <c r="E273" s="355">
        <f>IF(E$3&lt;=time,'Attributable fraction'!AD217*(1+Economics!$B$4)^(E$3-$B$3)/((1+Economics!$B$3)^(E$3-$B$3)),"")</f>
        <v>0</v>
      </c>
      <c r="F273" s="355">
        <f>IF(F$3&lt;=time,'Attributable fraction'!AE217*(1+Economics!$B$4)^(F$3-$B$3)/((1+Economics!$B$3)^(F$3-$B$3)),"")</f>
        <v>0</v>
      </c>
      <c r="G273" s="355" t="str">
        <f>IF(G$3&lt;=time,'Attributable fraction'!AF217*(1+Economics!$B$4)^(G$3-$B$3)/((1+Economics!$B$3)^(G$3-$B$3)),"")</f>
        <v/>
      </c>
      <c r="H273" s="355" t="str">
        <f>IF(H$3&lt;=time,'Attributable fraction'!AG217*(1+Economics!$B$4)^(H$3-$B$3)/((1+Economics!$B$3)^(H$3-$B$3)),"")</f>
        <v/>
      </c>
      <c r="I273" s="355" t="str">
        <f>IF(I$3&lt;=time,'Attributable fraction'!AH217*(1+Economics!$B$4)^(I$3-$B$3)/((1+Economics!$B$3)^(I$3-$B$3)),"")</f>
        <v/>
      </c>
      <c r="J273" s="355" t="str">
        <f>IF(J$3&lt;=time,'Attributable fraction'!AI217*(1+Economics!$B$4)^(J$3-$B$3)/((1+Economics!$B$3)^(J$3-$B$3)),"")</f>
        <v/>
      </c>
      <c r="K273" s="355" t="str">
        <f>IF(K$3&lt;=time,'Attributable fraction'!AJ217*(1+Economics!$B$4)^(K$3-$B$3)/((1+Economics!$B$3)^(K$3-$B$3)),"")</f>
        <v/>
      </c>
      <c r="L273" s="355" t="str">
        <f>IF(L$3&lt;=time,'Attributable fraction'!AK217*(1+Economics!$B$4)^(L$3-$B$3)/((1+Economics!$B$3)^(L$3-$B$3)),"")</f>
        <v/>
      </c>
      <c r="M273" s="355" t="str">
        <f>IF(M$3&lt;=time,'Attributable fraction'!AL217*(1+Economics!$B$4)^(M$3-$B$3)/((1+Economics!$B$3)^(M$3-$B$3)),"")</f>
        <v/>
      </c>
      <c r="N273" s="355" t="str">
        <f>IF(N$3&lt;=time,'Attributable fraction'!AM217*(1+Economics!$B$4)^(N$3-$B$3)/((1+Economics!$B$3)^(N$3-$B$3)),"")</f>
        <v/>
      </c>
      <c r="O273" s="355" t="str">
        <f>IF(O$3&lt;=time,'Attributable fraction'!AN217*(1+Economics!$B$4)^(O$3-$B$3)/((1+Economics!$B$3)^(O$3-$B$3)),"")</f>
        <v/>
      </c>
      <c r="P273" s="355" t="str">
        <f>IF(P$3&lt;=time,'Attributable fraction'!AO217*(1+Economics!$B$4)^(P$3-$B$3)/((1+Economics!$B$3)^(P$3-$B$3)),"")</f>
        <v/>
      </c>
      <c r="Q273" s="355" t="str">
        <f>IF(Q$3&lt;=time,'Attributable fraction'!AP217*(1+Economics!$B$4)^(Q$3-$B$3)/((1+Economics!$B$3)^(Q$3-$B$3)),"")</f>
        <v/>
      </c>
      <c r="R273" s="355" t="str">
        <f>IF(R$3&lt;=time,'Attributable fraction'!AQ217*(1+Economics!$B$4)^(R$3-$B$3)/((1+Economics!$B$3)^(R$3-$B$3)),"")</f>
        <v/>
      </c>
      <c r="S273" s="355" t="str">
        <f>IF(S$3&lt;=time,'Attributable fraction'!AR217*(1+Economics!$B$4)^(S$3-$B$3)/((1+Economics!$B$3)^(S$3-$B$3)),"")</f>
        <v/>
      </c>
      <c r="T273" s="355" t="str">
        <f>IF(T$3&lt;=time,'Attributable fraction'!AS217*(1+Economics!$B$4)^(T$3-$B$3)/((1+Economics!$B$3)^(T$3-$B$3)),"")</f>
        <v/>
      </c>
      <c r="U273" s="355" t="str">
        <f>IF(U$3&lt;=time,'Attributable fraction'!AT217*(1+Economics!$B$4)^(U$3-$B$3)/((1+Economics!$B$3)^(U$3-$B$3)),"")</f>
        <v/>
      </c>
      <c r="V273" s="355" t="str">
        <f>IF(V$3&lt;=time,'Attributable fraction'!AU217*(1+Economics!$B$4)^(V$3-$B$3)/((1+Economics!$B$3)^(V$3-$B$3)),"")</f>
        <v/>
      </c>
      <c r="W273" s="355" t="str">
        <f>IF(W$3&lt;=time,'Attributable fraction'!AV217*(1+Economics!$B$4)^(W$3-$B$3)/((1+Economics!$B$3)^(W$3-$B$3)),"")</f>
        <v/>
      </c>
      <c r="X273" s="355" t="str">
        <f>IF(X$3&lt;=time,'Attributable fraction'!AW217*(1+Economics!$B$4)^(X$3-$B$3)/((1+Economics!$B$3)^(X$3-$B$3)),"")</f>
        <v/>
      </c>
      <c r="Y273" s="355" t="str">
        <f>IF(Y$3&lt;=time,'Attributable fraction'!AX217*(1+Economics!$B$4)^(Y$3-$B$3)/((1+Economics!$B$3)^(Y$3-$B$3)),"")</f>
        <v/>
      </c>
      <c r="Z273" s="356" t="str">
        <f>IF(Z$3&lt;=time,'Attributable fraction'!AY217*(1+Economics!$B$4)^(Z$3-$B$3)/((1+Economics!$B$3)^(Z$3-$B$3)),"")</f>
        <v/>
      </c>
      <c r="AC273" s="142">
        <f t="shared" si="52"/>
        <v>0</v>
      </c>
      <c r="AE273" s="376">
        <v>4</v>
      </c>
      <c r="AF273" s="176" t="e">
        <f t="array" ref="AF273">STDEV(IF(B273:Z273&lt;&gt;0,B273:Z273))</f>
        <v>#DIV/0!</v>
      </c>
      <c r="AG273" s="176">
        <v>1.96</v>
      </c>
      <c r="AH273" s="176" t="e">
        <f t="shared" si="53"/>
        <v>#DIV/0!</v>
      </c>
      <c r="AI273" s="176">
        <f t="shared" si="51"/>
        <v>0</v>
      </c>
    </row>
    <row r="274" spans="1:35" hidden="1">
      <c r="A274" s="378" t="str">
        <f>Costs!A218</f>
        <v>Intangible Costs 5</v>
      </c>
      <c r="B274" s="355">
        <f>IF(B$3&lt;=time,'Attributable fraction'!AA218*(1+Economics!$B$4)^(B$3-$B$3)/((1+Economics!$B$3)^(B$3-$B$3)),"")</f>
        <v>0</v>
      </c>
      <c r="C274" s="355">
        <f>IF(C$3&lt;=time,'Attributable fraction'!AB218*(1+Economics!$B$4)^(C$3-$B$3)/((1+Economics!$B$3)^(C$3-$B$3)),"")</f>
        <v>0</v>
      </c>
      <c r="D274" s="355">
        <f>IF(D$3&lt;=time,'Attributable fraction'!AC218*(1+Economics!$B$4)^(D$3-$B$3)/((1+Economics!$B$3)^(D$3-$B$3)),"")</f>
        <v>0</v>
      </c>
      <c r="E274" s="355">
        <f>IF(E$3&lt;=time,'Attributable fraction'!AD218*(1+Economics!$B$4)^(E$3-$B$3)/((1+Economics!$B$3)^(E$3-$B$3)),"")</f>
        <v>0</v>
      </c>
      <c r="F274" s="355">
        <f>IF(F$3&lt;=time,'Attributable fraction'!AE218*(1+Economics!$B$4)^(F$3-$B$3)/((1+Economics!$B$3)^(F$3-$B$3)),"")</f>
        <v>0</v>
      </c>
      <c r="G274" s="355" t="str">
        <f>IF(G$3&lt;=time,'Attributable fraction'!AF218*(1+Economics!$B$4)^(G$3-$B$3)/((1+Economics!$B$3)^(G$3-$B$3)),"")</f>
        <v/>
      </c>
      <c r="H274" s="355" t="str">
        <f>IF(H$3&lt;=time,'Attributable fraction'!AG218*(1+Economics!$B$4)^(H$3-$B$3)/((1+Economics!$B$3)^(H$3-$B$3)),"")</f>
        <v/>
      </c>
      <c r="I274" s="355" t="str">
        <f>IF(I$3&lt;=time,'Attributable fraction'!AH218*(1+Economics!$B$4)^(I$3-$B$3)/((1+Economics!$B$3)^(I$3-$B$3)),"")</f>
        <v/>
      </c>
      <c r="J274" s="355" t="str">
        <f>IF(J$3&lt;=time,'Attributable fraction'!AI218*(1+Economics!$B$4)^(J$3-$B$3)/((1+Economics!$B$3)^(J$3-$B$3)),"")</f>
        <v/>
      </c>
      <c r="K274" s="355" t="str">
        <f>IF(K$3&lt;=time,'Attributable fraction'!AJ218*(1+Economics!$B$4)^(K$3-$B$3)/((1+Economics!$B$3)^(K$3-$B$3)),"")</f>
        <v/>
      </c>
      <c r="L274" s="355" t="str">
        <f>IF(L$3&lt;=time,'Attributable fraction'!AK218*(1+Economics!$B$4)^(L$3-$B$3)/((1+Economics!$B$3)^(L$3-$B$3)),"")</f>
        <v/>
      </c>
      <c r="M274" s="355" t="str">
        <f>IF(M$3&lt;=time,'Attributable fraction'!AL218*(1+Economics!$B$4)^(M$3-$B$3)/((1+Economics!$B$3)^(M$3-$B$3)),"")</f>
        <v/>
      </c>
      <c r="N274" s="355" t="str">
        <f>IF(N$3&lt;=time,'Attributable fraction'!AM218*(1+Economics!$B$4)^(N$3-$B$3)/((1+Economics!$B$3)^(N$3-$B$3)),"")</f>
        <v/>
      </c>
      <c r="O274" s="355" t="str">
        <f>IF(O$3&lt;=time,'Attributable fraction'!AN218*(1+Economics!$B$4)^(O$3-$B$3)/((1+Economics!$B$3)^(O$3-$B$3)),"")</f>
        <v/>
      </c>
      <c r="P274" s="355" t="str">
        <f>IF(P$3&lt;=time,'Attributable fraction'!AO218*(1+Economics!$B$4)^(P$3-$B$3)/((1+Economics!$B$3)^(P$3-$B$3)),"")</f>
        <v/>
      </c>
      <c r="Q274" s="355" t="str">
        <f>IF(Q$3&lt;=time,'Attributable fraction'!AP218*(1+Economics!$B$4)^(Q$3-$B$3)/((1+Economics!$B$3)^(Q$3-$B$3)),"")</f>
        <v/>
      </c>
      <c r="R274" s="355" t="str">
        <f>IF(R$3&lt;=time,'Attributable fraction'!AQ218*(1+Economics!$B$4)^(R$3-$B$3)/((1+Economics!$B$3)^(R$3-$B$3)),"")</f>
        <v/>
      </c>
      <c r="S274" s="355" t="str">
        <f>IF(S$3&lt;=time,'Attributable fraction'!AR218*(1+Economics!$B$4)^(S$3-$B$3)/((1+Economics!$B$3)^(S$3-$B$3)),"")</f>
        <v/>
      </c>
      <c r="T274" s="355" t="str">
        <f>IF(T$3&lt;=time,'Attributable fraction'!AS218*(1+Economics!$B$4)^(T$3-$B$3)/((1+Economics!$B$3)^(T$3-$B$3)),"")</f>
        <v/>
      </c>
      <c r="U274" s="355" t="str">
        <f>IF(U$3&lt;=time,'Attributable fraction'!AT218*(1+Economics!$B$4)^(U$3-$B$3)/((1+Economics!$B$3)^(U$3-$B$3)),"")</f>
        <v/>
      </c>
      <c r="V274" s="355" t="str">
        <f>IF(V$3&lt;=time,'Attributable fraction'!AU218*(1+Economics!$B$4)^(V$3-$B$3)/((1+Economics!$B$3)^(V$3-$B$3)),"")</f>
        <v/>
      </c>
      <c r="W274" s="355" t="str">
        <f>IF(W$3&lt;=time,'Attributable fraction'!AV218*(1+Economics!$B$4)^(W$3-$B$3)/((1+Economics!$B$3)^(W$3-$B$3)),"")</f>
        <v/>
      </c>
      <c r="X274" s="355" t="str">
        <f>IF(X$3&lt;=time,'Attributable fraction'!AW218*(1+Economics!$B$4)^(X$3-$B$3)/((1+Economics!$B$3)^(X$3-$B$3)),"")</f>
        <v/>
      </c>
      <c r="Y274" s="355" t="str">
        <f>IF(Y$3&lt;=time,'Attributable fraction'!AX218*(1+Economics!$B$4)^(Y$3-$B$3)/((1+Economics!$B$3)^(Y$3-$B$3)),"")</f>
        <v/>
      </c>
      <c r="Z274" s="356" t="str">
        <f>IF(Z$3&lt;=time,'Attributable fraction'!AY218*(1+Economics!$B$4)^(Z$3-$B$3)/((1+Economics!$B$3)^(Z$3-$B$3)),"")</f>
        <v/>
      </c>
      <c r="AC274" s="142">
        <f t="shared" si="52"/>
        <v>0</v>
      </c>
      <c r="AE274" s="376">
        <v>5</v>
      </c>
      <c r="AF274" s="176" t="e">
        <f t="array" ref="AF274">STDEV(IF(B274:Z274&lt;&gt;0,B274:Z274))</f>
        <v>#DIV/0!</v>
      </c>
      <c r="AG274" s="176">
        <v>1.96</v>
      </c>
      <c r="AH274" s="176" t="e">
        <f t="shared" si="53"/>
        <v>#DIV/0!</v>
      </c>
      <c r="AI274" s="176">
        <f t="shared" si="51"/>
        <v>0</v>
      </c>
    </row>
    <row r="275" spans="1:35" hidden="1">
      <c r="A275" s="378" t="str">
        <f>Costs!A219</f>
        <v>Intangible Costs 6</v>
      </c>
      <c r="B275" s="355">
        <f>IF(B$3&lt;=time,'Attributable fraction'!AA219*(1+Economics!$B$4)^(B$3-$B$3)/((1+Economics!$B$3)^(B$3-$B$3)),"")</f>
        <v>0</v>
      </c>
      <c r="C275" s="355">
        <f>IF(C$3&lt;=time,'Attributable fraction'!AB219*(1+Economics!$B$4)^(C$3-$B$3)/((1+Economics!$B$3)^(C$3-$B$3)),"")</f>
        <v>0</v>
      </c>
      <c r="D275" s="355">
        <f>IF(D$3&lt;=time,'Attributable fraction'!AC219*(1+Economics!$B$4)^(D$3-$B$3)/((1+Economics!$B$3)^(D$3-$B$3)),"")</f>
        <v>0</v>
      </c>
      <c r="E275" s="355">
        <f>IF(E$3&lt;=time,'Attributable fraction'!AD219*(1+Economics!$B$4)^(E$3-$B$3)/((1+Economics!$B$3)^(E$3-$B$3)),"")</f>
        <v>0</v>
      </c>
      <c r="F275" s="355">
        <f>IF(F$3&lt;=time,'Attributable fraction'!AE219*(1+Economics!$B$4)^(F$3-$B$3)/((1+Economics!$B$3)^(F$3-$B$3)),"")</f>
        <v>0</v>
      </c>
      <c r="G275" s="355" t="str">
        <f>IF(G$3&lt;=time,'Attributable fraction'!AF219*(1+Economics!$B$4)^(G$3-$B$3)/((1+Economics!$B$3)^(G$3-$B$3)),"")</f>
        <v/>
      </c>
      <c r="H275" s="355" t="str">
        <f>IF(H$3&lt;=time,'Attributable fraction'!AG219*(1+Economics!$B$4)^(H$3-$B$3)/((1+Economics!$B$3)^(H$3-$B$3)),"")</f>
        <v/>
      </c>
      <c r="I275" s="355" t="str">
        <f>IF(I$3&lt;=time,'Attributable fraction'!AH219*(1+Economics!$B$4)^(I$3-$B$3)/((1+Economics!$B$3)^(I$3-$B$3)),"")</f>
        <v/>
      </c>
      <c r="J275" s="355" t="str">
        <f>IF(J$3&lt;=time,'Attributable fraction'!AI219*(1+Economics!$B$4)^(J$3-$B$3)/((1+Economics!$B$3)^(J$3-$B$3)),"")</f>
        <v/>
      </c>
      <c r="K275" s="355" t="str">
        <f>IF(K$3&lt;=time,'Attributable fraction'!AJ219*(1+Economics!$B$4)^(K$3-$B$3)/((1+Economics!$B$3)^(K$3-$B$3)),"")</f>
        <v/>
      </c>
      <c r="L275" s="355" t="str">
        <f>IF(L$3&lt;=time,'Attributable fraction'!AK219*(1+Economics!$B$4)^(L$3-$B$3)/((1+Economics!$B$3)^(L$3-$B$3)),"")</f>
        <v/>
      </c>
      <c r="M275" s="355" t="str">
        <f>IF(M$3&lt;=time,'Attributable fraction'!AL219*(1+Economics!$B$4)^(M$3-$B$3)/((1+Economics!$B$3)^(M$3-$B$3)),"")</f>
        <v/>
      </c>
      <c r="N275" s="355" t="str">
        <f>IF(N$3&lt;=time,'Attributable fraction'!AM219*(1+Economics!$B$4)^(N$3-$B$3)/((1+Economics!$B$3)^(N$3-$B$3)),"")</f>
        <v/>
      </c>
      <c r="O275" s="355" t="str">
        <f>IF(O$3&lt;=time,'Attributable fraction'!AN219*(1+Economics!$B$4)^(O$3-$B$3)/((1+Economics!$B$3)^(O$3-$B$3)),"")</f>
        <v/>
      </c>
      <c r="P275" s="355" t="str">
        <f>IF(P$3&lt;=time,'Attributable fraction'!AO219*(1+Economics!$B$4)^(P$3-$B$3)/((1+Economics!$B$3)^(P$3-$B$3)),"")</f>
        <v/>
      </c>
      <c r="Q275" s="355" t="str">
        <f>IF(Q$3&lt;=time,'Attributable fraction'!AP219*(1+Economics!$B$4)^(Q$3-$B$3)/((1+Economics!$B$3)^(Q$3-$B$3)),"")</f>
        <v/>
      </c>
      <c r="R275" s="355" t="str">
        <f>IF(R$3&lt;=time,'Attributable fraction'!AQ219*(1+Economics!$B$4)^(R$3-$B$3)/((1+Economics!$B$3)^(R$3-$B$3)),"")</f>
        <v/>
      </c>
      <c r="S275" s="355" t="str">
        <f>IF(S$3&lt;=time,'Attributable fraction'!AR219*(1+Economics!$B$4)^(S$3-$B$3)/((1+Economics!$B$3)^(S$3-$B$3)),"")</f>
        <v/>
      </c>
      <c r="T275" s="355" t="str">
        <f>IF(T$3&lt;=time,'Attributable fraction'!AS219*(1+Economics!$B$4)^(T$3-$B$3)/((1+Economics!$B$3)^(T$3-$B$3)),"")</f>
        <v/>
      </c>
      <c r="U275" s="355" t="str">
        <f>IF(U$3&lt;=time,'Attributable fraction'!AT219*(1+Economics!$B$4)^(U$3-$B$3)/((1+Economics!$B$3)^(U$3-$B$3)),"")</f>
        <v/>
      </c>
      <c r="V275" s="355" t="str">
        <f>IF(V$3&lt;=time,'Attributable fraction'!AU219*(1+Economics!$B$4)^(V$3-$B$3)/((1+Economics!$B$3)^(V$3-$B$3)),"")</f>
        <v/>
      </c>
      <c r="W275" s="355" t="str">
        <f>IF(W$3&lt;=time,'Attributable fraction'!AV219*(1+Economics!$B$4)^(W$3-$B$3)/((1+Economics!$B$3)^(W$3-$B$3)),"")</f>
        <v/>
      </c>
      <c r="X275" s="355" t="str">
        <f>IF(X$3&lt;=time,'Attributable fraction'!AW219*(1+Economics!$B$4)^(X$3-$B$3)/((1+Economics!$B$3)^(X$3-$B$3)),"")</f>
        <v/>
      </c>
      <c r="Y275" s="355" t="str">
        <f>IF(Y$3&lt;=time,'Attributable fraction'!AX219*(1+Economics!$B$4)^(Y$3-$B$3)/((1+Economics!$B$3)^(Y$3-$B$3)),"")</f>
        <v/>
      </c>
      <c r="Z275" s="356" t="str">
        <f>IF(Z$3&lt;=time,'Attributable fraction'!AY219*(1+Economics!$B$4)^(Z$3-$B$3)/((1+Economics!$B$3)^(Z$3-$B$3)),"")</f>
        <v/>
      </c>
      <c r="AC275" s="142">
        <f t="shared" si="52"/>
        <v>0</v>
      </c>
      <c r="AE275" s="376">
        <v>6</v>
      </c>
      <c r="AF275" s="176" t="e">
        <f t="array" ref="AF275">STDEV(IF(B275:Z275&lt;&gt;0,B275:Z275))</f>
        <v>#DIV/0!</v>
      </c>
      <c r="AG275" s="176">
        <v>1.96</v>
      </c>
      <c r="AH275" s="176" t="e">
        <f t="shared" si="53"/>
        <v>#DIV/0!</v>
      </c>
      <c r="AI275" s="176">
        <f t="shared" si="51"/>
        <v>0</v>
      </c>
    </row>
    <row r="276" spans="1:35" hidden="1">
      <c r="A276" s="378" t="str">
        <f>Costs!A220</f>
        <v>Intangible Costs 7</v>
      </c>
      <c r="B276" s="355">
        <f>IF(B$3&lt;=time,'Attributable fraction'!AA220*(1+Economics!$B$4)^(B$3-$B$3)/((1+Economics!$B$3)^(B$3-$B$3)),"")</f>
        <v>0</v>
      </c>
      <c r="C276" s="355">
        <f>IF(C$3&lt;=time,'Attributable fraction'!AB220*(1+Economics!$B$4)^(C$3-$B$3)/((1+Economics!$B$3)^(C$3-$B$3)),"")</f>
        <v>0</v>
      </c>
      <c r="D276" s="355">
        <f>IF(D$3&lt;=time,'Attributable fraction'!AC220*(1+Economics!$B$4)^(D$3-$B$3)/((1+Economics!$B$3)^(D$3-$B$3)),"")</f>
        <v>0</v>
      </c>
      <c r="E276" s="355">
        <f>IF(E$3&lt;=time,'Attributable fraction'!AD220*(1+Economics!$B$4)^(E$3-$B$3)/((1+Economics!$B$3)^(E$3-$B$3)),"")</f>
        <v>0</v>
      </c>
      <c r="F276" s="355">
        <f>IF(F$3&lt;=time,'Attributable fraction'!AE220*(1+Economics!$B$4)^(F$3-$B$3)/((1+Economics!$B$3)^(F$3-$B$3)),"")</f>
        <v>0</v>
      </c>
      <c r="G276" s="355" t="str">
        <f>IF(G$3&lt;=time,'Attributable fraction'!AF220*(1+Economics!$B$4)^(G$3-$B$3)/((1+Economics!$B$3)^(G$3-$B$3)),"")</f>
        <v/>
      </c>
      <c r="H276" s="355" t="str">
        <f>IF(H$3&lt;=time,'Attributable fraction'!AG220*(1+Economics!$B$4)^(H$3-$B$3)/((1+Economics!$B$3)^(H$3-$B$3)),"")</f>
        <v/>
      </c>
      <c r="I276" s="355" t="str">
        <f>IF(I$3&lt;=time,'Attributable fraction'!AH220*(1+Economics!$B$4)^(I$3-$B$3)/((1+Economics!$B$3)^(I$3-$B$3)),"")</f>
        <v/>
      </c>
      <c r="J276" s="355" t="str">
        <f>IF(J$3&lt;=time,'Attributable fraction'!AI220*(1+Economics!$B$4)^(J$3-$B$3)/((1+Economics!$B$3)^(J$3-$B$3)),"")</f>
        <v/>
      </c>
      <c r="K276" s="355" t="str">
        <f>IF(K$3&lt;=time,'Attributable fraction'!AJ220*(1+Economics!$B$4)^(K$3-$B$3)/((1+Economics!$B$3)^(K$3-$B$3)),"")</f>
        <v/>
      </c>
      <c r="L276" s="355" t="str">
        <f>IF(L$3&lt;=time,'Attributable fraction'!AK220*(1+Economics!$B$4)^(L$3-$B$3)/((1+Economics!$B$3)^(L$3-$B$3)),"")</f>
        <v/>
      </c>
      <c r="M276" s="355" t="str">
        <f>IF(M$3&lt;=time,'Attributable fraction'!AL220*(1+Economics!$B$4)^(M$3-$B$3)/((1+Economics!$B$3)^(M$3-$B$3)),"")</f>
        <v/>
      </c>
      <c r="N276" s="355" t="str">
        <f>IF(N$3&lt;=time,'Attributable fraction'!AM220*(1+Economics!$B$4)^(N$3-$B$3)/((1+Economics!$B$3)^(N$3-$B$3)),"")</f>
        <v/>
      </c>
      <c r="O276" s="355" t="str">
        <f>IF(O$3&lt;=time,'Attributable fraction'!AN220*(1+Economics!$B$4)^(O$3-$B$3)/((1+Economics!$B$3)^(O$3-$B$3)),"")</f>
        <v/>
      </c>
      <c r="P276" s="355" t="str">
        <f>IF(P$3&lt;=time,'Attributable fraction'!AO220*(1+Economics!$B$4)^(P$3-$B$3)/((1+Economics!$B$3)^(P$3-$B$3)),"")</f>
        <v/>
      </c>
      <c r="Q276" s="355" t="str">
        <f>IF(Q$3&lt;=time,'Attributable fraction'!AP220*(1+Economics!$B$4)^(Q$3-$B$3)/((1+Economics!$B$3)^(Q$3-$B$3)),"")</f>
        <v/>
      </c>
      <c r="R276" s="355" t="str">
        <f>IF(R$3&lt;=time,'Attributable fraction'!AQ220*(1+Economics!$B$4)^(R$3-$B$3)/((1+Economics!$B$3)^(R$3-$B$3)),"")</f>
        <v/>
      </c>
      <c r="S276" s="355" t="str">
        <f>IF(S$3&lt;=time,'Attributable fraction'!AR220*(1+Economics!$B$4)^(S$3-$B$3)/((1+Economics!$B$3)^(S$3-$B$3)),"")</f>
        <v/>
      </c>
      <c r="T276" s="355" t="str">
        <f>IF(T$3&lt;=time,'Attributable fraction'!AS220*(1+Economics!$B$4)^(T$3-$B$3)/((1+Economics!$B$3)^(T$3-$B$3)),"")</f>
        <v/>
      </c>
      <c r="U276" s="355" t="str">
        <f>IF(U$3&lt;=time,'Attributable fraction'!AT220*(1+Economics!$B$4)^(U$3-$B$3)/((1+Economics!$B$3)^(U$3-$B$3)),"")</f>
        <v/>
      </c>
      <c r="V276" s="355" t="str">
        <f>IF(V$3&lt;=time,'Attributable fraction'!AU220*(1+Economics!$B$4)^(V$3-$B$3)/((1+Economics!$B$3)^(V$3-$B$3)),"")</f>
        <v/>
      </c>
      <c r="W276" s="355" t="str">
        <f>IF(W$3&lt;=time,'Attributable fraction'!AV220*(1+Economics!$B$4)^(W$3-$B$3)/((1+Economics!$B$3)^(W$3-$B$3)),"")</f>
        <v/>
      </c>
      <c r="X276" s="355" t="str">
        <f>IF(X$3&lt;=time,'Attributable fraction'!AW220*(1+Economics!$B$4)^(X$3-$B$3)/((1+Economics!$B$3)^(X$3-$B$3)),"")</f>
        <v/>
      </c>
      <c r="Y276" s="355" t="str">
        <f>IF(Y$3&lt;=time,'Attributable fraction'!AX220*(1+Economics!$B$4)^(Y$3-$B$3)/((1+Economics!$B$3)^(Y$3-$B$3)),"")</f>
        <v/>
      </c>
      <c r="Z276" s="356" t="str">
        <f>IF(Z$3&lt;=time,'Attributable fraction'!AY220*(1+Economics!$B$4)^(Z$3-$B$3)/((1+Economics!$B$3)^(Z$3-$B$3)),"")</f>
        <v/>
      </c>
      <c r="AC276" s="142">
        <f t="shared" si="52"/>
        <v>0</v>
      </c>
      <c r="AE276" s="376">
        <v>7</v>
      </c>
      <c r="AF276" s="176" t="e">
        <f t="array" ref="AF276">STDEV(IF(B276:Z276&lt;&gt;0,B276:Z276))</f>
        <v>#DIV/0!</v>
      </c>
      <c r="AG276" s="176">
        <v>1.96</v>
      </c>
      <c r="AH276" s="176" t="e">
        <f t="shared" si="53"/>
        <v>#DIV/0!</v>
      </c>
      <c r="AI276" s="176">
        <f t="shared" si="51"/>
        <v>0</v>
      </c>
    </row>
    <row r="277" spans="1:35" hidden="1">
      <c r="A277" s="378" t="str">
        <f>Costs!A221</f>
        <v>Intangible Costs 8</v>
      </c>
      <c r="B277" s="355">
        <f>IF(B$3&lt;=time,'Attributable fraction'!AA221*(1+Economics!$B$4)^(B$3-$B$3)/((1+Economics!$B$3)^(B$3-$B$3)),"")</f>
        <v>0</v>
      </c>
      <c r="C277" s="355">
        <f>IF(C$3&lt;=time,'Attributable fraction'!AB221*(1+Economics!$B$4)^(C$3-$B$3)/((1+Economics!$B$3)^(C$3-$B$3)),"")</f>
        <v>0</v>
      </c>
      <c r="D277" s="355">
        <f>IF(D$3&lt;=time,'Attributable fraction'!AC221*(1+Economics!$B$4)^(D$3-$B$3)/((1+Economics!$B$3)^(D$3-$B$3)),"")</f>
        <v>0</v>
      </c>
      <c r="E277" s="355">
        <f>IF(E$3&lt;=time,'Attributable fraction'!AD221*(1+Economics!$B$4)^(E$3-$B$3)/((1+Economics!$B$3)^(E$3-$B$3)),"")</f>
        <v>0</v>
      </c>
      <c r="F277" s="355">
        <f>IF(F$3&lt;=time,'Attributable fraction'!AE221*(1+Economics!$B$4)^(F$3-$B$3)/((1+Economics!$B$3)^(F$3-$B$3)),"")</f>
        <v>0</v>
      </c>
      <c r="G277" s="355" t="str">
        <f>IF(G$3&lt;=time,'Attributable fraction'!AF221*(1+Economics!$B$4)^(G$3-$B$3)/((1+Economics!$B$3)^(G$3-$B$3)),"")</f>
        <v/>
      </c>
      <c r="H277" s="355" t="str">
        <f>IF(H$3&lt;=time,'Attributable fraction'!AG221*(1+Economics!$B$4)^(H$3-$B$3)/((1+Economics!$B$3)^(H$3-$B$3)),"")</f>
        <v/>
      </c>
      <c r="I277" s="355" t="str">
        <f>IF(I$3&lt;=time,'Attributable fraction'!AH221*(1+Economics!$B$4)^(I$3-$B$3)/((1+Economics!$B$3)^(I$3-$B$3)),"")</f>
        <v/>
      </c>
      <c r="J277" s="355" t="str">
        <f>IF(J$3&lt;=time,'Attributable fraction'!AI221*(1+Economics!$B$4)^(J$3-$B$3)/((1+Economics!$B$3)^(J$3-$B$3)),"")</f>
        <v/>
      </c>
      <c r="K277" s="355" t="str">
        <f>IF(K$3&lt;=time,'Attributable fraction'!AJ221*(1+Economics!$B$4)^(K$3-$B$3)/((1+Economics!$B$3)^(K$3-$B$3)),"")</f>
        <v/>
      </c>
      <c r="L277" s="355" t="str">
        <f>IF(L$3&lt;=time,'Attributable fraction'!AK221*(1+Economics!$B$4)^(L$3-$B$3)/((1+Economics!$B$3)^(L$3-$B$3)),"")</f>
        <v/>
      </c>
      <c r="M277" s="355" t="str">
        <f>IF(M$3&lt;=time,'Attributable fraction'!AL221*(1+Economics!$B$4)^(M$3-$B$3)/((1+Economics!$B$3)^(M$3-$B$3)),"")</f>
        <v/>
      </c>
      <c r="N277" s="355" t="str">
        <f>IF(N$3&lt;=time,'Attributable fraction'!AM221*(1+Economics!$B$4)^(N$3-$B$3)/((1+Economics!$B$3)^(N$3-$B$3)),"")</f>
        <v/>
      </c>
      <c r="O277" s="355" t="str">
        <f>IF(O$3&lt;=time,'Attributable fraction'!AN221*(1+Economics!$B$4)^(O$3-$B$3)/((1+Economics!$B$3)^(O$3-$B$3)),"")</f>
        <v/>
      </c>
      <c r="P277" s="355" t="str">
        <f>IF(P$3&lt;=time,'Attributable fraction'!AO221*(1+Economics!$B$4)^(P$3-$B$3)/((1+Economics!$B$3)^(P$3-$B$3)),"")</f>
        <v/>
      </c>
      <c r="Q277" s="355" t="str">
        <f>IF(Q$3&lt;=time,'Attributable fraction'!AP221*(1+Economics!$B$4)^(Q$3-$B$3)/((1+Economics!$B$3)^(Q$3-$B$3)),"")</f>
        <v/>
      </c>
      <c r="R277" s="355" t="str">
        <f>IF(R$3&lt;=time,'Attributable fraction'!AQ221*(1+Economics!$B$4)^(R$3-$B$3)/((1+Economics!$B$3)^(R$3-$B$3)),"")</f>
        <v/>
      </c>
      <c r="S277" s="355" t="str">
        <f>IF(S$3&lt;=time,'Attributable fraction'!AR221*(1+Economics!$B$4)^(S$3-$B$3)/((1+Economics!$B$3)^(S$3-$B$3)),"")</f>
        <v/>
      </c>
      <c r="T277" s="355" t="str">
        <f>IF(T$3&lt;=time,'Attributable fraction'!AS221*(1+Economics!$B$4)^(T$3-$B$3)/((1+Economics!$B$3)^(T$3-$B$3)),"")</f>
        <v/>
      </c>
      <c r="U277" s="355" t="str">
        <f>IF(U$3&lt;=time,'Attributable fraction'!AT221*(1+Economics!$B$4)^(U$3-$B$3)/((1+Economics!$B$3)^(U$3-$B$3)),"")</f>
        <v/>
      </c>
      <c r="V277" s="355" t="str">
        <f>IF(V$3&lt;=time,'Attributable fraction'!AU221*(1+Economics!$B$4)^(V$3-$B$3)/((1+Economics!$B$3)^(V$3-$B$3)),"")</f>
        <v/>
      </c>
      <c r="W277" s="355" t="str">
        <f>IF(W$3&lt;=time,'Attributable fraction'!AV221*(1+Economics!$B$4)^(W$3-$B$3)/((1+Economics!$B$3)^(W$3-$B$3)),"")</f>
        <v/>
      </c>
      <c r="X277" s="355" t="str">
        <f>IF(X$3&lt;=time,'Attributable fraction'!AW221*(1+Economics!$B$4)^(X$3-$B$3)/((1+Economics!$B$3)^(X$3-$B$3)),"")</f>
        <v/>
      </c>
      <c r="Y277" s="355" t="str">
        <f>IF(Y$3&lt;=time,'Attributable fraction'!AX221*(1+Economics!$B$4)^(Y$3-$B$3)/((1+Economics!$B$3)^(Y$3-$B$3)),"")</f>
        <v/>
      </c>
      <c r="Z277" s="356" t="str">
        <f>IF(Z$3&lt;=time,'Attributable fraction'!AY221*(1+Economics!$B$4)^(Z$3-$B$3)/((1+Economics!$B$3)^(Z$3-$B$3)),"")</f>
        <v/>
      </c>
      <c r="AC277" s="142">
        <f t="shared" si="52"/>
        <v>0</v>
      </c>
      <c r="AE277" s="376">
        <v>8</v>
      </c>
      <c r="AF277" s="176" t="e">
        <f t="array" ref="AF277">STDEV(IF(B277:Z277&lt;&gt;0,B277:Z277))</f>
        <v>#DIV/0!</v>
      </c>
      <c r="AG277" s="176">
        <v>1.96</v>
      </c>
      <c r="AH277" s="176" t="e">
        <f t="shared" si="53"/>
        <v>#DIV/0!</v>
      </c>
      <c r="AI277" s="176">
        <f t="shared" si="51"/>
        <v>0</v>
      </c>
    </row>
    <row r="278" spans="1:35" hidden="1">
      <c r="A278" s="378" t="str">
        <f>Costs!A222</f>
        <v>Intangible Costs 9</v>
      </c>
      <c r="B278" s="355">
        <f>IF(B$3&lt;=time,'Attributable fraction'!AA222*(1+Economics!$B$4)^(B$3-$B$3)/((1+Economics!$B$3)^(B$3-$B$3)),"")</f>
        <v>0</v>
      </c>
      <c r="C278" s="355">
        <f>IF(C$3&lt;=time,'Attributable fraction'!AB222*(1+Economics!$B$4)^(C$3-$B$3)/((1+Economics!$B$3)^(C$3-$B$3)),"")</f>
        <v>0</v>
      </c>
      <c r="D278" s="355">
        <f>IF(D$3&lt;=time,'Attributable fraction'!AC222*(1+Economics!$B$4)^(D$3-$B$3)/((1+Economics!$B$3)^(D$3-$B$3)),"")</f>
        <v>0</v>
      </c>
      <c r="E278" s="355">
        <f>IF(E$3&lt;=time,'Attributable fraction'!AD222*(1+Economics!$B$4)^(E$3-$B$3)/((1+Economics!$B$3)^(E$3-$B$3)),"")</f>
        <v>0</v>
      </c>
      <c r="F278" s="355">
        <f>IF(F$3&lt;=time,'Attributable fraction'!AE222*(1+Economics!$B$4)^(F$3-$B$3)/((1+Economics!$B$3)^(F$3-$B$3)),"")</f>
        <v>0</v>
      </c>
      <c r="G278" s="355" t="str">
        <f>IF(G$3&lt;=time,'Attributable fraction'!AF222*(1+Economics!$B$4)^(G$3-$B$3)/((1+Economics!$B$3)^(G$3-$B$3)),"")</f>
        <v/>
      </c>
      <c r="H278" s="355" t="str">
        <f>IF(H$3&lt;=time,'Attributable fraction'!AG222*(1+Economics!$B$4)^(H$3-$B$3)/((1+Economics!$B$3)^(H$3-$B$3)),"")</f>
        <v/>
      </c>
      <c r="I278" s="355" t="str">
        <f>IF(I$3&lt;=time,'Attributable fraction'!AH222*(1+Economics!$B$4)^(I$3-$B$3)/((1+Economics!$B$3)^(I$3-$B$3)),"")</f>
        <v/>
      </c>
      <c r="J278" s="355" t="str">
        <f>IF(J$3&lt;=time,'Attributable fraction'!AI222*(1+Economics!$B$4)^(J$3-$B$3)/((1+Economics!$B$3)^(J$3-$B$3)),"")</f>
        <v/>
      </c>
      <c r="K278" s="355" t="str">
        <f>IF(K$3&lt;=time,'Attributable fraction'!AJ222*(1+Economics!$B$4)^(K$3-$B$3)/((1+Economics!$B$3)^(K$3-$B$3)),"")</f>
        <v/>
      </c>
      <c r="L278" s="355" t="str">
        <f>IF(L$3&lt;=time,'Attributable fraction'!AK222*(1+Economics!$B$4)^(L$3-$B$3)/((1+Economics!$B$3)^(L$3-$B$3)),"")</f>
        <v/>
      </c>
      <c r="M278" s="355" t="str">
        <f>IF(M$3&lt;=time,'Attributable fraction'!AL222*(1+Economics!$B$4)^(M$3-$B$3)/((1+Economics!$B$3)^(M$3-$B$3)),"")</f>
        <v/>
      </c>
      <c r="N278" s="355" t="str">
        <f>IF(N$3&lt;=time,'Attributable fraction'!AM222*(1+Economics!$B$4)^(N$3-$B$3)/((1+Economics!$B$3)^(N$3-$B$3)),"")</f>
        <v/>
      </c>
      <c r="O278" s="355" t="str">
        <f>IF(O$3&lt;=time,'Attributable fraction'!AN222*(1+Economics!$B$4)^(O$3-$B$3)/((1+Economics!$B$3)^(O$3-$B$3)),"")</f>
        <v/>
      </c>
      <c r="P278" s="355" t="str">
        <f>IF(P$3&lt;=time,'Attributable fraction'!AO222*(1+Economics!$B$4)^(P$3-$B$3)/((1+Economics!$B$3)^(P$3-$B$3)),"")</f>
        <v/>
      </c>
      <c r="Q278" s="355" t="str">
        <f>IF(Q$3&lt;=time,'Attributable fraction'!AP222*(1+Economics!$B$4)^(Q$3-$B$3)/((1+Economics!$B$3)^(Q$3-$B$3)),"")</f>
        <v/>
      </c>
      <c r="R278" s="355" t="str">
        <f>IF(R$3&lt;=time,'Attributable fraction'!AQ222*(1+Economics!$B$4)^(R$3-$B$3)/((1+Economics!$B$3)^(R$3-$B$3)),"")</f>
        <v/>
      </c>
      <c r="S278" s="355" t="str">
        <f>IF(S$3&lt;=time,'Attributable fraction'!AR222*(1+Economics!$B$4)^(S$3-$B$3)/((1+Economics!$B$3)^(S$3-$B$3)),"")</f>
        <v/>
      </c>
      <c r="T278" s="355" t="str">
        <f>IF(T$3&lt;=time,'Attributable fraction'!AS222*(1+Economics!$B$4)^(T$3-$B$3)/((1+Economics!$B$3)^(T$3-$B$3)),"")</f>
        <v/>
      </c>
      <c r="U278" s="355" t="str">
        <f>IF(U$3&lt;=time,'Attributable fraction'!AT222*(1+Economics!$B$4)^(U$3-$B$3)/((1+Economics!$B$3)^(U$3-$B$3)),"")</f>
        <v/>
      </c>
      <c r="V278" s="355" t="str">
        <f>IF(V$3&lt;=time,'Attributable fraction'!AU222*(1+Economics!$B$4)^(V$3-$B$3)/((1+Economics!$B$3)^(V$3-$B$3)),"")</f>
        <v/>
      </c>
      <c r="W278" s="355" t="str">
        <f>IF(W$3&lt;=time,'Attributable fraction'!AV222*(1+Economics!$B$4)^(W$3-$B$3)/((1+Economics!$B$3)^(W$3-$B$3)),"")</f>
        <v/>
      </c>
      <c r="X278" s="355" t="str">
        <f>IF(X$3&lt;=time,'Attributable fraction'!AW222*(1+Economics!$B$4)^(X$3-$B$3)/((1+Economics!$B$3)^(X$3-$B$3)),"")</f>
        <v/>
      </c>
      <c r="Y278" s="355" t="str">
        <f>IF(Y$3&lt;=time,'Attributable fraction'!AX222*(1+Economics!$B$4)^(Y$3-$B$3)/((1+Economics!$B$3)^(Y$3-$B$3)),"")</f>
        <v/>
      </c>
      <c r="Z278" s="356" t="str">
        <f>IF(Z$3&lt;=time,'Attributable fraction'!AY222*(1+Economics!$B$4)^(Z$3-$B$3)/((1+Economics!$B$3)^(Z$3-$B$3)),"")</f>
        <v/>
      </c>
      <c r="AC278" s="142">
        <f t="shared" si="52"/>
        <v>0</v>
      </c>
      <c r="AE278" s="376">
        <v>9</v>
      </c>
      <c r="AF278" s="176" t="e">
        <f t="array" ref="AF278">STDEV(IF(B278:Z278&lt;&gt;0,B278:Z278))</f>
        <v>#DIV/0!</v>
      </c>
      <c r="AG278" s="176">
        <v>1.96</v>
      </c>
      <c r="AH278" s="176" t="e">
        <f t="shared" si="53"/>
        <v>#DIV/0!</v>
      </c>
      <c r="AI278" s="176">
        <f t="shared" si="51"/>
        <v>0</v>
      </c>
    </row>
    <row r="279" spans="1:35" hidden="1">
      <c r="A279" s="378" t="str">
        <f>Costs!A223</f>
        <v>Intangible Costs 10</v>
      </c>
      <c r="B279" s="355">
        <f>IF(B$3&lt;=time,'Attributable fraction'!AA223*(1+Economics!$B$4)^(B$3-$B$3)/((1+Economics!$B$3)^(B$3-$B$3)),"")</f>
        <v>0</v>
      </c>
      <c r="C279" s="355">
        <f>IF(C$3&lt;=time,'Attributable fraction'!AB223*(1+Economics!$B$4)^(C$3-$B$3)/((1+Economics!$B$3)^(C$3-$B$3)),"")</f>
        <v>0</v>
      </c>
      <c r="D279" s="355">
        <f>IF(D$3&lt;=time,'Attributable fraction'!AC223*(1+Economics!$B$4)^(D$3-$B$3)/((1+Economics!$B$3)^(D$3-$B$3)),"")</f>
        <v>0</v>
      </c>
      <c r="E279" s="355">
        <f>IF(E$3&lt;=time,'Attributable fraction'!AD223*(1+Economics!$B$4)^(E$3-$B$3)/((1+Economics!$B$3)^(E$3-$B$3)),"")</f>
        <v>0</v>
      </c>
      <c r="F279" s="355">
        <f>IF(F$3&lt;=time,'Attributable fraction'!AE223*(1+Economics!$B$4)^(F$3-$B$3)/((1+Economics!$B$3)^(F$3-$B$3)),"")</f>
        <v>0</v>
      </c>
      <c r="G279" s="355" t="str">
        <f>IF(G$3&lt;=time,'Attributable fraction'!AF223*(1+Economics!$B$4)^(G$3-$B$3)/((1+Economics!$B$3)^(G$3-$B$3)),"")</f>
        <v/>
      </c>
      <c r="H279" s="355" t="str">
        <f>IF(H$3&lt;=time,'Attributable fraction'!AG223*(1+Economics!$B$4)^(H$3-$B$3)/((1+Economics!$B$3)^(H$3-$B$3)),"")</f>
        <v/>
      </c>
      <c r="I279" s="355" t="str">
        <f>IF(I$3&lt;=time,'Attributable fraction'!AH223*(1+Economics!$B$4)^(I$3-$B$3)/((1+Economics!$B$3)^(I$3-$B$3)),"")</f>
        <v/>
      </c>
      <c r="J279" s="355" t="str">
        <f>IF(J$3&lt;=time,'Attributable fraction'!AI223*(1+Economics!$B$4)^(J$3-$B$3)/((1+Economics!$B$3)^(J$3-$B$3)),"")</f>
        <v/>
      </c>
      <c r="K279" s="355" t="str">
        <f>IF(K$3&lt;=time,'Attributable fraction'!AJ223*(1+Economics!$B$4)^(K$3-$B$3)/((1+Economics!$B$3)^(K$3-$B$3)),"")</f>
        <v/>
      </c>
      <c r="L279" s="355" t="str">
        <f>IF(L$3&lt;=time,'Attributable fraction'!AK223*(1+Economics!$B$4)^(L$3-$B$3)/((1+Economics!$B$3)^(L$3-$B$3)),"")</f>
        <v/>
      </c>
      <c r="M279" s="355" t="str">
        <f>IF(M$3&lt;=time,'Attributable fraction'!AL223*(1+Economics!$B$4)^(M$3-$B$3)/((1+Economics!$B$3)^(M$3-$B$3)),"")</f>
        <v/>
      </c>
      <c r="N279" s="355" t="str">
        <f>IF(N$3&lt;=time,'Attributable fraction'!AM223*(1+Economics!$B$4)^(N$3-$B$3)/((1+Economics!$B$3)^(N$3-$B$3)),"")</f>
        <v/>
      </c>
      <c r="O279" s="355" t="str">
        <f>IF(O$3&lt;=time,'Attributable fraction'!AN223*(1+Economics!$B$4)^(O$3-$B$3)/((1+Economics!$B$3)^(O$3-$B$3)),"")</f>
        <v/>
      </c>
      <c r="P279" s="355" t="str">
        <f>IF(P$3&lt;=time,'Attributable fraction'!AO223*(1+Economics!$B$4)^(P$3-$B$3)/((1+Economics!$B$3)^(P$3-$B$3)),"")</f>
        <v/>
      </c>
      <c r="Q279" s="355" t="str">
        <f>IF(Q$3&lt;=time,'Attributable fraction'!AP223*(1+Economics!$B$4)^(Q$3-$B$3)/((1+Economics!$B$3)^(Q$3-$B$3)),"")</f>
        <v/>
      </c>
      <c r="R279" s="355" t="str">
        <f>IF(R$3&lt;=time,'Attributable fraction'!AQ223*(1+Economics!$B$4)^(R$3-$B$3)/((1+Economics!$B$3)^(R$3-$B$3)),"")</f>
        <v/>
      </c>
      <c r="S279" s="355" t="str">
        <f>IF(S$3&lt;=time,'Attributable fraction'!AR223*(1+Economics!$B$4)^(S$3-$B$3)/((1+Economics!$B$3)^(S$3-$B$3)),"")</f>
        <v/>
      </c>
      <c r="T279" s="355" t="str">
        <f>IF(T$3&lt;=time,'Attributable fraction'!AS223*(1+Economics!$B$4)^(T$3-$B$3)/((1+Economics!$B$3)^(T$3-$B$3)),"")</f>
        <v/>
      </c>
      <c r="U279" s="355" t="str">
        <f>IF(U$3&lt;=time,'Attributable fraction'!AT223*(1+Economics!$B$4)^(U$3-$B$3)/((1+Economics!$B$3)^(U$3-$B$3)),"")</f>
        <v/>
      </c>
      <c r="V279" s="355" t="str">
        <f>IF(V$3&lt;=time,'Attributable fraction'!AU223*(1+Economics!$B$4)^(V$3-$B$3)/((1+Economics!$B$3)^(V$3-$B$3)),"")</f>
        <v/>
      </c>
      <c r="W279" s="355" t="str">
        <f>IF(W$3&lt;=time,'Attributable fraction'!AV223*(1+Economics!$B$4)^(W$3-$B$3)/((1+Economics!$B$3)^(W$3-$B$3)),"")</f>
        <v/>
      </c>
      <c r="X279" s="355" t="str">
        <f>IF(X$3&lt;=time,'Attributable fraction'!AW223*(1+Economics!$B$4)^(X$3-$B$3)/((1+Economics!$B$3)^(X$3-$B$3)),"")</f>
        <v/>
      </c>
      <c r="Y279" s="355" t="str">
        <f>IF(Y$3&lt;=time,'Attributable fraction'!AX223*(1+Economics!$B$4)^(Y$3-$B$3)/((1+Economics!$B$3)^(Y$3-$B$3)),"")</f>
        <v/>
      </c>
      <c r="Z279" s="356" t="str">
        <f>IF(Z$3&lt;=time,'Attributable fraction'!AY223*(1+Economics!$B$4)^(Z$3-$B$3)/((1+Economics!$B$3)^(Z$3-$B$3)),"")</f>
        <v/>
      </c>
      <c r="AC279" s="381">
        <f t="shared" si="52"/>
        <v>0</v>
      </c>
      <c r="AE279" s="376">
        <v>10</v>
      </c>
      <c r="AF279" s="176" t="e">
        <f t="array" ref="AF279">STDEV(IF(B279:Z279&lt;&gt;0,B279:Z279))</f>
        <v>#DIV/0!</v>
      </c>
      <c r="AG279" s="176">
        <v>1.96</v>
      </c>
      <c r="AH279" s="176" t="e">
        <f t="shared" si="53"/>
        <v>#DIV/0!</v>
      </c>
      <c r="AI279" s="176">
        <f t="shared" si="51"/>
        <v>0</v>
      </c>
    </row>
    <row r="280" spans="1:35" ht="16" hidden="1" thickBot="1">
      <c r="A280" s="361" t="s">
        <v>11</v>
      </c>
      <c r="B280" s="362">
        <f>SUM(B64:B279)</f>
        <v>284.73002251534706</v>
      </c>
      <c r="C280" s="362">
        <f t="shared" ref="C280:Z280" si="54">SUM(C64:C279)</f>
        <v>0</v>
      </c>
      <c r="D280" s="362">
        <f t="shared" si="54"/>
        <v>0</v>
      </c>
      <c r="E280" s="362">
        <f t="shared" si="54"/>
        <v>0</v>
      </c>
      <c r="F280" s="362">
        <f t="shared" si="54"/>
        <v>0</v>
      </c>
      <c r="G280" s="362">
        <f t="shared" si="54"/>
        <v>0</v>
      </c>
      <c r="H280" s="362">
        <f t="shared" si="54"/>
        <v>0</v>
      </c>
      <c r="I280" s="362">
        <f t="shared" si="54"/>
        <v>0</v>
      </c>
      <c r="J280" s="362">
        <f t="shared" si="54"/>
        <v>0</v>
      </c>
      <c r="K280" s="362">
        <f t="shared" si="54"/>
        <v>0</v>
      </c>
      <c r="L280" s="362">
        <f t="shared" si="54"/>
        <v>0</v>
      </c>
      <c r="M280" s="362">
        <f t="shared" si="54"/>
        <v>0</v>
      </c>
      <c r="N280" s="362">
        <f t="shared" si="54"/>
        <v>0</v>
      </c>
      <c r="O280" s="362">
        <f t="shared" si="54"/>
        <v>0</v>
      </c>
      <c r="P280" s="362">
        <f t="shared" si="54"/>
        <v>0</v>
      </c>
      <c r="Q280" s="362">
        <f t="shared" si="54"/>
        <v>0</v>
      </c>
      <c r="R280" s="362">
        <f t="shared" si="54"/>
        <v>0</v>
      </c>
      <c r="S280" s="362">
        <f t="shared" si="54"/>
        <v>0</v>
      </c>
      <c r="T280" s="362">
        <f t="shared" si="54"/>
        <v>0</v>
      </c>
      <c r="U280" s="362">
        <f t="shared" si="54"/>
        <v>0</v>
      </c>
      <c r="V280" s="362">
        <f t="shared" si="54"/>
        <v>0</v>
      </c>
      <c r="W280" s="362">
        <f t="shared" si="54"/>
        <v>0</v>
      </c>
      <c r="X280" s="362">
        <f t="shared" si="54"/>
        <v>0</v>
      </c>
      <c r="Y280" s="362">
        <f t="shared" si="54"/>
        <v>0</v>
      </c>
      <c r="Z280" s="363">
        <f t="shared" si="54"/>
        <v>0</v>
      </c>
      <c r="AC280" s="364">
        <f>IF(AC$220&lt;=time,SUM(AC64:AC279),"")</f>
        <v>56.946004503069418</v>
      </c>
    </row>
    <row r="281" spans="1:35" hidden="1"/>
    <row r="284" spans="1:35" s="222" customFormat="1">
      <c r="A284" s="222" t="s">
        <v>697</v>
      </c>
    </row>
  </sheetData>
  <sheetProtection formatColumns="0" formatRows="0"/>
  <phoneticPr fontId="41" type="noConversion"/>
  <pageMargins left="0.75" right="0.75" top="1" bottom="1" header="0.5" footer="0.5"/>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
    <tabColor rgb="FFE0EBF5"/>
  </sheetPr>
  <dimension ref="A1:P23"/>
  <sheetViews>
    <sheetView workbookViewId="0"/>
  </sheetViews>
  <sheetFormatPr defaultColWidth="10.69140625" defaultRowHeight="15.5"/>
  <cols>
    <col min="1" max="1" width="10.69140625" style="11"/>
    <col min="2" max="2" width="18.61328125" style="11" customWidth="1"/>
    <col min="3" max="3" width="10.69140625" style="11"/>
    <col min="4" max="4" width="12.4609375" style="11" hidden="1" customWidth="1"/>
    <col min="5" max="5" width="17.61328125" style="11" hidden="1" customWidth="1"/>
    <col min="6" max="16384" width="10.69140625" style="11"/>
  </cols>
  <sheetData>
    <row r="1" spans="1:16" ht="20.5">
      <c r="A1" s="816" t="s">
        <v>481</v>
      </c>
      <c r="B1" s="774"/>
      <c r="C1" s="81"/>
    </row>
    <row r="2" spans="1:16">
      <c r="C2" s="81"/>
    </row>
    <row r="3" spans="1:16" ht="18.5" thickBot="1">
      <c r="A3" s="207"/>
      <c r="B3" s="812" t="s">
        <v>264</v>
      </c>
      <c r="C3" s="812" t="s">
        <v>21</v>
      </c>
      <c r="D3" s="3"/>
      <c r="E3" s="3" t="s">
        <v>36</v>
      </c>
      <c r="F3" s="4"/>
      <c r="G3" s="4"/>
    </row>
    <row r="4" spans="1:16" ht="18">
      <c r="A4" s="57">
        <v>1</v>
      </c>
      <c r="B4" s="811" t="s">
        <v>493</v>
      </c>
      <c r="C4" s="811" t="s">
        <v>22</v>
      </c>
      <c r="D4" s="208" t="str">
        <f t="array" ref="D4">INDEX($B$4:$B$16,SMALL(IF($C$4:$C$16="Yes",ROW($B$4:$B$16)-ROW($B$4)+1),ROWS(D$4:D4)),COLUMNS($D4:D4))</f>
        <v>CJS</v>
      </c>
      <c r="E4" s="208" t="str">
        <f>IF(ISERR(D4),"",D4)</f>
        <v>CJS</v>
      </c>
      <c r="F4" s="5"/>
      <c r="G4" s="5"/>
      <c r="H4" s="813" t="s">
        <v>23</v>
      </c>
      <c r="I4" s="814"/>
      <c r="J4" s="814"/>
      <c r="K4" s="814"/>
      <c r="L4" s="814"/>
      <c r="M4" s="814"/>
      <c r="N4" s="814"/>
      <c r="O4" s="814"/>
      <c r="P4" s="815"/>
    </row>
    <row r="5" spans="1:16" ht="18">
      <c r="A5" s="207">
        <v>2</v>
      </c>
      <c r="B5" s="811" t="s">
        <v>33</v>
      </c>
      <c r="C5" s="811" t="s">
        <v>22</v>
      </c>
      <c r="D5" s="208" t="str">
        <f t="array" ref="D5">INDEX($B$4:$B$16,SMALL(IF($C$4:$C$16="Yes",ROW($B$4:$B$16)-ROW($B$4)+1),ROWS(D$4:D5)),COLUMNS($D5:D5))</f>
        <v>Society</v>
      </c>
      <c r="E5" s="208" t="str">
        <f t="shared" ref="E5:E16" si="0">IF(ISERR(D5),"",D5)</f>
        <v>Society</v>
      </c>
      <c r="F5" s="5"/>
      <c r="G5" s="5"/>
      <c r="H5" s="1148"/>
      <c r="I5" s="1149"/>
      <c r="J5" s="1149"/>
      <c r="K5" s="1149"/>
      <c r="L5" s="1149"/>
      <c r="M5" s="1149"/>
      <c r="N5" s="1149"/>
      <c r="O5" s="1149"/>
      <c r="P5" s="1150"/>
    </row>
    <row r="6" spans="1:16" ht="18">
      <c r="A6" s="207">
        <v>3</v>
      </c>
      <c r="B6" s="811" t="s">
        <v>688</v>
      </c>
      <c r="C6" s="811" t="s">
        <v>22</v>
      </c>
      <c r="D6" s="208" t="str">
        <f t="array" ref="D6">INDEX($B$4:$B$16,SMALL(IF($C$4:$C$16="Yes",ROW($B$4:$B$16)-ROW($B$4)+1),ROWS(D$4:D6)),COLUMNS($D6:D6))</f>
        <v>HealthSystem</v>
      </c>
      <c r="E6" s="208" t="str">
        <f t="shared" si="0"/>
        <v>HealthSystem</v>
      </c>
      <c r="F6" s="5"/>
      <c r="H6" s="1145" t="s">
        <v>266</v>
      </c>
      <c r="I6" s="1146"/>
      <c r="J6" s="1146"/>
      <c r="K6" s="1146"/>
      <c r="L6" s="1146"/>
      <c r="M6" s="1146"/>
      <c r="N6" s="1146"/>
      <c r="O6" s="1146"/>
      <c r="P6" s="1147"/>
    </row>
    <row r="7" spans="1:16" ht="18">
      <c r="A7" s="207">
        <v>4</v>
      </c>
      <c r="B7" s="811" t="s">
        <v>758</v>
      </c>
      <c r="C7" s="811" t="s">
        <v>22</v>
      </c>
      <c r="D7" s="208" t="str">
        <f t="array" ref="D7">INDEX($B$4:$B$16,SMALL(IF($C$4:$C$16="Yes",ROW($B$4:$B$16)-ROW($B$4)+1),ROWS(D$4:D7)),COLUMNS($D7:D7))</f>
        <v>Victim</v>
      </c>
      <c r="E7" s="208" t="str">
        <f t="shared" si="0"/>
        <v>Victim</v>
      </c>
      <c r="H7" s="1145"/>
      <c r="I7" s="1146"/>
      <c r="J7" s="1146"/>
      <c r="K7" s="1146"/>
      <c r="L7" s="1146"/>
      <c r="M7" s="1146"/>
      <c r="N7" s="1146"/>
      <c r="O7" s="1146"/>
      <c r="P7" s="1147"/>
    </row>
    <row r="8" spans="1:16" ht="18">
      <c r="A8" s="207">
        <v>5</v>
      </c>
      <c r="B8" s="811" t="s">
        <v>25</v>
      </c>
      <c r="C8" s="811" t="s">
        <v>24</v>
      </c>
      <c r="D8" s="208" t="e">
        <f t="array" ref="D8">INDEX($B$4:$B$16,SMALL(IF($C$4:$C$16="Yes",ROW($B$4:$B$16)-ROW($B$4)+1),ROWS(D$4:D8)),COLUMNS($D8:D8))</f>
        <v>#NUM!</v>
      </c>
      <c r="E8" s="208" t="str">
        <f t="shared" si="0"/>
        <v/>
      </c>
      <c r="H8" s="1145" t="s">
        <v>279</v>
      </c>
      <c r="I8" s="1146"/>
      <c r="J8" s="1146"/>
      <c r="K8" s="1146"/>
      <c r="L8" s="1146"/>
      <c r="M8" s="1146"/>
      <c r="N8" s="1146"/>
      <c r="O8" s="1146"/>
      <c r="P8" s="1147"/>
    </row>
    <row r="9" spans="1:16" ht="18">
      <c r="A9" s="207">
        <v>6</v>
      </c>
      <c r="B9" s="811" t="s">
        <v>26</v>
      </c>
      <c r="C9" s="811" t="s">
        <v>24</v>
      </c>
      <c r="D9" s="208" t="e">
        <f t="array" ref="D9">INDEX($B$4:$B$16,SMALL(IF($C$4:$C$16="Yes",ROW($B$4:$B$16)-ROW($B$4)+1),ROWS(D$4:D9)),COLUMNS($D9:D9))</f>
        <v>#NUM!</v>
      </c>
      <c r="E9" s="208" t="str">
        <f t="shared" si="0"/>
        <v/>
      </c>
      <c r="H9" s="1145"/>
      <c r="I9" s="1146"/>
      <c r="J9" s="1146"/>
      <c r="K9" s="1146"/>
      <c r="L9" s="1146"/>
      <c r="M9" s="1146"/>
      <c r="N9" s="1146"/>
      <c r="O9" s="1146"/>
      <c r="P9" s="1147"/>
    </row>
    <row r="10" spans="1:16" ht="18">
      <c r="A10" s="207">
        <v>7</v>
      </c>
      <c r="B10" s="811" t="s">
        <v>27</v>
      </c>
      <c r="C10" s="811" t="s">
        <v>24</v>
      </c>
      <c r="D10" s="208" t="e">
        <f t="array" ref="D10">INDEX($B$4:$B$16,SMALL(IF($C$4:$C$16="Yes",ROW($B$4:$B$16)-ROW($B$4)+1),ROWS(D$4:D10)),COLUMNS($D10:D10))</f>
        <v>#NUM!</v>
      </c>
      <c r="E10" s="208" t="str">
        <f t="shared" si="0"/>
        <v/>
      </c>
      <c r="H10" s="1145" t="s">
        <v>267</v>
      </c>
      <c r="I10" s="1146"/>
      <c r="J10" s="1146"/>
      <c r="K10" s="1146"/>
      <c r="L10" s="1146"/>
      <c r="M10" s="1146"/>
      <c r="N10" s="1146"/>
      <c r="O10" s="1146"/>
      <c r="P10" s="1147"/>
    </row>
    <row r="11" spans="1:16" ht="18">
      <c r="A11" s="207">
        <v>8</v>
      </c>
      <c r="B11" s="811" t="s">
        <v>28</v>
      </c>
      <c r="C11" s="811" t="s">
        <v>24</v>
      </c>
      <c r="D11" s="208" t="e">
        <f t="array" ref="D11">INDEX($B$4:$B$16,SMALL(IF($C$4:$C$16="Yes",ROW($B$4:$B$16)-ROW($B$4)+1),ROWS(D$4:D11)),COLUMNS($D11:D11))</f>
        <v>#NUM!</v>
      </c>
      <c r="E11" s="208" t="str">
        <f t="shared" si="0"/>
        <v/>
      </c>
      <c r="H11" s="1145"/>
      <c r="I11" s="1146"/>
      <c r="J11" s="1146"/>
      <c r="K11" s="1146"/>
      <c r="L11" s="1146"/>
      <c r="M11" s="1146"/>
      <c r="N11" s="1146"/>
      <c r="O11" s="1146"/>
      <c r="P11" s="1147"/>
    </row>
    <row r="12" spans="1:16" ht="18">
      <c r="A12" s="207">
        <v>9</v>
      </c>
      <c r="B12" s="811" t="s">
        <v>29</v>
      </c>
      <c r="C12" s="811" t="s">
        <v>24</v>
      </c>
      <c r="D12" s="208" t="e">
        <f t="array" ref="D12">INDEX($B$4:$B$16,SMALL(IF($C$4:$C$16="Yes",ROW($B$4:$B$16)-ROW($B$4)+1),ROWS(D$4:D12)),COLUMNS($D12:D12))</f>
        <v>#NUM!</v>
      </c>
      <c r="E12" s="208" t="str">
        <f t="shared" si="0"/>
        <v/>
      </c>
      <c r="H12" s="1145" t="s">
        <v>268</v>
      </c>
      <c r="I12" s="1146"/>
      <c r="J12" s="1146"/>
      <c r="K12" s="1146"/>
      <c r="L12" s="1146"/>
      <c r="M12" s="1146"/>
      <c r="N12" s="1146"/>
      <c r="O12" s="1146"/>
      <c r="P12" s="1147"/>
    </row>
    <row r="13" spans="1:16" ht="18">
      <c r="A13" s="207">
        <v>10</v>
      </c>
      <c r="B13" s="811" t="s">
        <v>30</v>
      </c>
      <c r="C13" s="811" t="s">
        <v>24</v>
      </c>
      <c r="D13" s="208" t="e">
        <f t="array" ref="D13">INDEX($B$4:$B$16,SMALL(IF($C$4:$C$16="Yes",ROW($B$4:$B$16)-ROW($B$4)+1),ROWS(D$4:D13)),COLUMNS($D13:D13))</f>
        <v>#NUM!</v>
      </c>
      <c r="E13" s="208" t="str">
        <f t="shared" si="0"/>
        <v/>
      </c>
      <c r="H13" s="1145"/>
      <c r="I13" s="1146"/>
      <c r="J13" s="1146"/>
      <c r="K13" s="1146"/>
      <c r="L13" s="1146"/>
      <c r="M13" s="1146"/>
      <c r="N13" s="1146"/>
      <c r="O13" s="1146"/>
      <c r="P13" s="1147"/>
    </row>
    <row r="14" spans="1:16" ht="18">
      <c r="A14" s="207">
        <v>11</v>
      </c>
      <c r="B14" s="811" t="s">
        <v>31</v>
      </c>
      <c r="C14" s="811" t="s">
        <v>24</v>
      </c>
      <c r="D14" s="208" t="e">
        <f t="array" ref="D14">INDEX($B$4:$B$16,SMALL(IF($C$4:$C$16="Yes",ROW($B$4:$B$16)-ROW($B$4)+1),ROWS(D$4:D14)),COLUMNS($D14:D14))</f>
        <v>#NUM!</v>
      </c>
      <c r="E14" s="208" t="str">
        <f t="shared" si="0"/>
        <v/>
      </c>
      <c r="H14" s="6"/>
      <c r="I14" s="23"/>
      <c r="J14" s="23"/>
      <c r="K14" s="23"/>
      <c r="L14" s="23"/>
      <c r="M14" s="23"/>
      <c r="N14" s="23"/>
      <c r="O14" s="23"/>
      <c r="P14" s="209"/>
    </row>
    <row r="15" spans="1:16" ht="18">
      <c r="A15" s="207">
        <v>12</v>
      </c>
      <c r="B15" s="811" t="s">
        <v>32</v>
      </c>
      <c r="C15" s="811" t="s">
        <v>24</v>
      </c>
      <c r="D15" s="208" t="e">
        <f t="array" ref="D15">INDEX($B$4:$B$16,SMALL(IF($C$4:$C$16="Yes",ROW($B$4:$B$16)-ROW($B$4)+1),ROWS(D$4:D15)),COLUMNS($D15:D15))</f>
        <v>#NUM!</v>
      </c>
      <c r="E15" s="208" t="str">
        <f t="shared" si="0"/>
        <v/>
      </c>
      <c r="H15" s="1145" t="s">
        <v>371</v>
      </c>
      <c r="I15" s="1146"/>
      <c r="J15" s="1146"/>
      <c r="K15" s="1146"/>
      <c r="L15" s="1146"/>
      <c r="M15" s="1146"/>
      <c r="N15" s="1146"/>
      <c r="O15" s="1146"/>
      <c r="P15" s="1147"/>
    </row>
    <row r="16" spans="1:16" ht="18">
      <c r="A16" s="207">
        <v>13</v>
      </c>
      <c r="B16" s="811" t="s">
        <v>34</v>
      </c>
      <c r="C16" s="811" t="s">
        <v>24</v>
      </c>
      <c r="D16" s="208" t="e">
        <f t="array" ref="D16">INDEX($B$4:$B$16,SMALL(IF($C$4:$C$16="Yes",ROW($B$4:$B$16)-ROW($B$4)+1),ROWS(D$4:D16)),COLUMNS($D16:D16))</f>
        <v>#NUM!</v>
      </c>
      <c r="E16" s="208" t="str">
        <f t="shared" si="0"/>
        <v/>
      </c>
      <c r="H16" s="1145"/>
      <c r="I16" s="1146"/>
      <c r="J16" s="1146"/>
      <c r="K16" s="1146"/>
      <c r="L16" s="1146"/>
      <c r="M16" s="1146"/>
      <c r="N16" s="1146"/>
      <c r="O16" s="1146"/>
      <c r="P16" s="1147"/>
    </row>
    <row r="17" spans="1:16">
      <c r="B17" s="5"/>
      <c r="C17" s="7"/>
      <c r="H17" s="210"/>
      <c r="P17" s="211"/>
    </row>
    <row r="18" spans="1:16" ht="16" thickBot="1">
      <c r="B18" s="5"/>
      <c r="C18" s="7"/>
      <c r="H18" s="212"/>
      <c r="I18" s="213"/>
      <c r="J18" s="213"/>
      <c r="K18" s="213"/>
      <c r="L18" s="213"/>
      <c r="M18" s="213"/>
      <c r="N18" s="213"/>
      <c r="O18" s="213"/>
      <c r="P18" s="214"/>
    </row>
    <row r="19" spans="1:16">
      <c r="B19" s="5"/>
      <c r="C19" s="7"/>
    </row>
    <row r="20" spans="1:16">
      <c r="B20" s="5"/>
      <c r="C20" s="7"/>
    </row>
    <row r="21" spans="1:16" s="222" customFormat="1">
      <c r="A21" s="222" t="s">
        <v>697</v>
      </c>
    </row>
    <row r="22" spans="1:16">
      <c r="B22" s="5"/>
      <c r="C22" s="7"/>
    </row>
    <row r="23" spans="1:16">
      <c r="B23" s="5"/>
      <c r="C23" s="7"/>
    </row>
  </sheetData>
  <mergeCells count="6">
    <mergeCell ref="H15:P16"/>
    <mergeCell ref="H5:P5"/>
    <mergeCell ref="H6:P7"/>
    <mergeCell ref="H8:P9"/>
    <mergeCell ref="H10:P11"/>
    <mergeCell ref="H12:P13"/>
  </mergeCells>
  <phoneticPr fontId="41" type="noConversion"/>
  <dataValidations count="2">
    <dataValidation type="list" showInputMessage="1" showErrorMessage="1" sqref="C4:C16" xr:uid="{00000000-0002-0000-1100-000000000000}">
      <formula1>Yesno</formula1>
    </dataValidation>
    <dataValidation showInputMessage="1" showErrorMessage="1" sqref="C17:C29" xr:uid="{00000000-0002-0000-1100-000001000000}"/>
  </dataValidations>
  <pageMargins left="0.75" right="0.75" top="1" bottom="1" header="0.5" footer="0.5"/>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CB6D8-07CD-46DF-BCF5-2F53C4D82339}">
  <sheetPr codeName="Sheet28">
    <tabColor theme="5" tint="-0.249977111117893"/>
  </sheetPr>
  <dimension ref="A1:M56"/>
  <sheetViews>
    <sheetView workbookViewId="0"/>
  </sheetViews>
  <sheetFormatPr defaultColWidth="8.69140625" defaultRowHeight="15.5"/>
  <cols>
    <col min="1" max="1" width="15.84375" style="169" customWidth="1"/>
    <col min="2" max="2" width="26.15234375" style="169" customWidth="1"/>
    <col min="3" max="3" width="18.3828125" style="169" customWidth="1"/>
    <col min="4" max="4" width="10.61328125" style="169" customWidth="1"/>
    <col min="5" max="5" width="12.53515625" style="169" customWidth="1"/>
    <col min="6" max="6" width="8.69140625" style="169"/>
    <col min="7" max="7" width="10.69140625" style="169" customWidth="1"/>
    <col min="8" max="8" width="11.23046875" style="169" customWidth="1"/>
    <col min="9" max="11" width="11.84375" style="169" customWidth="1"/>
    <col min="12" max="16384" width="8.69140625" style="169"/>
  </cols>
  <sheetData>
    <row r="1" spans="1:10">
      <c r="A1" s="215" t="s">
        <v>701</v>
      </c>
      <c r="E1" s="173" t="s">
        <v>684</v>
      </c>
    </row>
    <row r="3" spans="1:10">
      <c r="A3" s="173" t="s">
        <v>610</v>
      </c>
      <c r="B3" s="173" t="s">
        <v>609</v>
      </c>
      <c r="C3" s="173" t="s">
        <v>702</v>
      </c>
      <c r="D3" s="173" t="s">
        <v>637</v>
      </c>
      <c r="E3" s="173" t="s">
        <v>730</v>
      </c>
      <c r="F3" s="173" t="s">
        <v>834</v>
      </c>
      <c r="G3" s="150" t="s">
        <v>342</v>
      </c>
      <c r="H3" s="173" t="s">
        <v>835</v>
      </c>
      <c r="I3" s="173" t="s">
        <v>596</v>
      </c>
      <c r="J3" s="173" t="s">
        <v>639</v>
      </c>
    </row>
    <row r="4" spans="1:10">
      <c r="A4" s="169" t="s">
        <v>710</v>
      </c>
      <c r="B4" s="169" t="s">
        <v>706</v>
      </c>
      <c r="C4" s="169" t="s">
        <v>703</v>
      </c>
      <c r="D4" s="169" t="str">
        <f>A4&amp;B4&amp;C4</f>
        <v>AttritionProbabilityReferral</v>
      </c>
      <c r="E4" s="216">
        <f>Control!E37</f>
        <v>0.41</v>
      </c>
      <c r="F4" s="216">
        <f>H4</f>
        <v>0.41</v>
      </c>
      <c r="G4" s="169" t="s">
        <v>836</v>
      </c>
      <c r="H4" s="216">
        <v>0.41</v>
      </c>
      <c r="I4" s="169" t="s">
        <v>765</v>
      </c>
    </row>
    <row r="5" spans="1:10">
      <c r="A5" s="169" t="s">
        <v>710</v>
      </c>
      <c r="B5" s="169" t="s">
        <v>706</v>
      </c>
      <c r="C5" s="169" t="s">
        <v>704</v>
      </c>
      <c r="D5" s="169" t="str">
        <f t="shared" ref="D5:D32" si="0">A5&amp;B5&amp;C5</f>
        <v>AttritionProbabilityAssessment</v>
      </c>
      <c r="E5" s="216">
        <f>Control!E38</f>
        <v>0.66</v>
      </c>
      <c r="F5" s="216">
        <f t="shared" ref="F5:F10" si="1">H5</f>
        <v>0.66</v>
      </c>
      <c r="G5" s="169" t="s">
        <v>836</v>
      </c>
      <c r="H5" s="216">
        <v>0.66</v>
      </c>
      <c r="I5" s="169" t="s">
        <v>765</v>
      </c>
    </row>
    <row r="6" spans="1:10">
      <c r="A6" s="169" t="s">
        <v>710</v>
      </c>
      <c r="B6" s="169" t="s">
        <v>706</v>
      </c>
      <c r="C6" s="169" t="s">
        <v>705</v>
      </c>
      <c r="D6" s="169" t="str">
        <f t="shared" si="0"/>
        <v>AttritionProbabilityDirect_RJ</v>
      </c>
      <c r="E6" s="216">
        <f>Control!E39</f>
        <v>0.31</v>
      </c>
      <c r="F6" s="216">
        <f t="shared" si="1"/>
        <v>0.31</v>
      </c>
      <c r="G6" s="169" t="s">
        <v>836</v>
      </c>
      <c r="H6" s="216">
        <v>0.31</v>
      </c>
      <c r="I6" s="169" t="s">
        <v>765</v>
      </c>
    </row>
    <row r="7" spans="1:10">
      <c r="A7" s="169" t="s">
        <v>711</v>
      </c>
      <c r="B7" s="169" t="s">
        <v>712</v>
      </c>
      <c r="C7" s="169" t="s">
        <v>703</v>
      </c>
      <c r="D7" s="169" t="str">
        <f t="shared" si="0"/>
        <v>ResourcesFacilitator_hoursReferral</v>
      </c>
      <c r="E7" s="217">
        <f t="shared" ref="E7:E26" si="2">F7</f>
        <v>0.75</v>
      </c>
      <c r="F7" s="218">
        <f t="shared" si="1"/>
        <v>0.75</v>
      </c>
      <c r="G7" s="169" t="s">
        <v>836</v>
      </c>
      <c r="H7" s="218">
        <v>0.75</v>
      </c>
      <c r="I7" s="169" t="s">
        <v>765</v>
      </c>
    </row>
    <row r="8" spans="1:10">
      <c r="A8" s="169" t="s">
        <v>711</v>
      </c>
      <c r="B8" s="169" t="s">
        <v>712</v>
      </c>
      <c r="C8" s="169" t="s">
        <v>704</v>
      </c>
      <c r="D8" s="169" t="str">
        <f t="shared" si="0"/>
        <v>ResourcesFacilitator_hoursAssessment</v>
      </c>
      <c r="E8" s="217">
        <f t="shared" si="2"/>
        <v>7</v>
      </c>
      <c r="F8" s="218">
        <f t="shared" si="1"/>
        <v>7</v>
      </c>
      <c r="G8" s="169" t="s">
        <v>836</v>
      </c>
      <c r="H8" s="218">
        <v>7</v>
      </c>
      <c r="I8" s="169" t="s">
        <v>765</v>
      </c>
    </row>
    <row r="9" spans="1:10">
      <c r="A9" s="169" t="s">
        <v>711</v>
      </c>
      <c r="B9" s="169" t="s">
        <v>712</v>
      </c>
      <c r="C9" s="169" t="s">
        <v>705</v>
      </c>
      <c r="D9" s="169" t="str">
        <f t="shared" si="0"/>
        <v>ResourcesFacilitator_hoursDirect_RJ</v>
      </c>
      <c r="E9" s="217">
        <f t="shared" si="2"/>
        <v>79</v>
      </c>
      <c r="F9" s="218">
        <f t="shared" si="1"/>
        <v>79</v>
      </c>
      <c r="G9" s="169" t="s">
        <v>836</v>
      </c>
      <c r="H9" s="218">
        <v>79</v>
      </c>
      <c r="I9" s="169" t="s">
        <v>765</v>
      </c>
    </row>
    <row r="10" spans="1:10">
      <c r="A10" s="169" t="s">
        <v>711</v>
      </c>
      <c r="B10" s="169" t="s">
        <v>712</v>
      </c>
      <c r="C10" s="169" t="s">
        <v>709</v>
      </c>
      <c r="D10" s="169" t="str">
        <f t="shared" si="0"/>
        <v>ResourcesFacilitator_hoursIndirect_RJ</v>
      </c>
      <c r="E10" s="217">
        <f t="shared" si="2"/>
        <v>19</v>
      </c>
      <c r="F10" s="218">
        <f t="shared" si="1"/>
        <v>19</v>
      </c>
      <c r="G10" s="169" t="s">
        <v>836</v>
      </c>
      <c r="H10" s="218">
        <v>19</v>
      </c>
      <c r="I10" s="169" t="s">
        <v>765</v>
      </c>
    </row>
    <row r="11" spans="1:10">
      <c r="A11" s="169" t="s">
        <v>711</v>
      </c>
      <c r="B11" s="169" t="s">
        <v>713</v>
      </c>
      <c r="C11" s="169" t="s">
        <v>703</v>
      </c>
      <c r="D11" s="169" t="str">
        <f t="shared" si="0"/>
        <v>ResourcesManager_hoursReferral</v>
      </c>
      <c r="E11" s="218">
        <f t="shared" si="2"/>
        <v>0</v>
      </c>
      <c r="F11" s="218"/>
      <c r="H11" s="218"/>
    </row>
    <row r="12" spans="1:10">
      <c r="A12" s="169" t="s">
        <v>711</v>
      </c>
      <c r="B12" s="169" t="s">
        <v>713</v>
      </c>
      <c r="C12" s="169" t="s">
        <v>704</v>
      </c>
      <c r="D12" s="169" t="str">
        <f t="shared" si="0"/>
        <v>ResourcesManager_hoursAssessment</v>
      </c>
      <c r="E12" s="218">
        <f t="shared" si="2"/>
        <v>0</v>
      </c>
      <c r="F12" s="218"/>
      <c r="H12" s="218"/>
    </row>
    <row r="13" spans="1:10">
      <c r="A13" s="169" t="s">
        <v>711</v>
      </c>
      <c r="B13" s="169" t="s">
        <v>713</v>
      </c>
      <c r="C13" s="169" t="s">
        <v>705</v>
      </c>
      <c r="D13" s="169" t="str">
        <f t="shared" si="0"/>
        <v>ResourcesManager_hoursDirect_RJ</v>
      </c>
      <c r="E13" s="218">
        <f t="shared" si="2"/>
        <v>0</v>
      </c>
      <c r="F13" s="218"/>
      <c r="H13" s="218"/>
    </row>
    <row r="14" spans="1:10">
      <c r="A14" s="169" t="s">
        <v>711</v>
      </c>
      <c r="B14" s="169" t="s">
        <v>713</v>
      </c>
      <c r="C14" s="169" t="s">
        <v>709</v>
      </c>
      <c r="D14" s="169" t="str">
        <f t="shared" si="0"/>
        <v>ResourcesManager_hoursIndirect_RJ</v>
      </c>
      <c r="E14" s="218">
        <f t="shared" si="2"/>
        <v>0</v>
      </c>
      <c r="F14" s="218"/>
      <c r="H14" s="218"/>
    </row>
    <row r="15" spans="1:10">
      <c r="A15" s="169" t="s">
        <v>711</v>
      </c>
      <c r="B15" s="169" t="s">
        <v>714</v>
      </c>
      <c r="C15" s="169" t="s">
        <v>703</v>
      </c>
      <c r="D15" s="169" t="str">
        <f t="shared" si="0"/>
        <v>ResourcesPolice_hoursReferral</v>
      </c>
      <c r="E15" s="218">
        <f t="shared" si="2"/>
        <v>0</v>
      </c>
      <c r="F15" s="218"/>
      <c r="H15" s="218"/>
    </row>
    <row r="16" spans="1:10">
      <c r="A16" s="169" t="s">
        <v>711</v>
      </c>
      <c r="B16" s="169" t="s">
        <v>714</v>
      </c>
      <c r="C16" s="169" t="s">
        <v>704</v>
      </c>
      <c r="D16" s="169" t="str">
        <f t="shared" si="0"/>
        <v>ResourcesPolice_hoursAssessment</v>
      </c>
      <c r="E16" s="218">
        <f t="shared" si="2"/>
        <v>0.25</v>
      </c>
      <c r="F16" s="218">
        <v>0.25</v>
      </c>
      <c r="H16" s="218"/>
      <c r="I16" s="169" t="s">
        <v>887</v>
      </c>
    </row>
    <row r="17" spans="1:10">
      <c r="A17" s="169" t="s">
        <v>711</v>
      </c>
      <c r="B17" s="169" t="s">
        <v>714</v>
      </c>
      <c r="C17" s="169" t="s">
        <v>705</v>
      </c>
      <c r="D17" s="169" t="str">
        <f t="shared" si="0"/>
        <v>ResourcesPolice_hoursDirect_RJ</v>
      </c>
      <c r="E17" s="218">
        <f t="shared" si="2"/>
        <v>0</v>
      </c>
      <c r="F17" s="218"/>
      <c r="H17" s="218"/>
    </row>
    <row r="18" spans="1:10">
      <c r="A18" s="169" t="s">
        <v>711</v>
      </c>
      <c r="B18" s="169" t="s">
        <v>714</v>
      </c>
      <c r="C18" s="169" t="s">
        <v>709</v>
      </c>
      <c r="D18" s="169" t="str">
        <f t="shared" si="0"/>
        <v>ResourcesPolice_hoursIndirect_RJ</v>
      </c>
      <c r="E18" s="218">
        <f t="shared" si="2"/>
        <v>0</v>
      </c>
      <c r="F18" s="218"/>
      <c r="H18" s="218"/>
    </row>
    <row r="19" spans="1:10">
      <c r="A19" s="169" t="s">
        <v>711</v>
      </c>
      <c r="B19" s="169" t="s">
        <v>772</v>
      </c>
      <c r="C19" s="169" t="s">
        <v>703</v>
      </c>
      <c r="D19" s="169" t="str">
        <f t="shared" si="0"/>
        <v>ResourcesProbation_hoursReferral</v>
      </c>
      <c r="E19" s="218">
        <f t="shared" si="2"/>
        <v>0</v>
      </c>
      <c r="F19" s="218"/>
      <c r="H19" s="218"/>
    </row>
    <row r="20" spans="1:10">
      <c r="A20" s="169" t="s">
        <v>711</v>
      </c>
      <c r="B20" s="169" t="s">
        <v>772</v>
      </c>
      <c r="C20" s="169" t="s">
        <v>704</v>
      </c>
      <c r="D20" s="169" t="str">
        <f t="shared" si="0"/>
        <v>ResourcesProbation_hoursAssessment</v>
      </c>
      <c r="E20" s="218">
        <f t="shared" si="2"/>
        <v>0</v>
      </c>
      <c r="F20" s="218"/>
      <c r="H20" s="218"/>
    </row>
    <row r="21" spans="1:10">
      <c r="A21" s="169" t="s">
        <v>711</v>
      </c>
      <c r="B21" s="169" t="s">
        <v>772</v>
      </c>
      <c r="C21" s="169" t="s">
        <v>705</v>
      </c>
      <c r="D21" s="169" t="str">
        <f t="shared" si="0"/>
        <v>ResourcesProbation_hoursDirect_RJ</v>
      </c>
      <c r="E21" s="218">
        <f t="shared" si="2"/>
        <v>0</v>
      </c>
      <c r="F21" s="218"/>
      <c r="H21" s="218"/>
    </row>
    <row r="22" spans="1:10">
      <c r="A22" s="169" t="s">
        <v>711</v>
      </c>
      <c r="B22" s="169" t="s">
        <v>772</v>
      </c>
      <c r="C22" s="169" t="s">
        <v>709</v>
      </c>
      <c r="D22" s="169" t="str">
        <f t="shared" si="0"/>
        <v>ResourcesProbation_hoursIndirect_RJ</v>
      </c>
      <c r="E22" s="218">
        <f t="shared" si="2"/>
        <v>0</v>
      </c>
      <c r="F22" s="218"/>
      <c r="H22" s="218"/>
    </row>
    <row r="23" spans="1:10">
      <c r="A23" s="169" t="s">
        <v>711</v>
      </c>
      <c r="B23" s="169" t="s">
        <v>773</v>
      </c>
      <c r="C23" s="169" t="s">
        <v>703</v>
      </c>
      <c r="D23" s="169" t="str">
        <f t="shared" si="0"/>
        <v>ResourcesPrison_hoursReferral</v>
      </c>
      <c r="E23" s="218">
        <f t="shared" si="2"/>
        <v>0</v>
      </c>
      <c r="F23" s="218"/>
      <c r="H23" s="218"/>
    </row>
    <row r="24" spans="1:10">
      <c r="A24" s="169" t="s">
        <v>711</v>
      </c>
      <c r="B24" s="169" t="s">
        <v>773</v>
      </c>
      <c r="C24" s="169" t="s">
        <v>704</v>
      </c>
      <c r="D24" s="169" t="str">
        <f t="shared" si="0"/>
        <v>ResourcesPrison_hoursAssessment</v>
      </c>
      <c r="E24" s="218">
        <f t="shared" si="2"/>
        <v>0</v>
      </c>
      <c r="F24" s="218"/>
      <c r="H24" s="218"/>
    </row>
    <row r="25" spans="1:10">
      <c r="A25" s="169" t="s">
        <v>711</v>
      </c>
      <c r="B25" s="169" t="s">
        <v>773</v>
      </c>
      <c r="C25" s="169" t="s">
        <v>705</v>
      </c>
      <c r="D25" s="169" t="str">
        <f t="shared" si="0"/>
        <v>ResourcesPrison_hoursDirect_RJ</v>
      </c>
      <c r="E25" s="218">
        <f t="shared" si="2"/>
        <v>0</v>
      </c>
      <c r="F25" s="218"/>
      <c r="H25" s="218"/>
    </row>
    <row r="26" spans="1:10">
      <c r="A26" s="169" t="s">
        <v>711</v>
      </c>
      <c r="B26" s="169" t="s">
        <v>773</v>
      </c>
      <c r="C26" s="169" t="s">
        <v>709</v>
      </c>
      <c r="D26" s="169" t="str">
        <f t="shared" si="0"/>
        <v>ResourcesPrison_hoursIndirect_RJ</v>
      </c>
      <c r="E26" s="218">
        <f t="shared" si="2"/>
        <v>0</v>
      </c>
      <c r="F26" s="218"/>
      <c r="H26" s="218"/>
    </row>
    <row r="27" spans="1:10">
      <c r="A27" s="169" t="s">
        <v>711</v>
      </c>
      <c r="B27" s="169" t="s">
        <v>771</v>
      </c>
      <c r="C27" s="169" t="s">
        <v>732</v>
      </c>
      <c r="D27" s="169" t="str">
        <f>A27&amp;B27&amp;C27</f>
        <v>ResourcesManager_time_%All</v>
      </c>
      <c r="E27" s="216">
        <f t="shared" ref="E27" si="3">F27</f>
        <v>0.2</v>
      </c>
      <c r="F27" s="394">
        <f>H27</f>
        <v>0.2</v>
      </c>
      <c r="H27" s="216">
        <f>0.2</f>
        <v>0.2</v>
      </c>
      <c r="I27" s="169" t="s">
        <v>887</v>
      </c>
    </row>
    <row r="28" spans="1:10">
      <c r="A28" s="169" t="s">
        <v>711</v>
      </c>
      <c r="B28" s="169" t="s">
        <v>716</v>
      </c>
      <c r="C28" s="169" t="s">
        <v>732</v>
      </c>
      <c r="D28" s="169" t="str">
        <f t="shared" si="0"/>
        <v>ResourcesFacilitator_wageAll</v>
      </c>
      <c r="E28" s="219">
        <f>F28</f>
        <v>12.79</v>
      </c>
      <c r="F28" s="219">
        <f>H28*VLOOKUP(G28,Misc_inputs!$A$4:$C$24,3,0)</f>
        <v>12.79</v>
      </c>
      <c r="G28" s="169">
        <v>2021</v>
      </c>
      <c r="H28" s="219">
        <v>12.79</v>
      </c>
      <c r="J28" s="169" t="s">
        <v>832</v>
      </c>
    </row>
    <row r="29" spans="1:10">
      <c r="A29" s="169" t="s">
        <v>711</v>
      </c>
      <c r="B29" s="169" t="s">
        <v>717</v>
      </c>
      <c r="C29" s="169" t="s">
        <v>732</v>
      </c>
      <c r="D29" s="169" t="str">
        <f t="shared" si="0"/>
        <v>ResourcesManager_wageAll</v>
      </c>
      <c r="E29" s="219">
        <f t="shared" ref="E29:E32" si="4">F29</f>
        <v>36.808179679600862</v>
      </c>
      <c r="F29" s="219">
        <f>H29*VLOOKUP(G29,Misc_inputs!$A$4:$C$24,3,0)</f>
        <v>36.808179679600862</v>
      </c>
      <c r="G29" s="169">
        <v>2009</v>
      </c>
      <c r="H29" s="219">
        <v>29</v>
      </c>
      <c r="J29" s="705" t="s">
        <v>833</v>
      </c>
    </row>
    <row r="30" spans="1:10">
      <c r="A30" s="169" t="s">
        <v>711</v>
      </c>
      <c r="B30" s="169" t="s">
        <v>719</v>
      </c>
      <c r="C30" s="169" t="s">
        <v>732</v>
      </c>
      <c r="D30" s="169" t="str">
        <f t="shared" si="0"/>
        <v>ResourcesPolice_PC_hourly_costAll</v>
      </c>
      <c r="E30" s="219">
        <f t="shared" si="4"/>
        <v>65.825087796489058</v>
      </c>
      <c r="F30" s="219">
        <f>H30*VLOOKUP(G30,Misc_inputs!$A$4:$C$24,3,0)</f>
        <v>65.825087796489058</v>
      </c>
      <c r="G30" s="169">
        <v>2017</v>
      </c>
      <c r="H30" s="221">
        <v>58.99</v>
      </c>
      <c r="I30" s="169" t="s">
        <v>720</v>
      </c>
      <c r="J30" s="169" t="s">
        <v>718</v>
      </c>
    </row>
    <row r="31" spans="1:10">
      <c r="A31" s="169" t="s">
        <v>711</v>
      </c>
      <c r="B31" s="169" t="s">
        <v>721</v>
      </c>
      <c r="C31" s="169" t="s">
        <v>732</v>
      </c>
      <c r="D31" s="169" t="str">
        <f t="shared" si="0"/>
        <v>ResourcesPolice_Sgt_hourly_costAll</v>
      </c>
      <c r="E31" s="219">
        <f t="shared" si="4"/>
        <v>79.784603787912644</v>
      </c>
      <c r="F31" s="219">
        <f>H31*VLOOKUP(G31,Misc_inputs!$A$4:$C$24,3,0)</f>
        <v>79.784603787912644</v>
      </c>
      <c r="G31" s="169">
        <v>2017</v>
      </c>
      <c r="H31" s="221">
        <v>71.5</v>
      </c>
      <c r="I31" s="169" t="s">
        <v>720</v>
      </c>
      <c r="J31" s="169" t="s">
        <v>718</v>
      </c>
    </row>
    <row r="32" spans="1:10">
      <c r="A32" s="169" t="s">
        <v>711</v>
      </c>
      <c r="B32" s="169" t="s">
        <v>722</v>
      </c>
      <c r="C32" s="169" t="s">
        <v>732</v>
      </c>
      <c r="D32" s="169" t="str">
        <f t="shared" si="0"/>
        <v>ResourcesProbation_officer_hourly_costAll</v>
      </c>
      <c r="E32" s="219">
        <f t="shared" si="4"/>
        <v>34.978498374673649</v>
      </c>
      <c r="F32" s="219">
        <f>H32*VLOOKUP(G32,Misc_inputs!$A$4:$C$24,3,0)</f>
        <v>34.978498374673649</v>
      </c>
      <c r="G32" s="169">
        <v>2012</v>
      </c>
      <c r="H32" s="221">
        <v>29</v>
      </c>
      <c r="I32" s="169" t="s">
        <v>727</v>
      </c>
      <c r="J32" s="169" t="s">
        <v>726</v>
      </c>
    </row>
    <row r="33" spans="1:13">
      <c r="F33" s="216"/>
    </row>
    <row r="34" spans="1:13">
      <c r="F34" s="216"/>
    </row>
    <row r="36" spans="1:13">
      <c r="B36" s="216"/>
    </row>
    <row r="38" spans="1:13">
      <c r="D38" s="173" t="s">
        <v>890</v>
      </c>
      <c r="I38" s="173" t="s">
        <v>891</v>
      </c>
    </row>
    <row r="39" spans="1:13">
      <c r="A39" s="173" t="s">
        <v>707</v>
      </c>
      <c r="C39" s="173" t="s">
        <v>708</v>
      </c>
      <c r="D39" s="173" t="s">
        <v>715</v>
      </c>
      <c r="E39" s="173" t="s">
        <v>723</v>
      </c>
      <c r="F39" s="173" t="s">
        <v>724</v>
      </c>
      <c r="G39" s="173" t="s">
        <v>725</v>
      </c>
      <c r="H39" s="173" t="s">
        <v>774</v>
      </c>
      <c r="I39" s="173" t="s">
        <v>715</v>
      </c>
      <c r="J39" s="173" t="s">
        <v>723</v>
      </c>
      <c r="K39" s="173" t="s">
        <v>724</v>
      </c>
      <c r="L39" s="173" t="s">
        <v>725</v>
      </c>
      <c r="M39" s="173" t="s">
        <v>774</v>
      </c>
    </row>
    <row r="40" spans="1:13">
      <c r="A40" s="169" t="s">
        <v>703</v>
      </c>
      <c r="C40" s="681">
        <f>Control!E6</f>
        <v>1</v>
      </c>
      <c r="D40" s="220">
        <f>E7*E$28</f>
        <v>9.5924999999999994</v>
      </c>
      <c r="E40" s="220">
        <f>(E7*E$27)*E$29</f>
        <v>5.5212269519401298</v>
      </c>
      <c r="F40" s="220">
        <f>(E15)*E$30</f>
        <v>0</v>
      </c>
      <c r="G40" s="220"/>
      <c r="I40" s="392">
        <f t="shared" ref="I40:M41" si="5">$C40*D40</f>
        <v>9.5924999999999994</v>
      </c>
      <c r="J40" s="392">
        <f t="shared" si="5"/>
        <v>5.5212269519401298</v>
      </c>
      <c r="K40" s="392">
        <f t="shared" si="5"/>
        <v>0</v>
      </c>
      <c r="L40" s="392">
        <f t="shared" si="5"/>
        <v>0</v>
      </c>
      <c r="M40" s="392">
        <f t="shared" si="5"/>
        <v>0</v>
      </c>
    </row>
    <row r="41" spans="1:13">
      <c r="A41" s="169" t="s">
        <v>704</v>
      </c>
      <c r="C41" s="218">
        <f>C40*E4</f>
        <v>0.41</v>
      </c>
      <c r="D41" s="220">
        <f>E8*E$28</f>
        <v>89.53</v>
      </c>
      <c r="E41" s="220">
        <f>(E8*E27)*E$29</f>
        <v>51.531451551441208</v>
      </c>
      <c r="F41" s="220">
        <f>(E16)*E$30</f>
        <v>16.456271949122264</v>
      </c>
      <c r="G41" s="220"/>
      <c r="I41" s="392">
        <f t="shared" si="5"/>
        <v>36.707299999999996</v>
      </c>
      <c r="J41" s="392">
        <f t="shared" si="5"/>
        <v>21.127895136090896</v>
      </c>
      <c r="K41" s="392">
        <f t="shared" si="5"/>
        <v>6.7470714991401284</v>
      </c>
      <c r="L41" s="392">
        <f t="shared" si="5"/>
        <v>0</v>
      </c>
      <c r="M41" s="392">
        <f t="shared" si="5"/>
        <v>0</v>
      </c>
    </row>
    <row r="42" spans="1:13">
      <c r="A42" s="169" t="s">
        <v>728</v>
      </c>
      <c r="C42" s="218">
        <f>C41*E5</f>
        <v>0.27060000000000001</v>
      </c>
      <c r="D42" s="220"/>
      <c r="E42" s="220"/>
      <c r="F42" s="220"/>
      <c r="G42" s="220"/>
      <c r="I42" s="392"/>
      <c r="J42" s="392"/>
      <c r="K42" s="392"/>
      <c r="L42" s="392"/>
      <c r="M42" s="392"/>
    </row>
    <row r="43" spans="1:13">
      <c r="A43" s="169" t="s">
        <v>705</v>
      </c>
      <c r="C43" s="218">
        <f>C42*E6</f>
        <v>8.3886000000000002E-2</v>
      </c>
      <c r="D43" s="220">
        <f>E9*E$28</f>
        <v>1010.41</v>
      </c>
      <c r="E43" s="220">
        <f>(E9*E27)*E$29</f>
        <v>581.56923893769363</v>
      </c>
      <c r="F43" s="220">
        <f>(E17)*E$30</f>
        <v>0</v>
      </c>
      <c r="G43" s="220">
        <f>(E21)*E$32</f>
        <v>0</v>
      </c>
      <c r="I43" s="392">
        <f t="shared" ref="I43:M44" si="6">$C43*D43</f>
        <v>84.759253259999994</v>
      </c>
      <c r="J43" s="392">
        <f t="shared" si="6"/>
        <v>48.785517177527367</v>
      </c>
      <c r="K43" s="392">
        <f t="shared" si="6"/>
        <v>0</v>
      </c>
      <c r="L43" s="392">
        <f t="shared" si="6"/>
        <v>0</v>
      </c>
      <c r="M43" s="392">
        <f t="shared" si="6"/>
        <v>0</v>
      </c>
    </row>
    <row r="44" spans="1:13">
      <c r="A44" s="169" t="s">
        <v>709</v>
      </c>
      <c r="C44" s="218">
        <f>C42*(1-E6)</f>
        <v>0.18671399999999999</v>
      </c>
      <c r="D44" s="220">
        <f>E10*E$28</f>
        <v>243.01</v>
      </c>
      <c r="E44" s="220">
        <f>(E10*E27)*E$29</f>
        <v>139.87108278248328</v>
      </c>
      <c r="F44" s="220"/>
      <c r="G44" s="220"/>
      <c r="I44" s="392">
        <f t="shared" si="6"/>
        <v>45.373369139999994</v>
      </c>
      <c r="J44" s="392">
        <f t="shared" si="6"/>
        <v>26.115889350648583</v>
      </c>
      <c r="K44" s="392">
        <f t="shared" si="6"/>
        <v>0</v>
      </c>
      <c r="L44" s="392">
        <f t="shared" si="6"/>
        <v>0</v>
      </c>
      <c r="M44" s="392">
        <f t="shared" si="6"/>
        <v>0</v>
      </c>
    </row>
    <row r="45" spans="1:13">
      <c r="A45" s="169" t="s">
        <v>755</v>
      </c>
      <c r="I45" s="392">
        <f>SUM(I40:I44)</f>
        <v>176.43242239999998</v>
      </c>
      <c r="J45" s="392">
        <f t="shared" ref="J45:L45" si="7">SUM(J40:J44)</f>
        <v>101.55052861620698</v>
      </c>
      <c r="K45" s="392">
        <f t="shared" si="7"/>
        <v>6.7470714991401284</v>
      </c>
      <c r="L45" s="392">
        <f t="shared" si="7"/>
        <v>0</v>
      </c>
      <c r="M45" s="392">
        <f t="shared" ref="M45" si="8">SUM(M40:M44)</f>
        <v>0</v>
      </c>
    </row>
    <row r="48" spans="1:13" s="222" customFormat="1">
      <c r="A48" s="222" t="s">
        <v>697</v>
      </c>
    </row>
    <row r="51" spans="8:8">
      <c r="H51" s="173"/>
    </row>
    <row r="52" spans="8:8">
      <c r="H52" s="220"/>
    </row>
    <row r="53" spans="8:8">
      <c r="H53" s="220"/>
    </row>
    <row r="54" spans="8:8">
      <c r="H54" s="220"/>
    </row>
    <row r="55" spans="8:8">
      <c r="H55" s="220"/>
    </row>
    <row r="56" spans="8:8">
      <c r="H56" s="220"/>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theme="2" tint="-0.249977111117893"/>
  </sheetPr>
  <dimension ref="A1:K26"/>
  <sheetViews>
    <sheetView workbookViewId="0"/>
  </sheetViews>
  <sheetFormatPr defaultColWidth="10.69140625" defaultRowHeight="18"/>
  <cols>
    <col min="1" max="1" width="20.23046875" style="197" customWidth="1"/>
    <col min="2" max="10" width="10.69140625" style="197"/>
    <col min="11" max="11" width="36.23046875" style="197" customWidth="1"/>
    <col min="12" max="16384" width="10.69140625" style="197"/>
  </cols>
  <sheetData>
    <row r="1" spans="1:11" ht="21" thickBot="1">
      <c r="A1" s="789" t="s">
        <v>480</v>
      </c>
      <c r="B1" s="789"/>
      <c r="C1" s="789"/>
    </row>
    <row r="2" spans="1:11">
      <c r="A2" s="788" t="s">
        <v>112</v>
      </c>
      <c r="B2" s="793"/>
      <c r="F2" s="795" t="s">
        <v>23</v>
      </c>
      <c r="G2" s="796"/>
      <c r="H2" s="796"/>
      <c r="I2" s="796"/>
      <c r="J2" s="796"/>
      <c r="K2" s="797"/>
    </row>
    <row r="3" spans="1:11">
      <c r="A3" s="198" t="s">
        <v>113</v>
      </c>
      <c r="B3" s="791">
        <v>0</v>
      </c>
      <c r="F3" s="199"/>
      <c r="K3" s="200"/>
    </row>
    <row r="4" spans="1:11" ht="24.5" customHeight="1" thickBot="1">
      <c r="A4" s="201" t="s">
        <v>114</v>
      </c>
      <c r="B4" s="792">
        <v>0</v>
      </c>
      <c r="F4" s="1154" t="s">
        <v>512</v>
      </c>
      <c r="G4" s="1155"/>
      <c r="H4" s="1155"/>
      <c r="I4" s="1155"/>
      <c r="J4" s="1155"/>
      <c r="K4" s="1156"/>
    </row>
    <row r="5" spans="1:11">
      <c r="F5" s="1154"/>
      <c r="G5" s="1155"/>
      <c r="H5" s="1155"/>
      <c r="I5" s="1155"/>
      <c r="J5" s="1155"/>
      <c r="K5" s="1156"/>
    </row>
    <row r="6" spans="1:11">
      <c r="A6" s="794" t="s">
        <v>853</v>
      </c>
      <c r="B6" s="794"/>
      <c r="C6" s="794"/>
      <c r="D6" s="794"/>
      <c r="F6" s="1154"/>
      <c r="G6" s="1155"/>
      <c r="H6" s="1155"/>
      <c r="I6" s="1155"/>
      <c r="J6" s="1155"/>
      <c r="K6" s="1156"/>
    </row>
    <row r="7" spans="1:11">
      <c r="F7" s="1154"/>
      <c r="G7" s="1155"/>
      <c r="H7" s="1155"/>
      <c r="I7" s="1155"/>
      <c r="J7" s="1155"/>
      <c r="K7" s="1156"/>
    </row>
    <row r="8" spans="1:11">
      <c r="F8" s="1154"/>
      <c r="G8" s="1155"/>
      <c r="H8" s="1155"/>
      <c r="I8" s="1155"/>
      <c r="J8" s="1155"/>
      <c r="K8" s="1156"/>
    </row>
    <row r="9" spans="1:11" ht="84.5" customHeight="1">
      <c r="F9" s="1154"/>
      <c r="G9" s="1155"/>
      <c r="H9" s="1155"/>
      <c r="I9" s="1155"/>
      <c r="J9" s="1155"/>
      <c r="K9" s="1156"/>
    </row>
    <row r="10" spans="1:11" ht="41.25" customHeight="1">
      <c r="F10" s="1154"/>
      <c r="G10" s="1155"/>
      <c r="H10" s="1155"/>
      <c r="I10" s="1155"/>
      <c r="J10" s="1155"/>
      <c r="K10" s="1156"/>
    </row>
    <row r="11" spans="1:11">
      <c r="F11" s="1151" t="s">
        <v>501</v>
      </c>
      <c r="G11" s="1152"/>
      <c r="H11" s="1152"/>
      <c r="I11" s="1152"/>
      <c r="J11" s="1152"/>
      <c r="K11" s="1153"/>
    </row>
    <row r="12" spans="1:11" ht="48.75" customHeight="1">
      <c r="F12" s="1151"/>
      <c r="G12" s="1152"/>
      <c r="H12" s="1152"/>
      <c r="I12" s="1152"/>
      <c r="J12" s="1152"/>
      <c r="K12" s="1153"/>
    </row>
    <row r="13" spans="1:11">
      <c r="F13" s="202" t="s">
        <v>498</v>
      </c>
      <c r="G13" s="196"/>
      <c r="H13" s="196"/>
      <c r="I13" s="196"/>
      <c r="J13" s="196"/>
      <c r="K13" s="203"/>
    </row>
    <row r="14" spans="1:11">
      <c r="F14" s="202"/>
      <c r="G14" s="196"/>
      <c r="H14" s="196"/>
      <c r="I14" s="196"/>
      <c r="J14" s="196"/>
      <c r="K14" s="203"/>
    </row>
    <row r="15" spans="1:11">
      <c r="F15" s="202"/>
      <c r="G15" s="196"/>
      <c r="H15" s="196"/>
      <c r="I15" s="196"/>
      <c r="J15" s="196"/>
      <c r="K15" s="203"/>
    </row>
    <row r="16" spans="1:11">
      <c r="F16" s="202"/>
      <c r="G16" s="196"/>
      <c r="H16" s="196"/>
      <c r="I16" s="196"/>
      <c r="J16" s="196"/>
      <c r="K16" s="203"/>
    </row>
    <row r="17" spans="6:11">
      <c r="F17" s="202" t="s">
        <v>499</v>
      </c>
      <c r="G17" s="196"/>
      <c r="H17" s="196"/>
      <c r="I17" s="196"/>
      <c r="J17" s="196"/>
      <c r="K17" s="203"/>
    </row>
    <row r="18" spans="6:11">
      <c r="F18" s="202" t="s">
        <v>500</v>
      </c>
      <c r="G18" s="196"/>
      <c r="H18" s="196"/>
      <c r="I18" s="196"/>
      <c r="J18" s="196"/>
      <c r="K18" s="203"/>
    </row>
    <row r="19" spans="6:11">
      <c r="F19" s="202" t="s">
        <v>502</v>
      </c>
      <c r="G19" s="196"/>
      <c r="H19" s="196"/>
      <c r="I19" s="196"/>
      <c r="J19" s="196"/>
      <c r="K19" s="203"/>
    </row>
    <row r="20" spans="6:11">
      <c r="F20" s="202" t="s">
        <v>504</v>
      </c>
      <c r="G20" s="114"/>
      <c r="H20" s="196"/>
      <c r="I20" s="196"/>
      <c r="J20" s="196"/>
      <c r="K20" s="203"/>
    </row>
    <row r="21" spans="6:11">
      <c r="F21" s="202"/>
      <c r="G21" s="196"/>
      <c r="H21" s="196"/>
      <c r="I21" s="196"/>
      <c r="J21" s="196"/>
      <c r="K21" s="203"/>
    </row>
    <row r="22" spans="6:11">
      <c r="F22" s="202" t="s">
        <v>503</v>
      </c>
      <c r="G22" s="196"/>
      <c r="H22" s="196"/>
      <c r="I22" s="196"/>
      <c r="J22" s="196"/>
      <c r="K22" s="203"/>
    </row>
    <row r="23" spans="6:11">
      <c r="F23" s="202" t="s">
        <v>505</v>
      </c>
      <c r="G23" s="196"/>
      <c r="H23" s="196"/>
      <c r="I23" s="196"/>
      <c r="J23" s="196"/>
      <c r="K23" s="203"/>
    </row>
    <row r="24" spans="6:11">
      <c r="F24" s="202" t="s">
        <v>506</v>
      </c>
      <c r="G24" s="196"/>
      <c r="H24" s="196"/>
      <c r="I24" s="196"/>
      <c r="J24" s="196"/>
      <c r="K24" s="203"/>
    </row>
    <row r="25" spans="6:11" ht="18.5" thickBot="1">
      <c r="F25" s="204"/>
      <c r="G25" s="205"/>
      <c r="H25" s="205"/>
      <c r="I25" s="205"/>
      <c r="J25" s="205"/>
      <c r="K25" s="206"/>
    </row>
    <row r="26" spans="6:11">
      <c r="F26" s="196"/>
      <c r="G26" s="196"/>
      <c r="H26" s="196"/>
      <c r="I26" s="196"/>
      <c r="J26" s="196"/>
      <c r="K26" s="196"/>
    </row>
  </sheetData>
  <mergeCells count="2">
    <mergeCell ref="F11:K12"/>
    <mergeCell ref="F4:K10"/>
  </mergeCells>
  <phoneticPr fontId="41" type="noConversion"/>
  <dataValidations count="2">
    <dataValidation allowBlank="1" showInputMessage="1" showErrorMessage="1" errorTitle="value entered out of range" promptTitle="Discount rate" prompt="This should be entered as a percentage not less than zero or greater than 100% (please refer to Chapter 7 of &quot;A Guide to Economic Analysis and Efficiency - Economic assumptions)." sqref="B3" xr:uid="{00000000-0002-0000-1000-000000000000}"/>
    <dataValidation allowBlank="1" showInputMessage="1" showErrorMessage="1" promptTitle="Inflation" prompt="This should be entered as a percentage not less than zero or greater than 100% (please refer to Chapter 7 of &quot;A Guide to Economic Analysis and Efficiency - Economic assumptions)." sqref="B4" xr:uid="{00000000-0002-0000-1000-000001000000}"/>
  </dataValidation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tabColor theme="2" tint="-0.249977111117893"/>
  </sheetPr>
  <dimension ref="A1:BQ236"/>
  <sheetViews>
    <sheetView workbookViewId="0"/>
  </sheetViews>
  <sheetFormatPr defaultColWidth="10.921875" defaultRowHeight="15.5"/>
  <cols>
    <col min="1" max="1" width="39.23046875" style="114" customWidth="1"/>
    <col min="2" max="2" width="22.15234375" style="114" customWidth="1"/>
    <col min="3" max="3" width="18.61328125" style="114" customWidth="1"/>
    <col min="4" max="4" width="10.921875" style="114" customWidth="1"/>
    <col min="5" max="5" width="15.4609375" style="114" customWidth="1"/>
    <col min="6" max="6" width="17.23046875" style="114" customWidth="1"/>
    <col min="7" max="12" width="10.921875" style="114" customWidth="1"/>
    <col min="13" max="17" width="10.921875" style="114" hidden="1" customWidth="1"/>
    <col min="18" max="32" width="10.69140625" style="114" hidden="1" customWidth="1"/>
    <col min="33" max="38" width="10.921875" style="114" customWidth="1"/>
    <col min="39" max="42" width="10.921875" style="114" hidden="1" customWidth="1"/>
    <col min="43" max="43" width="11.61328125" style="114" hidden="1" customWidth="1"/>
    <col min="44" max="44" width="10.69140625" style="114" hidden="1" customWidth="1"/>
    <col min="45" max="52" width="11.61328125" style="114" hidden="1" customWidth="1"/>
    <col min="53" max="53" width="12.15234375" style="114" hidden="1" customWidth="1"/>
    <col min="54" max="54" width="11.61328125" style="114" hidden="1" customWidth="1"/>
    <col min="55" max="58" width="12.15234375" style="114" hidden="1" customWidth="1"/>
    <col min="59" max="59" width="10.921875" style="114" customWidth="1"/>
    <col min="60" max="60" width="10.921875" style="114" hidden="1" customWidth="1"/>
    <col min="61" max="61" width="9.61328125" style="114" hidden="1" customWidth="1"/>
    <col min="62" max="62" width="12.4609375" style="114" hidden="1" customWidth="1"/>
    <col min="63" max="64" width="10.921875" style="114" hidden="1" customWidth="1"/>
    <col min="65" max="65" width="21.23046875" style="114" hidden="1" customWidth="1"/>
    <col min="66" max="66" width="21.61328125" style="114" hidden="1" customWidth="1"/>
    <col min="67" max="67" width="20.61328125" style="114" hidden="1" customWidth="1"/>
    <col min="68" max="68" width="10.921875" style="114" hidden="1" customWidth="1"/>
    <col min="69" max="69" width="14.15234375" style="114" customWidth="1"/>
    <col min="70" max="16384" width="10.921875" style="114"/>
  </cols>
  <sheetData>
    <row r="1" spans="1:69" ht="24.5" customHeight="1">
      <c r="A1" s="235" t="s">
        <v>0</v>
      </c>
      <c r="B1" s="817" t="s">
        <v>4</v>
      </c>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c r="BD1" s="113"/>
      <c r="BE1" s="113"/>
      <c r="BF1" s="113"/>
      <c r="BG1" s="113"/>
    </row>
    <row r="2" spans="1:69" ht="23">
      <c r="A2" s="236" t="str">
        <f>Title</f>
        <v>Economic evaluation of Restorative Justice</v>
      </c>
      <c r="B2" s="236"/>
      <c r="F2" s="237"/>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row>
    <row r="3" spans="1:69" ht="143.9" customHeight="1" thickBot="1">
      <c r="A3" s="238"/>
      <c r="B3" s="1157" t="s">
        <v>854</v>
      </c>
      <c r="C3" s="1157"/>
      <c r="D3" s="1157"/>
      <c r="E3" s="1157"/>
      <c r="F3" s="1157"/>
      <c r="G3" s="1157"/>
      <c r="H3" s="1157"/>
      <c r="I3" s="113"/>
      <c r="J3" s="113"/>
      <c r="K3" s="113"/>
      <c r="L3" s="113"/>
      <c r="M3" s="113"/>
      <c r="N3" s="113"/>
      <c r="O3" s="113"/>
      <c r="P3" s="113"/>
      <c r="Q3" s="113"/>
      <c r="R3" s="113"/>
      <c r="S3" s="113"/>
      <c r="T3" s="113"/>
      <c r="U3" s="113"/>
      <c r="V3" s="113"/>
      <c r="W3" s="113"/>
      <c r="X3" s="113"/>
      <c r="Y3" s="113"/>
      <c r="Z3" s="113"/>
      <c r="AA3" s="113"/>
      <c r="AB3" s="113"/>
      <c r="AC3" s="113"/>
      <c r="AD3" s="113"/>
      <c r="AE3" s="113"/>
      <c r="AF3" s="113"/>
      <c r="AH3" s="1158" t="s">
        <v>795</v>
      </c>
      <c r="AI3" s="1158"/>
      <c r="AJ3" s="1158"/>
      <c r="AK3" s="1158"/>
      <c r="AL3" s="1158"/>
      <c r="AM3" s="1158"/>
      <c r="AN3" s="1158"/>
      <c r="AO3" s="1158"/>
      <c r="AP3" s="1158"/>
      <c r="AQ3" s="1158"/>
      <c r="AR3" s="1158"/>
      <c r="AS3" s="1158"/>
      <c r="AT3" s="1158"/>
      <c r="AU3" s="1158"/>
      <c r="AV3" s="1158"/>
      <c r="AW3" s="1158"/>
      <c r="AX3" s="1158"/>
      <c r="AY3" s="1158"/>
      <c r="AZ3" s="1158"/>
      <c r="BA3" s="1158"/>
      <c r="BB3" s="1158"/>
      <c r="BC3" s="1158"/>
      <c r="BD3" s="1158"/>
      <c r="BE3" s="1158"/>
      <c r="BF3" s="1158"/>
      <c r="BG3" s="1158"/>
      <c r="BH3" s="1158"/>
      <c r="BI3" s="1158"/>
      <c r="BJ3" s="1158"/>
      <c r="BK3" s="1158"/>
      <c r="BL3" s="1158"/>
      <c r="BM3" s="1158"/>
      <c r="BN3" s="1158"/>
      <c r="BO3" s="1158"/>
      <c r="BP3" s="1158"/>
      <c r="BQ3" s="1158"/>
    </row>
    <row r="4" spans="1:69" s="113" customFormat="1" ht="94" thickBot="1">
      <c r="A4" s="818" t="s">
        <v>4</v>
      </c>
      <c r="B4" s="818" t="str">
        <f>CONCATENATE("Total costs"," ", "(",'Proposition Summary'!B76,")")</f>
        <v>Total costs (GBP (£))</v>
      </c>
      <c r="C4" s="818" t="s">
        <v>2</v>
      </c>
      <c r="D4" s="818" t="s">
        <v>246</v>
      </c>
      <c r="E4" s="818" t="s">
        <v>275</v>
      </c>
      <c r="F4" s="818" t="s">
        <v>475</v>
      </c>
      <c r="G4" s="239"/>
      <c r="H4" s="799" t="s">
        <v>150</v>
      </c>
      <c r="I4" s="819" t="s">
        <v>151</v>
      </c>
      <c r="J4" s="819" t="s">
        <v>152</v>
      </c>
      <c r="K4" s="819" t="s">
        <v>153</v>
      </c>
      <c r="L4" s="819" t="s">
        <v>174</v>
      </c>
      <c r="M4" s="819" t="s">
        <v>154</v>
      </c>
      <c r="N4" s="819" t="s">
        <v>155</v>
      </c>
      <c r="O4" s="819" t="s">
        <v>156</v>
      </c>
      <c r="P4" s="819" t="s">
        <v>157</v>
      </c>
      <c r="Q4" s="819" t="s">
        <v>158</v>
      </c>
      <c r="R4" s="819" t="s">
        <v>159</v>
      </c>
      <c r="S4" s="819" t="s">
        <v>160</v>
      </c>
      <c r="T4" s="819" t="s">
        <v>161</v>
      </c>
      <c r="U4" s="819" t="s">
        <v>162</v>
      </c>
      <c r="V4" s="819" t="s">
        <v>163</v>
      </c>
      <c r="W4" s="819" t="s">
        <v>164</v>
      </c>
      <c r="X4" s="819" t="s">
        <v>165</v>
      </c>
      <c r="Y4" s="819" t="s">
        <v>166</v>
      </c>
      <c r="Z4" s="819" t="s">
        <v>167</v>
      </c>
      <c r="AA4" s="819" t="s">
        <v>168</v>
      </c>
      <c r="AB4" s="819" t="s">
        <v>169</v>
      </c>
      <c r="AC4" s="819" t="s">
        <v>170</v>
      </c>
      <c r="AD4" s="819" t="s">
        <v>171</v>
      </c>
      <c r="AE4" s="819" t="s">
        <v>172</v>
      </c>
      <c r="AF4" s="819" t="s">
        <v>173</v>
      </c>
      <c r="AG4" s="819" t="s">
        <v>472</v>
      </c>
      <c r="AH4" s="819" t="str">
        <f>CONCATENATE("Costs Yr1"," ", "(",'Proposition Summary'!$B76,")")</f>
        <v>Costs Yr1 (GBP (£))</v>
      </c>
      <c r="AI4" s="819" t="str">
        <f>CONCATENATE("Costs Yr2"," ", "(",'Proposition Summary'!$B76,")")</f>
        <v>Costs Yr2 (GBP (£))</v>
      </c>
      <c r="AJ4" s="819" t="str">
        <f>CONCATENATE("Costs Yr3"," ", "(",'Proposition Summary'!$B76,")")</f>
        <v>Costs Yr3 (GBP (£))</v>
      </c>
      <c r="AK4" s="819" t="str">
        <f>CONCATENATE("Costs Yr4"," ", "(",'Proposition Summary'!$B76,")")</f>
        <v>Costs Yr4 (GBP (£))</v>
      </c>
      <c r="AL4" s="819" t="str">
        <f>CONCATENATE("Costs Yr5"," ", "(",'Proposition Summary'!$B76,")")</f>
        <v>Costs Yr5 (GBP (£))</v>
      </c>
      <c r="AM4" s="819" t="str">
        <f>CONCATENATE("Costs Yr6"," ", "(",'Proposition Summary'!$B76,")")</f>
        <v>Costs Yr6 (GBP (£))</v>
      </c>
      <c r="AN4" s="819" t="str">
        <f>CONCATENATE("Costs Yr7"," ", "(",'Proposition Summary'!$B76,")")</f>
        <v>Costs Yr7 (GBP (£))</v>
      </c>
      <c r="AO4" s="819" t="str">
        <f>CONCATENATE("Costs Yr8"," ", "(",'Proposition Summary'!$B76,")")</f>
        <v>Costs Yr8 (GBP (£))</v>
      </c>
      <c r="AP4" s="819" t="str">
        <f>CONCATENATE("Costs Yr9"," ", "(",'Proposition Summary'!$B76,")")</f>
        <v>Costs Yr9 (GBP (£))</v>
      </c>
      <c r="AQ4" s="819" t="str">
        <f>CONCATENATE("Costs Yr10"," ", "(",'Proposition Summary'!$B76,")")</f>
        <v>Costs Yr10 (GBP (£))</v>
      </c>
      <c r="AR4" s="819" t="str">
        <f>CONCATENATE("Costs Yr11"," ", "(",'Proposition Summary'!$B76,")")</f>
        <v>Costs Yr11 (GBP (£))</v>
      </c>
      <c r="AS4" s="819" t="str">
        <f>CONCATENATE("Costs Yr12"," ", "(",'Proposition Summary'!$B76,")")</f>
        <v>Costs Yr12 (GBP (£))</v>
      </c>
      <c r="AT4" s="819" t="str">
        <f>CONCATENATE("Costs Yr13"," ", "(",'Proposition Summary'!$B76,")")</f>
        <v>Costs Yr13 (GBP (£))</v>
      </c>
      <c r="AU4" s="819" t="str">
        <f>CONCATENATE("Costs Yr14"," ", "(",'Proposition Summary'!$B76,")")</f>
        <v>Costs Yr14 (GBP (£))</v>
      </c>
      <c r="AV4" s="819" t="str">
        <f>CONCATENATE("Costs Yr15"," ", "(",'Proposition Summary'!$B76,")")</f>
        <v>Costs Yr15 (GBP (£))</v>
      </c>
      <c r="AW4" s="819" t="str">
        <f>CONCATENATE("Costs Yr16"," ", "(",'Proposition Summary'!$B76,")")</f>
        <v>Costs Yr16 (GBP (£))</v>
      </c>
      <c r="AX4" s="819" t="str">
        <f>CONCATENATE("Costs Yr17"," ", "(",'Proposition Summary'!$B76,")")</f>
        <v>Costs Yr17 (GBP (£))</v>
      </c>
      <c r="AY4" s="819" t="str">
        <f>CONCATENATE("Costs Yr18"," ", "(",'Proposition Summary'!$B76,")")</f>
        <v>Costs Yr18 (GBP (£))</v>
      </c>
      <c r="AZ4" s="819" t="str">
        <f>CONCATENATE("Costs Yr19"," ", "(",'Proposition Summary'!$B76,")")</f>
        <v>Costs Yr19 (GBP (£))</v>
      </c>
      <c r="BA4" s="819" t="str">
        <f>CONCATENATE("Costs Yr20"," ", "(",'Proposition Summary'!$B76,")")</f>
        <v>Costs Yr20 (GBP (£))</v>
      </c>
      <c r="BB4" s="819" t="str">
        <f>CONCATENATE("Costs Yr21"," ", "(",'Proposition Summary'!$B76,")")</f>
        <v>Costs Yr21 (GBP (£))</v>
      </c>
      <c r="BC4" s="819" t="str">
        <f>CONCATENATE("Costs Yr22"," ", "(",'Proposition Summary'!$B76,")")</f>
        <v>Costs Yr22 (GBP (£))</v>
      </c>
      <c r="BD4" s="819" t="str">
        <f>CONCATENATE("Costs Yr23"," ", "(",'Proposition Summary'!$B76,")")</f>
        <v>Costs Yr23 (GBP (£))</v>
      </c>
      <c r="BE4" s="819" t="str">
        <f>CONCATENATE("Costs Yr24"," ", "(",'Proposition Summary'!$B76,")")</f>
        <v>Costs Yr24 (GBP (£))</v>
      </c>
      <c r="BF4" s="819" t="str">
        <f>CONCATENATE("Costs Yr25"," ", "(",'Proposition Summary'!$B76,")")</f>
        <v>Costs Yr25 (GBP (£))</v>
      </c>
      <c r="BG4" s="820" t="str">
        <f>CONCATENATE("Annual Costs"," ", "(",'Proposition Summary'!B76,")")</f>
        <v>Annual Costs (GBP (£))</v>
      </c>
      <c r="BH4" s="821" t="s">
        <v>796</v>
      </c>
      <c r="BI4" s="822"/>
      <c r="BJ4" s="823" t="s">
        <v>797</v>
      </c>
      <c r="BK4" s="132"/>
    </row>
    <row r="5" spans="1:69" s="196" customFormat="1" ht="18.5" thickTop="1">
      <c r="A5" s="243" t="s">
        <v>5</v>
      </c>
      <c r="B5" s="244"/>
      <c r="C5" s="244"/>
      <c r="D5" s="244"/>
      <c r="E5" s="244"/>
      <c r="F5" s="245"/>
      <c r="G5" s="246"/>
      <c r="H5" s="247"/>
      <c r="I5" s="248"/>
      <c r="J5" s="248"/>
      <c r="K5" s="248"/>
      <c r="L5" s="248"/>
      <c r="M5" s="248"/>
      <c r="N5" s="249"/>
      <c r="O5" s="248"/>
      <c r="P5" s="248"/>
      <c r="Q5" s="248"/>
      <c r="R5" s="248"/>
      <c r="S5" s="248"/>
      <c r="T5" s="249"/>
      <c r="U5" s="248"/>
      <c r="V5" s="248"/>
      <c r="W5" s="248"/>
      <c r="X5" s="248"/>
      <c r="Y5" s="248"/>
      <c r="Z5" s="249"/>
      <c r="AA5" s="248"/>
      <c r="AB5" s="248"/>
      <c r="AC5" s="248"/>
      <c r="AD5" s="248"/>
      <c r="AE5" s="248"/>
      <c r="AF5" s="249"/>
      <c r="AG5" s="250"/>
      <c r="AH5" s="251"/>
      <c r="AI5" s="248"/>
      <c r="AJ5" s="248"/>
      <c r="AK5" s="248"/>
      <c r="AL5" s="249"/>
      <c r="AM5" s="248"/>
      <c r="AN5" s="248"/>
      <c r="AO5" s="248"/>
      <c r="AP5" s="248"/>
      <c r="AQ5" s="248"/>
      <c r="AR5" s="249"/>
      <c r="AS5" s="248"/>
      <c r="AT5" s="248"/>
      <c r="AU5" s="248"/>
      <c r="AV5" s="248"/>
      <c r="AW5" s="248"/>
      <c r="AX5" s="249"/>
      <c r="AY5" s="248"/>
      <c r="AZ5" s="248"/>
      <c r="BA5" s="248"/>
      <c r="BB5" s="248"/>
      <c r="BC5" s="248"/>
      <c r="BD5" s="249"/>
      <c r="BE5" s="248"/>
      <c r="BF5" s="248"/>
      <c r="BG5" s="246"/>
      <c r="BH5" s="249"/>
      <c r="BI5" s="248"/>
      <c r="BJ5" s="252"/>
    </row>
    <row r="6" spans="1:69" s="196" customFormat="1" ht="18">
      <c r="A6" s="253" t="s">
        <v>6</v>
      </c>
      <c r="C6" s="254"/>
      <c r="F6" s="203"/>
      <c r="H6" s="253"/>
      <c r="J6" s="254"/>
      <c r="N6" s="255"/>
      <c r="P6" s="254"/>
      <c r="T6" s="255"/>
      <c r="V6" s="254"/>
      <c r="Z6" s="255"/>
      <c r="AB6" s="254"/>
      <c r="AF6" s="255"/>
      <c r="AG6" s="256"/>
      <c r="AH6" s="257"/>
      <c r="AL6" s="255"/>
      <c r="AN6" s="254"/>
      <c r="AR6" s="255"/>
      <c r="AT6" s="254"/>
      <c r="AX6" s="255"/>
      <c r="AZ6" s="254"/>
      <c r="BD6" s="255"/>
      <c r="BH6" s="255"/>
      <c r="BJ6" s="258"/>
    </row>
    <row r="7" spans="1:69" s="196" customFormat="1">
      <c r="A7" s="259" t="s">
        <v>138</v>
      </c>
      <c r="B7" s="260"/>
      <c r="C7" s="261"/>
      <c r="D7" s="260"/>
      <c r="E7" s="260"/>
      <c r="F7" s="262"/>
      <c r="H7" s="259"/>
      <c r="I7" s="260"/>
      <c r="J7" s="261"/>
      <c r="K7" s="260"/>
      <c r="L7" s="260"/>
      <c r="M7" s="260"/>
      <c r="N7" s="263"/>
      <c r="O7" s="260"/>
      <c r="P7" s="261"/>
      <c r="Q7" s="260"/>
      <c r="R7" s="260"/>
      <c r="S7" s="260"/>
      <c r="T7" s="263"/>
      <c r="U7" s="260"/>
      <c r="V7" s="261"/>
      <c r="W7" s="260"/>
      <c r="X7" s="260"/>
      <c r="Y7" s="260"/>
      <c r="Z7" s="263"/>
      <c r="AA7" s="260"/>
      <c r="AB7" s="261"/>
      <c r="AC7" s="260"/>
      <c r="AD7" s="260"/>
      <c r="AE7" s="260"/>
      <c r="AF7" s="263"/>
      <c r="AG7" s="264"/>
      <c r="AH7" s="265"/>
      <c r="AI7" s="260"/>
      <c r="AJ7" s="260"/>
      <c r="AK7" s="260"/>
      <c r="AL7" s="263"/>
      <c r="AM7" s="260"/>
      <c r="AN7" s="261"/>
      <c r="AO7" s="260"/>
      <c r="AP7" s="260"/>
      <c r="AQ7" s="260"/>
      <c r="AR7" s="263"/>
      <c r="AS7" s="260"/>
      <c r="AT7" s="261"/>
      <c r="AU7" s="260"/>
      <c r="AV7" s="260"/>
      <c r="AW7" s="260"/>
      <c r="AX7" s="263"/>
      <c r="AY7" s="260"/>
      <c r="AZ7" s="261"/>
      <c r="BA7" s="260"/>
      <c r="BB7" s="260"/>
      <c r="BC7" s="260"/>
      <c r="BD7" s="263"/>
      <c r="BE7" s="260"/>
      <c r="BF7" s="260"/>
      <c r="BG7" s="260"/>
      <c r="BH7" s="263"/>
      <c r="BI7" s="260"/>
      <c r="BJ7" s="266"/>
      <c r="BL7" s="196" t="s">
        <v>271</v>
      </c>
      <c r="BM7" s="196" t="s">
        <v>272</v>
      </c>
      <c r="BN7" s="267" t="s">
        <v>273</v>
      </c>
    </row>
    <row r="8" spans="1:69">
      <c r="A8" s="838" t="s">
        <v>139</v>
      </c>
      <c r="B8" s="839"/>
      <c r="C8" s="840"/>
      <c r="D8" s="840"/>
      <c r="E8" s="840"/>
      <c r="F8" s="841">
        <f>B8*(1+E8)</f>
        <v>0</v>
      </c>
      <c r="G8" s="254"/>
      <c r="H8" s="842"/>
      <c r="I8" s="843"/>
      <c r="J8" s="843"/>
      <c r="K8" s="843"/>
      <c r="L8" s="843"/>
      <c r="M8" s="272"/>
      <c r="N8" s="272"/>
      <c r="O8" s="272"/>
      <c r="P8" s="272"/>
      <c r="Q8" s="272"/>
      <c r="R8" s="272"/>
      <c r="S8" s="272"/>
      <c r="T8" s="272"/>
      <c r="U8" s="272"/>
      <c r="V8" s="272"/>
      <c r="W8" s="272"/>
      <c r="X8" s="272"/>
      <c r="Y8" s="272"/>
      <c r="Z8" s="272"/>
      <c r="AA8" s="272"/>
      <c r="AB8" s="272"/>
      <c r="AC8" s="272"/>
      <c r="AD8" s="272"/>
      <c r="AE8" s="272"/>
      <c r="AF8" s="273"/>
      <c r="AG8" s="274">
        <f>SUM(H8:AF8)</f>
        <v>0</v>
      </c>
      <c r="AH8" s="275">
        <f t="shared" ref="AH8:AH17" si="0">IF(AH$225&lt;=time,H8*$F8,"")</f>
        <v>0</v>
      </c>
      <c r="AI8" s="276">
        <f t="shared" ref="AI8:AI17" si="1">IF(AI$225&lt;=time,I8*$F8,"")</f>
        <v>0</v>
      </c>
      <c r="AJ8" s="276">
        <f t="shared" ref="AJ8:AJ17" si="2">IF(AJ$225&lt;=time,J8*$F8,"")</f>
        <v>0</v>
      </c>
      <c r="AK8" s="276">
        <f t="shared" ref="AK8:AK17" si="3">IF(AK$225&lt;=time,K8*$F8,"")</f>
        <v>0</v>
      </c>
      <c r="AL8" s="276">
        <f t="shared" ref="AL8:AL17" si="4">IF(AL$225&lt;=time,L8*$F8,"")</f>
        <v>0</v>
      </c>
      <c r="AM8" s="276" t="str">
        <f t="shared" ref="AM8:AM17" si="5">IF(AM$225&lt;=time,M8*$F8,"")</f>
        <v/>
      </c>
      <c r="AN8" s="276" t="str">
        <f t="shared" ref="AN8:AN17" si="6">IF(AN$225&lt;=time,N8*$F8,"")</f>
        <v/>
      </c>
      <c r="AO8" s="276" t="str">
        <f t="shared" ref="AO8:AO17" si="7">IF(AO$225&lt;=time,O8*$F8,"")</f>
        <v/>
      </c>
      <c r="AP8" s="276" t="str">
        <f t="shared" ref="AP8:AP17" si="8">IF(AP$225&lt;=time,P8*$F8,"")</f>
        <v/>
      </c>
      <c r="AQ8" s="276" t="str">
        <f t="shared" ref="AQ8:AQ17" si="9">IF(AQ$225&lt;=time,Q8*$F8,"")</f>
        <v/>
      </c>
      <c r="AR8" s="276" t="str">
        <f t="shared" ref="AR8:AR17" si="10">IF(AR$225&lt;=time,R8*$F8,"")</f>
        <v/>
      </c>
      <c r="AS8" s="276" t="str">
        <f t="shared" ref="AS8:AS17" si="11">IF(AS$225&lt;=time,S8*$F8,"")</f>
        <v/>
      </c>
      <c r="AT8" s="276" t="str">
        <f t="shared" ref="AT8:AT17" si="12">IF(AT$225&lt;=time,T8*$F8,"")</f>
        <v/>
      </c>
      <c r="AU8" s="276" t="str">
        <f t="shared" ref="AU8:AU17" si="13">IF(AU$225&lt;=time,U8*$F8,"")</f>
        <v/>
      </c>
      <c r="AV8" s="276" t="str">
        <f t="shared" ref="AV8:AV17" si="14">IF(AV$225&lt;=time,V8*$F8,"")</f>
        <v/>
      </c>
      <c r="AW8" s="276" t="str">
        <f t="shared" ref="AW8:AW17" si="15">IF(AW$225&lt;=time,W8*$F8,"")</f>
        <v/>
      </c>
      <c r="AX8" s="276" t="str">
        <f t="shared" ref="AX8:AX17" si="16">IF(AX$225&lt;=time,X8*$F8,"")</f>
        <v/>
      </c>
      <c r="AY8" s="276" t="str">
        <f t="shared" ref="AY8:AY17" si="17">IF(AY$225&lt;=time,Y8*$F8,"")</f>
        <v/>
      </c>
      <c r="AZ8" s="276" t="str">
        <f t="shared" ref="AZ8:AZ17" si="18">IF(AZ$225&lt;=time,Z8*$F8,"")</f>
        <v/>
      </c>
      <c r="BA8" s="276" t="str">
        <f t="shared" ref="BA8:BA17" si="19">IF(BA$225&lt;=time,AA8*$F8,"")</f>
        <v/>
      </c>
      <c r="BB8" s="276" t="str">
        <f t="shared" ref="BB8:BB17" si="20">IF(BB$225&lt;=time,AB8*$F8,"")</f>
        <v/>
      </c>
      <c r="BC8" s="276" t="str">
        <f t="shared" ref="BC8:BC17" si="21">IF(BC$225&lt;=time,AC8*$F8,"")</f>
        <v/>
      </c>
      <c r="BD8" s="276" t="str">
        <f t="shared" ref="BD8:BD17" si="22">IF(BD$225&lt;=time,AD8*$F8,"")</f>
        <v/>
      </c>
      <c r="BE8" s="276" t="str">
        <f t="shared" ref="BE8:BE17" si="23">IF(BE$225&lt;=time,AE8*$F8,"")</f>
        <v/>
      </c>
      <c r="BF8" s="277" t="str">
        <f>IF(BF$225&lt;=time,AF8*$F8,"")</f>
        <v/>
      </c>
      <c r="BG8" s="142">
        <f t="array" ref="BG8">(SUM( IF(ISERROR(AH8:BF8),"", AH8:BF8)))/time</f>
        <v>0</v>
      </c>
      <c r="BH8" s="142">
        <f>IF(BO8&gt;0,IF(BG8-BN8&gt;0, BG8-BN8, 0),BG8)</f>
        <v>0</v>
      </c>
      <c r="BI8" s="142">
        <v>1</v>
      </c>
      <c r="BJ8" s="143">
        <f>IF(BO8&gt;0,BG8+BN8,BG8)</f>
        <v>0</v>
      </c>
      <c r="BL8" s="176" t="e">
        <f t="array" ref="BL8">STDEV(IF(AH8:BF8&lt;&gt;0,AH8:BF8))</f>
        <v>#DIV/0!</v>
      </c>
      <c r="BM8" s="176">
        <v>1.96</v>
      </c>
      <c r="BN8" s="176" t="e">
        <f>(BM8*BL8)/(time^0.5)</f>
        <v>#DIV/0!</v>
      </c>
      <c r="BO8" s="176">
        <f>IFERROR(BL8,0)</f>
        <v>0</v>
      </c>
    </row>
    <row r="9" spans="1:69" hidden="1">
      <c r="A9" s="268" t="s">
        <v>140</v>
      </c>
      <c r="B9" s="269"/>
      <c r="C9" s="278"/>
      <c r="D9" s="278"/>
      <c r="E9" s="270"/>
      <c r="F9" s="279">
        <f t="shared" ref="F9:F72" si="24">B9*(1+E9)</f>
        <v>0</v>
      </c>
      <c r="G9" s="254"/>
      <c r="H9" s="271"/>
      <c r="I9" s="272"/>
      <c r="J9" s="272"/>
      <c r="K9" s="272"/>
      <c r="L9" s="272"/>
      <c r="M9" s="272"/>
      <c r="N9" s="272"/>
      <c r="O9" s="272"/>
      <c r="P9" s="272"/>
      <c r="Q9" s="272"/>
      <c r="R9" s="272"/>
      <c r="S9" s="272"/>
      <c r="T9" s="272"/>
      <c r="U9" s="272"/>
      <c r="V9" s="272"/>
      <c r="W9" s="272"/>
      <c r="X9" s="272"/>
      <c r="Y9" s="272"/>
      <c r="Z9" s="272"/>
      <c r="AA9" s="272"/>
      <c r="AB9" s="272"/>
      <c r="AC9" s="272"/>
      <c r="AD9" s="272"/>
      <c r="AE9" s="272"/>
      <c r="AF9" s="273"/>
      <c r="AG9" s="274">
        <f t="shared" ref="AG9:AG72" si="25">SUM(H9:AF9)</f>
        <v>0</v>
      </c>
      <c r="AH9" s="275">
        <f t="shared" si="0"/>
        <v>0</v>
      </c>
      <c r="AI9" s="276">
        <f t="shared" si="1"/>
        <v>0</v>
      </c>
      <c r="AJ9" s="276">
        <f t="shared" si="2"/>
        <v>0</v>
      </c>
      <c r="AK9" s="276">
        <f t="shared" si="3"/>
        <v>0</v>
      </c>
      <c r="AL9" s="276">
        <f t="shared" si="4"/>
        <v>0</v>
      </c>
      <c r="AM9" s="276" t="str">
        <f t="shared" si="5"/>
        <v/>
      </c>
      <c r="AN9" s="276" t="str">
        <f t="shared" si="6"/>
        <v/>
      </c>
      <c r="AO9" s="276" t="str">
        <f t="shared" si="7"/>
        <v/>
      </c>
      <c r="AP9" s="276" t="str">
        <f t="shared" si="8"/>
        <v/>
      </c>
      <c r="AQ9" s="276" t="str">
        <f t="shared" si="9"/>
        <v/>
      </c>
      <c r="AR9" s="276" t="str">
        <f t="shared" si="10"/>
        <v/>
      </c>
      <c r="AS9" s="276" t="str">
        <f t="shared" si="11"/>
        <v/>
      </c>
      <c r="AT9" s="276" t="str">
        <f t="shared" si="12"/>
        <v/>
      </c>
      <c r="AU9" s="276" t="str">
        <f t="shared" si="13"/>
        <v/>
      </c>
      <c r="AV9" s="276" t="str">
        <f t="shared" si="14"/>
        <v/>
      </c>
      <c r="AW9" s="276" t="str">
        <f t="shared" si="15"/>
        <v/>
      </c>
      <c r="AX9" s="276" t="str">
        <f t="shared" si="16"/>
        <v/>
      </c>
      <c r="AY9" s="276" t="str">
        <f t="shared" si="17"/>
        <v/>
      </c>
      <c r="AZ9" s="276" t="str">
        <f t="shared" si="18"/>
        <v/>
      </c>
      <c r="BA9" s="276" t="str">
        <f t="shared" si="19"/>
        <v/>
      </c>
      <c r="BB9" s="276" t="str">
        <f t="shared" si="20"/>
        <v/>
      </c>
      <c r="BC9" s="276" t="str">
        <f t="shared" si="21"/>
        <v/>
      </c>
      <c r="BD9" s="276" t="str">
        <f t="shared" si="22"/>
        <v/>
      </c>
      <c r="BE9" s="276" t="str">
        <f t="shared" si="23"/>
        <v/>
      </c>
      <c r="BF9" s="277" t="str">
        <f t="shared" ref="BF9:BF17" si="26">IF(BF$225&lt;=time,AF9*$F9,"")</f>
        <v/>
      </c>
      <c r="BG9" s="142">
        <f t="array" ref="BG9">(SUM( IF(ISERROR(AH9:BF9),"", AH9:BF9)))/time</f>
        <v>0</v>
      </c>
      <c r="BH9" s="142">
        <f t="shared" ref="BH9:BH72" si="27">IF(BO9&gt;0,IF(BG9-BN9&gt;0, BG9-BN9, 0),BG9)</f>
        <v>0</v>
      </c>
      <c r="BI9" s="142">
        <v>2</v>
      </c>
      <c r="BJ9" s="143">
        <f t="shared" ref="BJ9:BJ17" si="28">IF(BO9&gt;0,BG9+BN9,BG9)</f>
        <v>0</v>
      </c>
      <c r="BL9" s="176" t="e">
        <f t="array" ref="BL9">STDEV(IF(AH9:BF9&lt;&gt;0,AH9:BF9))</f>
        <v>#DIV/0!</v>
      </c>
      <c r="BM9" s="176">
        <v>1.96</v>
      </c>
      <c r="BN9" s="176" t="e">
        <f t="shared" ref="BN9:BN17" si="29">(BM9*BL9)/(time^0.5)</f>
        <v>#DIV/0!</v>
      </c>
      <c r="BO9" s="176">
        <f t="shared" ref="BO9:BO72" si="30">IFERROR(BL9,0)</f>
        <v>0</v>
      </c>
    </row>
    <row r="10" spans="1:69" hidden="1">
      <c r="A10" s="268" t="s">
        <v>141</v>
      </c>
      <c r="B10" s="269"/>
      <c r="C10" s="278"/>
      <c r="D10" s="278"/>
      <c r="E10" s="270"/>
      <c r="F10" s="279">
        <f t="shared" si="24"/>
        <v>0</v>
      </c>
      <c r="G10" s="254"/>
      <c r="H10" s="271"/>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3"/>
      <c r="AG10" s="274">
        <f t="shared" si="25"/>
        <v>0</v>
      </c>
      <c r="AH10" s="275">
        <f t="shared" si="0"/>
        <v>0</v>
      </c>
      <c r="AI10" s="276">
        <f t="shared" si="1"/>
        <v>0</v>
      </c>
      <c r="AJ10" s="276">
        <f t="shared" si="2"/>
        <v>0</v>
      </c>
      <c r="AK10" s="276">
        <f t="shared" si="3"/>
        <v>0</v>
      </c>
      <c r="AL10" s="276">
        <f t="shared" si="4"/>
        <v>0</v>
      </c>
      <c r="AM10" s="276" t="str">
        <f t="shared" si="5"/>
        <v/>
      </c>
      <c r="AN10" s="276" t="str">
        <f t="shared" si="6"/>
        <v/>
      </c>
      <c r="AO10" s="276" t="str">
        <f t="shared" si="7"/>
        <v/>
      </c>
      <c r="AP10" s="276" t="str">
        <f t="shared" si="8"/>
        <v/>
      </c>
      <c r="AQ10" s="276" t="str">
        <f t="shared" si="9"/>
        <v/>
      </c>
      <c r="AR10" s="276" t="str">
        <f t="shared" si="10"/>
        <v/>
      </c>
      <c r="AS10" s="276" t="str">
        <f t="shared" si="11"/>
        <v/>
      </c>
      <c r="AT10" s="276" t="str">
        <f t="shared" si="12"/>
        <v/>
      </c>
      <c r="AU10" s="276" t="str">
        <f t="shared" si="13"/>
        <v/>
      </c>
      <c r="AV10" s="276" t="str">
        <f t="shared" si="14"/>
        <v/>
      </c>
      <c r="AW10" s="276" t="str">
        <f t="shared" si="15"/>
        <v/>
      </c>
      <c r="AX10" s="276" t="str">
        <f t="shared" si="16"/>
        <v/>
      </c>
      <c r="AY10" s="276" t="str">
        <f t="shared" si="17"/>
        <v/>
      </c>
      <c r="AZ10" s="276" t="str">
        <f t="shared" si="18"/>
        <v/>
      </c>
      <c r="BA10" s="276" t="str">
        <f t="shared" si="19"/>
        <v/>
      </c>
      <c r="BB10" s="276" t="str">
        <f t="shared" si="20"/>
        <v/>
      </c>
      <c r="BC10" s="276" t="str">
        <f t="shared" si="21"/>
        <v/>
      </c>
      <c r="BD10" s="276" t="str">
        <f t="shared" si="22"/>
        <v/>
      </c>
      <c r="BE10" s="276" t="str">
        <f t="shared" si="23"/>
        <v/>
      </c>
      <c r="BF10" s="277" t="str">
        <f t="shared" si="26"/>
        <v/>
      </c>
      <c r="BG10" s="142">
        <f t="array" ref="BG10">(SUM( IF(ISERROR(AH10:BF10),"", AH10:BF10)))/time</f>
        <v>0</v>
      </c>
      <c r="BH10" s="142">
        <f t="shared" si="27"/>
        <v>0</v>
      </c>
      <c r="BI10" s="142">
        <v>3</v>
      </c>
      <c r="BJ10" s="143">
        <f t="shared" si="28"/>
        <v>0</v>
      </c>
      <c r="BL10" s="176" t="e">
        <f t="array" ref="BL10">STDEV(IF(AH10:BF10&lt;&gt;0,AH10:BF10))</f>
        <v>#DIV/0!</v>
      </c>
      <c r="BM10" s="176">
        <v>1.96</v>
      </c>
      <c r="BN10" s="176" t="e">
        <f t="shared" si="29"/>
        <v>#DIV/0!</v>
      </c>
      <c r="BO10" s="176">
        <f t="shared" si="30"/>
        <v>0</v>
      </c>
    </row>
    <row r="11" spans="1:69" hidden="1">
      <c r="A11" s="280" t="s">
        <v>142</v>
      </c>
      <c r="B11" s="269"/>
      <c r="C11" s="278"/>
      <c r="D11" s="278"/>
      <c r="E11" s="270"/>
      <c r="F11" s="279">
        <f t="shared" si="24"/>
        <v>0</v>
      </c>
      <c r="G11" s="254"/>
      <c r="H11" s="271"/>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3"/>
      <c r="AG11" s="274">
        <f t="shared" si="25"/>
        <v>0</v>
      </c>
      <c r="AH11" s="275">
        <f t="shared" si="0"/>
        <v>0</v>
      </c>
      <c r="AI11" s="276">
        <f t="shared" si="1"/>
        <v>0</v>
      </c>
      <c r="AJ11" s="276">
        <f t="shared" si="2"/>
        <v>0</v>
      </c>
      <c r="AK11" s="276">
        <f t="shared" si="3"/>
        <v>0</v>
      </c>
      <c r="AL11" s="276">
        <f t="shared" si="4"/>
        <v>0</v>
      </c>
      <c r="AM11" s="276" t="str">
        <f t="shared" si="5"/>
        <v/>
      </c>
      <c r="AN11" s="276" t="str">
        <f t="shared" si="6"/>
        <v/>
      </c>
      <c r="AO11" s="276" t="str">
        <f t="shared" si="7"/>
        <v/>
      </c>
      <c r="AP11" s="276" t="str">
        <f t="shared" si="8"/>
        <v/>
      </c>
      <c r="AQ11" s="276" t="str">
        <f t="shared" si="9"/>
        <v/>
      </c>
      <c r="AR11" s="276" t="str">
        <f t="shared" si="10"/>
        <v/>
      </c>
      <c r="AS11" s="276" t="str">
        <f t="shared" si="11"/>
        <v/>
      </c>
      <c r="AT11" s="276" t="str">
        <f t="shared" si="12"/>
        <v/>
      </c>
      <c r="AU11" s="276" t="str">
        <f t="shared" si="13"/>
        <v/>
      </c>
      <c r="AV11" s="276" t="str">
        <f t="shared" si="14"/>
        <v/>
      </c>
      <c r="AW11" s="276" t="str">
        <f t="shared" si="15"/>
        <v/>
      </c>
      <c r="AX11" s="276" t="str">
        <f t="shared" si="16"/>
        <v/>
      </c>
      <c r="AY11" s="276" t="str">
        <f t="shared" si="17"/>
        <v/>
      </c>
      <c r="AZ11" s="276" t="str">
        <f t="shared" si="18"/>
        <v/>
      </c>
      <c r="BA11" s="276" t="str">
        <f t="shared" si="19"/>
        <v/>
      </c>
      <c r="BB11" s="276" t="str">
        <f t="shared" si="20"/>
        <v/>
      </c>
      <c r="BC11" s="276" t="str">
        <f t="shared" si="21"/>
        <v/>
      </c>
      <c r="BD11" s="276" t="str">
        <f t="shared" si="22"/>
        <v/>
      </c>
      <c r="BE11" s="276" t="str">
        <f t="shared" si="23"/>
        <v/>
      </c>
      <c r="BF11" s="277" t="str">
        <f t="shared" si="26"/>
        <v/>
      </c>
      <c r="BG11" s="142">
        <f t="array" ref="BG11">(SUM( IF(ISERROR(AH11:BF11),"", AH11:BF11)))/time</f>
        <v>0</v>
      </c>
      <c r="BH11" s="142">
        <f t="shared" si="27"/>
        <v>0</v>
      </c>
      <c r="BI11" s="142">
        <v>4</v>
      </c>
      <c r="BJ11" s="143">
        <f t="shared" si="28"/>
        <v>0</v>
      </c>
      <c r="BL11" s="176" t="e">
        <f t="array" ref="BL11">STDEV(IF(AH11:BF11&lt;&gt;0,AH11:BF11))</f>
        <v>#DIV/0!</v>
      </c>
      <c r="BM11" s="176">
        <v>1.96</v>
      </c>
      <c r="BN11" s="176" t="e">
        <f t="shared" si="29"/>
        <v>#DIV/0!</v>
      </c>
      <c r="BO11" s="176">
        <f t="shared" si="30"/>
        <v>0</v>
      </c>
    </row>
    <row r="12" spans="1:69" hidden="1">
      <c r="A12" s="280" t="s">
        <v>143</v>
      </c>
      <c r="B12" s="269"/>
      <c r="C12" s="278"/>
      <c r="D12" s="278"/>
      <c r="E12" s="270"/>
      <c r="F12" s="279">
        <f t="shared" si="24"/>
        <v>0</v>
      </c>
      <c r="G12" s="254"/>
      <c r="H12" s="271"/>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3"/>
      <c r="AG12" s="274">
        <f t="shared" si="25"/>
        <v>0</v>
      </c>
      <c r="AH12" s="275">
        <f t="shared" si="0"/>
        <v>0</v>
      </c>
      <c r="AI12" s="276">
        <f t="shared" si="1"/>
        <v>0</v>
      </c>
      <c r="AJ12" s="276">
        <f t="shared" si="2"/>
        <v>0</v>
      </c>
      <c r="AK12" s="276">
        <f t="shared" si="3"/>
        <v>0</v>
      </c>
      <c r="AL12" s="276">
        <f t="shared" si="4"/>
        <v>0</v>
      </c>
      <c r="AM12" s="276" t="str">
        <f t="shared" si="5"/>
        <v/>
      </c>
      <c r="AN12" s="276" t="str">
        <f t="shared" si="6"/>
        <v/>
      </c>
      <c r="AO12" s="276" t="str">
        <f t="shared" si="7"/>
        <v/>
      </c>
      <c r="AP12" s="276" t="str">
        <f t="shared" si="8"/>
        <v/>
      </c>
      <c r="AQ12" s="276" t="str">
        <f t="shared" si="9"/>
        <v/>
      </c>
      <c r="AR12" s="276" t="str">
        <f t="shared" si="10"/>
        <v/>
      </c>
      <c r="AS12" s="276" t="str">
        <f t="shared" si="11"/>
        <v/>
      </c>
      <c r="AT12" s="276" t="str">
        <f t="shared" si="12"/>
        <v/>
      </c>
      <c r="AU12" s="276" t="str">
        <f t="shared" si="13"/>
        <v/>
      </c>
      <c r="AV12" s="276" t="str">
        <f t="shared" si="14"/>
        <v/>
      </c>
      <c r="AW12" s="276" t="str">
        <f t="shared" si="15"/>
        <v/>
      </c>
      <c r="AX12" s="276" t="str">
        <f t="shared" si="16"/>
        <v/>
      </c>
      <c r="AY12" s="276" t="str">
        <f t="shared" si="17"/>
        <v/>
      </c>
      <c r="AZ12" s="276" t="str">
        <f t="shared" si="18"/>
        <v/>
      </c>
      <c r="BA12" s="276" t="str">
        <f t="shared" si="19"/>
        <v/>
      </c>
      <c r="BB12" s="276" t="str">
        <f t="shared" si="20"/>
        <v/>
      </c>
      <c r="BC12" s="276" t="str">
        <f t="shared" si="21"/>
        <v/>
      </c>
      <c r="BD12" s="276" t="str">
        <f t="shared" si="22"/>
        <v/>
      </c>
      <c r="BE12" s="276" t="str">
        <f t="shared" si="23"/>
        <v/>
      </c>
      <c r="BF12" s="277" t="str">
        <f t="shared" si="26"/>
        <v/>
      </c>
      <c r="BG12" s="142">
        <f t="array" ref="BG12">(SUM( IF(ISERROR(AH12:BF12),"", AH12:BF12)))/time</f>
        <v>0</v>
      </c>
      <c r="BH12" s="142">
        <f t="shared" si="27"/>
        <v>0</v>
      </c>
      <c r="BI12" s="142">
        <v>5</v>
      </c>
      <c r="BJ12" s="143">
        <f t="shared" si="28"/>
        <v>0</v>
      </c>
      <c r="BL12" s="176" t="e">
        <f t="array" ref="BL12">STDEV(IF(AH12:BF12&lt;&gt;0,AH12:BF12))</f>
        <v>#DIV/0!</v>
      </c>
      <c r="BM12" s="176">
        <v>1.96</v>
      </c>
      <c r="BN12" s="176" t="e">
        <f t="shared" si="29"/>
        <v>#DIV/0!</v>
      </c>
      <c r="BO12" s="176">
        <f t="shared" si="30"/>
        <v>0</v>
      </c>
    </row>
    <row r="13" spans="1:69" hidden="1">
      <c r="A13" s="280" t="s">
        <v>144</v>
      </c>
      <c r="B13" s="269"/>
      <c r="C13" s="278"/>
      <c r="D13" s="278"/>
      <c r="E13" s="270"/>
      <c r="F13" s="279">
        <f t="shared" si="24"/>
        <v>0</v>
      </c>
      <c r="G13" s="254"/>
      <c r="H13" s="271"/>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3"/>
      <c r="AG13" s="274">
        <f t="shared" si="25"/>
        <v>0</v>
      </c>
      <c r="AH13" s="275">
        <f t="shared" si="0"/>
        <v>0</v>
      </c>
      <c r="AI13" s="276">
        <f t="shared" si="1"/>
        <v>0</v>
      </c>
      <c r="AJ13" s="276">
        <f t="shared" si="2"/>
        <v>0</v>
      </c>
      <c r="AK13" s="276">
        <f t="shared" si="3"/>
        <v>0</v>
      </c>
      <c r="AL13" s="276">
        <f t="shared" si="4"/>
        <v>0</v>
      </c>
      <c r="AM13" s="276" t="str">
        <f t="shared" si="5"/>
        <v/>
      </c>
      <c r="AN13" s="276" t="str">
        <f t="shared" si="6"/>
        <v/>
      </c>
      <c r="AO13" s="276" t="str">
        <f t="shared" si="7"/>
        <v/>
      </c>
      <c r="AP13" s="276" t="str">
        <f t="shared" si="8"/>
        <v/>
      </c>
      <c r="AQ13" s="276" t="str">
        <f t="shared" si="9"/>
        <v/>
      </c>
      <c r="AR13" s="276" t="str">
        <f t="shared" si="10"/>
        <v/>
      </c>
      <c r="AS13" s="276" t="str">
        <f t="shared" si="11"/>
        <v/>
      </c>
      <c r="AT13" s="276" t="str">
        <f t="shared" si="12"/>
        <v/>
      </c>
      <c r="AU13" s="276" t="str">
        <f t="shared" si="13"/>
        <v/>
      </c>
      <c r="AV13" s="276" t="str">
        <f t="shared" si="14"/>
        <v/>
      </c>
      <c r="AW13" s="276" t="str">
        <f t="shared" si="15"/>
        <v/>
      </c>
      <c r="AX13" s="276" t="str">
        <f t="shared" si="16"/>
        <v/>
      </c>
      <c r="AY13" s="276" t="str">
        <f t="shared" si="17"/>
        <v/>
      </c>
      <c r="AZ13" s="276" t="str">
        <f t="shared" si="18"/>
        <v/>
      </c>
      <c r="BA13" s="276" t="str">
        <f t="shared" si="19"/>
        <v/>
      </c>
      <c r="BB13" s="276" t="str">
        <f t="shared" si="20"/>
        <v/>
      </c>
      <c r="BC13" s="276" t="str">
        <f t="shared" si="21"/>
        <v/>
      </c>
      <c r="BD13" s="276" t="str">
        <f t="shared" si="22"/>
        <v/>
      </c>
      <c r="BE13" s="276" t="str">
        <f t="shared" si="23"/>
        <v/>
      </c>
      <c r="BF13" s="277" t="str">
        <f t="shared" si="26"/>
        <v/>
      </c>
      <c r="BG13" s="142">
        <f t="array" ref="BG13">(SUM( IF(ISERROR(AH13:BF13),"", AH13:BF13)))/time</f>
        <v>0</v>
      </c>
      <c r="BH13" s="142">
        <f t="shared" si="27"/>
        <v>0</v>
      </c>
      <c r="BI13" s="142">
        <v>6</v>
      </c>
      <c r="BJ13" s="143">
        <f t="shared" si="28"/>
        <v>0</v>
      </c>
      <c r="BL13" s="176" t="e">
        <f t="array" ref="BL13">STDEV(IF(AH13:BF13&lt;&gt;0,AH13:BF13))</f>
        <v>#DIV/0!</v>
      </c>
      <c r="BM13" s="176">
        <v>1.96</v>
      </c>
      <c r="BN13" s="176" t="e">
        <f t="shared" si="29"/>
        <v>#DIV/0!</v>
      </c>
      <c r="BO13" s="176">
        <f t="shared" si="30"/>
        <v>0</v>
      </c>
    </row>
    <row r="14" spans="1:69" hidden="1">
      <c r="A14" s="280" t="s">
        <v>145</v>
      </c>
      <c r="B14" s="269"/>
      <c r="C14" s="278"/>
      <c r="D14" s="278"/>
      <c r="E14" s="270"/>
      <c r="F14" s="279">
        <f t="shared" si="24"/>
        <v>0</v>
      </c>
      <c r="G14" s="254"/>
      <c r="H14" s="271"/>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3"/>
      <c r="AG14" s="274">
        <f t="shared" si="25"/>
        <v>0</v>
      </c>
      <c r="AH14" s="275">
        <f t="shared" si="0"/>
        <v>0</v>
      </c>
      <c r="AI14" s="276">
        <f t="shared" si="1"/>
        <v>0</v>
      </c>
      <c r="AJ14" s="276">
        <f t="shared" si="2"/>
        <v>0</v>
      </c>
      <c r="AK14" s="276">
        <f t="shared" si="3"/>
        <v>0</v>
      </c>
      <c r="AL14" s="276">
        <f t="shared" si="4"/>
        <v>0</v>
      </c>
      <c r="AM14" s="276" t="str">
        <f t="shared" si="5"/>
        <v/>
      </c>
      <c r="AN14" s="276" t="str">
        <f t="shared" si="6"/>
        <v/>
      </c>
      <c r="AO14" s="276" t="str">
        <f t="shared" si="7"/>
        <v/>
      </c>
      <c r="AP14" s="276" t="str">
        <f t="shared" si="8"/>
        <v/>
      </c>
      <c r="AQ14" s="276" t="str">
        <f t="shared" si="9"/>
        <v/>
      </c>
      <c r="AR14" s="276" t="str">
        <f t="shared" si="10"/>
        <v/>
      </c>
      <c r="AS14" s="276" t="str">
        <f t="shared" si="11"/>
        <v/>
      </c>
      <c r="AT14" s="276" t="str">
        <f t="shared" si="12"/>
        <v/>
      </c>
      <c r="AU14" s="276" t="str">
        <f t="shared" si="13"/>
        <v/>
      </c>
      <c r="AV14" s="276" t="str">
        <f t="shared" si="14"/>
        <v/>
      </c>
      <c r="AW14" s="276" t="str">
        <f t="shared" si="15"/>
        <v/>
      </c>
      <c r="AX14" s="276" t="str">
        <f t="shared" si="16"/>
        <v/>
      </c>
      <c r="AY14" s="276" t="str">
        <f t="shared" si="17"/>
        <v/>
      </c>
      <c r="AZ14" s="276" t="str">
        <f t="shared" si="18"/>
        <v/>
      </c>
      <c r="BA14" s="276" t="str">
        <f t="shared" si="19"/>
        <v/>
      </c>
      <c r="BB14" s="276" t="str">
        <f t="shared" si="20"/>
        <v/>
      </c>
      <c r="BC14" s="276" t="str">
        <f t="shared" si="21"/>
        <v/>
      </c>
      <c r="BD14" s="276" t="str">
        <f t="shared" si="22"/>
        <v/>
      </c>
      <c r="BE14" s="276" t="str">
        <f t="shared" si="23"/>
        <v/>
      </c>
      <c r="BF14" s="277" t="str">
        <f t="shared" si="26"/>
        <v/>
      </c>
      <c r="BG14" s="142">
        <f t="array" ref="BG14">(SUM( IF(ISERROR(AH14:BF14),"", AH14:BF14)))/time</f>
        <v>0</v>
      </c>
      <c r="BH14" s="142">
        <f t="shared" si="27"/>
        <v>0</v>
      </c>
      <c r="BI14" s="142">
        <v>7</v>
      </c>
      <c r="BJ14" s="143">
        <f t="shared" si="28"/>
        <v>0</v>
      </c>
      <c r="BL14" s="176" t="e">
        <f t="array" ref="BL14">STDEV(IF(AH14:BF14&lt;&gt;0,AH14:BF14))</f>
        <v>#DIV/0!</v>
      </c>
      <c r="BM14" s="176">
        <v>1.96</v>
      </c>
      <c r="BN14" s="176" t="e">
        <f t="shared" si="29"/>
        <v>#DIV/0!</v>
      </c>
      <c r="BO14" s="176">
        <f t="shared" si="30"/>
        <v>0</v>
      </c>
    </row>
    <row r="15" spans="1:69" hidden="1">
      <c r="A15" s="280" t="s">
        <v>146</v>
      </c>
      <c r="B15" s="269"/>
      <c r="C15" s="278"/>
      <c r="D15" s="278"/>
      <c r="E15" s="270"/>
      <c r="F15" s="279">
        <f t="shared" si="24"/>
        <v>0</v>
      </c>
      <c r="G15" s="254"/>
      <c r="H15" s="271"/>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3"/>
      <c r="AG15" s="274">
        <f t="shared" si="25"/>
        <v>0</v>
      </c>
      <c r="AH15" s="275">
        <f t="shared" si="0"/>
        <v>0</v>
      </c>
      <c r="AI15" s="276">
        <f t="shared" si="1"/>
        <v>0</v>
      </c>
      <c r="AJ15" s="276">
        <f t="shared" si="2"/>
        <v>0</v>
      </c>
      <c r="AK15" s="276">
        <f t="shared" si="3"/>
        <v>0</v>
      </c>
      <c r="AL15" s="276">
        <f t="shared" si="4"/>
        <v>0</v>
      </c>
      <c r="AM15" s="276" t="str">
        <f t="shared" si="5"/>
        <v/>
      </c>
      <c r="AN15" s="276" t="str">
        <f t="shared" si="6"/>
        <v/>
      </c>
      <c r="AO15" s="276" t="str">
        <f t="shared" si="7"/>
        <v/>
      </c>
      <c r="AP15" s="276" t="str">
        <f t="shared" si="8"/>
        <v/>
      </c>
      <c r="AQ15" s="276" t="str">
        <f t="shared" si="9"/>
        <v/>
      </c>
      <c r="AR15" s="276" t="str">
        <f t="shared" si="10"/>
        <v/>
      </c>
      <c r="AS15" s="276" t="str">
        <f t="shared" si="11"/>
        <v/>
      </c>
      <c r="AT15" s="276" t="str">
        <f t="shared" si="12"/>
        <v/>
      </c>
      <c r="AU15" s="276" t="str">
        <f t="shared" si="13"/>
        <v/>
      </c>
      <c r="AV15" s="276" t="str">
        <f t="shared" si="14"/>
        <v/>
      </c>
      <c r="AW15" s="276" t="str">
        <f t="shared" si="15"/>
        <v/>
      </c>
      <c r="AX15" s="276" t="str">
        <f t="shared" si="16"/>
        <v/>
      </c>
      <c r="AY15" s="276" t="str">
        <f t="shared" si="17"/>
        <v/>
      </c>
      <c r="AZ15" s="276" t="str">
        <f t="shared" si="18"/>
        <v/>
      </c>
      <c r="BA15" s="276" t="str">
        <f t="shared" si="19"/>
        <v/>
      </c>
      <c r="BB15" s="276" t="str">
        <f t="shared" si="20"/>
        <v/>
      </c>
      <c r="BC15" s="276" t="str">
        <f t="shared" si="21"/>
        <v/>
      </c>
      <c r="BD15" s="276" t="str">
        <f t="shared" si="22"/>
        <v/>
      </c>
      <c r="BE15" s="276" t="str">
        <f t="shared" si="23"/>
        <v/>
      </c>
      <c r="BF15" s="277" t="str">
        <f t="shared" si="26"/>
        <v/>
      </c>
      <c r="BG15" s="142">
        <f t="array" ref="BG15">(SUM( IF(ISERROR(AH15:BF15),"", AH15:BF15)))/time</f>
        <v>0</v>
      </c>
      <c r="BH15" s="142">
        <f t="shared" si="27"/>
        <v>0</v>
      </c>
      <c r="BI15" s="142">
        <v>8</v>
      </c>
      <c r="BJ15" s="143">
        <f t="shared" si="28"/>
        <v>0</v>
      </c>
      <c r="BL15" s="176" t="e">
        <f t="array" ref="BL15">STDEV(IF(AH15:BF15&lt;&gt;0,AH15:BF15))</f>
        <v>#DIV/0!</v>
      </c>
      <c r="BM15" s="176">
        <v>1.96</v>
      </c>
      <c r="BN15" s="176" t="e">
        <f t="shared" si="29"/>
        <v>#DIV/0!</v>
      </c>
      <c r="BO15" s="176">
        <f t="shared" si="30"/>
        <v>0</v>
      </c>
    </row>
    <row r="16" spans="1:69" hidden="1">
      <c r="A16" s="280" t="s">
        <v>147</v>
      </c>
      <c r="B16" s="269"/>
      <c r="C16" s="278"/>
      <c r="D16" s="278"/>
      <c r="E16" s="270"/>
      <c r="F16" s="279">
        <f t="shared" si="24"/>
        <v>0</v>
      </c>
      <c r="G16" s="254"/>
      <c r="H16" s="271"/>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3"/>
      <c r="AG16" s="274">
        <f t="shared" si="25"/>
        <v>0</v>
      </c>
      <c r="AH16" s="275">
        <f t="shared" si="0"/>
        <v>0</v>
      </c>
      <c r="AI16" s="276">
        <f t="shared" si="1"/>
        <v>0</v>
      </c>
      <c r="AJ16" s="276">
        <f t="shared" si="2"/>
        <v>0</v>
      </c>
      <c r="AK16" s="276">
        <f t="shared" si="3"/>
        <v>0</v>
      </c>
      <c r="AL16" s="276">
        <f t="shared" si="4"/>
        <v>0</v>
      </c>
      <c r="AM16" s="276" t="str">
        <f t="shared" si="5"/>
        <v/>
      </c>
      <c r="AN16" s="276" t="str">
        <f t="shared" si="6"/>
        <v/>
      </c>
      <c r="AO16" s="276" t="str">
        <f t="shared" si="7"/>
        <v/>
      </c>
      <c r="AP16" s="276" t="str">
        <f t="shared" si="8"/>
        <v/>
      </c>
      <c r="AQ16" s="276" t="str">
        <f t="shared" si="9"/>
        <v/>
      </c>
      <c r="AR16" s="276" t="str">
        <f t="shared" si="10"/>
        <v/>
      </c>
      <c r="AS16" s="276" t="str">
        <f t="shared" si="11"/>
        <v/>
      </c>
      <c r="AT16" s="276" t="str">
        <f t="shared" si="12"/>
        <v/>
      </c>
      <c r="AU16" s="276" t="str">
        <f t="shared" si="13"/>
        <v/>
      </c>
      <c r="AV16" s="276" t="str">
        <f t="shared" si="14"/>
        <v/>
      </c>
      <c r="AW16" s="276" t="str">
        <f t="shared" si="15"/>
        <v/>
      </c>
      <c r="AX16" s="276" t="str">
        <f t="shared" si="16"/>
        <v/>
      </c>
      <c r="AY16" s="276" t="str">
        <f t="shared" si="17"/>
        <v/>
      </c>
      <c r="AZ16" s="276" t="str">
        <f t="shared" si="18"/>
        <v/>
      </c>
      <c r="BA16" s="276" t="str">
        <f t="shared" si="19"/>
        <v/>
      </c>
      <c r="BB16" s="276" t="str">
        <f t="shared" si="20"/>
        <v/>
      </c>
      <c r="BC16" s="276" t="str">
        <f t="shared" si="21"/>
        <v/>
      </c>
      <c r="BD16" s="276" t="str">
        <f t="shared" si="22"/>
        <v/>
      </c>
      <c r="BE16" s="276" t="str">
        <f t="shared" si="23"/>
        <v/>
      </c>
      <c r="BF16" s="277" t="str">
        <f t="shared" si="26"/>
        <v/>
      </c>
      <c r="BG16" s="142">
        <f t="array" ref="BG16">(SUM( IF(ISERROR(AH16:BF16),"", AH16:BF16)))/time</f>
        <v>0</v>
      </c>
      <c r="BH16" s="142">
        <f t="shared" si="27"/>
        <v>0</v>
      </c>
      <c r="BI16" s="142">
        <v>9</v>
      </c>
      <c r="BJ16" s="143">
        <f t="shared" si="28"/>
        <v>0</v>
      </c>
      <c r="BL16" s="176" t="e">
        <f t="array" ref="BL16">STDEV(IF(AH16:BF16&lt;&gt;0,AH16:BF16))</f>
        <v>#DIV/0!</v>
      </c>
      <c r="BM16" s="176">
        <v>1.96</v>
      </c>
      <c r="BN16" s="176" t="e">
        <f t="shared" si="29"/>
        <v>#DIV/0!</v>
      </c>
      <c r="BO16" s="176">
        <f t="shared" si="30"/>
        <v>0</v>
      </c>
    </row>
    <row r="17" spans="1:67" hidden="1">
      <c r="A17" s="280" t="s">
        <v>148</v>
      </c>
      <c r="B17" s="269"/>
      <c r="C17" s="281"/>
      <c r="D17" s="281"/>
      <c r="E17" s="270"/>
      <c r="F17" s="282">
        <f t="shared" si="24"/>
        <v>0</v>
      </c>
      <c r="G17" s="254"/>
      <c r="H17" s="271"/>
      <c r="I17" s="272"/>
      <c r="J17" s="272"/>
      <c r="K17" s="272"/>
      <c r="L17" s="272"/>
      <c r="M17" s="272"/>
      <c r="N17" s="272"/>
      <c r="O17" s="272"/>
      <c r="P17" s="272"/>
      <c r="Q17" s="272"/>
      <c r="R17" s="272"/>
      <c r="S17" s="272"/>
      <c r="T17" s="272"/>
      <c r="U17" s="272"/>
      <c r="V17" s="272"/>
      <c r="W17" s="272"/>
      <c r="X17" s="272"/>
      <c r="Y17" s="272"/>
      <c r="Z17" s="272"/>
      <c r="AA17" s="272"/>
      <c r="AB17" s="272"/>
      <c r="AC17" s="272"/>
      <c r="AD17" s="272"/>
      <c r="AE17" s="272"/>
      <c r="AF17" s="273"/>
      <c r="AG17" s="274">
        <f t="shared" si="25"/>
        <v>0</v>
      </c>
      <c r="AH17" s="275">
        <f t="shared" si="0"/>
        <v>0</v>
      </c>
      <c r="AI17" s="276">
        <f t="shared" si="1"/>
        <v>0</v>
      </c>
      <c r="AJ17" s="276">
        <f t="shared" si="2"/>
        <v>0</v>
      </c>
      <c r="AK17" s="276">
        <f t="shared" si="3"/>
        <v>0</v>
      </c>
      <c r="AL17" s="276">
        <f t="shared" si="4"/>
        <v>0</v>
      </c>
      <c r="AM17" s="276" t="str">
        <f t="shared" si="5"/>
        <v/>
      </c>
      <c r="AN17" s="276" t="str">
        <f t="shared" si="6"/>
        <v/>
      </c>
      <c r="AO17" s="276" t="str">
        <f t="shared" si="7"/>
        <v/>
      </c>
      <c r="AP17" s="276" t="str">
        <f t="shared" si="8"/>
        <v/>
      </c>
      <c r="AQ17" s="276" t="str">
        <f t="shared" si="9"/>
        <v/>
      </c>
      <c r="AR17" s="276" t="str">
        <f t="shared" si="10"/>
        <v/>
      </c>
      <c r="AS17" s="276" t="str">
        <f t="shared" si="11"/>
        <v/>
      </c>
      <c r="AT17" s="276" t="str">
        <f t="shared" si="12"/>
        <v/>
      </c>
      <c r="AU17" s="276" t="str">
        <f t="shared" si="13"/>
        <v/>
      </c>
      <c r="AV17" s="276" t="str">
        <f t="shared" si="14"/>
        <v/>
      </c>
      <c r="AW17" s="276" t="str">
        <f t="shared" si="15"/>
        <v/>
      </c>
      <c r="AX17" s="276" t="str">
        <f t="shared" si="16"/>
        <v/>
      </c>
      <c r="AY17" s="276" t="str">
        <f t="shared" si="17"/>
        <v/>
      </c>
      <c r="AZ17" s="276" t="str">
        <f t="shared" si="18"/>
        <v/>
      </c>
      <c r="BA17" s="276" t="str">
        <f t="shared" si="19"/>
        <v/>
      </c>
      <c r="BB17" s="276" t="str">
        <f t="shared" si="20"/>
        <v/>
      </c>
      <c r="BC17" s="276" t="str">
        <f t="shared" si="21"/>
        <v/>
      </c>
      <c r="BD17" s="276" t="str">
        <f t="shared" si="22"/>
        <v/>
      </c>
      <c r="BE17" s="276" t="str">
        <f t="shared" si="23"/>
        <v/>
      </c>
      <c r="BF17" s="277" t="str">
        <f t="shared" si="26"/>
        <v/>
      </c>
      <c r="BG17" s="142">
        <f t="array" ref="BG17">(SUM( IF(ISERROR(AH17:BF17),"", AH17:BF17)))/time</f>
        <v>0</v>
      </c>
      <c r="BH17" s="142">
        <f t="shared" si="27"/>
        <v>0</v>
      </c>
      <c r="BI17" s="142">
        <v>10</v>
      </c>
      <c r="BJ17" s="143">
        <f t="shared" si="28"/>
        <v>0</v>
      </c>
      <c r="BL17" s="176" t="e">
        <f t="array" ref="BL17">STDEV(IF(AH17:BF17&lt;&gt;0,AH17:BF17))</f>
        <v>#DIV/0!</v>
      </c>
      <c r="BM17" s="176">
        <v>1.96</v>
      </c>
      <c r="BN17" s="176" t="e">
        <f t="shared" si="29"/>
        <v>#DIV/0!</v>
      </c>
      <c r="BO17" s="176">
        <f t="shared" si="30"/>
        <v>0</v>
      </c>
    </row>
    <row r="18" spans="1:67">
      <c r="A18" s="259" t="s">
        <v>13</v>
      </c>
      <c r="B18" s="283"/>
      <c r="C18" s="284"/>
      <c r="D18" s="284"/>
      <c r="E18" s="284"/>
      <c r="F18" s="285"/>
      <c r="G18" s="196"/>
      <c r="H18" s="286"/>
      <c r="I18" s="287"/>
      <c r="J18" s="287"/>
      <c r="K18" s="287"/>
      <c r="L18" s="287"/>
      <c r="M18" s="287"/>
      <c r="N18" s="287"/>
      <c r="O18" s="287"/>
      <c r="P18" s="287"/>
      <c r="Q18" s="287"/>
      <c r="R18" s="287"/>
      <c r="S18" s="287"/>
      <c r="T18" s="287"/>
      <c r="U18" s="287"/>
      <c r="V18" s="287"/>
      <c r="W18" s="287"/>
      <c r="X18" s="287"/>
      <c r="Y18" s="287"/>
      <c r="Z18" s="287"/>
      <c r="AA18" s="287"/>
      <c r="AB18" s="287"/>
      <c r="AC18" s="287"/>
      <c r="AD18" s="287"/>
      <c r="AE18" s="287"/>
      <c r="AF18" s="287"/>
      <c r="AG18" s="288"/>
      <c r="AH18" s="202"/>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203"/>
    </row>
    <row r="19" spans="1:67">
      <c r="A19" s="844" t="s">
        <v>39</v>
      </c>
      <c r="B19" s="839"/>
      <c r="C19" s="845"/>
      <c r="D19" s="845"/>
      <c r="E19" s="840"/>
      <c r="F19" s="846">
        <f t="shared" si="24"/>
        <v>0</v>
      </c>
      <c r="G19" s="254"/>
      <c r="H19" s="842"/>
      <c r="I19" s="843"/>
      <c r="J19" s="843"/>
      <c r="K19" s="843"/>
      <c r="L19" s="843"/>
      <c r="M19" s="272"/>
      <c r="N19" s="272"/>
      <c r="O19" s="272"/>
      <c r="P19" s="272"/>
      <c r="Q19" s="272"/>
      <c r="R19" s="272"/>
      <c r="S19" s="272"/>
      <c r="T19" s="272"/>
      <c r="U19" s="272"/>
      <c r="V19" s="272"/>
      <c r="W19" s="272"/>
      <c r="X19" s="272"/>
      <c r="Y19" s="272"/>
      <c r="Z19" s="272"/>
      <c r="AA19" s="272"/>
      <c r="AB19" s="272"/>
      <c r="AC19" s="272"/>
      <c r="AD19" s="272"/>
      <c r="AE19" s="272"/>
      <c r="AF19" s="273"/>
      <c r="AG19" s="274">
        <f t="shared" si="25"/>
        <v>0</v>
      </c>
      <c r="AH19" s="275">
        <f>IF(AH$225&lt;=time,H19*$F19,"")</f>
        <v>0</v>
      </c>
      <c r="AI19" s="276">
        <f>IF(AI$225&lt;=time,I19*$F19,"")</f>
        <v>0</v>
      </c>
      <c r="AJ19" s="276">
        <f t="shared" ref="AJ19:AJ28" si="31">IF(AJ$225&lt;=time,J19*$F19,"")</f>
        <v>0</v>
      </c>
      <c r="AK19" s="276">
        <f t="shared" ref="AK19:AK28" si="32">IF(AK$225&lt;=time,K19*$F19,"")</f>
        <v>0</v>
      </c>
      <c r="AL19" s="276">
        <f t="shared" ref="AL19:AL28" si="33">IF(AL$225&lt;=time,L19*$F19,"")</f>
        <v>0</v>
      </c>
      <c r="AM19" s="276" t="str">
        <f t="shared" ref="AM19:AM28" si="34">IF(AM$225&lt;=time,M19*$F19,"")</f>
        <v/>
      </c>
      <c r="AN19" s="276" t="str">
        <f t="shared" ref="AN19:AN28" si="35">IF(AN$225&lt;=time,N19*$F19,"")</f>
        <v/>
      </c>
      <c r="AO19" s="276" t="str">
        <f t="shared" ref="AO19:AO28" si="36">IF(AO$225&lt;=time,O19*$F19,"")</f>
        <v/>
      </c>
      <c r="AP19" s="276" t="str">
        <f t="shared" ref="AP19:AP28" si="37">IF(AP$225&lt;=time,P19*$F19,"")</f>
        <v/>
      </c>
      <c r="AQ19" s="276" t="str">
        <f t="shared" ref="AQ19:AQ28" si="38">IF(AQ$225&lt;=time,Q19*$F19,"")</f>
        <v/>
      </c>
      <c r="AR19" s="276" t="str">
        <f t="shared" ref="AR19:AR28" si="39">IF(AR$225&lt;=time,R19*$F19,"")</f>
        <v/>
      </c>
      <c r="AS19" s="276" t="str">
        <f t="shared" ref="AS19:AS28" si="40">IF(AS$225&lt;=time,S19*$F19,"")</f>
        <v/>
      </c>
      <c r="AT19" s="276" t="str">
        <f t="shared" ref="AT19:AT28" si="41">IF(AT$225&lt;=time,T19*$F19,"")</f>
        <v/>
      </c>
      <c r="AU19" s="276" t="str">
        <f t="shared" ref="AU19:AU28" si="42">IF(AU$225&lt;=time,U19*$F19,"")</f>
        <v/>
      </c>
      <c r="AV19" s="276" t="str">
        <f t="shared" ref="AV19:AV28" si="43">IF(AV$225&lt;=time,V19*$F19,"")</f>
        <v/>
      </c>
      <c r="AW19" s="276" t="str">
        <f t="shared" ref="AW19:AW28" si="44">IF(AW$225&lt;=time,W19*$F19,"")</f>
        <v/>
      </c>
      <c r="AX19" s="276" t="str">
        <f t="shared" ref="AX19:AX28" si="45">IF(AX$225&lt;=time,X19*$F19,"")</f>
        <v/>
      </c>
      <c r="AY19" s="276" t="str">
        <f t="shared" ref="AY19:AY28" si="46">IF(AY$225&lt;=time,Y19*$F19,"")</f>
        <v/>
      </c>
      <c r="AZ19" s="276" t="str">
        <f t="shared" ref="AZ19:AZ28" si="47">IF(AZ$225&lt;=time,Z19*$F19,"")</f>
        <v/>
      </c>
      <c r="BA19" s="276" t="str">
        <f t="shared" ref="BA19:BA28" si="48">IF(BA$225&lt;=time,AA19*$F19,"")</f>
        <v/>
      </c>
      <c r="BB19" s="276" t="str">
        <f t="shared" ref="BB19:BB28" si="49">IF(BB$225&lt;=time,AB19*$F19,"")</f>
        <v/>
      </c>
      <c r="BC19" s="276" t="str">
        <f t="shared" ref="BC19:BC28" si="50">IF(BC$225&lt;=time,AC19*$F19,"")</f>
        <v/>
      </c>
      <c r="BD19" s="276" t="str">
        <f t="shared" ref="BD19:BD28" si="51">IF(BD$225&lt;=time,AD19*$F19,"")</f>
        <v/>
      </c>
      <c r="BE19" s="276" t="str">
        <f t="shared" ref="BE19:BE28" si="52">IF(BE$225&lt;=time,AE19*$F19,"")</f>
        <v/>
      </c>
      <c r="BF19" s="277" t="str">
        <f t="shared" ref="BF19:BF28" si="53">IF(BF$225&lt;=time,AF19*$F19,"")</f>
        <v/>
      </c>
      <c r="BG19" s="142">
        <f t="array" ref="BG19">(SUM( IF(ISERROR(AH19:BF19),"", AH19:BF19)))/time</f>
        <v>0</v>
      </c>
      <c r="BH19" s="142">
        <f t="shared" si="27"/>
        <v>0</v>
      </c>
      <c r="BI19" s="289">
        <v>1</v>
      </c>
      <c r="BJ19" s="143">
        <f>IF(BO19&gt;0,BG19+BN19,BG19)</f>
        <v>0</v>
      </c>
      <c r="BL19" s="176" t="e">
        <f t="array" ref="BL19">STDEV(IF(AH19:BF19&lt;&gt;0,AH19:BF19))</f>
        <v>#DIV/0!</v>
      </c>
      <c r="BM19" s="176">
        <v>1.96</v>
      </c>
      <c r="BN19" s="176" t="e">
        <f t="shared" ref="BN19:BN28" si="54">(BM19*BL19)/(time^0.5)</f>
        <v>#DIV/0!</v>
      </c>
      <c r="BO19" s="176">
        <f t="shared" si="30"/>
        <v>0</v>
      </c>
    </row>
    <row r="20" spans="1:67" hidden="1">
      <c r="A20" s="280" t="s">
        <v>40</v>
      </c>
      <c r="B20" s="269"/>
      <c r="C20" s="278"/>
      <c r="D20" s="278"/>
      <c r="E20" s="270"/>
      <c r="F20" s="279">
        <f t="shared" si="24"/>
        <v>0</v>
      </c>
      <c r="G20" s="254"/>
      <c r="H20" s="271"/>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s="273"/>
      <c r="AG20" s="274">
        <f t="shared" si="25"/>
        <v>0</v>
      </c>
      <c r="AH20" s="275">
        <f t="shared" ref="AH20:AH28" si="55">IF(AH$225&lt;=time,H20*$F20,"")</f>
        <v>0</v>
      </c>
      <c r="AI20" s="276">
        <f t="shared" ref="AI20:AI28" si="56">IF(AI$225&lt;=time,I20*$F20,"")</f>
        <v>0</v>
      </c>
      <c r="AJ20" s="276">
        <f t="shared" si="31"/>
        <v>0</v>
      </c>
      <c r="AK20" s="276">
        <f t="shared" si="32"/>
        <v>0</v>
      </c>
      <c r="AL20" s="276">
        <f t="shared" si="33"/>
        <v>0</v>
      </c>
      <c r="AM20" s="276" t="str">
        <f t="shared" si="34"/>
        <v/>
      </c>
      <c r="AN20" s="276" t="str">
        <f t="shared" si="35"/>
        <v/>
      </c>
      <c r="AO20" s="276" t="str">
        <f t="shared" si="36"/>
        <v/>
      </c>
      <c r="AP20" s="276" t="str">
        <f t="shared" si="37"/>
        <v/>
      </c>
      <c r="AQ20" s="276" t="str">
        <f t="shared" si="38"/>
        <v/>
      </c>
      <c r="AR20" s="276" t="str">
        <f t="shared" si="39"/>
        <v/>
      </c>
      <c r="AS20" s="276" t="str">
        <f t="shared" si="40"/>
        <v/>
      </c>
      <c r="AT20" s="276" t="str">
        <f t="shared" si="41"/>
        <v/>
      </c>
      <c r="AU20" s="276" t="str">
        <f t="shared" si="42"/>
        <v/>
      </c>
      <c r="AV20" s="276" t="str">
        <f t="shared" si="43"/>
        <v/>
      </c>
      <c r="AW20" s="276" t="str">
        <f t="shared" si="44"/>
        <v/>
      </c>
      <c r="AX20" s="276" t="str">
        <f t="shared" si="45"/>
        <v/>
      </c>
      <c r="AY20" s="276" t="str">
        <f t="shared" si="46"/>
        <v/>
      </c>
      <c r="AZ20" s="276" t="str">
        <f t="shared" si="47"/>
        <v/>
      </c>
      <c r="BA20" s="276" t="str">
        <f t="shared" si="48"/>
        <v/>
      </c>
      <c r="BB20" s="276" t="str">
        <f t="shared" si="49"/>
        <v/>
      </c>
      <c r="BC20" s="276" t="str">
        <f t="shared" si="50"/>
        <v/>
      </c>
      <c r="BD20" s="276" t="str">
        <f t="shared" si="51"/>
        <v/>
      </c>
      <c r="BE20" s="276" t="str">
        <f t="shared" si="52"/>
        <v/>
      </c>
      <c r="BF20" s="277" t="str">
        <f t="shared" si="53"/>
        <v/>
      </c>
      <c r="BG20" s="142">
        <f t="array" ref="BG20">(SUM( IF(ISERROR(AH20:BF20),"", AH20:BF20)))/time</f>
        <v>0</v>
      </c>
      <c r="BH20" s="142">
        <f t="shared" si="27"/>
        <v>0</v>
      </c>
      <c r="BI20" s="289">
        <v>2</v>
      </c>
      <c r="BJ20" s="143">
        <f t="shared" ref="BJ20:BJ28" si="57">IF(BO20&gt;0,BG20+BN20,BG20)</f>
        <v>0</v>
      </c>
      <c r="BL20" s="176" t="e">
        <f t="array" ref="BL20">STDEV(IF(AH20:BF20&lt;&gt;0,AH20:BF20))</f>
        <v>#DIV/0!</v>
      </c>
      <c r="BM20" s="176">
        <v>1.96</v>
      </c>
      <c r="BN20" s="176" t="e">
        <f t="shared" si="54"/>
        <v>#DIV/0!</v>
      </c>
      <c r="BO20" s="176">
        <f t="shared" si="30"/>
        <v>0</v>
      </c>
    </row>
    <row r="21" spans="1:67" hidden="1">
      <c r="A21" s="280" t="s">
        <v>41</v>
      </c>
      <c r="B21" s="269"/>
      <c r="C21" s="278"/>
      <c r="D21" s="278"/>
      <c r="E21" s="270"/>
      <c r="F21" s="279">
        <f t="shared" si="24"/>
        <v>0</v>
      </c>
      <c r="G21" s="254"/>
      <c r="H21" s="271"/>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s="273"/>
      <c r="AG21" s="274">
        <f t="shared" si="25"/>
        <v>0</v>
      </c>
      <c r="AH21" s="275">
        <f t="shared" si="55"/>
        <v>0</v>
      </c>
      <c r="AI21" s="276">
        <f t="shared" si="56"/>
        <v>0</v>
      </c>
      <c r="AJ21" s="276">
        <f t="shared" si="31"/>
        <v>0</v>
      </c>
      <c r="AK21" s="276">
        <f t="shared" si="32"/>
        <v>0</v>
      </c>
      <c r="AL21" s="276">
        <f t="shared" si="33"/>
        <v>0</v>
      </c>
      <c r="AM21" s="276" t="str">
        <f t="shared" si="34"/>
        <v/>
      </c>
      <c r="AN21" s="276" t="str">
        <f t="shared" si="35"/>
        <v/>
      </c>
      <c r="AO21" s="276" t="str">
        <f t="shared" si="36"/>
        <v/>
      </c>
      <c r="AP21" s="276" t="str">
        <f t="shared" si="37"/>
        <v/>
      </c>
      <c r="AQ21" s="276" t="str">
        <f t="shared" si="38"/>
        <v/>
      </c>
      <c r="AR21" s="276" t="str">
        <f t="shared" si="39"/>
        <v/>
      </c>
      <c r="AS21" s="276" t="str">
        <f t="shared" si="40"/>
        <v/>
      </c>
      <c r="AT21" s="276" t="str">
        <f t="shared" si="41"/>
        <v/>
      </c>
      <c r="AU21" s="276" t="str">
        <f t="shared" si="42"/>
        <v/>
      </c>
      <c r="AV21" s="276" t="str">
        <f t="shared" si="43"/>
        <v/>
      </c>
      <c r="AW21" s="276" t="str">
        <f t="shared" si="44"/>
        <v/>
      </c>
      <c r="AX21" s="276" t="str">
        <f t="shared" si="45"/>
        <v/>
      </c>
      <c r="AY21" s="276" t="str">
        <f t="shared" si="46"/>
        <v/>
      </c>
      <c r="AZ21" s="276" t="str">
        <f t="shared" si="47"/>
        <v/>
      </c>
      <c r="BA21" s="276" t="str">
        <f t="shared" si="48"/>
        <v/>
      </c>
      <c r="BB21" s="276" t="str">
        <f t="shared" si="49"/>
        <v/>
      </c>
      <c r="BC21" s="276" t="str">
        <f t="shared" si="50"/>
        <v/>
      </c>
      <c r="BD21" s="276" t="str">
        <f t="shared" si="51"/>
        <v/>
      </c>
      <c r="BE21" s="276" t="str">
        <f t="shared" si="52"/>
        <v/>
      </c>
      <c r="BF21" s="277" t="str">
        <f t="shared" si="53"/>
        <v/>
      </c>
      <c r="BG21" s="142">
        <f t="array" ref="BG21">(SUM( IF(ISERROR(AH21:BF21),"", AH21:BF21)))/time</f>
        <v>0</v>
      </c>
      <c r="BH21" s="142">
        <f t="shared" si="27"/>
        <v>0</v>
      </c>
      <c r="BI21" s="289">
        <v>3</v>
      </c>
      <c r="BJ21" s="143">
        <f t="shared" si="57"/>
        <v>0</v>
      </c>
      <c r="BL21" s="176" t="e">
        <f t="array" ref="BL21">STDEV(IF(AH21:BF21&lt;&gt;0,AH21:BF21))</f>
        <v>#DIV/0!</v>
      </c>
      <c r="BM21" s="176">
        <v>1.96</v>
      </c>
      <c r="BN21" s="176" t="e">
        <f t="shared" si="54"/>
        <v>#DIV/0!</v>
      </c>
      <c r="BO21" s="176">
        <f t="shared" si="30"/>
        <v>0</v>
      </c>
    </row>
    <row r="22" spans="1:67" hidden="1">
      <c r="A22" s="280" t="s">
        <v>42</v>
      </c>
      <c r="B22" s="269"/>
      <c r="C22" s="278"/>
      <c r="D22" s="278"/>
      <c r="E22" s="270"/>
      <c r="F22" s="279">
        <f t="shared" si="24"/>
        <v>0</v>
      </c>
      <c r="G22" s="254"/>
      <c r="H22" s="271"/>
      <c r="I22" s="272"/>
      <c r="J22" s="272"/>
      <c r="K22" s="272"/>
      <c r="L22" s="272"/>
      <c r="M22" s="272"/>
      <c r="N22" s="272"/>
      <c r="O22" s="272"/>
      <c r="P22" s="272"/>
      <c r="Q22" s="272"/>
      <c r="R22" s="272"/>
      <c r="S22" s="272"/>
      <c r="T22" s="272"/>
      <c r="U22" s="272"/>
      <c r="V22" s="272"/>
      <c r="W22" s="272"/>
      <c r="X22" s="272"/>
      <c r="Y22" s="272"/>
      <c r="Z22" s="272"/>
      <c r="AA22" s="272"/>
      <c r="AB22" s="272"/>
      <c r="AC22" s="272"/>
      <c r="AD22" s="272"/>
      <c r="AE22" s="272"/>
      <c r="AF22" s="273"/>
      <c r="AG22" s="274">
        <f t="shared" si="25"/>
        <v>0</v>
      </c>
      <c r="AH22" s="275">
        <f t="shared" si="55"/>
        <v>0</v>
      </c>
      <c r="AI22" s="276">
        <f t="shared" si="56"/>
        <v>0</v>
      </c>
      <c r="AJ22" s="276">
        <f t="shared" si="31"/>
        <v>0</v>
      </c>
      <c r="AK22" s="276">
        <f t="shared" si="32"/>
        <v>0</v>
      </c>
      <c r="AL22" s="276">
        <f t="shared" si="33"/>
        <v>0</v>
      </c>
      <c r="AM22" s="276" t="str">
        <f t="shared" si="34"/>
        <v/>
      </c>
      <c r="AN22" s="276" t="str">
        <f t="shared" si="35"/>
        <v/>
      </c>
      <c r="AO22" s="276" t="str">
        <f t="shared" si="36"/>
        <v/>
      </c>
      <c r="AP22" s="276" t="str">
        <f t="shared" si="37"/>
        <v/>
      </c>
      <c r="AQ22" s="276" t="str">
        <f t="shared" si="38"/>
        <v/>
      </c>
      <c r="AR22" s="276" t="str">
        <f t="shared" si="39"/>
        <v/>
      </c>
      <c r="AS22" s="276" t="str">
        <f t="shared" si="40"/>
        <v/>
      </c>
      <c r="AT22" s="276" t="str">
        <f t="shared" si="41"/>
        <v/>
      </c>
      <c r="AU22" s="276" t="str">
        <f t="shared" si="42"/>
        <v/>
      </c>
      <c r="AV22" s="276" t="str">
        <f t="shared" si="43"/>
        <v/>
      </c>
      <c r="AW22" s="276" t="str">
        <f t="shared" si="44"/>
        <v/>
      </c>
      <c r="AX22" s="276" t="str">
        <f t="shared" si="45"/>
        <v/>
      </c>
      <c r="AY22" s="276" t="str">
        <f t="shared" si="46"/>
        <v/>
      </c>
      <c r="AZ22" s="276" t="str">
        <f t="shared" si="47"/>
        <v/>
      </c>
      <c r="BA22" s="276" t="str">
        <f t="shared" si="48"/>
        <v/>
      </c>
      <c r="BB22" s="276" t="str">
        <f t="shared" si="49"/>
        <v/>
      </c>
      <c r="BC22" s="276" t="str">
        <f t="shared" si="50"/>
        <v/>
      </c>
      <c r="BD22" s="276" t="str">
        <f t="shared" si="51"/>
        <v/>
      </c>
      <c r="BE22" s="276" t="str">
        <f t="shared" si="52"/>
        <v/>
      </c>
      <c r="BF22" s="277" t="str">
        <f t="shared" si="53"/>
        <v/>
      </c>
      <c r="BG22" s="142">
        <f t="array" ref="BG22">(SUM( IF(ISERROR(AH22:BF22),"", AH22:BF22)))/time</f>
        <v>0</v>
      </c>
      <c r="BH22" s="142">
        <f t="shared" si="27"/>
        <v>0</v>
      </c>
      <c r="BI22" s="289">
        <v>4</v>
      </c>
      <c r="BJ22" s="143">
        <f t="shared" si="57"/>
        <v>0</v>
      </c>
      <c r="BL22" s="176" t="e">
        <f t="array" ref="BL22">STDEV(IF(AH22:BF22&lt;&gt;0,AH22:BF22))</f>
        <v>#DIV/0!</v>
      </c>
      <c r="BM22" s="176">
        <v>1.96</v>
      </c>
      <c r="BN22" s="176" t="e">
        <f t="shared" si="54"/>
        <v>#DIV/0!</v>
      </c>
      <c r="BO22" s="176">
        <f t="shared" si="30"/>
        <v>0</v>
      </c>
    </row>
    <row r="23" spans="1:67" hidden="1">
      <c r="A23" s="280" t="s">
        <v>43</v>
      </c>
      <c r="B23" s="269"/>
      <c r="C23" s="278"/>
      <c r="D23" s="278"/>
      <c r="E23" s="270"/>
      <c r="F23" s="279">
        <f t="shared" si="24"/>
        <v>0</v>
      </c>
      <c r="G23" s="254"/>
      <c r="H23" s="271"/>
      <c r="I23" s="272"/>
      <c r="J23" s="272"/>
      <c r="K23" s="272"/>
      <c r="L23" s="272"/>
      <c r="M23" s="272"/>
      <c r="N23" s="272"/>
      <c r="O23" s="272"/>
      <c r="P23" s="272"/>
      <c r="Q23" s="272"/>
      <c r="R23" s="272"/>
      <c r="S23" s="272"/>
      <c r="T23" s="272"/>
      <c r="U23" s="272"/>
      <c r="V23" s="272"/>
      <c r="W23" s="272"/>
      <c r="X23" s="272"/>
      <c r="Y23" s="272"/>
      <c r="Z23" s="272"/>
      <c r="AA23" s="272"/>
      <c r="AB23" s="272"/>
      <c r="AC23" s="272"/>
      <c r="AD23" s="272"/>
      <c r="AE23" s="272"/>
      <c r="AF23" s="273"/>
      <c r="AG23" s="274">
        <f t="shared" si="25"/>
        <v>0</v>
      </c>
      <c r="AH23" s="275">
        <f t="shared" si="55"/>
        <v>0</v>
      </c>
      <c r="AI23" s="276">
        <f t="shared" si="56"/>
        <v>0</v>
      </c>
      <c r="AJ23" s="276">
        <f t="shared" si="31"/>
        <v>0</v>
      </c>
      <c r="AK23" s="276">
        <f t="shared" si="32"/>
        <v>0</v>
      </c>
      <c r="AL23" s="276">
        <f t="shared" si="33"/>
        <v>0</v>
      </c>
      <c r="AM23" s="276" t="str">
        <f t="shared" si="34"/>
        <v/>
      </c>
      <c r="AN23" s="276" t="str">
        <f t="shared" si="35"/>
        <v/>
      </c>
      <c r="AO23" s="276" t="str">
        <f t="shared" si="36"/>
        <v/>
      </c>
      <c r="AP23" s="276" t="str">
        <f t="shared" si="37"/>
        <v/>
      </c>
      <c r="AQ23" s="276" t="str">
        <f t="shared" si="38"/>
        <v/>
      </c>
      <c r="AR23" s="276" t="str">
        <f t="shared" si="39"/>
        <v/>
      </c>
      <c r="AS23" s="276" t="str">
        <f t="shared" si="40"/>
        <v/>
      </c>
      <c r="AT23" s="276" t="str">
        <f t="shared" si="41"/>
        <v/>
      </c>
      <c r="AU23" s="276" t="str">
        <f t="shared" si="42"/>
        <v/>
      </c>
      <c r="AV23" s="276" t="str">
        <f t="shared" si="43"/>
        <v/>
      </c>
      <c r="AW23" s="276" t="str">
        <f t="shared" si="44"/>
        <v/>
      </c>
      <c r="AX23" s="276" t="str">
        <f t="shared" si="45"/>
        <v/>
      </c>
      <c r="AY23" s="276" t="str">
        <f t="shared" si="46"/>
        <v/>
      </c>
      <c r="AZ23" s="276" t="str">
        <f t="shared" si="47"/>
        <v/>
      </c>
      <c r="BA23" s="276" t="str">
        <f t="shared" si="48"/>
        <v/>
      </c>
      <c r="BB23" s="276" t="str">
        <f t="shared" si="49"/>
        <v/>
      </c>
      <c r="BC23" s="276" t="str">
        <f t="shared" si="50"/>
        <v/>
      </c>
      <c r="BD23" s="276" t="str">
        <f t="shared" si="51"/>
        <v/>
      </c>
      <c r="BE23" s="276" t="str">
        <f t="shared" si="52"/>
        <v/>
      </c>
      <c r="BF23" s="277" t="str">
        <f t="shared" si="53"/>
        <v/>
      </c>
      <c r="BG23" s="142">
        <f t="array" ref="BG23">(SUM( IF(ISERROR(AH23:BF23),"", AH23:BF23)))/time</f>
        <v>0</v>
      </c>
      <c r="BH23" s="142">
        <f t="shared" si="27"/>
        <v>0</v>
      </c>
      <c r="BI23" s="289">
        <v>5</v>
      </c>
      <c r="BJ23" s="143">
        <f t="shared" si="57"/>
        <v>0</v>
      </c>
      <c r="BL23" s="176" t="e">
        <f t="array" ref="BL23">STDEV(IF(AH23:BF23&lt;&gt;0,AH23:BF23))</f>
        <v>#DIV/0!</v>
      </c>
      <c r="BM23" s="176">
        <v>1.96</v>
      </c>
      <c r="BN23" s="176" t="e">
        <f t="shared" si="54"/>
        <v>#DIV/0!</v>
      </c>
      <c r="BO23" s="176">
        <f t="shared" si="30"/>
        <v>0</v>
      </c>
    </row>
    <row r="24" spans="1:67" hidden="1">
      <c r="A24" s="280" t="s">
        <v>44</v>
      </c>
      <c r="B24" s="269"/>
      <c r="C24" s="278"/>
      <c r="D24" s="278"/>
      <c r="E24" s="270"/>
      <c r="F24" s="279">
        <f t="shared" si="24"/>
        <v>0</v>
      </c>
      <c r="G24" s="254"/>
      <c r="H24" s="271"/>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3"/>
      <c r="AG24" s="274">
        <f t="shared" si="25"/>
        <v>0</v>
      </c>
      <c r="AH24" s="275">
        <f t="shared" si="55"/>
        <v>0</v>
      </c>
      <c r="AI24" s="276">
        <f t="shared" si="56"/>
        <v>0</v>
      </c>
      <c r="AJ24" s="276">
        <f t="shared" si="31"/>
        <v>0</v>
      </c>
      <c r="AK24" s="276">
        <f t="shared" si="32"/>
        <v>0</v>
      </c>
      <c r="AL24" s="276">
        <f t="shared" si="33"/>
        <v>0</v>
      </c>
      <c r="AM24" s="276" t="str">
        <f t="shared" si="34"/>
        <v/>
      </c>
      <c r="AN24" s="276" t="str">
        <f t="shared" si="35"/>
        <v/>
      </c>
      <c r="AO24" s="276" t="str">
        <f t="shared" si="36"/>
        <v/>
      </c>
      <c r="AP24" s="276" t="str">
        <f t="shared" si="37"/>
        <v/>
      </c>
      <c r="AQ24" s="276" t="str">
        <f t="shared" si="38"/>
        <v/>
      </c>
      <c r="AR24" s="276" t="str">
        <f t="shared" si="39"/>
        <v/>
      </c>
      <c r="AS24" s="276" t="str">
        <f t="shared" si="40"/>
        <v/>
      </c>
      <c r="AT24" s="276" t="str">
        <f t="shared" si="41"/>
        <v/>
      </c>
      <c r="AU24" s="276" t="str">
        <f t="shared" si="42"/>
        <v/>
      </c>
      <c r="AV24" s="276" t="str">
        <f t="shared" si="43"/>
        <v/>
      </c>
      <c r="AW24" s="276" t="str">
        <f t="shared" si="44"/>
        <v/>
      </c>
      <c r="AX24" s="276" t="str">
        <f t="shared" si="45"/>
        <v/>
      </c>
      <c r="AY24" s="276" t="str">
        <f t="shared" si="46"/>
        <v/>
      </c>
      <c r="AZ24" s="276" t="str">
        <f t="shared" si="47"/>
        <v/>
      </c>
      <c r="BA24" s="276" t="str">
        <f t="shared" si="48"/>
        <v/>
      </c>
      <c r="BB24" s="276" t="str">
        <f t="shared" si="49"/>
        <v/>
      </c>
      <c r="BC24" s="276" t="str">
        <f t="shared" si="50"/>
        <v/>
      </c>
      <c r="BD24" s="276" t="str">
        <f t="shared" si="51"/>
        <v/>
      </c>
      <c r="BE24" s="276" t="str">
        <f t="shared" si="52"/>
        <v/>
      </c>
      <c r="BF24" s="277" t="str">
        <f t="shared" si="53"/>
        <v/>
      </c>
      <c r="BG24" s="142">
        <f t="array" ref="BG24">(SUM( IF(ISERROR(AH24:BF24),"", AH24:BF24)))/time</f>
        <v>0</v>
      </c>
      <c r="BH24" s="142">
        <f t="shared" si="27"/>
        <v>0</v>
      </c>
      <c r="BI24" s="289">
        <v>6</v>
      </c>
      <c r="BJ24" s="143">
        <f t="shared" si="57"/>
        <v>0</v>
      </c>
      <c r="BL24" s="176" t="e">
        <f t="array" ref="BL24">STDEV(IF(AH24:BF24&lt;&gt;0,AH24:BF24))</f>
        <v>#DIV/0!</v>
      </c>
      <c r="BM24" s="176">
        <v>1.96</v>
      </c>
      <c r="BN24" s="176" t="e">
        <f t="shared" si="54"/>
        <v>#DIV/0!</v>
      </c>
      <c r="BO24" s="176">
        <f t="shared" si="30"/>
        <v>0</v>
      </c>
    </row>
    <row r="25" spans="1:67" hidden="1">
      <c r="A25" s="280" t="s">
        <v>45</v>
      </c>
      <c r="B25" s="269"/>
      <c r="C25" s="278"/>
      <c r="D25" s="278"/>
      <c r="E25" s="270"/>
      <c r="F25" s="279">
        <f t="shared" si="24"/>
        <v>0</v>
      </c>
      <c r="G25" s="254"/>
      <c r="H25" s="271"/>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s="273"/>
      <c r="AG25" s="274">
        <f t="shared" si="25"/>
        <v>0</v>
      </c>
      <c r="AH25" s="275">
        <f t="shared" si="55"/>
        <v>0</v>
      </c>
      <c r="AI25" s="276">
        <f t="shared" si="56"/>
        <v>0</v>
      </c>
      <c r="AJ25" s="276">
        <f t="shared" si="31"/>
        <v>0</v>
      </c>
      <c r="AK25" s="276">
        <f t="shared" si="32"/>
        <v>0</v>
      </c>
      <c r="AL25" s="276">
        <f t="shared" si="33"/>
        <v>0</v>
      </c>
      <c r="AM25" s="276" t="str">
        <f t="shared" si="34"/>
        <v/>
      </c>
      <c r="AN25" s="276" t="str">
        <f t="shared" si="35"/>
        <v/>
      </c>
      <c r="AO25" s="276" t="str">
        <f t="shared" si="36"/>
        <v/>
      </c>
      <c r="AP25" s="276" t="str">
        <f t="shared" si="37"/>
        <v/>
      </c>
      <c r="AQ25" s="276" t="str">
        <f t="shared" si="38"/>
        <v/>
      </c>
      <c r="AR25" s="276" t="str">
        <f t="shared" si="39"/>
        <v/>
      </c>
      <c r="AS25" s="276" t="str">
        <f t="shared" si="40"/>
        <v/>
      </c>
      <c r="AT25" s="276" t="str">
        <f t="shared" si="41"/>
        <v/>
      </c>
      <c r="AU25" s="276" t="str">
        <f t="shared" si="42"/>
        <v/>
      </c>
      <c r="AV25" s="276" t="str">
        <f t="shared" si="43"/>
        <v/>
      </c>
      <c r="AW25" s="276" t="str">
        <f t="shared" si="44"/>
        <v/>
      </c>
      <c r="AX25" s="276" t="str">
        <f t="shared" si="45"/>
        <v/>
      </c>
      <c r="AY25" s="276" t="str">
        <f t="shared" si="46"/>
        <v/>
      </c>
      <c r="AZ25" s="276" t="str">
        <f t="shared" si="47"/>
        <v/>
      </c>
      <c r="BA25" s="276" t="str">
        <f t="shared" si="48"/>
        <v/>
      </c>
      <c r="BB25" s="276" t="str">
        <f t="shared" si="49"/>
        <v/>
      </c>
      <c r="BC25" s="276" t="str">
        <f t="shared" si="50"/>
        <v/>
      </c>
      <c r="BD25" s="276" t="str">
        <f t="shared" si="51"/>
        <v/>
      </c>
      <c r="BE25" s="276" t="str">
        <f t="shared" si="52"/>
        <v/>
      </c>
      <c r="BF25" s="277" t="str">
        <f t="shared" si="53"/>
        <v/>
      </c>
      <c r="BG25" s="142">
        <f t="array" ref="BG25">(SUM( IF(ISERROR(AH25:BF25),"", AH25:BF25)))/time</f>
        <v>0</v>
      </c>
      <c r="BH25" s="142">
        <f t="shared" si="27"/>
        <v>0</v>
      </c>
      <c r="BI25" s="289">
        <v>7</v>
      </c>
      <c r="BJ25" s="143">
        <f t="shared" si="57"/>
        <v>0</v>
      </c>
      <c r="BL25" s="176" t="e">
        <f t="array" ref="BL25">STDEV(IF(AH25:BF25&lt;&gt;0,AH25:BF25))</f>
        <v>#DIV/0!</v>
      </c>
      <c r="BM25" s="176">
        <v>1.96</v>
      </c>
      <c r="BN25" s="176" t="e">
        <f t="shared" si="54"/>
        <v>#DIV/0!</v>
      </c>
      <c r="BO25" s="176">
        <f t="shared" si="30"/>
        <v>0</v>
      </c>
    </row>
    <row r="26" spans="1:67" hidden="1">
      <c r="A26" s="280" t="s">
        <v>46</v>
      </c>
      <c r="B26" s="269"/>
      <c r="C26" s="278"/>
      <c r="D26" s="278"/>
      <c r="E26" s="270"/>
      <c r="F26" s="279">
        <f t="shared" si="24"/>
        <v>0</v>
      </c>
      <c r="G26" s="254"/>
      <c r="H26" s="271"/>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3"/>
      <c r="AG26" s="274">
        <f t="shared" si="25"/>
        <v>0</v>
      </c>
      <c r="AH26" s="275">
        <f t="shared" si="55"/>
        <v>0</v>
      </c>
      <c r="AI26" s="276">
        <f t="shared" si="56"/>
        <v>0</v>
      </c>
      <c r="AJ26" s="276">
        <f t="shared" si="31"/>
        <v>0</v>
      </c>
      <c r="AK26" s="276">
        <f t="shared" si="32"/>
        <v>0</v>
      </c>
      <c r="AL26" s="276">
        <f t="shared" si="33"/>
        <v>0</v>
      </c>
      <c r="AM26" s="276" t="str">
        <f t="shared" si="34"/>
        <v/>
      </c>
      <c r="AN26" s="276" t="str">
        <f t="shared" si="35"/>
        <v/>
      </c>
      <c r="AO26" s="276" t="str">
        <f t="shared" si="36"/>
        <v/>
      </c>
      <c r="AP26" s="276" t="str">
        <f t="shared" si="37"/>
        <v/>
      </c>
      <c r="AQ26" s="276" t="str">
        <f t="shared" si="38"/>
        <v/>
      </c>
      <c r="AR26" s="276" t="str">
        <f t="shared" si="39"/>
        <v/>
      </c>
      <c r="AS26" s="276" t="str">
        <f t="shared" si="40"/>
        <v/>
      </c>
      <c r="AT26" s="276" t="str">
        <f t="shared" si="41"/>
        <v/>
      </c>
      <c r="AU26" s="276" t="str">
        <f t="shared" si="42"/>
        <v/>
      </c>
      <c r="AV26" s="276" t="str">
        <f t="shared" si="43"/>
        <v/>
      </c>
      <c r="AW26" s="276" t="str">
        <f t="shared" si="44"/>
        <v/>
      </c>
      <c r="AX26" s="276" t="str">
        <f t="shared" si="45"/>
        <v/>
      </c>
      <c r="AY26" s="276" t="str">
        <f t="shared" si="46"/>
        <v/>
      </c>
      <c r="AZ26" s="276" t="str">
        <f t="shared" si="47"/>
        <v/>
      </c>
      <c r="BA26" s="276" t="str">
        <f t="shared" si="48"/>
        <v/>
      </c>
      <c r="BB26" s="276" t="str">
        <f t="shared" si="49"/>
        <v/>
      </c>
      <c r="BC26" s="276" t="str">
        <f t="shared" si="50"/>
        <v/>
      </c>
      <c r="BD26" s="276" t="str">
        <f t="shared" si="51"/>
        <v/>
      </c>
      <c r="BE26" s="276" t="str">
        <f t="shared" si="52"/>
        <v/>
      </c>
      <c r="BF26" s="277" t="str">
        <f t="shared" si="53"/>
        <v/>
      </c>
      <c r="BG26" s="142">
        <f t="array" ref="BG26">(SUM( IF(ISERROR(AH26:BF26),"", AH26:BF26)))/time</f>
        <v>0</v>
      </c>
      <c r="BH26" s="142">
        <f t="shared" si="27"/>
        <v>0</v>
      </c>
      <c r="BI26" s="289">
        <v>8</v>
      </c>
      <c r="BJ26" s="143">
        <f t="shared" si="57"/>
        <v>0</v>
      </c>
      <c r="BL26" s="176" t="e">
        <f t="array" ref="BL26">STDEV(IF(AH26:BF26&lt;&gt;0,AH26:BF26))</f>
        <v>#DIV/0!</v>
      </c>
      <c r="BM26" s="176">
        <v>1.96</v>
      </c>
      <c r="BN26" s="176" t="e">
        <f t="shared" si="54"/>
        <v>#DIV/0!</v>
      </c>
      <c r="BO26" s="176">
        <f t="shared" si="30"/>
        <v>0</v>
      </c>
    </row>
    <row r="27" spans="1:67" hidden="1">
      <c r="A27" s="280" t="s">
        <v>47</v>
      </c>
      <c r="B27" s="269"/>
      <c r="C27" s="278"/>
      <c r="D27" s="278"/>
      <c r="E27" s="270"/>
      <c r="F27" s="279">
        <f t="shared" si="24"/>
        <v>0</v>
      </c>
      <c r="G27" s="254"/>
      <c r="H27" s="271"/>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s="273"/>
      <c r="AG27" s="274">
        <f t="shared" si="25"/>
        <v>0</v>
      </c>
      <c r="AH27" s="275">
        <f t="shared" si="55"/>
        <v>0</v>
      </c>
      <c r="AI27" s="276">
        <f t="shared" si="56"/>
        <v>0</v>
      </c>
      <c r="AJ27" s="276">
        <f t="shared" si="31"/>
        <v>0</v>
      </c>
      <c r="AK27" s="276">
        <f t="shared" si="32"/>
        <v>0</v>
      </c>
      <c r="AL27" s="276">
        <f t="shared" si="33"/>
        <v>0</v>
      </c>
      <c r="AM27" s="276" t="str">
        <f t="shared" si="34"/>
        <v/>
      </c>
      <c r="AN27" s="276" t="str">
        <f t="shared" si="35"/>
        <v/>
      </c>
      <c r="AO27" s="276" t="str">
        <f t="shared" si="36"/>
        <v/>
      </c>
      <c r="AP27" s="276" t="str">
        <f t="shared" si="37"/>
        <v/>
      </c>
      <c r="AQ27" s="276" t="str">
        <f t="shared" si="38"/>
        <v/>
      </c>
      <c r="AR27" s="276" t="str">
        <f t="shared" si="39"/>
        <v/>
      </c>
      <c r="AS27" s="276" t="str">
        <f t="shared" si="40"/>
        <v/>
      </c>
      <c r="AT27" s="276" t="str">
        <f t="shared" si="41"/>
        <v/>
      </c>
      <c r="AU27" s="276" t="str">
        <f t="shared" si="42"/>
        <v/>
      </c>
      <c r="AV27" s="276" t="str">
        <f t="shared" si="43"/>
        <v/>
      </c>
      <c r="AW27" s="276" t="str">
        <f t="shared" si="44"/>
        <v/>
      </c>
      <c r="AX27" s="276" t="str">
        <f t="shared" si="45"/>
        <v/>
      </c>
      <c r="AY27" s="276" t="str">
        <f t="shared" si="46"/>
        <v/>
      </c>
      <c r="AZ27" s="276" t="str">
        <f t="shared" si="47"/>
        <v/>
      </c>
      <c r="BA27" s="276" t="str">
        <f t="shared" si="48"/>
        <v/>
      </c>
      <c r="BB27" s="276" t="str">
        <f t="shared" si="49"/>
        <v/>
      </c>
      <c r="BC27" s="276" t="str">
        <f t="shared" si="50"/>
        <v/>
      </c>
      <c r="BD27" s="276" t="str">
        <f t="shared" si="51"/>
        <v/>
      </c>
      <c r="BE27" s="276" t="str">
        <f t="shared" si="52"/>
        <v/>
      </c>
      <c r="BF27" s="277" t="str">
        <f t="shared" si="53"/>
        <v/>
      </c>
      <c r="BG27" s="142">
        <f t="array" ref="BG27">(SUM( IF(ISERROR(AH27:BF27),"", AH27:BF27)))/time</f>
        <v>0</v>
      </c>
      <c r="BH27" s="142">
        <f t="shared" si="27"/>
        <v>0</v>
      </c>
      <c r="BI27" s="289">
        <v>9</v>
      </c>
      <c r="BJ27" s="143">
        <f t="shared" si="57"/>
        <v>0</v>
      </c>
      <c r="BL27" s="176" t="e">
        <f t="array" ref="BL27">STDEV(IF(AH27:BF27&lt;&gt;0,AH27:BF27))</f>
        <v>#DIV/0!</v>
      </c>
      <c r="BM27" s="176">
        <v>1.96</v>
      </c>
      <c r="BN27" s="176" t="e">
        <f t="shared" si="54"/>
        <v>#DIV/0!</v>
      </c>
      <c r="BO27" s="176">
        <f t="shared" si="30"/>
        <v>0</v>
      </c>
    </row>
    <row r="28" spans="1:67" hidden="1">
      <c r="A28" s="280" t="s">
        <v>38</v>
      </c>
      <c r="B28" s="269"/>
      <c r="C28" s="278"/>
      <c r="D28" s="278"/>
      <c r="E28" s="270"/>
      <c r="F28" s="279">
        <f t="shared" si="24"/>
        <v>0</v>
      </c>
      <c r="G28" s="254"/>
      <c r="H28" s="271"/>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3"/>
      <c r="AG28" s="274">
        <f t="shared" si="25"/>
        <v>0</v>
      </c>
      <c r="AH28" s="275">
        <f t="shared" si="55"/>
        <v>0</v>
      </c>
      <c r="AI28" s="276">
        <f t="shared" si="56"/>
        <v>0</v>
      </c>
      <c r="AJ28" s="276">
        <f t="shared" si="31"/>
        <v>0</v>
      </c>
      <c r="AK28" s="276">
        <f t="shared" si="32"/>
        <v>0</v>
      </c>
      <c r="AL28" s="276">
        <f t="shared" si="33"/>
        <v>0</v>
      </c>
      <c r="AM28" s="276" t="str">
        <f t="shared" si="34"/>
        <v/>
      </c>
      <c r="AN28" s="276" t="str">
        <f t="shared" si="35"/>
        <v/>
      </c>
      <c r="AO28" s="276" t="str">
        <f t="shared" si="36"/>
        <v/>
      </c>
      <c r="AP28" s="276" t="str">
        <f t="shared" si="37"/>
        <v/>
      </c>
      <c r="AQ28" s="276" t="str">
        <f t="shared" si="38"/>
        <v/>
      </c>
      <c r="AR28" s="276" t="str">
        <f t="shared" si="39"/>
        <v/>
      </c>
      <c r="AS28" s="276" t="str">
        <f t="shared" si="40"/>
        <v/>
      </c>
      <c r="AT28" s="276" t="str">
        <f t="shared" si="41"/>
        <v/>
      </c>
      <c r="AU28" s="276" t="str">
        <f t="shared" si="42"/>
        <v/>
      </c>
      <c r="AV28" s="276" t="str">
        <f t="shared" si="43"/>
        <v/>
      </c>
      <c r="AW28" s="276" t="str">
        <f t="shared" si="44"/>
        <v/>
      </c>
      <c r="AX28" s="276" t="str">
        <f t="shared" si="45"/>
        <v/>
      </c>
      <c r="AY28" s="276" t="str">
        <f t="shared" si="46"/>
        <v/>
      </c>
      <c r="AZ28" s="276" t="str">
        <f t="shared" si="47"/>
        <v/>
      </c>
      <c r="BA28" s="276" t="str">
        <f t="shared" si="48"/>
        <v/>
      </c>
      <c r="BB28" s="276" t="str">
        <f t="shared" si="49"/>
        <v/>
      </c>
      <c r="BC28" s="276" t="str">
        <f t="shared" si="50"/>
        <v/>
      </c>
      <c r="BD28" s="276" t="str">
        <f t="shared" si="51"/>
        <v/>
      </c>
      <c r="BE28" s="276" t="str">
        <f t="shared" si="52"/>
        <v/>
      </c>
      <c r="BF28" s="277" t="str">
        <f t="shared" si="53"/>
        <v/>
      </c>
      <c r="BG28" s="142">
        <f t="array" ref="BG28">(SUM( IF(ISERROR(AH28:BF28),"", AH28:BF28)))/time</f>
        <v>0</v>
      </c>
      <c r="BH28" s="142">
        <f t="shared" si="27"/>
        <v>0</v>
      </c>
      <c r="BI28" s="289">
        <v>10</v>
      </c>
      <c r="BJ28" s="143">
        <f t="shared" si="57"/>
        <v>0</v>
      </c>
      <c r="BL28" s="176" t="e">
        <f t="array" ref="BL28">STDEV(IF(AH28:BF28&lt;&gt;0,AH28:BF28))</f>
        <v>#DIV/0!</v>
      </c>
      <c r="BM28" s="176">
        <v>1.96</v>
      </c>
      <c r="BN28" s="176" t="e">
        <f t="shared" si="54"/>
        <v>#DIV/0!</v>
      </c>
      <c r="BO28" s="176">
        <f t="shared" si="30"/>
        <v>0</v>
      </c>
    </row>
    <row r="29" spans="1:67" s="196" customFormat="1">
      <c r="A29" s="290" t="s">
        <v>7</v>
      </c>
      <c r="F29" s="203"/>
      <c r="H29" s="202"/>
      <c r="AG29" s="291"/>
      <c r="AH29" s="202"/>
      <c r="BJ29" s="203"/>
    </row>
    <row r="30" spans="1:67" s="196" customFormat="1">
      <c r="A30" s="292" t="s">
        <v>149</v>
      </c>
      <c r="F30" s="203"/>
      <c r="H30" s="202"/>
      <c r="AG30" s="291"/>
      <c r="AH30" s="202"/>
      <c r="BJ30" s="203"/>
    </row>
    <row r="31" spans="1:67">
      <c r="A31" s="844" t="s">
        <v>139</v>
      </c>
      <c r="B31" s="839"/>
      <c r="C31" s="845"/>
      <c r="D31" s="845"/>
      <c r="E31" s="847"/>
      <c r="F31" s="846">
        <f t="shared" si="24"/>
        <v>0</v>
      </c>
      <c r="G31" s="254"/>
      <c r="H31" s="842"/>
      <c r="I31" s="843"/>
      <c r="J31" s="843"/>
      <c r="K31" s="843"/>
      <c r="L31" s="843"/>
      <c r="M31" s="272"/>
      <c r="N31" s="272"/>
      <c r="O31" s="272"/>
      <c r="P31" s="272"/>
      <c r="Q31" s="272"/>
      <c r="R31" s="272"/>
      <c r="S31" s="272"/>
      <c r="T31" s="272"/>
      <c r="U31" s="272"/>
      <c r="V31" s="272"/>
      <c r="W31" s="272"/>
      <c r="X31" s="272"/>
      <c r="Y31" s="272"/>
      <c r="Z31" s="272"/>
      <c r="AA31" s="272"/>
      <c r="AB31" s="272"/>
      <c r="AC31" s="272"/>
      <c r="AD31" s="272"/>
      <c r="AE31" s="272"/>
      <c r="AF31" s="273"/>
      <c r="AG31" s="274">
        <f t="shared" si="25"/>
        <v>0</v>
      </c>
      <c r="AH31" s="275">
        <f t="shared" ref="AH31:AH40" si="58">IF(AH$225&lt;=time,H31*$F31,"")</f>
        <v>0</v>
      </c>
      <c r="AI31" s="276">
        <f t="shared" ref="AI31:AI40" si="59">IF(AI$225&lt;=time,I31*$F31,"")</f>
        <v>0</v>
      </c>
      <c r="AJ31" s="276">
        <f t="shared" ref="AJ31:AJ40" si="60">IF(AJ$225&lt;=time,J31*$F31,"")</f>
        <v>0</v>
      </c>
      <c r="AK31" s="276">
        <f t="shared" ref="AK31:AK40" si="61">IF(AK$225&lt;=time,K31*$F31,"")</f>
        <v>0</v>
      </c>
      <c r="AL31" s="276">
        <f t="shared" ref="AL31:AL40" si="62">IF(AL$225&lt;=time,L31*$F31,"")</f>
        <v>0</v>
      </c>
      <c r="AM31" s="276" t="str">
        <f t="shared" ref="AM31:AM40" si="63">IF(AM$225&lt;=time,M31*$F31,"")</f>
        <v/>
      </c>
      <c r="AN31" s="276" t="str">
        <f t="shared" ref="AN31:AN40" si="64">IF(AN$225&lt;=time,N31*$F31,"")</f>
        <v/>
      </c>
      <c r="AO31" s="276" t="str">
        <f t="shared" ref="AO31:AO40" si="65">IF(AO$225&lt;=time,O31*$F31,"")</f>
        <v/>
      </c>
      <c r="AP31" s="276" t="str">
        <f t="shared" ref="AP31:AP40" si="66">IF(AP$225&lt;=time,P31*$F31,"")</f>
        <v/>
      </c>
      <c r="AQ31" s="276" t="str">
        <f t="shared" ref="AQ31:AQ40" si="67">IF(AQ$225&lt;=time,Q31*$F31,"")</f>
        <v/>
      </c>
      <c r="AR31" s="276" t="str">
        <f t="shared" ref="AR31:AR40" si="68">IF(AR$225&lt;=time,R31*$F31,"")</f>
        <v/>
      </c>
      <c r="AS31" s="276" t="str">
        <f t="shared" ref="AS31:AS40" si="69">IF(AS$225&lt;=time,S31*$F31,"")</f>
        <v/>
      </c>
      <c r="AT31" s="276" t="str">
        <f t="shared" ref="AT31:AT40" si="70">IF(AT$225&lt;=time,T31*$F31,"")</f>
        <v/>
      </c>
      <c r="AU31" s="276" t="str">
        <f t="shared" ref="AU31:AU40" si="71">IF(AU$225&lt;=time,U31*$F31,"")</f>
        <v/>
      </c>
      <c r="AV31" s="276" t="str">
        <f t="shared" ref="AV31:AV40" si="72">IF(AV$225&lt;=time,V31*$F31,"")</f>
        <v/>
      </c>
      <c r="AW31" s="276" t="str">
        <f t="shared" ref="AW31:AW40" si="73">IF(AW$225&lt;=time,W31*$F31,"")</f>
        <v/>
      </c>
      <c r="AX31" s="276" t="str">
        <f t="shared" ref="AX31:AX40" si="74">IF(AX$225&lt;=time,X31*$F31,"")</f>
        <v/>
      </c>
      <c r="AY31" s="276" t="str">
        <f t="shared" ref="AY31:AY40" si="75">IF(AY$225&lt;=time,Y31*$F31,"")</f>
        <v/>
      </c>
      <c r="AZ31" s="276" t="str">
        <f t="shared" ref="AZ31:AZ40" si="76">IF(AZ$225&lt;=time,Z31*$F31,"")</f>
        <v/>
      </c>
      <c r="BA31" s="276" t="str">
        <f t="shared" ref="BA31:BA40" si="77">IF(BA$225&lt;=time,AA31*$F31,"")</f>
        <v/>
      </c>
      <c r="BB31" s="276" t="str">
        <f t="shared" ref="BB31:BB40" si="78">IF(BB$225&lt;=time,AB31*$F31,"")</f>
        <v/>
      </c>
      <c r="BC31" s="276" t="str">
        <f t="shared" ref="BC31:BC40" si="79">IF(BC$225&lt;=time,AC31*$F31,"")</f>
        <v/>
      </c>
      <c r="BD31" s="276" t="str">
        <f t="shared" ref="BD31:BD40" si="80">IF(BD$225&lt;=time,AD31*$F31,"")</f>
        <v/>
      </c>
      <c r="BE31" s="276" t="str">
        <f t="shared" ref="BE31:BE40" si="81">IF(BE$225&lt;=time,AE31*$F31,"")</f>
        <v/>
      </c>
      <c r="BF31" s="277" t="str">
        <f t="shared" ref="BF31:BF40" si="82">IF(BF$225&lt;=time,AF31*$F31,"")</f>
        <v/>
      </c>
      <c r="BG31" s="142">
        <f t="array" ref="BG31">(SUM( IF(ISERROR(AH31:BF31),"", AH31:BF31)))/time</f>
        <v>0</v>
      </c>
      <c r="BH31" s="142">
        <f t="shared" si="27"/>
        <v>0</v>
      </c>
      <c r="BI31" s="142">
        <v>1</v>
      </c>
      <c r="BJ31" s="143">
        <f>IF(BO31&gt;0,BG31+BN31,BG31)</f>
        <v>0</v>
      </c>
      <c r="BL31" s="176" t="e">
        <f t="array" ref="BL31">STDEV(IF(AH31:BF31&lt;&gt;0,AH31:BF31))</f>
        <v>#DIV/0!</v>
      </c>
      <c r="BM31" s="176">
        <v>1.96</v>
      </c>
      <c r="BN31" s="176" t="e">
        <f t="shared" ref="BN31:BN40" si="83">(BM31*BL31)/(time^0.5)</f>
        <v>#DIV/0!</v>
      </c>
      <c r="BO31" s="176">
        <f t="shared" si="30"/>
        <v>0</v>
      </c>
    </row>
    <row r="32" spans="1:67" hidden="1">
      <c r="A32" s="280" t="s">
        <v>140</v>
      </c>
      <c r="B32" s="269"/>
      <c r="C32" s="278"/>
      <c r="D32" s="278"/>
      <c r="E32" s="270"/>
      <c r="F32" s="279">
        <f t="shared" si="24"/>
        <v>0</v>
      </c>
      <c r="G32" s="254"/>
      <c r="H32" s="271"/>
      <c r="I32" s="272"/>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3"/>
      <c r="AG32" s="274">
        <f t="shared" si="25"/>
        <v>0</v>
      </c>
      <c r="AH32" s="275">
        <f t="shared" si="58"/>
        <v>0</v>
      </c>
      <c r="AI32" s="276">
        <f t="shared" si="59"/>
        <v>0</v>
      </c>
      <c r="AJ32" s="276">
        <f t="shared" si="60"/>
        <v>0</v>
      </c>
      <c r="AK32" s="276">
        <f t="shared" si="61"/>
        <v>0</v>
      </c>
      <c r="AL32" s="276">
        <f t="shared" si="62"/>
        <v>0</v>
      </c>
      <c r="AM32" s="276" t="str">
        <f t="shared" si="63"/>
        <v/>
      </c>
      <c r="AN32" s="276" t="str">
        <f t="shared" si="64"/>
        <v/>
      </c>
      <c r="AO32" s="276" t="str">
        <f t="shared" si="65"/>
        <v/>
      </c>
      <c r="AP32" s="276" t="str">
        <f t="shared" si="66"/>
        <v/>
      </c>
      <c r="AQ32" s="276" t="str">
        <f t="shared" si="67"/>
        <v/>
      </c>
      <c r="AR32" s="276" t="str">
        <f t="shared" si="68"/>
        <v/>
      </c>
      <c r="AS32" s="276" t="str">
        <f t="shared" si="69"/>
        <v/>
      </c>
      <c r="AT32" s="276" t="str">
        <f t="shared" si="70"/>
        <v/>
      </c>
      <c r="AU32" s="276" t="str">
        <f t="shared" si="71"/>
        <v/>
      </c>
      <c r="AV32" s="276" t="str">
        <f t="shared" si="72"/>
        <v/>
      </c>
      <c r="AW32" s="276" t="str">
        <f t="shared" si="73"/>
        <v/>
      </c>
      <c r="AX32" s="276" t="str">
        <f t="shared" si="74"/>
        <v/>
      </c>
      <c r="AY32" s="276" t="str">
        <f t="shared" si="75"/>
        <v/>
      </c>
      <c r="AZ32" s="276" t="str">
        <f t="shared" si="76"/>
        <v/>
      </c>
      <c r="BA32" s="276" t="str">
        <f t="shared" si="77"/>
        <v/>
      </c>
      <c r="BB32" s="276" t="str">
        <f t="shared" si="78"/>
        <v/>
      </c>
      <c r="BC32" s="276" t="str">
        <f t="shared" si="79"/>
        <v/>
      </c>
      <c r="BD32" s="276" t="str">
        <f t="shared" si="80"/>
        <v/>
      </c>
      <c r="BE32" s="276" t="str">
        <f t="shared" si="81"/>
        <v/>
      </c>
      <c r="BF32" s="277" t="str">
        <f t="shared" si="82"/>
        <v/>
      </c>
      <c r="BG32" s="142">
        <f t="array" ref="BG32">(SUM( IF(ISERROR(AH32:BF32),"", AH32:BF32)))/time</f>
        <v>0</v>
      </c>
      <c r="BH32" s="142">
        <f t="shared" si="27"/>
        <v>0</v>
      </c>
      <c r="BI32" s="142">
        <v>2</v>
      </c>
      <c r="BJ32" s="143">
        <f t="shared" ref="BJ32:BJ40" si="84">IF(BO32&gt;0,BG32+BN32,BG32)</f>
        <v>0</v>
      </c>
      <c r="BL32" s="176" t="e">
        <f t="array" ref="BL32">STDEV(IF(AH32:BF32&lt;&gt;0,AH32:BF32))</f>
        <v>#DIV/0!</v>
      </c>
      <c r="BM32" s="176">
        <v>1.96</v>
      </c>
      <c r="BN32" s="176" t="e">
        <f t="shared" si="83"/>
        <v>#DIV/0!</v>
      </c>
      <c r="BO32" s="176">
        <f t="shared" si="30"/>
        <v>0</v>
      </c>
    </row>
    <row r="33" spans="1:67" hidden="1">
      <c r="A33" s="280" t="s">
        <v>141</v>
      </c>
      <c r="B33" s="269"/>
      <c r="C33" s="278"/>
      <c r="D33" s="278"/>
      <c r="E33" s="270"/>
      <c r="F33" s="279">
        <f t="shared" si="24"/>
        <v>0</v>
      </c>
      <c r="G33" s="254"/>
      <c r="H33" s="271"/>
      <c r="I33" s="272"/>
      <c r="J33" s="272"/>
      <c r="K33" s="272"/>
      <c r="L33" s="272"/>
      <c r="M33" s="272"/>
      <c r="N33" s="272"/>
      <c r="O33" s="272"/>
      <c r="P33" s="272"/>
      <c r="Q33" s="272"/>
      <c r="R33" s="272"/>
      <c r="S33" s="272"/>
      <c r="T33" s="272"/>
      <c r="U33" s="272"/>
      <c r="V33" s="272"/>
      <c r="W33" s="272"/>
      <c r="X33" s="272"/>
      <c r="Y33" s="272"/>
      <c r="Z33" s="272"/>
      <c r="AA33" s="272"/>
      <c r="AB33" s="272"/>
      <c r="AC33" s="272"/>
      <c r="AD33" s="272"/>
      <c r="AE33" s="272"/>
      <c r="AF33" s="273"/>
      <c r="AG33" s="274">
        <f t="shared" si="25"/>
        <v>0</v>
      </c>
      <c r="AH33" s="275">
        <f t="shared" si="58"/>
        <v>0</v>
      </c>
      <c r="AI33" s="276">
        <f t="shared" si="59"/>
        <v>0</v>
      </c>
      <c r="AJ33" s="276">
        <f t="shared" si="60"/>
        <v>0</v>
      </c>
      <c r="AK33" s="276">
        <f t="shared" si="61"/>
        <v>0</v>
      </c>
      <c r="AL33" s="276">
        <f t="shared" si="62"/>
        <v>0</v>
      </c>
      <c r="AM33" s="276" t="str">
        <f t="shared" si="63"/>
        <v/>
      </c>
      <c r="AN33" s="276" t="str">
        <f t="shared" si="64"/>
        <v/>
      </c>
      <c r="AO33" s="276" t="str">
        <f t="shared" si="65"/>
        <v/>
      </c>
      <c r="AP33" s="276" t="str">
        <f t="shared" si="66"/>
        <v/>
      </c>
      <c r="AQ33" s="276" t="str">
        <f t="shared" si="67"/>
        <v/>
      </c>
      <c r="AR33" s="276" t="str">
        <f t="shared" si="68"/>
        <v/>
      </c>
      <c r="AS33" s="276" t="str">
        <f t="shared" si="69"/>
        <v/>
      </c>
      <c r="AT33" s="276" t="str">
        <f t="shared" si="70"/>
        <v/>
      </c>
      <c r="AU33" s="276" t="str">
        <f t="shared" si="71"/>
        <v/>
      </c>
      <c r="AV33" s="276" t="str">
        <f t="shared" si="72"/>
        <v/>
      </c>
      <c r="AW33" s="276" t="str">
        <f t="shared" si="73"/>
        <v/>
      </c>
      <c r="AX33" s="276" t="str">
        <f t="shared" si="74"/>
        <v/>
      </c>
      <c r="AY33" s="276" t="str">
        <f t="shared" si="75"/>
        <v/>
      </c>
      <c r="AZ33" s="276" t="str">
        <f t="shared" si="76"/>
        <v/>
      </c>
      <c r="BA33" s="276" t="str">
        <f t="shared" si="77"/>
        <v/>
      </c>
      <c r="BB33" s="276" t="str">
        <f t="shared" si="78"/>
        <v/>
      </c>
      <c r="BC33" s="276" t="str">
        <f t="shared" si="79"/>
        <v/>
      </c>
      <c r="BD33" s="276" t="str">
        <f t="shared" si="80"/>
        <v/>
      </c>
      <c r="BE33" s="276" t="str">
        <f t="shared" si="81"/>
        <v/>
      </c>
      <c r="BF33" s="277" t="str">
        <f t="shared" si="82"/>
        <v/>
      </c>
      <c r="BG33" s="142">
        <f t="array" ref="BG33">(SUM( IF(ISERROR(AH33:BF33),"", AH33:BF33)))/time</f>
        <v>0</v>
      </c>
      <c r="BH33" s="142">
        <f t="shared" si="27"/>
        <v>0</v>
      </c>
      <c r="BI33" s="142">
        <v>3</v>
      </c>
      <c r="BJ33" s="143">
        <f t="shared" si="84"/>
        <v>0</v>
      </c>
      <c r="BL33" s="176" t="e">
        <f t="array" ref="BL33">STDEV(IF(AH33:BF33&lt;&gt;0,AH33:BF33))</f>
        <v>#DIV/0!</v>
      </c>
      <c r="BM33" s="176">
        <v>1.96</v>
      </c>
      <c r="BN33" s="176" t="e">
        <f t="shared" si="83"/>
        <v>#DIV/0!</v>
      </c>
      <c r="BO33" s="176">
        <f t="shared" si="30"/>
        <v>0</v>
      </c>
    </row>
    <row r="34" spans="1:67" hidden="1">
      <c r="A34" s="280" t="s">
        <v>142</v>
      </c>
      <c r="B34" s="269"/>
      <c r="C34" s="278"/>
      <c r="D34" s="278"/>
      <c r="E34" s="270"/>
      <c r="F34" s="279">
        <f t="shared" si="24"/>
        <v>0</v>
      </c>
      <c r="G34" s="254"/>
      <c r="H34" s="271"/>
      <c r="I34" s="272"/>
      <c r="J34" s="272"/>
      <c r="K34" s="272"/>
      <c r="L34" s="272"/>
      <c r="M34" s="272"/>
      <c r="N34" s="272"/>
      <c r="O34" s="272"/>
      <c r="P34" s="272"/>
      <c r="Q34" s="272"/>
      <c r="R34" s="272"/>
      <c r="S34" s="272"/>
      <c r="T34" s="272"/>
      <c r="U34" s="272"/>
      <c r="V34" s="272"/>
      <c r="W34" s="272"/>
      <c r="X34" s="272"/>
      <c r="Y34" s="272"/>
      <c r="Z34" s="272"/>
      <c r="AA34" s="272"/>
      <c r="AB34" s="272"/>
      <c r="AC34" s="272"/>
      <c r="AD34" s="272"/>
      <c r="AE34" s="272"/>
      <c r="AF34" s="273"/>
      <c r="AG34" s="274">
        <f t="shared" si="25"/>
        <v>0</v>
      </c>
      <c r="AH34" s="275">
        <f t="shared" si="58"/>
        <v>0</v>
      </c>
      <c r="AI34" s="276">
        <f t="shared" si="59"/>
        <v>0</v>
      </c>
      <c r="AJ34" s="276">
        <f t="shared" si="60"/>
        <v>0</v>
      </c>
      <c r="AK34" s="276">
        <f t="shared" si="61"/>
        <v>0</v>
      </c>
      <c r="AL34" s="276">
        <f t="shared" si="62"/>
        <v>0</v>
      </c>
      <c r="AM34" s="276" t="str">
        <f t="shared" si="63"/>
        <v/>
      </c>
      <c r="AN34" s="276" t="str">
        <f t="shared" si="64"/>
        <v/>
      </c>
      <c r="AO34" s="276" t="str">
        <f t="shared" si="65"/>
        <v/>
      </c>
      <c r="AP34" s="276" t="str">
        <f t="shared" si="66"/>
        <v/>
      </c>
      <c r="AQ34" s="276" t="str">
        <f t="shared" si="67"/>
        <v/>
      </c>
      <c r="AR34" s="276" t="str">
        <f t="shared" si="68"/>
        <v/>
      </c>
      <c r="AS34" s="276" t="str">
        <f t="shared" si="69"/>
        <v/>
      </c>
      <c r="AT34" s="276" t="str">
        <f t="shared" si="70"/>
        <v/>
      </c>
      <c r="AU34" s="276" t="str">
        <f t="shared" si="71"/>
        <v/>
      </c>
      <c r="AV34" s="276" t="str">
        <f t="shared" si="72"/>
        <v/>
      </c>
      <c r="AW34" s="276" t="str">
        <f t="shared" si="73"/>
        <v/>
      </c>
      <c r="AX34" s="276" t="str">
        <f t="shared" si="74"/>
        <v/>
      </c>
      <c r="AY34" s="276" t="str">
        <f t="shared" si="75"/>
        <v/>
      </c>
      <c r="AZ34" s="276" t="str">
        <f t="shared" si="76"/>
        <v/>
      </c>
      <c r="BA34" s="276" t="str">
        <f t="shared" si="77"/>
        <v/>
      </c>
      <c r="BB34" s="276" t="str">
        <f t="shared" si="78"/>
        <v/>
      </c>
      <c r="BC34" s="276" t="str">
        <f t="shared" si="79"/>
        <v/>
      </c>
      <c r="BD34" s="276" t="str">
        <f t="shared" si="80"/>
        <v/>
      </c>
      <c r="BE34" s="276" t="str">
        <f t="shared" si="81"/>
        <v/>
      </c>
      <c r="BF34" s="277" t="str">
        <f t="shared" si="82"/>
        <v/>
      </c>
      <c r="BG34" s="142">
        <f t="array" ref="BG34">(SUM( IF(ISERROR(AH34:BF34),"", AH34:BF34)))/time</f>
        <v>0</v>
      </c>
      <c r="BH34" s="142">
        <f t="shared" si="27"/>
        <v>0</v>
      </c>
      <c r="BI34" s="142">
        <v>4</v>
      </c>
      <c r="BJ34" s="143">
        <f t="shared" si="84"/>
        <v>0</v>
      </c>
      <c r="BL34" s="176" t="e">
        <f t="array" ref="BL34">STDEV(IF(AH34:BF34&lt;&gt;0,AH34:BF34))</f>
        <v>#DIV/0!</v>
      </c>
      <c r="BM34" s="176">
        <v>1.96</v>
      </c>
      <c r="BN34" s="176" t="e">
        <f t="shared" si="83"/>
        <v>#DIV/0!</v>
      </c>
      <c r="BO34" s="176">
        <f t="shared" si="30"/>
        <v>0</v>
      </c>
    </row>
    <row r="35" spans="1:67" hidden="1">
      <c r="A35" s="280" t="s">
        <v>143</v>
      </c>
      <c r="B35" s="269"/>
      <c r="C35" s="278"/>
      <c r="D35" s="278"/>
      <c r="E35" s="270"/>
      <c r="F35" s="279">
        <f t="shared" si="24"/>
        <v>0</v>
      </c>
      <c r="G35" s="254"/>
      <c r="H35" s="271"/>
      <c r="I35" s="272"/>
      <c r="J35" s="272"/>
      <c r="K35" s="272"/>
      <c r="L35" s="272"/>
      <c r="M35" s="272"/>
      <c r="N35" s="272"/>
      <c r="O35" s="272"/>
      <c r="P35" s="272"/>
      <c r="Q35" s="272"/>
      <c r="R35" s="272"/>
      <c r="S35" s="272"/>
      <c r="T35" s="272"/>
      <c r="U35" s="272"/>
      <c r="V35" s="272"/>
      <c r="W35" s="272"/>
      <c r="X35" s="272"/>
      <c r="Y35" s="272"/>
      <c r="Z35" s="272"/>
      <c r="AA35" s="272"/>
      <c r="AB35" s="272"/>
      <c r="AC35" s="272"/>
      <c r="AD35" s="272"/>
      <c r="AE35" s="272"/>
      <c r="AF35" s="273"/>
      <c r="AG35" s="274">
        <f t="shared" si="25"/>
        <v>0</v>
      </c>
      <c r="AH35" s="275">
        <f t="shared" si="58"/>
        <v>0</v>
      </c>
      <c r="AI35" s="276">
        <f t="shared" si="59"/>
        <v>0</v>
      </c>
      <c r="AJ35" s="276">
        <f t="shared" si="60"/>
        <v>0</v>
      </c>
      <c r="AK35" s="276">
        <f t="shared" si="61"/>
        <v>0</v>
      </c>
      <c r="AL35" s="276">
        <f t="shared" si="62"/>
        <v>0</v>
      </c>
      <c r="AM35" s="276" t="str">
        <f t="shared" si="63"/>
        <v/>
      </c>
      <c r="AN35" s="276" t="str">
        <f t="shared" si="64"/>
        <v/>
      </c>
      <c r="AO35" s="276" t="str">
        <f t="shared" si="65"/>
        <v/>
      </c>
      <c r="AP35" s="276" t="str">
        <f t="shared" si="66"/>
        <v/>
      </c>
      <c r="AQ35" s="276" t="str">
        <f t="shared" si="67"/>
        <v/>
      </c>
      <c r="AR35" s="276" t="str">
        <f t="shared" si="68"/>
        <v/>
      </c>
      <c r="AS35" s="276" t="str">
        <f t="shared" si="69"/>
        <v/>
      </c>
      <c r="AT35" s="276" t="str">
        <f t="shared" si="70"/>
        <v/>
      </c>
      <c r="AU35" s="276" t="str">
        <f t="shared" si="71"/>
        <v/>
      </c>
      <c r="AV35" s="276" t="str">
        <f t="shared" si="72"/>
        <v/>
      </c>
      <c r="AW35" s="276" t="str">
        <f t="shared" si="73"/>
        <v/>
      </c>
      <c r="AX35" s="276" t="str">
        <f t="shared" si="74"/>
        <v/>
      </c>
      <c r="AY35" s="276" t="str">
        <f t="shared" si="75"/>
        <v/>
      </c>
      <c r="AZ35" s="276" t="str">
        <f t="shared" si="76"/>
        <v/>
      </c>
      <c r="BA35" s="276" t="str">
        <f t="shared" si="77"/>
        <v/>
      </c>
      <c r="BB35" s="276" t="str">
        <f t="shared" si="78"/>
        <v/>
      </c>
      <c r="BC35" s="276" t="str">
        <f t="shared" si="79"/>
        <v/>
      </c>
      <c r="BD35" s="276" t="str">
        <f t="shared" si="80"/>
        <v/>
      </c>
      <c r="BE35" s="276" t="str">
        <f t="shared" si="81"/>
        <v/>
      </c>
      <c r="BF35" s="277" t="str">
        <f t="shared" si="82"/>
        <v/>
      </c>
      <c r="BG35" s="142">
        <f t="array" ref="BG35">(SUM( IF(ISERROR(AH35:BF35),"", AH35:BF35)))/time</f>
        <v>0</v>
      </c>
      <c r="BH35" s="142">
        <f t="shared" si="27"/>
        <v>0</v>
      </c>
      <c r="BI35" s="142">
        <v>5</v>
      </c>
      <c r="BJ35" s="143">
        <f t="shared" si="84"/>
        <v>0</v>
      </c>
      <c r="BL35" s="176" t="e">
        <f t="array" ref="BL35">STDEV(IF(AH35:BF35&lt;&gt;0,AH35:BF35))</f>
        <v>#DIV/0!</v>
      </c>
      <c r="BM35" s="176">
        <v>1.96</v>
      </c>
      <c r="BN35" s="176" t="e">
        <f t="shared" si="83"/>
        <v>#DIV/0!</v>
      </c>
      <c r="BO35" s="176">
        <f t="shared" si="30"/>
        <v>0</v>
      </c>
    </row>
    <row r="36" spans="1:67" hidden="1">
      <c r="A36" s="280" t="s">
        <v>144</v>
      </c>
      <c r="B36" s="269"/>
      <c r="C36" s="278"/>
      <c r="D36" s="278"/>
      <c r="E36" s="270"/>
      <c r="F36" s="279">
        <f t="shared" si="24"/>
        <v>0</v>
      </c>
      <c r="G36" s="254"/>
      <c r="H36" s="271"/>
      <c r="I36" s="272"/>
      <c r="J36" s="272"/>
      <c r="K36" s="272"/>
      <c r="L36" s="272"/>
      <c r="M36" s="272"/>
      <c r="N36" s="272"/>
      <c r="O36" s="272"/>
      <c r="P36" s="272"/>
      <c r="Q36" s="272"/>
      <c r="R36" s="272"/>
      <c r="S36" s="272"/>
      <c r="T36" s="272"/>
      <c r="U36" s="272"/>
      <c r="V36" s="272"/>
      <c r="W36" s="272"/>
      <c r="X36" s="272"/>
      <c r="Y36" s="272"/>
      <c r="Z36" s="272"/>
      <c r="AA36" s="272"/>
      <c r="AB36" s="272"/>
      <c r="AC36" s="272"/>
      <c r="AD36" s="272"/>
      <c r="AE36" s="272"/>
      <c r="AF36" s="273"/>
      <c r="AG36" s="274">
        <f t="shared" si="25"/>
        <v>0</v>
      </c>
      <c r="AH36" s="275">
        <f t="shared" si="58"/>
        <v>0</v>
      </c>
      <c r="AI36" s="276">
        <f t="shared" si="59"/>
        <v>0</v>
      </c>
      <c r="AJ36" s="276">
        <f t="shared" si="60"/>
        <v>0</v>
      </c>
      <c r="AK36" s="276">
        <f t="shared" si="61"/>
        <v>0</v>
      </c>
      <c r="AL36" s="276">
        <f t="shared" si="62"/>
        <v>0</v>
      </c>
      <c r="AM36" s="276" t="str">
        <f t="shared" si="63"/>
        <v/>
      </c>
      <c r="AN36" s="276" t="str">
        <f t="shared" si="64"/>
        <v/>
      </c>
      <c r="AO36" s="276" t="str">
        <f t="shared" si="65"/>
        <v/>
      </c>
      <c r="AP36" s="276" t="str">
        <f t="shared" si="66"/>
        <v/>
      </c>
      <c r="AQ36" s="276" t="str">
        <f t="shared" si="67"/>
        <v/>
      </c>
      <c r="AR36" s="276" t="str">
        <f t="shared" si="68"/>
        <v/>
      </c>
      <c r="AS36" s="276" t="str">
        <f t="shared" si="69"/>
        <v/>
      </c>
      <c r="AT36" s="276" t="str">
        <f t="shared" si="70"/>
        <v/>
      </c>
      <c r="AU36" s="276" t="str">
        <f t="shared" si="71"/>
        <v/>
      </c>
      <c r="AV36" s="276" t="str">
        <f t="shared" si="72"/>
        <v/>
      </c>
      <c r="AW36" s="276" t="str">
        <f t="shared" si="73"/>
        <v/>
      </c>
      <c r="AX36" s="276" t="str">
        <f t="shared" si="74"/>
        <v/>
      </c>
      <c r="AY36" s="276" t="str">
        <f t="shared" si="75"/>
        <v/>
      </c>
      <c r="AZ36" s="276" t="str">
        <f t="shared" si="76"/>
        <v/>
      </c>
      <c r="BA36" s="276" t="str">
        <f t="shared" si="77"/>
        <v/>
      </c>
      <c r="BB36" s="276" t="str">
        <f t="shared" si="78"/>
        <v/>
      </c>
      <c r="BC36" s="276" t="str">
        <f t="shared" si="79"/>
        <v/>
      </c>
      <c r="BD36" s="276" t="str">
        <f t="shared" si="80"/>
        <v/>
      </c>
      <c r="BE36" s="276" t="str">
        <f t="shared" si="81"/>
        <v/>
      </c>
      <c r="BF36" s="277" t="str">
        <f t="shared" si="82"/>
        <v/>
      </c>
      <c r="BG36" s="142">
        <f t="array" ref="BG36">(SUM( IF(ISERROR(AH36:BF36),"", AH36:BF36)))/time</f>
        <v>0</v>
      </c>
      <c r="BH36" s="142">
        <f t="shared" si="27"/>
        <v>0</v>
      </c>
      <c r="BI36" s="142">
        <v>6</v>
      </c>
      <c r="BJ36" s="143">
        <f t="shared" si="84"/>
        <v>0</v>
      </c>
      <c r="BL36" s="176" t="e">
        <f t="array" ref="BL36">STDEV(IF(AH36:BF36&lt;&gt;0,AH36:BF36))</f>
        <v>#DIV/0!</v>
      </c>
      <c r="BM36" s="176">
        <v>1.96</v>
      </c>
      <c r="BN36" s="176" t="e">
        <f t="shared" si="83"/>
        <v>#DIV/0!</v>
      </c>
      <c r="BO36" s="176">
        <f t="shared" si="30"/>
        <v>0</v>
      </c>
    </row>
    <row r="37" spans="1:67" hidden="1">
      <c r="A37" s="280" t="s">
        <v>145</v>
      </c>
      <c r="B37" s="269"/>
      <c r="C37" s="278"/>
      <c r="D37" s="278"/>
      <c r="E37" s="270"/>
      <c r="F37" s="279">
        <f t="shared" si="24"/>
        <v>0</v>
      </c>
      <c r="G37" s="254"/>
      <c r="H37" s="271"/>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3"/>
      <c r="AG37" s="274">
        <f t="shared" si="25"/>
        <v>0</v>
      </c>
      <c r="AH37" s="275">
        <f t="shared" si="58"/>
        <v>0</v>
      </c>
      <c r="AI37" s="276">
        <f t="shared" si="59"/>
        <v>0</v>
      </c>
      <c r="AJ37" s="276">
        <f t="shared" si="60"/>
        <v>0</v>
      </c>
      <c r="AK37" s="276">
        <f t="shared" si="61"/>
        <v>0</v>
      </c>
      <c r="AL37" s="276">
        <f t="shared" si="62"/>
        <v>0</v>
      </c>
      <c r="AM37" s="276" t="str">
        <f t="shared" si="63"/>
        <v/>
      </c>
      <c r="AN37" s="276" t="str">
        <f t="shared" si="64"/>
        <v/>
      </c>
      <c r="AO37" s="276" t="str">
        <f t="shared" si="65"/>
        <v/>
      </c>
      <c r="AP37" s="276" t="str">
        <f t="shared" si="66"/>
        <v/>
      </c>
      <c r="AQ37" s="276" t="str">
        <f t="shared" si="67"/>
        <v/>
      </c>
      <c r="AR37" s="276" t="str">
        <f t="shared" si="68"/>
        <v/>
      </c>
      <c r="AS37" s="276" t="str">
        <f t="shared" si="69"/>
        <v/>
      </c>
      <c r="AT37" s="276" t="str">
        <f t="shared" si="70"/>
        <v/>
      </c>
      <c r="AU37" s="276" t="str">
        <f t="shared" si="71"/>
        <v/>
      </c>
      <c r="AV37" s="276" t="str">
        <f t="shared" si="72"/>
        <v/>
      </c>
      <c r="AW37" s="276" t="str">
        <f t="shared" si="73"/>
        <v/>
      </c>
      <c r="AX37" s="276" t="str">
        <f t="shared" si="74"/>
        <v/>
      </c>
      <c r="AY37" s="276" t="str">
        <f t="shared" si="75"/>
        <v/>
      </c>
      <c r="AZ37" s="276" t="str">
        <f t="shared" si="76"/>
        <v/>
      </c>
      <c r="BA37" s="276" t="str">
        <f t="shared" si="77"/>
        <v/>
      </c>
      <c r="BB37" s="276" t="str">
        <f t="shared" si="78"/>
        <v/>
      </c>
      <c r="BC37" s="276" t="str">
        <f t="shared" si="79"/>
        <v/>
      </c>
      <c r="BD37" s="276" t="str">
        <f t="shared" si="80"/>
        <v/>
      </c>
      <c r="BE37" s="276" t="str">
        <f t="shared" si="81"/>
        <v/>
      </c>
      <c r="BF37" s="277" t="str">
        <f t="shared" si="82"/>
        <v/>
      </c>
      <c r="BG37" s="142">
        <f t="array" ref="BG37">(SUM( IF(ISERROR(AH37:BF37),"", AH37:BF37)))/time</f>
        <v>0</v>
      </c>
      <c r="BH37" s="142">
        <f t="shared" si="27"/>
        <v>0</v>
      </c>
      <c r="BI37" s="142">
        <v>7</v>
      </c>
      <c r="BJ37" s="143">
        <f t="shared" si="84"/>
        <v>0</v>
      </c>
      <c r="BL37" s="176" t="e">
        <f t="array" ref="BL37">STDEV(IF(AH37:BF37&lt;&gt;0,AH37:BF37))</f>
        <v>#DIV/0!</v>
      </c>
      <c r="BM37" s="176">
        <v>1.96</v>
      </c>
      <c r="BN37" s="176" t="e">
        <f t="shared" si="83"/>
        <v>#DIV/0!</v>
      </c>
      <c r="BO37" s="176">
        <f t="shared" si="30"/>
        <v>0</v>
      </c>
    </row>
    <row r="38" spans="1:67" hidden="1">
      <c r="A38" s="280" t="s">
        <v>146</v>
      </c>
      <c r="B38" s="269"/>
      <c r="C38" s="278"/>
      <c r="D38" s="278"/>
      <c r="E38" s="270"/>
      <c r="F38" s="279">
        <f t="shared" si="24"/>
        <v>0</v>
      </c>
      <c r="G38" s="254"/>
      <c r="H38" s="271"/>
      <c r="I38" s="272"/>
      <c r="J38" s="272"/>
      <c r="K38" s="272"/>
      <c r="L38" s="272"/>
      <c r="M38" s="272"/>
      <c r="N38" s="272"/>
      <c r="O38" s="272"/>
      <c r="P38" s="272"/>
      <c r="Q38" s="272"/>
      <c r="R38" s="272"/>
      <c r="S38" s="272"/>
      <c r="T38" s="272"/>
      <c r="U38" s="272"/>
      <c r="V38" s="272"/>
      <c r="W38" s="272"/>
      <c r="X38" s="272"/>
      <c r="Y38" s="272"/>
      <c r="Z38" s="272"/>
      <c r="AA38" s="272"/>
      <c r="AB38" s="272"/>
      <c r="AC38" s="272"/>
      <c r="AD38" s="272"/>
      <c r="AE38" s="272"/>
      <c r="AF38" s="273"/>
      <c r="AG38" s="274">
        <f t="shared" si="25"/>
        <v>0</v>
      </c>
      <c r="AH38" s="275">
        <f t="shared" si="58"/>
        <v>0</v>
      </c>
      <c r="AI38" s="276">
        <f t="shared" si="59"/>
        <v>0</v>
      </c>
      <c r="AJ38" s="276">
        <f t="shared" si="60"/>
        <v>0</v>
      </c>
      <c r="AK38" s="276">
        <f t="shared" si="61"/>
        <v>0</v>
      </c>
      <c r="AL38" s="276">
        <f t="shared" si="62"/>
        <v>0</v>
      </c>
      <c r="AM38" s="276" t="str">
        <f t="shared" si="63"/>
        <v/>
      </c>
      <c r="AN38" s="276" t="str">
        <f t="shared" si="64"/>
        <v/>
      </c>
      <c r="AO38" s="276" t="str">
        <f t="shared" si="65"/>
        <v/>
      </c>
      <c r="AP38" s="276" t="str">
        <f t="shared" si="66"/>
        <v/>
      </c>
      <c r="AQ38" s="276" t="str">
        <f t="shared" si="67"/>
        <v/>
      </c>
      <c r="AR38" s="276" t="str">
        <f t="shared" si="68"/>
        <v/>
      </c>
      <c r="AS38" s="276" t="str">
        <f t="shared" si="69"/>
        <v/>
      </c>
      <c r="AT38" s="276" t="str">
        <f t="shared" si="70"/>
        <v/>
      </c>
      <c r="AU38" s="276" t="str">
        <f t="shared" si="71"/>
        <v/>
      </c>
      <c r="AV38" s="276" t="str">
        <f t="shared" si="72"/>
        <v/>
      </c>
      <c r="AW38" s="276" t="str">
        <f t="shared" si="73"/>
        <v/>
      </c>
      <c r="AX38" s="276" t="str">
        <f t="shared" si="74"/>
        <v/>
      </c>
      <c r="AY38" s="276" t="str">
        <f t="shared" si="75"/>
        <v/>
      </c>
      <c r="AZ38" s="276" t="str">
        <f t="shared" si="76"/>
        <v/>
      </c>
      <c r="BA38" s="276" t="str">
        <f t="shared" si="77"/>
        <v/>
      </c>
      <c r="BB38" s="276" t="str">
        <f t="shared" si="78"/>
        <v/>
      </c>
      <c r="BC38" s="276" t="str">
        <f t="shared" si="79"/>
        <v/>
      </c>
      <c r="BD38" s="276" t="str">
        <f t="shared" si="80"/>
        <v/>
      </c>
      <c r="BE38" s="276" t="str">
        <f t="shared" si="81"/>
        <v/>
      </c>
      <c r="BF38" s="277" t="str">
        <f t="shared" si="82"/>
        <v/>
      </c>
      <c r="BG38" s="142">
        <f t="array" ref="BG38">(SUM( IF(ISERROR(AH38:BF38),"", AH38:BF38)))/time</f>
        <v>0</v>
      </c>
      <c r="BH38" s="142">
        <f t="shared" si="27"/>
        <v>0</v>
      </c>
      <c r="BI38" s="142">
        <v>8</v>
      </c>
      <c r="BJ38" s="143">
        <f t="shared" si="84"/>
        <v>0</v>
      </c>
      <c r="BL38" s="176" t="e">
        <f t="array" ref="BL38">STDEV(IF(AH38:BF38&lt;&gt;0,AH38:BF38))</f>
        <v>#DIV/0!</v>
      </c>
      <c r="BM38" s="176">
        <v>1.96</v>
      </c>
      <c r="BN38" s="176" t="e">
        <f t="shared" si="83"/>
        <v>#DIV/0!</v>
      </c>
      <c r="BO38" s="176">
        <f t="shared" si="30"/>
        <v>0</v>
      </c>
    </row>
    <row r="39" spans="1:67" hidden="1">
      <c r="A39" s="280" t="s">
        <v>147</v>
      </c>
      <c r="B39" s="269"/>
      <c r="C39" s="278"/>
      <c r="D39" s="278"/>
      <c r="E39" s="270"/>
      <c r="F39" s="279">
        <f t="shared" si="24"/>
        <v>0</v>
      </c>
      <c r="G39" s="254"/>
      <c r="H39" s="271"/>
      <c r="I39" s="272"/>
      <c r="J39" s="272"/>
      <c r="K39" s="272"/>
      <c r="L39" s="272"/>
      <c r="M39" s="272"/>
      <c r="N39" s="272"/>
      <c r="O39" s="272"/>
      <c r="P39" s="272"/>
      <c r="Q39" s="272"/>
      <c r="R39" s="272"/>
      <c r="S39" s="272"/>
      <c r="T39" s="272"/>
      <c r="U39" s="272"/>
      <c r="V39" s="272"/>
      <c r="W39" s="272"/>
      <c r="X39" s="272"/>
      <c r="Y39" s="272"/>
      <c r="Z39" s="272"/>
      <c r="AA39" s="272"/>
      <c r="AB39" s="272"/>
      <c r="AC39" s="272"/>
      <c r="AD39" s="272"/>
      <c r="AE39" s="272"/>
      <c r="AF39" s="273"/>
      <c r="AG39" s="274">
        <f t="shared" si="25"/>
        <v>0</v>
      </c>
      <c r="AH39" s="275">
        <f t="shared" si="58"/>
        <v>0</v>
      </c>
      <c r="AI39" s="276">
        <f t="shared" si="59"/>
        <v>0</v>
      </c>
      <c r="AJ39" s="276">
        <f t="shared" si="60"/>
        <v>0</v>
      </c>
      <c r="AK39" s="276">
        <f t="shared" si="61"/>
        <v>0</v>
      </c>
      <c r="AL39" s="276">
        <f t="shared" si="62"/>
        <v>0</v>
      </c>
      <c r="AM39" s="276" t="str">
        <f t="shared" si="63"/>
        <v/>
      </c>
      <c r="AN39" s="276" t="str">
        <f t="shared" si="64"/>
        <v/>
      </c>
      <c r="AO39" s="276" t="str">
        <f t="shared" si="65"/>
        <v/>
      </c>
      <c r="AP39" s="276" t="str">
        <f t="shared" si="66"/>
        <v/>
      </c>
      <c r="AQ39" s="276" t="str">
        <f t="shared" si="67"/>
        <v/>
      </c>
      <c r="AR39" s="276" t="str">
        <f t="shared" si="68"/>
        <v/>
      </c>
      <c r="AS39" s="276" t="str">
        <f t="shared" si="69"/>
        <v/>
      </c>
      <c r="AT39" s="276" t="str">
        <f t="shared" si="70"/>
        <v/>
      </c>
      <c r="AU39" s="276" t="str">
        <f t="shared" si="71"/>
        <v/>
      </c>
      <c r="AV39" s="276" t="str">
        <f t="shared" si="72"/>
        <v/>
      </c>
      <c r="AW39" s="276" t="str">
        <f t="shared" si="73"/>
        <v/>
      </c>
      <c r="AX39" s="276" t="str">
        <f t="shared" si="74"/>
        <v/>
      </c>
      <c r="AY39" s="276" t="str">
        <f t="shared" si="75"/>
        <v/>
      </c>
      <c r="AZ39" s="276" t="str">
        <f t="shared" si="76"/>
        <v/>
      </c>
      <c r="BA39" s="276" t="str">
        <f t="shared" si="77"/>
        <v/>
      </c>
      <c r="BB39" s="276" t="str">
        <f t="shared" si="78"/>
        <v/>
      </c>
      <c r="BC39" s="276" t="str">
        <f t="shared" si="79"/>
        <v/>
      </c>
      <c r="BD39" s="276" t="str">
        <f t="shared" si="80"/>
        <v/>
      </c>
      <c r="BE39" s="276" t="str">
        <f t="shared" si="81"/>
        <v/>
      </c>
      <c r="BF39" s="277" t="str">
        <f t="shared" si="82"/>
        <v/>
      </c>
      <c r="BG39" s="142">
        <f t="array" ref="BG39">(SUM( IF(ISERROR(AH39:BF39),"", AH39:BF39)))/time</f>
        <v>0</v>
      </c>
      <c r="BH39" s="142">
        <f t="shared" si="27"/>
        <v>0</v>
      </c>
      <c r="BI39" s="142">
        <v>9</v>
      </c>
      <c r="BJ39" s="143">
        <f t="shared" si="84"/>
        <v>0</v>
      </c>
      <c r="BL39" s="176" t="e">
        <f t="array" ref="BL39">STDEV(IF(AH39:BF39&lt;&gt;0,AH39:BF39))</f>
        <v>#DIV/0!</v>
      </c>
      <c r="BM39" s="176">
        <v>1.96</v>
      </c>
      <c r="BN39" s="176" t="e">
        <f t="shared" si="83"/>
        <v>#DIV/0!</v>
      </c>
      <c r="BO39" s="176">
        <f t="shared" si="30"/>
        <v>0</v>
      </c>
    </row>
    <row r="40" spans="1:67" hidden="1">
      <c r="A40" s="280" t="s">
        <v>148</v>
      </c>
      <c r="B40" s="269"/>
      <c r="C40" s="278"/>
      <c r="D40" s="278"/>
      <c r="E40" s="270"/>
      <c r="F40" s="279">
        <f t="shared" si="24"/>
        <v>0</v>
      </c>
      <c r="G40" s="254"/>
      <c r="H40" s="271"/>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3"/>
      <c r="AG40" s="274">
        <f t="shared" si="25"/>
        <v>0</v>
      </c>
      <c r="AH40" s="275">
        <f t="shared" si="58"/>
        <v>0</v>
      </c>
      <c r="AI40" s="276">
        <f t="shared" si="59"/>
        <v>0</v>
      </c>
      <c r="AJ40" s="276">
        <f t="shared" si="60"/>
        <v>0</v>
      </c>
      <c r="AK40" s="276">
        <f t="shared" si="61"/>
        <v>0</v>
      </c>
      <c r="AL40" s="276">
        <f t="shared" si="62"/>
        <v>0</v>
      </c>
      <c r="AM40" s="276" t="str">
        <f t="shared" si="63"/>
        <v/>
      </c>
      <c r="AN40" s="276" t="str">
        <f t="shared" si="64"/>
        <v/>
      </c>
      <c r="AO40" s="276" t="str">
        <f t="shared" si="65"/>
        <v/>
      </c>
      <c r="AP40" s="276" t="str">
        <f t="shared" si="66"/>
        <v/>
      </c>
      <c r="AQ40" s="276" t="str">
        <f t="shared" si="67"/>
        <v/>
      </c>
      <c r="AR40" s="276" t="str">
        <f t="shared" si="68"/>
        <v/>
      </c>
      <c r="AS40" s="276" t="str">
        <f t="shared" si="69"/>
        <v/>
      </c>
      <c r="AT40" s="276" t="str">
        <f t="shared" si="70"/>
        <v/>
      </c>
      <c r="AU40" s="276" t="str">
        <f t="shared" si="71"/>
        <v/>
      </c>
      <c r="AV40" s="276" t="str">
        <f t="shared" si="72"/>
        <v/>
      </c>
      <c r="AW40" s="276" t="str">
        <f t="shared" si="73"/>
        <v/>
      </c>
      <c r="AX40" s="276" t="str">
        <f t="shared" si="74"/>
        <v/>
      </c>
      <c r="AY40" s="276" t="str">
        <f t="shared" si="75"/>
        <v/>
      </c>
      <c r="AZ40" s="276" t="str">
        <f t="shared" si="76"/>
        <v/>
      </c>
      <c r="BA40" s="276" t="str">
        <f t="shared" si="77"/>
        <v/>
      </c>
      <c r="BB40" s="276" t="str">
        <f t="shared" si="78"/>
        <v/>
      </c>
      <c r="BC40" s="276" t="str">
        <f t="shared" si="79"/>
        <v/>
      </c>
      <c r="BD40" s="276" t="str">
        <f t="shared" si="80"/>
        <v/>
      </c>
      <c r="BE40" s="276" t="str">
        <f t="shared" si="81"/>
        <v/>
      </c>
      <c r="BF40" s="277" t="str">
        <f t="shared" si="82"/>
        <v/>
      </c>
      <c r="BG40" s="142">
        <f t="array" ref="BG40">(SUM( IF(ISERROR(AH40:BF40),"", AH40:BF40)))/time</f>
        <v>0</v>
      </c>
      <c r="BH40" s="142">
        <f t="shared" si="27"/>
        <v>0</v>
      </c>
      <c r="BI40" s="142">
        <v>10</v>
      </c>
      <c r="BJ40" s="143">
        <f t="shared" si="84"/>
        <v>0</v>
      </c>
      <c r="BL40" s="176" t="e">
        <f t="array" ref="BL40">STDEV(IF(AH40:BF40&lt;&gt;0,AH40:BF40))</f>
        <v>#DIV/0!</v>
      </c>
      <c r="BM40" s="176">
        <v>1.96</v>
      </c>
      <c r="BN40" s="176" t="e">
        <f t="shared" si="83"/>
        <v>#DIV/0!</v>
      </c>
      <c r="BO40" s="176">
        <f t="shared" si="30"/>
        <v>0</v>
      </c>
    </row>
    <row r="41" spans="1:67" s="196" customFormat="1">
      <c r="A41" s="293"/>
      <c r="B41" s="294"/>
      <c r="C41" s="294"/>
      <c r="D41" s="294"/>
      <c r="E41" s="294"/>
      <c r="F41" s="295"/>
      <c r="G41" s="294"/>
      <c r="H41" s="293"/>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6"/>
      <c r="AH41" s="293"/>
      <c r="AI41" s="294"/>
      <c r="AJ41" s="294"/>
      <c r="AK41" s="294"/>
      <c r="AL41" s="294"/>
      <c r="AM41" s="294"/>
      <c r="AN41" s="294"/>
      <c r="AO41" s="294"/>
      <c r="AP41" s="294"/>
      <c r="AQ41" s="294"/>
      <c r="AR41" s="294"/>
      <c r="AS41" s="294"/>
      <c r="AT41" s="294"/>
      <c r="AU41" s="294"/>
      <c r="AV41" s="294"/>
      <c r="AW41" s="294"/>
      <c r="AX41" s="294"/>
      <c r="AY41" s="294"/>
      <c r="AZ41" s="294"/>
      <c r="BA41" s="294"/>
      <c r="BB41" s="294"/>
      <c r="BC41" s="294"/>
      <c r="BD41" s="294"/>
      <c r="BE41" s="294"/>
      <c r="BF41" s="294"/>
      <c r="BG41" s="294"/>
      <c r="BH41" s="294"/>
      <c r="BI41" s="294"/>
      <c r="BJ41" s="295"/>
    </row>
    <row r="42" spans="1:67" s="196" customFormat="1">
      <c r="A42" s="297" t="s">
        <v>8</v>
      </c>
      <c r="B42" s="298"/>
      <c r="C42" s="298"/>
      <c r="D42" s="298"/>
      <c r="E42" s="298"/>
      <c r="F42" s="299"/>
      <c r="H42" s="297"/>
      <c r="I42" s="298"/>
      <c r="J42" s="298"/>
      <c r="K42" s="298"/>
      <c r="L42" s="298"/>
      <c r="M42" s="298"/>
      <c r="N42" s="298"/>
      <c r="O42" s="298"/>
      <c r="P42" s="298"/>
      <c r="Q42" s="298"/>
      <c r="R42" s="298"/>
      <c r="S42" s="298"/>
      <c r="T42" s="298"/>
      <c r="U42" s="298"/>
      <c r="V42" s="298"/>
      <c r="W42" s="298"/>
      <c r="X42" s="298"/>
      <c r="Y42" s="298"/>
      <c r="Z42" s="298"/>
      <c r="AA42" s="298"/>
      <c r="AB42" s="298"/>
      <c r="AC42" s="298"/>
      <c r="AD42" s="298"/>
      <c r="AE42" s="298"/>
      <c r="AF42" s="298"/>
      <c r="AG42" s="300"/>
      <c r="AH42" s="297"/>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9"/>
    </row>
    <row r="43" spans="1:67" s="196" customFormat="1">
      <c r="A43" s="290" t="s">
        <v>280</v>
      </c>
      <c r="F43" s="203"/>
      <c r="H43" s="202"/>
      <c r="AG43" s="291"/>
      <c r="AH43" s="202"/>
      <c r="BJ43" s="203"/>
    </row>
    <row r="44" spans="1:67" s="196" customFormat="1">
      <c r="A44" s="292" t="s">
        <v>14</v>
      </c>
      <c r="F44" s="203"/>
      <c r="H44" s="202"/>
      <c r="AG44" s="291"/>
      <c r="AH44" s="202"/>
      <c r="BJ44" s="203"/>
    </row>
    <row r="45" spans="1:67">
      <c r="A45" s="848" t="s">
        <v>715</v>
      </c>
      <c r="B45" s="849">
        <f>HLOOKUP(A45,RJ_pathway!$I$39:L45,MATCH("Total",RJ_pathway!$A$39:$A$45,0),0)</f>
        <v>176.43242239999998</v>
      </c>
      <c r="C45" s="845"/>
      <c r="D45" s="845" t="s">
        <v>493</v>
      </c>
      <c r="E45" s="847"/>
      <c r="F45" s="850">
        <f t="shared" si="24"/>
        <v>176.43242239999998</v>
      </c>
      <c r="G45" s="254"/>
      <c r="H45" s="842">
        <v>1</v>
      </c>
      <c r="I45" s="843">
        <v>0</v>
      </c>
      <c r="J45" s="843">
        <v>0</v>
      </c>
      <c r="K45" s="843">
        <v>0</v>
      </c>
      <c r="L45" s="843">
        <v>0</v>
      </c>
      <c r="M45" s="272">
        <v>0</v>
      </c>
      <c r="N45" s="272">
        <v>0</v>
      </c>
      <c r="O45" s="272">
        <v>0</v>
      </c>
      <c r="P45" s="272">
        <v>0</v>
      </c>
      <c r="Q45" s="272">
        <v>0</v>
      </c>
      <c r="R45" s="272">
        <v>0</v>
      </c>
      <c r="S45" s="272">
        <v>0</v>
      </c>
      <c r="T45" s="272">
        <v>0</v>
      </c>
      <c r="U45" s="272">
        <v>0</v>
      </c>
      <c r="V45" s="272">
        <v>0</v>
      </c>
      <c r="W45" s="272">
        <v>0</v>
      </c>
      <c r="X45" s="272">
        <v>0</v>
      </c>
      <c r="Y45" s="272">
        <v>0</v>
      </c>
      <c r="Z45" s="272">
        <v>0</v>
      </c>
      <c r="AA45" s="272">
        <v>0</v>
      </c>
      <c r="AB45" s="272">
        <v>0</v>
      </c>
      <c r="AC45" s="272">
        <v>0</v>
      </c>
      <c r="AD45" s="272">
        <v>0</v>
      </c>
      <c r="AE45" s="272">
        <v>0</v>
      </c>
      <c r="AF45" s="272">
        <v>0</v>
      </c>
      <c r="AG45" s="274">
        <f t="shared" si="25"/>
        <v>1</v>
      </c>
      <c r="AH45" s="727">
        <f t="shared" ref="AH45:AH54" si="85">IF(AH$225&lt;=time,H45*$F45,"")</f>
        <v>176.43242239999998</v>
      </c>
      <c r="AI45" s="276">
        <f t="shared" ref="AI45:AI54" si="86">IF(AI$225&lt;=time,I45*$F45,"")</f>
        <v>0</v>
      </c>
      <c r="AJ45" s="276">
        <f t="shared" ref="AJ45:AJ54" si="87">IF(AJ$225&lt;=time,J45*$F45,"")</f>
        <v>0</v>
      </c>
      <c r="AK45" s="276">
        <f t="shared" ref="AK45:AK54" si="88">IF(AK$225&lt;=time,K45*$F45,"")</f>
        <v>0</v>
      </c>
      <c r="AL45" s="276">
        <f t="shared" ref="AL45:AL54" si="89">IF(AL$225&lt;=time,L45*$F45,"")</f>
        <v>0</v>
      </c>
      <c r="AM45" s="276" t="str">
        <f t="shared" ref="AM45:AM54" si="90">IF(AM$225&lt;=time,M45*$F45,"")</f>
        <v/>
      </c>
      <c r="AN45" s="276" t="str">
        <f t="shared" ref="AN45:AN54" si="91">IF(AN$225&lt;=time,N45*$F45,"")</f>
        <v/>
      </c>
      <c r="AO45" s="276" t="str">
        <f t="shared" ref="AO45:AO54" si="92">IF(AO$225&lt;=time,O45*$F45,"")</f>
        <v/>
      </c>
      <c r="AP45" s="276" t="str">
        <f t="shared" ref="AP45:AP54" si="93">IF(AP$225&lt;=time,P45*$F45,"")</f>
        <v/>
      </c>
      <c r="AQ45" s="276" t="str">
        <f t="shared" ref="AQ45:AQ54" si="94">IF(AQ$225&lt;=time,Q45*$F45,"")</f>
        <v/>
      </c>
      <c r="AR45" s="276" t="str">
        <f t="shared" ref="AR45:AR54" si="95">IF(AR$225&lt;=time,R45*$F45,"")</f>
        <v/>
      </c>
      <c r="AS45" s="276" t="str">
        <f t="shared" ref="AS45:AS54" si="96">IF(AS$225&lt;=time,S45*$F45,"")</f>
        <v/>
      </c>
      <c r="AT45" s="276" t="str">
        <f t="shared" ref="AT45:AT54" si="97">IF(AT$225&lt;=time,T45*$F45,"")</f>
        <v/>
      </c>
      <c r="AU45" s="276" t="str">
        <f t="shared" ref="AU45:AU54" si="98">IF(AU$225&lt;=time,U45*$F45,"")</f>
        <v/>
      </c>
      <c r="AV45" s="276" t="str">
        <f t="shared" ref="AV45:AV54" si="99">IF(AV$225&lt;=time,V45*$F45,"")</f>
        <v/>
      </c>
      <c r="AW45" s="276" t="str">
        <f t="shared" ref="AW45:AW54" si="100">IF(AW$225&lt;=time,W45*$F45,"")</f>
        <v/>
      </c>
      <c r="AX45" s="276" t="str">
        <f t="shared" ref="AX45:AX54" si="101">IF(AX$225&lt;=time,X45*$F45,"")</f>
        <v/>
      </c>
      <c r="AY45" s="276" t="str">
        <f t="shared" ref="AY45:AY54" si="102">IF(AY$225&lt;=time,Y45*$F45,"")</f>
        <v/>
      </c>
      <c r="AZ45" s="276" t="str">
        <f t="shared" ref="AZ45:AZ54" si="103">IF(AZ$225&lt;=time,Z45*$F45,"")</f>
        <v/>
      </c>
      <c r="BA45" s="276" t="str">
        <f t="shared" ref="BA45:BA54" si="104">IF(BA$225&lt;=time,AA45*$F45,"")</f>
        <v/>
      </c>
      <c r="BB45" s="276" t="str">
        <f t="shared" ref="BB45:BB54" si="105">IF(BB$225&lt;=time,AB45*$F45,"")</f>
        <v/>
      </c>
      <c r="BC45" s="276" t="str">
        <f t="shared" ref="BC45:BC54" si="106">IF(BC$225&lt;=time,AC45*$F45,"")</f>
        <v/>
      </c>
      <c r="BD45" s="276" t="str">
        <f t="shared" ref="BD45:BD54" si="107">IF(BD$225&lt;=time,AD45*$F45,"")</f>
        <v/>
      </c>
      <c r="BE45" s="276" t="str">
        <f t="shared" ref="BE45:BE54" si="108">IF(BE$225&lt;=time,AE45*$F45,"")</f>
        <v/>
      </c>
      <c r="BF45" s="277" t="str">
        <f t="shared" ref="BF45:BF54" si="109">IF(BF$225&lt;=time,AF45*$F45,"")</f>
        <v/>
      </c>
      <c r="BG45" s="133">
        <f t="array" ref="BG45">(SUM( IF(ISERROR(AH45:BF45),"", AH45:BF45)))/time</f>
        <v>35.286484479999999</v>
      </c>
      <c r="BH45" s="133">
        <f t="shared" si="27"/>
        <v>35.286484479999999</v>
      </c>
      <c r="BI45" s="133">
        <v>1</v>
      </c>
      <c r="BJ45" s="134">
        <f>IF(BO45&gt;0,BG45+BN45,BG45)</f>
        <v>35.286484479999999</v>
      </c>
      <c r="BL45" s="176" t="e">
        <f t="array" ref="BL45">STDEV(IF(AH45:BF45&lt;&gt;0,AH45:BF45))</f>
        <v>#DIV/0!</v>
      </c>
      <c r="BM45" s="176">
        <v>1.96</v>
      </c>
      <c r="BN45" s="176" t="e">
        <f t="shared" ref="BN45:BN54" si="110">(BM45*BL45)/(time^0.5)</f>
        <v>#DIV/0!</v>
      </c>
      <c r="BO45" s="176">
        <f t="shared" si="30"/>
        <v>0</v>
      </c>
    </row>
    <row r="46" spans="1:67">
      <c r="A46" s="848" t="s">
        <v>723</v>
      </c>
      <c r="B46" s="849">
        <f>HLOOKUP(A46,RJ_pathway!$I$39:L45,MATCH("Total",RJ_pathway!$A$39:$A$45,0),0)</f>
        <v>101.55052861620698</v>
      </c>
      <c r="C46" s="845"/>
      <c r="D46" s="845" t="s">
        <v>493</v>
      </c>
      <c r="E46" s="840"/>
      <c r="F46" s="850">
        <f t="shared" si="24"/>
        <v>101.55052861620698</v>
      </c>
      <c r="G46" s="254"/>
      <c r="H46" s="842">
        <v>1</v>
      </c>
      <c r="I46" s="843">
        <v>0</v>
      </c>
      <c r="J46" s="843">
        <v>0</v>
      </c>
      <c r="K46" s="843">
        <v>0</v>
      </c>
      <c r="L46" s="843">
        <v>0</v>
      </c>
      <c r="M46" s="272">
        <v>0</v>
      </c>
      <c r="N46" s="272">
        <v>0</v>
      </c>
      <c r="O46" s="272">
        <v>0</v>
      </c>
      <c r="P46" s="272">
        <v>0</v>
      </c>
      <c r="Q46" s="272">
        <v>0</v>
      </c>
      <c r="R46" s="272">
        <v>0</v>
      </c>
      <c r="S46" s="272">
        <v>0</v>
      </c>
      <c r="T46" s="272">
        <v>0</v>
      </c>
      <c r="U46" s="272">
        <v>0</v>
      </c>
      <c r="V46" s="272">
        <v>0</v>
      </c>
      <c r="W46" s="272">
        <v>0</v>
      </c>
      <c r="X46" s="272">
        <v>0</v>
      </c>
      <c r="Y46" s="272">
        <v>0</v>
      </c>
      <c r="Z46" s="272">
        <v>0</v>
      </c>
      <c r="AA46" s="272">
        <v>0</v>
      </c>
      <c r="AB46" s="272">
        <v>0</v>
      </c>
      <c r="AC46" s="272">
        <v>0</v>
      </c>
      <c r="AD46" s="272">
        <v>0</v>
      </c>
      <c r="AE46" s="272">
        <v>0</v>
      </c>
      <c r="AF46" s="272">
        <v>0</v>
      </c>
      <c r="AG46" s="274">
        <f t="shared" si="25"/>
        <v>1</v>
      </c>
      <c r="AH46" s="727">
        <f t="shared" si="85"/>
        <v>101.55052861620698</v>
      </c>
      <c r="AI46" s="276">
        <f t="shared" si="86"/>
        <v>0</v>
      </c>
      <c r="AJ46" s="276">
        <f t="shared" si="87"/>
        <v>0</v>
      </c>
      <c r="AK46" s="276">
        <f t="shared" si="88"/>
        <v>0</v>
      </c>
      <c r="AL46" s="276">
        <f t="shared" si="89"/>
        <v>0</v>
      </c>
      <c r="AM46" s="276" t="str">
        <f t="shared" si="90"/>
        <v/>
      </c>
      <c r="AN46" s="276" t="str">
        <f t="shared" si="91"/>
        <v/>
      </c>
      <c r="AO46" s="276" t="str">
        <f t="shared" si="92"/>
        <v/>
      </c>
      <c r="AP46" s="276" t="str">
        <f t="shared" si="93"/>
        <v/>
      </c>
      <c r="AQ46" s="276" t="str">
        <f t="shared" si="94"/>
        <v/>
      </c>
      <c r="AR46" s="276" t="str">
        <f t="shared" si="95"/>
        <v/>
      </c>
      <c r="AS46" s="276" t="str">
        <f t="shared" si="96"/>
        <v/>
      </c>
      <c r="AT46" s="276" t="str">
        <f t="shared" si="97"/>
        <v/>
      </c>
      <c r="AU46" s="276" t="str">
        <f t="shared" si="98"/>
        <v/>
      </c>
      <c r="AV46" s="276" t="str">
        <f t="shared" si="99"/>
        <v/>
      </c>
      <c r="AW46" s="276" t="str">
        <f t="shared" si="100"/>
        <v/>
      </c>
      <c r="AX46" s="276" t="str">
        <f t="shared" si="101"/>
        <v/>
      </c>
      <c r="AY46" s="276" t="str">
        <f t="shared" si="102"/>
        <v/>
      </c>
      <c r="AZ46" s="276" t="str">
        <f t="shared" si="103"/>
        <v/>
      </c>
      <c r="BA46" s="276" t="str">
        <f t="shared" si="104"/>
        <v/>
      </c>
      <c r="BB46" s="276" t="str">
        <f t="shared" si="105"/>
        <v/>
      </c>
      <c r="BC46" s="276" t="str">
        <f t="shared" si="106"/>
        <v/>
      </c>
      <c r="BD46" s="276" t="str">
        <f t="shared" si="107"/>
        <v/>
      </c>
      <c r="BE46" s="276" t="str">
        <f t="shared" si="108"/>
        <v/>
      </c>
      <c r="BF46" s="277" t="str">
        <f t="shared" si="109"/>
        <v/>
      </c>
      <c r="BG46" s="133">
        <f t="array" ref="BG46">(SUM( IF(ISERROR(AH46:BF46),"", AH46:BF46)))/time</f>
        <v>20.310105723241396</v>
      </c>
      <c r="BH46" s="133">
        <f t="shared" si="27"/>
        <v>20.310105723241396</v>
      </c>
      <c r="BI46" s="133">
        <v>2</v>
      </c>
      <c r="BJ46" s="134">
        <f t="shared" ref="BJ46:BJ54" si="111">IF(BO46&gt;0,BG46+BN46,BG46)</f>
        <v>20.310105723241396</v>
      </c>
      <c r="BL46" s="176" t="e">
        <f t="array" ref="BL46">STDEV(IF(AH46:BF46&lt;&gt;0,AH46:BF46))</f>
        <v>#DIV/0!</v>
      </c>
      <c r="BM46" s="176">
        <v>1.96</v>
      </c>
      <c r="BN46" s="176" t="e">
        <f t="shared" si="110"/>
        <v>#DIV/0!</v>
      </c>
      <c r="BO46" s="176">
        <f t="shared" si="30"/>
        <v>0</v>
      </c>
    </row>
    <row r="47" spans="1:67">
      <c r="A47" s="848" t="s">
        <v>724</v>
      </c>
      <c r="B47" s="849">
        <f>HLOOKUP(A47,RJ_pathway!$I$39:L45,MATCH("Total",RJ_pathway!$A$39:$A$45,0),0)</f>
        <v>6.7470714991401284</v>
      </c>
      <c r="C47" s="845"/>
      <c r="D47" s="845" t="s">
        <v>493</v>
      </c>
      <c r="E47" s="840"/>
      <c r="F47" s="850">
        <f t="shared" si="24"/>
        <v>6.7470714991401284</v>
      </c>
      <c r="G47" s="254"/>
      <c r="H47" s="842">
        <v>1</v>
      </c>
      <c r="I47" s="843">
        <v>0</v>
      </c>
      <c r="J47" s="843">
        <v>0</v>
      </c>
      <c r="K47" s="843">
        <v>0</v>
      </c>
      <c r="L47" s="843">
        <v>0</v>
      </c>
      <c r="M47" s="272">
        <v>0</v>
      </c>
      <c r="N47" s="272">
        <v>0</v>
      </c>
      <c r="O47" s="272">
        <v>0</v>
      </c>
      <c r="P47" s="272">
        <v>0</v>
      </c>
      <c r="Q47" s="272">
        <v>0</v>
      </c>
      <c r="R47" s="272">
        <v>0</v>
      </c>
      <c r="S47" s="272">
        <v>0</v>
      </c>
      <c r="T47" s="272">
        <v>0</v>
      </c>
      <c r="U47" s="272">
        <v>0</v>
      </c>
      <c r="V47" s="272">
        <v>0</v>
      </c>
      <c r="W47" s="272">
        <v>0</v>
      </c>
      <c r="X47" s="272">
        <v>0</v>
      </c>
      <c r="Y47" s="272">
        <v>0</v>
      </c>
      <c r="Z47" s="272">
        <v>0</v>
      </c>
      <c r="AA47" s="272">
        <v>0</v>
      </c>
      <c r="AB47" s="272">
        <v>0</v>
      </c>
      <c r="AC47" s="272">
        <v>0</v>
      </c>
      <c r="AD47" s="272">
        <v>0</v>
      </c>
      <c r="AE47" s="272">
        <v>0</v>
      </c>
      <c r="AF47" s="272">
        <v>0</v>
      </c>
      <c r="AG47" s="274">
        <f t="shared" si="25"/>
        <v>1</v>
      </c>
      <c r="AH47" s="727">
        <f t="shared" si="85"/>
        <v>6.7470714991401284</v>
      </c>
      <c r="AI47" s="276">
        <f t="shared" si="86"/>
        <v>0</v>
      </c>
      <c r="AJ47" s="276">
        <f t="shared" si="87"/>
        <v>0</v>
      </c>
      <c r="AK47" s="276">
        <f t="shared" si="88"/>
        <v>0</v>
      </c>
      <c r="AL47" s="276">
        <f t="shared" si="89"/>
        <v>0</v>
      </c>
      <c r="AM47" s="276" t="str">
        <f t="shared" si="90"/>
        <v/>
      </c>
      <c r="AN47" s="276" t="str">
        <f t="shared" si="91"/>
        <v/>
      </c>
      <c r="AO47" s="276" t="str">
        <f t="shared" si="92"/>
        <v/>
      </c>
      <c r="AP47" s="276" t="str">
        <f t="shared" si="93"/>
        <v/>
      </c>
      <c r="AQ47" s="276" t="str">
        <f t="shared" si="94"/>
        <v/>
      </c>
      <c r="AR47" s="276" t="str">
        <f t="shared" si="95"/>
        <v/>
      </c>
      <c r="AS47" s="276" t="str">
        <f t="shared" si="96"/>
        <v/>
      </c>
      <c r="AT47" s="276" t="str">
        <f t="shared" si="97"/>
        <v/>
      </c>
      <c r="AU47" s="276" t="str">
        <f t="shared" si="98"/>
        <v/>
      </c>
      <c r="AV47" s="276" t="str">
        <f t="shared" si="99"/>
        <v/>
      </c>
      <c r="AW47" s="276" t="str">
        <f t="shared" si="100"/>
        <v/>
      </c>
      <c r="AX47" s="276" t="str">
        <f t="shared" si="101"/>
        <v/>
      </c>
      <c r="AY47" s="276" t="str">
        <f t="shared" si="102"/>
        <v/>
      </c>
      <c r="AZ47" s="276" t="str">
        <f t="shared" si="103"/>
        <v/>
      </c>
      <c r="BA47" s="276" t="str">
        <f t="shared" si="104"/>
        <v/>
      </c>
      <c r="BB47" s="276" t="str">
        <f t="shared" si="105"/>
        <v/>
      </c>
      <c r="BC47" s="276" t="str">
        <f t="shared" si="106"/>
        <v/>
      </c>
      <c r="BD47" s="276" t="str">
        <f t="shared" si="107"/>
        <v/>
      </c>
      <c r="BE47" s="276" t="str">
        <f t="shared" si="108"/>
        <v/>
      </c>
      <c r="BF47" s="277" t="str">
        <f t="shared" si="109"/>
        <v/>
      </c>
      <c r="BG47" s="133">
        <f t="array" ref="BG47">(SUM( IF(ISERROR(AH47:BF47),"", AH47:BF47)))/time</f>
        <v>1.3494142998280256</v>
      </c>
      <c r="BH47" s="133">
        <f t="shared" si="27"/>
        <v>1.3494142998280256</v>
      </c>
      <c r="BI47" s="133">
        <v>3</v>
      </c>
      <c r="BJ47" s="134">
        <f t="shared" si="111"/>
        <v>1.3494142998280256</v>
      </c>
      <c r="BL47" s="176" t="e">
        <f t="array" ref="BL47">STDEV(IF(AH47:BF47&lt;&gt;0,AH47:BF47))</f>
        <v>#DIV/0!</v>
      </c>
      <c r="BM47" s="176">
        <v>1.96</v>
      </c>
      <c r="BN47" s="176" t="e">
        <f t="shared" si="110"/>
        <v>#DIV/0!</v>
      </c>
      <c r="BO47" s="176">
        <f t="shared" si="30"/>
        <v>0</v>
      </c>
    </row>
    <row r="48" spans="1:67">
      <c r="A48" s="848" t="s">
        <v>725</v>
      </c>
      <c r="B48" s="849">
        <f>HLOOKUP(A48,RJ_pathway!$I$39:L46,MATCH("Total",RJ_pathway!$A$39:$A$45,0),0)</f>
        <v>0</v>
      </c>
      <c r="C48" s="845"/>
      <c r="D48" s="845" t="s">
        <v>493</v>
      </c>
      <c r="E48" s="840"/>
      <c r="F48" s="850">
        <f t="shared" si="24"/>
        <v>0</v>
      </c>
      <c r="G48" s="254"/>
      <c r="H48" s="842">
        <v>1</v>
      </c>
      <c r="I48" s="843">
        <v>0</v>
      </c>
      <c r="J48" s="843">
        <v>0</v>
      </c>
      <c r="K48" s="843">
        <v>0</v>
      </c>
      <c r="L48" s="843">
        <v>0</v>
      </c>
      <c r="M48" s="272">
        <v>0</v>
      </c>
      <c r="N48" s="272">
        <v>0</v>
      </c>
      <c r="O48" s="272">
        <v>0</v>
      </c>
      <c r="P48" s="272">
        <v>0</v>
      </c>
      <c r="Q48" s="272">
        <v>0</v>
      </c>
      <c r="R48" s="272">
        <v>0</v>
      </c>
      <c r="S48" s="272">
        <v>0</v>
      </c>
      <c r="T48" s="272">
        <v>0</v>
      </c>
      <c r="U48" s="272">
        <v>0</v>
      </c>
      <c r="V48" s="272">
        <v>0</v>
      </c>
      <c r="W48" s="272">
        <v>0</v>
      </c>
      <c r="X48" s="272">
        <v>0</v>
      </c>
      <c r="Y48" s="272">
        <v>0</v>
      </c>
      <c r="Z48" s="272">
        <v>0</v>
      </c>
      <c r="AA48" s="272">
        <v>0</v>
      </c>
      <c r="AB48" s="272">
        <v>0</v>
      </c>
      <c r="AC48" s="272">
        <v>0</v>
      </c>
      <c r="AD48" s="272">
        <v>0</v>
      </c>
      <c r="AE48" s="272">
        <v>0</v>
      </c>
      <c r="AF48" s="272">
        <v>0</v>
      </c>
      <c r="AG48" s="274">
        <f t="shared" si="25"/>
        <v>1</v>
      </c>
      <c r="AH48" s="727">
        <f t="shared" si="85"/>
        <v>0</v>
      </c>
      <c r="AI48" s="276">
        <f t="shared" si="86"/>
        <v>0</v>
      </c>
      <c r="AJ48" s="276">
        <f t="shared" si="87"/>
        <v>0</v>
      </c>
      <c r="AK48" s="276">
        <f t="shared" si="88"/>
        <v>0</v>
      </c>
      <c r="AL48" s="276">
        <f t="shared" si="89"/>
        <v>0</v>
      </c>
      <c r="AM48" s="276" t="str">
        <f t="shared" si="90"/>
        <v/>
      </c>
      <c r="AN48" s="276" t="str">
        <f t="shared" si="91"/>
        <v/>
      </c>
      <c r="AO48" s="276" t="str">
        <f t="shared" si="92"/>
        <v/>
      </c>
      <c r="AP48" s="276" t="str">
        <f t="shared" si="93"/>
        <v/>
      </c>
      <c r="AQ48" s="276" t="str">
        <f t="shared" si="94"/>
        <v/>
      </c>
      <c r="AR48" s="276" t="str">
        <f t="shared" si="95"/>
        <v/>
      </c>
      <c r="AS48" s="276" t="str">
        <f t="shared" si="96"/>
        <v/>
      </c>
      <c r="AT48" s="276" t="str">
        <f t="shared" si="97"/>
        <v/>
      </c>
      <c r="AU48" s="276" t="str">
        <f t="shared" si="98"/>
        <v/>
      </c>
      <c r="AV48" s="276" t="str">
        <f t="shared" si="99"/>
        <v/>
      </c>
      <c r="AW48" s="276" t="str">
        <f t="shared" si="100"/>
        <v/>
      </c>
      <c r="AX48" s="276" t="str">
        <f t="shared" si="101"/>
        <v/>
      </c>
      <c r="AY48" s="276" t="str">
        <f t="shared" si="102"/>
        <v/>
      </c>
      <c r="AZ48" s="276" t="str">
        <f t="shared" si="103"/>
        <v/>
      </c>
      <c r="BA48" s="276" t="str">
        <f t="shared" si="104"/>
        <v/>
      </c>
      <c r="BB48" s="276" t="str">
        <f t="shared" si="105"/>
        <v/>
      </c>
      <c r="BC48" s="276" t="str">
        <f t="shared" si="106"/>
        <v/>
      </c>
      <c r="BD48" s="276" t="str">
        <f t="shared" si="107"/>
        <v/>
      </c>
      <c r="BE48" s="276" t="str">
        <f t="shared" si="108"/>
        <v/>
      </c>
      <c r="BF48" s="277" t="str">
        <f t="shared" si="109"/>
        <v/>
      </c>
      <c r="BG48" s="133">
        <f t="array" ref="BG48">(SUM( IF(ISERROR(AH48:BF48),"", AH48:BF48)))/time</f>
        <v>0</v>
      </c>
      <c r="BH48" s="133">
        <f t="shared" si="27"/>
        <v>0</v>
      </c>
      <c r="BI48" s="133">
        <v>4</v>
      </c>
      <c r="BJ48" s="134">
        <f t="shared" si="111"/>
        <v>0</v>
      </c>
      <c r="BL48" s="176" t="e">
        <f t="array" ref="BL48">STDEV(IF(AH48:BF48&lt;&gt;0,AH48:BF48))</f>
        <v>#DIV/0!</v>
      </c>
      <c r="BM48" s="176">
        <v>1.96</v>
      </c>
      <c r="BN48" s="176" t="e">
        <f t="shared" si="110"/>
        <v>#DIV/0!</v>
      </c>
      <c r="BO48" s="176">
        <f t="shared" si="30"/>
        <v>0</v>
      </c>
    </row>
    <row r="49" spans="1:67">
      <c r="A49" s="848" t="s">
        <v>774</v>
      </c>
      <c r="B49" s="839"/>
      <c r="C49" s="845"/>
      <c r="D49" s="845"/>
      <c r="E49" s="840"/>
      <c r="F49" s="846">
        <f t="shared" si="24"/>
        <v>0</v>
      </c>
      <c r="G49" s="254"/>
      <c r="H49" s="842"/>
      <c r="I49" s="843"/>
      <c r="J49" s="843"/>
      <c r="K49" s="843"/>
      <c r="L49" s="843"/>
      <c r="M49" s="272"/>
      <c r="N49" s="272"/>
      <c r="O49" s="272"/>
      <c r="P49" s="272"/>
      <c r="Q49" s="272"/>
      <c r="R49" s="272"/>
      <c r="S49" s="272"/>
      <c r="T49" s="272"/>
      <c r="U49" s="272"/>
      <c r="V49" s="272"/>
      <c r="W49" s="272"/>
      <c r="X49" s="272"/>
      <c r="Y49" s="272"/>
      <c r="Z49" s="272"/>
      <c r="AA49" s="272"/>
      <c r="AB49" s="272"/>
      <c r="AC49" s="272"/>
      <c r="AD49" s="272"/>
      <c r="AE49" s="272"/>
      <c r="AF49" s="273"/>
      <c r="AG49" s="274">
        <f t="shared" si="25"/>
        <v>0</v>
      </c>
      <c r="AH49" s="275">
        <f t="shared" si="85"/>
        <v>0</v>
      </c>
      <c r="AI49" s="276">
        <f t="shared" si="86"/>
        <v>0</v>
      </c>
      <c r="AJ49" s="276">
        <f t="shared" si="87"/>
        <v>0</v>
      </c>
      <c r="AK49" s="276">
        <f t="shared" si="88"/>
        <v>0</v>
      </c>
      <c r="AL49" s="276">
        <f t="shared" si="89"/>
        <v>0</v>
      </c>
      <c r="AM49" s="276" t="str">
        <f t="shared" si="90"/>
        <v/>
      </c>
      <c r="AN49" s="276" t="str">
        <f t="shared" si="91"/>
        <v/>
      </c>
      <c r="AO49" s="276" t="str">
        <f t="shared" si="92"/>
        <v/>
      </c>
      <c r="AP49" s="276" t="str">
        <f t="shared" si="93"/>
        <v/>
      </c>
      <c r="AQ49" s="276" t="str">
        <f t="shared" si="94"/>
        <v/>
      </c>
      <c r="AR49" s="276" t="str">
        <f t="shared" si="95"/>
        <v/>
      </c>
      <c r="AS49" s="276" t="str">
        <f t="shared" si="96"/>
        <v/>
      </c>
      <c r="AT49" s="276" t="str">
        <f t="shared" si="97"/>
        <v/>
      </c>
      <c r="AU49" s="276" t="str">
        <f t="shared" si="98"/>
        <v/>
      </c>
      <c r="AV49" s="276" t="str">
        <f t="shared" si="99"/>
        <v/>
      </c>
      <c r="AW49" s="276" t="str">
        <f t="shared" si="100"/>
        <v/>
      </c>
      <c r="AX49" s="276" t="str">
        <f t="shared" si="101"/>
        <v/>
      </c>
      <c r="AY49" s="276" t="str">
        <f t="shared" si="102"/>
        <v/>
      </c>
      <c r="AZ49" s="276" t="str">
        <f t="shared" si="103"/>
        <v/>
      </c>
      <c r="BA49" s="276" t="str">
        <f t="shared" si="104"/>
        <v/>
      </c>
      <c r="BB49" s="276" t="str">
        <f t="shared" si="105"/>
        <v/>
      </c>
      <c r="BC49" s="276" t="str">
        <f t="shared" si="106"/>
        <v/>
      </c>
      <c r="BD49" s="276" t="str">
        <f t="shared" si="107"/>
        <v/>
      </c>
      <c r="BE49" s="276" t="str">
        <f t="shared" si="108"/>
        <v/>
      </c>
      <c r="BF49" s="277" t="str">
        <f t="shared" si="109"/>
        <v/>
      </c>
      <c r="BG49" s="142">
        <f t="array" ref="BG49">(SUM( IF(ISERROR(AH49:BF49),"", AH49:BF49)))/time</f>
        <v>0</v>
      </c>
      <c r="BH49" s="142">
        <f t="shared" si="27"/>
        <v>0</v>
      </c>
      <c r="BI49" s="142">
        <v>5</v>
      </c>
      <c r="BJ49" s="143">
        <f t="shared" si="111"/>
        <v>0</v>
      </c>
      <c r="BL49" s="176" t="e">
        <f t="array" ref="BL49">STDEV(IF(AH49:BF49&lt;&gt;0,AH49:BF49))</f>
        <v>#DIV/0!</v>
      </c>
      <c r="BM49" s="176">
        <v>1.96</v>
      </c>
      <c r="BN49" s="176" t="e">
        <f t="shared" si="110"/>
        <v>#DIV/0!</v>
      </c>
      <c r="BO49" s="176">
        <f t="shared" si="30"/>
        <v>0</v>
      </c>
    </row>
    <row r="50" spans="1:67" hidden="1">
      <c r="A50" s="301" t="s">
        <v>58</v>
      </c>
      <c r="B50" s="269"/>
      <c r="C50" s="278"/>
      <c r="D50" s="278"/>
      <c r="E50" s="270"/>
      <c r="F50" s="279">
        <f t="shared" si="24"/>
        <v>0</v>
      </c>
      <c r="G50" s="254"/>
      <c r="H50" s="271"/>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c r="AF50" s="273"/>
      <c r="AG50" s="274">
        <f t="shared" si="25"/>
        <v>0</v>
      </c>
      <c r="AH50" s="275">
        <f t="shared" si="85"/>
        <v>0</v>
      </c>
      <c r="AI50" s="276">
        <f t="shared" si="86"/>
        <v>0</v>
      </c>
      <c r="AJ50" s="276">
        <f t="shared" si="87"/>
        <v>0</v>
      </c>
      <c r="AK50" s="276">
        <f t="shared" si="88"/>
        <v>0</v>
      </c>
      <c r="AL50" s="276">
        <f t="shared" si="89"/>
        <v>0</v>
      </c>
      <c r="AM50" s="276" t="str">
        <f t="shared" si="90"/>
        <v/>
      </c>
      <c r="AN50" s="276" t="str">
        <f t="shared" si="91"/>
        <v/>
      </c>
      <c r="AO50" s="276" t="str">
        <f t="shared" si="92"/>
        <v/>
      </c>
      <c r="AP50" s="276" t="str">
        <f t="shared" si="93"/>
        <v/>
      </c>
      <c r="AQ50" s="276" t="str">
        <f t="shared" si="94"/>
        <v/>
      </c>
      <c r="AR50" s="276" t="str">
        <f t="shared" si="95"/>
        <v/>
      </c>
      <c r="AS50" s="276" t="str">
        <f t="shared" si="96"/>
        <v/>
      </c>
      <c r="AT50" s="276" t="str">
        <f t="shared" si="97"/>
        <v/>
      </c>
      <c r="AU50" s="276" t="str">
        <f t="shared" si="98"/>
        <v/>
      </c>
      <c r="AV50" s="276" t="str">
        <f t="shared" si="99"/>
        <v/>
      </c>
      <c r="AW50" s="276" t="str">
        <f t="shared" si="100"/>
        <v/>
      </c>
      <c r="AX50" s="276" t="str">
        <f t="shared" si="101"/>
        <v/>
      </c>
      <c r="AY50" s="276" t="str">
        <f t="shared" si="102"/>
        <v/>
      </c>
      <c r="AZ50" s="276" t="str">
        <f t="shared" si="103"/>
        <v/>
      </c>
      <c r="BA50" s="276" t="str">
        <f t="shared" si="104"/>
        <v/>
      </c>
      <c r="BB50" s="276" t="str">
        <f t="shared" si="105"/>
        <v/>
      </c>
      <c r="BC50" s="276" t="str">
        <f t="shared" si="106"/>
        <v/>
      </c>
      <c r="BD50" s="276" t="str">
        <f t="shared" si="107"/>
        <v/>
      </c>
      <c r="BE50" s="276" t="str">
        <f t="shared" si="108"/>
        <v/>
      </c>
      <c r="BF50" s="277" t="str">
        <f t="shared" si="109"/>
        <v/>
      </c>
      <c r="BG50" s="142">
        <f t="array" ref="BG50">(SUM( IF(ISERROR(AH50:BF50),"", AH50:BF50)))/time</f>
        <v>0</v>
      </c>
      <c r="BH50" s="142">
        <f t="shared" si="27"/>
        <v>0</v>
      </c>
      <c r="BI50" s="142">
        <v>6</v>
      </c>
      <c r="BJ50" s="143">
        <f t="shared" si="111"/>
        <v>0</v>
      </c>
      <c r="BL50" s="176" t="e">
        <f t="array" ref="BL50">STDEV(IF(AH50:BF50&lt;&gt;0,AH50:BF50))</f>
        <v>#DIV/0!</v>
      </c>
      <c r="BM50" s="176">
        <v>1.96</v>
      </c>
      <c r="BN50" s="176" t="e">
        <f t="shared" si="110"/>
        <v>#DIV/0!</v>
      </c>
      <c r="BO50" s="176">
        <f t="shared" si="30"/>
        <v>0</v>
      </c>
    </row>
    <row r="51" spans="1:67" hidden="1">
      <c r="A51" s="301" t="s">
        <v>59</v>
      </c>
      <c r="B51" s="269"/>
      <c r="C51" s="278"/>
      <c r="D51" s="278"/>
      <c r="E51" s="270"/>
      <c r="F51" s="279">
        <f t="shared" si="24"/>
        <v>0</v>
      </c>
      <c r="G51" s="254"/>
      <c r="H51" s="271"/>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3"/>
      <c r="AG51" s="274">
        <f t="shared" si="25"/>
        <v>0</v>
      </c>
      <c r="AH51" s="275">
        <f t="shared" si="85"/>
        <v>0</v>
      </c>
      <c r="AI51" s="276">
        <f t="shared" si="86"/>
        <v>0</v>
      </c>
      <c r="AJ51" s="276">
        <f t="shared" si="87"/>
        <v>0</v>
      </c>
      <c r="AK51" s="276">
        <f t="shared" si="88"/>
        <v>0</v>
      </c>
      <c r="AL51" s="276">
        <f t="shared" si="89"/>
        <v>0</v>
      </c>
      <c r="AM51" s="276" t="str">
        <f t="shared" si="90"/>
        <v/>
      </c>
      <c r="AN51" s="276" t="str">
        <f t="shared" si="91"/>
        <v/>
      </c>
      <c r="AO51" s="276" t="str">
        <f t="shared" si="92"/>
        <v/>
      </c>
      <c r="AP51" s="276" t="str">
        <f t="shared" si="93"/>
        <v/>
      </c>
      <c r="AQ51" s="276" t="str">
        <f t="shared" si="94"/>
        <v/>
      </c>
      <c r="AR51" s="276" t="str">
        <f t="shared" si="95"/>
        <v/>
      </c>
      <c r="AS51" s="276" t="str">
        <f t="shared" si="96"/>
        <v/>
      </c>
      <c r="AT51" s="276" t="str">
        <f t="shared" si="97"/>
        <v/>
      </c>
      <c r="AU51" s="276" t="str">
        <f t="shared" si="98"/>
        <v/>
      </c>
      <c r="AV51" s="276" t="str">
        <f t="shared" si="99"/>
        <v/>
      </c>
      <c r="AW51" s="276" t="str">
        <f t="shared" si="100"/>
        <v/>
      </c>
      <c r="AX51" s="276" t="str">
        <f t="shared" si="101"/>
        <v/>
      </c>
      <c r="AY51" s="276" t="str">
        <f t="shared" si="102"/>
        <v/>
      </c>
      <c r="AZ51" s="276" t="str">
        <f t="shared" si="103"/>
        <v/>
      </c>
      <c r="BA51" s="276" t="str">
        <f t="shared" si="104"/>
        <v/>
      </c>
      <c r="BB51" s="276" t="str">
        <f t="shared" si="105"/>
        <v/>
      </c>
      <c r="BC51" s="276" t="str">
        <f t="shared" si="106"/>
        <v/>
      </c>
      <c r="BD51" s="276" t="str">
        <f t="shared" si="107"/>
        <v/>
      </c>
      <c r="BE51" s="276" t="str">
        <f t="shared" si="108"/>
        <v/>
      </c>
      <c r="BF51" s="277" t="str">
        <f t="shared" si="109"/>
        <v/>
      </c>
      <c r="BG51" s="142">
        <f t="array" ref="BG51">(SUM( IF(ISERROR(AH51:BF51),"", AH51:BF51)))/time</f>
        <v>0</v>
      </c>
      <c r="BH51" s="142">
        <f t="shared" si="27"/>
        <v>0</v>
      </c>
      <c r="BI51" s="142">
        <v>7</v>
      </c>
      <c r="BJ51" s="143">
        <f t="shared" si="111"/>
        <v>0</v>
      </c>
      <c r="BL51" s="176" t="e">
        <f t="array" ref="BL51">STDEV(IF(AH51:BF51&lt;&gt;0,AH51:BF51))</f>
        <v>#DIV/0!</v>
      </c>
      <c r="BM51" s="176">
        <v>1.96</v>
      </c>
      <c r="BN51" s="176" t="e">
        <f t="shared" si="110"/>
        <v>#DIV/0!</v>
      </c>
      <c r="BO51" s="176">
        <f t="shared" si="30"/>
        <v>0</v>
      </c>
    </row>
    <row r="52" spans="1:67" hidden="1">
      <c r="A52" s="301" t="s">
        <v>60</v>
      </c>
      <c r="B52" s="269"/>
      <c r="C52" s="278"/>
      <c r="D52" s="278"/>
      <c r="E52" s="270"/>
      <c r="F52" s="279">
        <f t="shared" si="24"/>
        <v>0</v>
      </c>
      <c r="G52" s="254"/>
      <c r="H52" s="271"/>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3"/>
      <c r="AG52" s="274">
        <f t="shared" si="25"/>
        <v>0</v>
      </c>
      <c r="AH52" s="275">
        <f t="shared" si="85"/>
        <v>0</v>
      </c>
      <c r="AI52" s="276">
        <f t="shared" si="86"/>
        <v>0</v>
      </c>
      <c r="AJ52" s="276">
        <f t="shared" si="87"/>
        <v>0</v>
      </c>
      <c r="AK52" s="276">
        <f t="shared" si="88"/>
        <v>0</v>
      </c>
      <c r="AL52" s="276">
        <f t="shared" si="89"/>
        <v>0</v>
      </c>
      <c r="AM52" s="276" t="str">
        <f t="shared" si="90"/>
        <v/>
      </c>
      <c r="AN52" s="276" t="str">
        <f t="shared" si="91"/>
        <v/>
      </c>
      <c r="AO52" s="276" t="str">
        <f t="shared" si="92"/>
        <v/>
      </c>
      <c r="AP52" s="276" t="str">
        <f t="shared" si="93"/>
        <v/>
      </c>
      <c r="AQ52" s="276" t="str">
        <f t="shared" si="94"/>
        <v/>
      </c>
      <c r="AR52" s="276" t="str">
        <f t="shared" si="95"/>
        <v/>
      </c>
      <c r="AS52" s="276" t="str">
        <f t="shared" si="96"/>
        <v/>
      </c>
      <c r="AT52" s="276" t="str">
        <f t="shared" si="97"/>
        <v/>
      </c>
      <c r="AU52" s="276" t="str">
        <f t="shared" si="98"/>
        <v/>
      </c>
      <c r="AV52" s="276" t="str">
        <f t="shared" si="99"/>
        <v/>
      </c>
      <c r="AW52" s="276" t="str">
        <f t="shared" si="100"/>
        <v/>
      </c>
      <c r="AX52" s="276" t="str">
        <f t="shared" si="101"/>
        <v/>
      </c>
      <c r="AY52" s="276" t="str">
        <f t="shared" si="102"/>
        <v/>
      </c>
      <c r="AZ52" s="276" t="str">
        <f t="shared" si="103"/>
        <v/>
      </c>
      <c r="BA52" s="276" t="str">
        <f t="shared" si="104"/>
        <v/>
      </c>
      <c r="BB52" s="276" t="str">
        <f t="shared" si="105"/>
        <v/>
      </c>
      <c r="BC52" s="276" t="str">
        <f t="shared" si="106"/>
        <v/>
      </c>
      <c r="BD52" s="276" t="str">
        <f t="shared" si="107"/>
        <v/>
      </c>
      <c r="BE52" s="276" t="str">
        <f t="shared" si="108"/>
        <v/>
      </c>
      <c r="BF52" s="277" t="str">
        <f t="shared" si="109"/>
        <v/>
      </c>
      <c r="BG52" s="142">
        <f t="array" ref="BG52">(SUM( IF(ISERROR(AH52:BF52),"", AH52:BF52)))/time</f>
        <v>0</v>
      </c>
      <c r="BH52" s="142">
        <f t="shared" si="27"/>
        <v>0</v>
      </c>
      <c r="BI52" s="142">
        <v>8</v>
      </c>
      <c r="BJ52" s="143">
        <f t="shared" si="111"/>
        <v>0</v>
      </c>
      <c r="BL52" s="176" t="e">
        <f t="array" ref="BL52">STDEV(IF(AH52:BF52&lt;&gt;0,AH52:BF52))</f>
        <v>#DIV/0!</v>
      </c>
      <c r="BM52" s="176">
        <v>1.96</v>
      </c>
      <c r="BN52" s="176" t="e">
        <f t="shared" si="110"/>
        <v>#DIV/0!</v>
      </c>
      <c r="BO52" s="176">
        <f t="shared" si="30"/>
        <v>0</v>
      </c>
    </row>
    <row r="53" spans="1:67" hidden="1">
      <c r="A53" s="301" t="s">
        <v>61</v>
      </c>
      <c r="B53" s="269"/>
      <c r="C53" s="278"/>
      <c r="D53" s="278"/>
      <c r="E53" s="270"/>
      <c r="F53" s="279">
        <f t="shared" si="24"/>
        <v>0</v>
      </c>
      <c r="G53" s="254"/>
      <c r="H53" s="271"/>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3"/>
      <c r="AG53" s="274">
        <f t="shared" si="25"/>
        <v>0</v>
      </c>
      <c r="AH53" s="275">
        <f t="shared" si="85"/>
        <v>0</v>
      </c>
      <c r="AI53" s="276">
        <f t="shared" si="86"/>
        <v>0</v>
      </c>
      <c r="AJ53" s="276">
        <f t="shared" si="87"/>
        <v>0</v>
      </c>
      <c r="AK53" s="276">
        <f t="shared" si="88"/>
        <v>0</v>
      </c>
      <c r="AL53" s="276">
        <f t="shared" si="89"/>
        <v>0</v>
      </c>
      <c r="AM53" s="276" t="str">
        <f t="shared" si="90"/>
        <v/>
      </c>
      <c r="AN53" s="276" t="str">
        <f t="shared" si="91"/>
        <v/>
      </c>
      <c r="AO53" s="276" t="str">
        <f t="shared" si="92"/>
        <v/>
      </c>
      <c r="AP53" s="276" t="str">
        <f t="shared" si="93"/>
        <v/>
      </c>
      <c r="AQ53" s="276" t="str">
        <f t="shared" si="94"/>
        <v/>
      </c>
      <c r="AR53" s="276" t="str">
        <f t="shared" si="95"/>
        <v/>
      </c>
      <c r="AS53" s="276" t="str">
        <f t="shared" si="96"/>
        <v/>
      </c>
      <c r="AT53" s="276" t="str">
        <f t="shared" si="97"/>
        <v/>
      </c>
      <c r="AU53" s="276" t="str">
        <f t="shared" si="98"/>
        <v/>
      </c>
      <c r="AV53" s="276" t="str">
        <f t="shared" si="99"/>
        <v/>
      </c>
      <c r="AW53" s="276" t="str">
        <f t="shared" si="100"/>
        <v/>
      </c>
      <c r="AX53" s="276" t="str">
        <f t="shared" si="101"/>
        <v/>
      </c>
      <c r="AY53" s="276" t="str">
        <f t="shared" si="102"/>
        <v/>
      </c>
      <c r="AZ53" s="276" t="str">
        <f t="shared" si="103"/>
        <v/>
      </c>
      <c r="BA53" s="276" t="str">
        <f t="shared" si="104"/>
        <v/>
      </c>
      <c r="BB53" s="276" t="str">
        <f t="shared" si="105"/>
        <v/>
      </c>
      <c r="BC53" s="276" t="str">
        <f t="shared" si="106"/>
        <v/>
      </c>
      <c r="BD53" s="276" t="str">
        <f t="shared" si="107"/>
        <v/>
      </c>
      <c r="BE53" s="276" t="str">
        <f t="shared" si="108"/>
        <v/>
      </c>
      <c r="BF53" s="277" t="str">
        <f t="shared" si="109"/>
        <v/>
      </c>
      <c r="BG53" s="142">
        <f t="array" ref="BG53">(SUM( IF(ISERROR(AH53:BF53),"", AH53:BF53)))/time</f>
        <v>0</v>
      </c>
      <c r="BH53" s="142">
        <f t="shared" si="27"/>
        <v>0</v>
      </c>
      <c r="BI53" s="142">
        <v>9</v>
      </c>
      <c r="BJ53" s="143">
        <f t="shared" si="111"/>
        <v>0</v>
      </c>
      <c r="BL53" s="176" t="e">
        <f t="array" ref="BL53">STDEV(IF(AH53:BF53&lt;&gt;0,AH53:BF53))</f>
        <v>#DIV/0!</v>
      </c>
      <c r="BM53" s="176">
        <v>1.96</v>
      </c>
      <c r="BN53" s="176" t="e">
        <f t="shared" si="110"/>
        <v>#DIV/0!</v>
      </c>
      <c r="BO53" s="176">
        <f t="shared" si="30"/>
        <v>0</v>
      </c>
    </row>
    <row r="54" spans="1:67" hidden="1">
      <c r="A54" s="301" t="s">
        <v>62</v>
      </c>
      <c r="B54" s="269"/>
      <c r="C54" s="278"/>
      <c r="D54" s="278"/>
      <c r="E54" s="270"/>
      <c r="F54" s="279">
        <f t="shared" si="24"/>
        <v>0</v>
      </c>
      <c r="G54" s="254"/>
      <c r="H54" s="271"/>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s="273"/>
      <c r="AG54" s="274">
        <f t="shared" si="25"/>
        <v>0</v>
      </c>
      <c r="AH54" s="275">
        <f t="shared" si="85"/>
        <v>0</v>
      </c>
      <c r="AI54" s="276">
        <f t="shared" si="86"/>
        <v>0</v>
      </c>
      <c r="AJ54" s="276">
        <f t="shared" si="87"/>
        <v>0</v>
      </c>
      <c r="AK54" s="276">
        <f t="shared" si="88"/>
        <v>0</v>
      </c>
      <c r="AL54" s="276">
        <f t="shared" si="89"/>
        <v>0</v>
      </c>
      <c r="AM54" s="276" t="str">
        <f t="shared" si="90"/>
        <v/>
      </c>
      <c r="AN54" s="276" t="str">
        <f t="shared" si="91"/>
        <v/>
      </c>
      <c r="AO54" s="276" t="str">
        <f t="shared" si="92"/>
        <v/>
      </c>
      <c r="AP54" s="276" t="str">
        <f t="shared" si="93"/>
        <v/>
      </c>
      <c r="AQ54" s="276" t="str">
        <f t="shared" si="94"/>
        <v/>
      </c>
      <c r="AR54" s="276" t="str">
        <f t="shared" si="95"/>
        <v/>
      </c>
      <c r="AS54" s="276" t="str">
        <f t="shared" si="96"/>
        <v/>
      </c>
      <c r="AT54" s="276" t="str">
        <f t="shared" si="97"/>
        <v/>
      </c>
      <c r="AU54" s="276" t="str">
        <f t="shared" si="98"/>
        <v/>
      </c>
      <c r="AV54" s="276" t="str">
        <f t="shared" si="99"/>
        <v/>
      </c>
      <c r="AW54" s="276" t="str">
        <f t="shared" si="100"/>
        <v/>
      </c>
      <c r="AX54" s="276" t="str">
        <f t="shared" si="101"/>
        <v/>
      </c>
      <c r="AY54" s="276" t="str">
        <f t="shared" si="102"/>
        <v/>
      </c>
      <c r="AZ54" s="276" t="str">
        <f t="shared" si="103"/>
        <v/>
      </c>
      <c r="BA54" s="276" t="str">
        <f t="shared" si="104"/>
        <v/>
      </c>
      <c r="BB54" s="276" t="str">
        <f t="shared" si="105"/>
        <v/>
      </c>
      <c r="BC54" s="276" t="str">
        <f t="shared" si="106"/>
        <v/>
      </c>
      <c r="BD54" s="276" t="str">
        <f t="shared" si="107"/>
        <v/>
      </c>
      <c r="BE54" s="276" t="str">
        <f t="shared" si="108"/>
        <v/>
      </c>
      <c r="BF54" s="277" t="str">
        <f t="shared" si="109"/>
        <v/>
      </c>
      <c r="BG54" s="142">
        <f t="array" ref="BG54">(SUM( IF(ISERROR(AH54:BF54),"", AH54:BF54)))/time</f>
        <v>0</v>
      </c>
      <c r="BH54" s="142">
        <f t="shared" si="27"/>
        <v>0</v>
      </c>
      <c r="BI54" s="142">
        <v>10</v>
      </c>
      <c r="BJ54" s="143">
        <f t="shared" si="111"/>
        <v>0</v>
      </c>
      <c r="BL54" s="176" t="e">
        <f t="array" ref="BL54">STDEV(IF(AH54:BF54&lt;&gt;0,AH54:BF54))</f>
        <v>#DIV/0!</v>
      </c>
      <c r="BM54" s="176">
        <v>1.96</v>
      </c>
      <c r="BN54" s="176" t="e">
        <f t="shared" si="110"/>
        <v>#DIV/0!</v>
      </c>
      <c r="BO54" s="176">
        <f t="shared" si="30"/>
        <v>0</v>
      </c>
    </row>
    <row r="55" spans="1:67" s="196" customFormat="1">
      <c r="A55" s="302" t="s">
        <v>15</v>
      </c>
      <c r="F55" s="203"/>
      <c r="H55" s="202"/>
      <c r="AG55" s="291"/>
      <c r="AH55" s="202"/>
      <c r="BJ55" s="203"/>
    </row>
    <row r="56" spans="1:67">
      <c r="A56" s="844" t="s">
        <v>63</v>
      </c>
      <c r="B56" s="839"/>
      <c r="C56" s="845"/>
      <c r="D56" s="845"/>
      <c r="E56" s="847"/>
      <c r="F56" s="846">
        <f t="shared" si="24"/>
        <v>0</v>
      </c>
      <c r="G56" s="254"/>
      <c r="H56" s="842"/>
      <c r="I56" s="843"/>
      <c r="J56" s="843"/>
      <c r="K56" s="843"/>
      <c r="L56" s="843"/>
      <c r="M56" s="272"/>
      <c r="N56" s="272"/>
      <c r="O56" s="272"/>
      <c r="P56" s="272"/>
      <c r="Q56" s="272"/>
      <c r="R56" s="272"/>
      <c r="S56" s="272"/>
      <c r="T56" s="272"/>
      <c r="U56" s="272"/>
      <c r="V56" s="272"/>
      <c r="W56" s="272"/>
      <c r="X56" s="272"/>
      <c r="Y56" s="272"/>
      <c r="Z56" s="272"/>
      <c r="AA56" s="272"/>
      <c r="AB56" s="272"/>
      <c r="AC56" s="272"/>
      <c r="AD56" s="272"/>
      <c r="AE56" s="272"/>
      <c r="AF56" s="273"/>
      <c r="AG56" s="274">
        <f t="shared" si="25"/>
        <v>0</v>
      </c>
      <c r="AH56" s="275">
        <f t="shared" ref="AH56:AH65" si="112">IF(AH$225&lt;=time,H56*$F56,"")</f>
        <v>0</v>
      </c>
      <c r="AI56" s="276">
        <f t="shared" ref="AI56:AI65" si="113">IF(AI$225&lt;=time,I56*$F56,"")</f>
        <v>0</v>
      </c>
      <c r="AJ56" s="276">
        <f t="shared" ref="AJ56:AJ65" si="114">IF(AJ$225&lt;=time,J56*$F56,"")</f>
        <v>0</v>
      </c>
      <c r="AK56" s="276">
        <f t="shared" ref="AK56:AK65" si="115">IF(AK$225&lt;=time,K56*$F56,"")</f>
        <v>0</v>
      </c>
      <c r="AL56" s="276">
        <f t="shared" ref="AL56:AL65" si="116">IF(AL$225&lt;=time,L56*$F56,"")</f>
        <v>0</v>
      </c>
      <c r="AM56" s="276" t="str">
        <f t="shared" ref="AM56:AM65" si="117">IF(AM$225&lt;=time,M56*$F56,"")</f>
        <v/>
      </c>
      <c r="AN56" s="276" t="str">
        <f t="shared" ref="AN56:AN65" si="118">IF(AN$225&lt;=time,N56*$F56,"")</f>
        <v/>
      </c>
      <c r="AO56" s="276" t="str">
        <f t="shared" ref="AO56:AO65" si="119">IF(AO$225&lt;=time,O56*$F56,"")</f>
        <v/>
      </c>
      <c r="AP56" s="276" t="str">
        <f t="shared" ref="AP56:AP65" si="120">IF(AP$225&lt;=time,P56*$F56,"")</f>
        <v/>
      </c>
      <c r="AQ56" s="276" t="str">
        <f t="shared" ref="AQ56:AQ65" si="121">IF(AQ$225&lt;=time,Q56*$F56,"")</f>
        <v/>
      </c>
      <c r="AR56" s="276" t="str">
        <f t="shared" ref="AR56:AR65" si="122">IF(AR$225&lt;=time,R56*$F56,"")</f>
        <v/>
      </c>
      <c r="AS56" s="276" t="str">
        <f t="shared" ref="AS56:AS65" si="123">IF(AS$225&lt;=time,S56*$F56,"")</f>
        <v/>
      </c>
      <c r="AT56" s="276" t="str">
        <f t="shared" ref="AT56:AT65" si="124">IF(AT$225&lt;=time,T56*$F56,"")</f>
        <v/>
      </c>
      <c r="AU56" s="276" t="str">
        <f t="shared" ref="AU56:AU65" si="125">IF(AU$225&lt;=time,U56*$F56,"")</f>
        <v/>
      </c>
      <c r="AV56" s="276" t="str">
        <f t="shared" ref="AV56:AV65" si="126">IF(AV$225&lt;=time,V56*$F56,"")</f>
        <v/>
      </c>
      <c r="AW56" s="276" t="str">
        <f t="shared" ref="AW56:AW65" si="127">IF(AW$225&lt;=time,W56*$F56,"")</f>
        <v/>
      </c>
      <c r="AX56" s="276" t="str">
        <f t="shared" ref="AX56:AX65" si="128">IF(AX$225&lt;=time,X56*$F56,"")</f>
        <v/>
      </c>
      <c r="AY56" s="276" t="str">
        <f t="shared" ref="AY56:AY65" si="129">IF(AY$225&lt;=time,Y56*$F56,"")</f>
        <v/>
      </c>
      <c r="AZ56" s="276" t="str">
        <f t="shared" ref="AZ56:AZ65" si="130">IF(AZ$225&lt;=time,Z56*$F56,"")</f>
        <v/>
      </c>
      <c r="BA56" s="276" t="str">
        <f t="shared" ref="BA56:BA65" si="131">IF(BA$225&lt;=time,AA56*$F56,"")</f>
        <v/>
      </c>
      <c r="BB56" s="276" t="str">
        <f t="shared" ref="BB56:BB65" si="132">IF(BB$225&lt;=time,AB56*$F56,"")</f>
        <v/>
      </c>
      <c r="BC56" s="276" t="str">
        <f t="shared" ref="BC56:BC65" si="133">IF(BC$225&lt;=time,AC56*$F56,"")</f>
        <v/>
      </c>
      <c r="BD56" s="276" t="str">
        <f t="shared" ref="BD56:BD65" si="134">IF(BD$225&lt;=time,AD56*$F56,"")</f>
        <v/>
      </c>
      <c r="BE56" s="276" t="str">
        <f t="shared" ref="BE56:BE65" si="135">IF(BE$225&lt;=time,AE56*$F56,"")</f>
        <v/>
      </c>
      <c r="BF56" s="277" t="str">
        <f t="shared" ref="BF56:BF65" si="136">IF(BF$225&lt;=time,AF56*$F56,"")</f>
        <v/>
      </c>
      <c r="BG56" s="142">
        <f t="array" ref="BG56">(SUM( IF(ISERROR(AH56:BF56),"", AH56:BF56)))/time</f>
        <v>0</v>
      </c>
      <c r="BH56" s="142">
        <f t="shared" si="27"/>
        <v>0</v>
      </c>
      <c r="BI56" s="142">
        <v>1</v>
      </c>
      <c r="BJ56" s="143">
        <f>IF(BO56&gt;0,BG56+BN56,BG56)</f>
        <v>0</v>
      </c>
      <c r="BL56" s="176" t="e">
        <f t="array" ref="BL56">STDEV(IF(AH56:BF56&lt;&gt;0,AH56:BF56))</f>
        <v>#DIV/0!</v>
      </c>
      <c r="BM56" s="176">
        <v>1.96</v>
      </c>
      <c r="BN56" s="176" t="e">
        <f t="shared" ref="BN56:BN65" si="137">(BM56*BL56)/(time^0.5)</f>
        <v>#DIV/0!</v>
      </c>
      <c r="BO56" s="176">
        <f t="shared" si="30"/>
        <v>0</v>
      </c>
    </row>
    <row r="57" spans="1:67" hidden="1">
      <c r="A57" s="280" t="s">
        <v>64</v>
      </c>
      <c r="B57" s="269"/>
      <c r="C57" s="278"/>
      <c r="D57" s="278"/>
      <c r="E57" s="270"/>
      <c r="F57" s="279">
        <f t="shared" si="24"/>
        <v>0</v>
      </c>
      <c r="G57" s="254"/>
      <c r="H57" s="271"/>
      <c r="I57" s="272"/>
      <c r="J57" s="272"/>
      <c r="K57" s="272"/>
      <c r="L57" s="272"/>
      <c r="M57" s="272"/>
      <c r="N57" s="272"/>
      <c r="O57" s="272"/>
      <c r="P57" s="272"/>
      <c r="Q57" s="272"/>
      <c r="R57" s="272"/>
      <c r="S57" s="272"/>
      <c r="T57" s="272"/>
      <c r="U57" s="272"/>
      <c r="V57" s="272"/>
      <c r="W57" s="272"/>
      <c r="X57" s="272"/>
      <c r="Y57" s="272"/>
      <c r="Z57" s="272"/>
      <c r="AA57" s="272"/>
      <c r="AB57" s="272"/>
      <c r="AC57" s="272"/>
      <c r="AD57" s="272"/>
      <c r="AE57" s="272"/>
      <c r="AF57" s="273"/>
      <c r="AG57" s="274">
        <f t="shared" si="25"/>
        <v>0</v>
      </c>
      <c r="AH57" s="275">
        <f t="shared" si="112"/>
        <v>0</v>
      </c>
      <c r="AI57" s="276">
        <f t="shared" si="113"/>
        <v>0</v>
      </c>
      <c r="AJ57" s="276">
        <f t="shared" si="114"/>
        <v>0</v>
      </c>
      <c r="AK57" s="276">
        <f t="shared" si="115"/>
        <v>0</v>
      </c>
      <c r="AL57" s="276">
        <f t="shared" si="116"/>
        <v>0</v>
      </c>
      <c r="AM57" s="276" t="str">
        <f t="shared" si="117"/>
        <v/>
      </c>
      <c r="AN57" s="276" t="str">
        <f t="shared" si="118"/>
        <v/>
      </c>
      <c r="AO57" s="276" t="str">
        <f t="shared" si="119"/>
        <v/>
      </c>
      <c r="AP57" s="276" t="str">
        <f t="shared" si="120"/>
        <v/>
      </c>
      <c r="AQ57" s="276" t="str">
        <f t="shared" si="121"/>
        <v/>
      </c>
      <c r="AR57" s="276" t="str">
        <f t="shared" si="122"/>
        <v/>
      </c>
      <c r="AS57" s="276" t="str">
        <f t="shared" si="123"/>
        <v/>
      </c>
      <c r="AT57" s="276" t="str">
        <f t="shared" si="124"/>
        <v/>
      </c>
      <c r="AU57" s="276" t="str">
        <f t="shared" si="125"/>
        <v/>
      </c>
      <c r="AV57" s="276" t="str">
        <f t="shared" si="126"/>
        <v/>
      </c>
      <c r="AW57" s="276" t="str">
        <f t="shared" si="127"/>
        <v/>
      </c>
      <c r="AX57" s="276" t="str">
        <f t="shared" si="128"/>
        <v/>
      </c>
      <c r="AY57" s="276" t="str">
        <f t="shared" si="129"/>
        <v/>
      </c>
      <c r="AZ57" s="276" t="str">
        <f t="shared" si="130"/>
        <v/>
      </c>
      <c r="BA57" s="276" t="str">
        <f t="shared" si="131"/>
        <v/>
      </c>
      <c r="BB57" s="276" t="str">
        <f t="shared" si="132"/>
        <v/>
      </c>
      <c r="BC57" s="276" t="str">
        <f t="shared" si="133"/>
        <v/>
      </c>
      <c r="BD57" s="276" t="str">
        <f t="shared" si="134"/>
        <v/>
      </c>
      <c r="BE57" s="276" t="str">
        <f t="shared" si="135"/>
        <v/>
      </c>
      <c r="BF57" s="277" t="str">
        <f t="shared" si="136"/>
        <v/>
      </c>
      <c r="BG57" s="142">
        <f t="array" ref="BG57">(SUM( IF(ISERROR(AH57:BF57),"", AH57:BF57)))/time</f>
        <v>0</v>
      </c>
      <c r="BH57" s="142">
        <f t="shared" si="27"/>
        <v>0</v>
      </c>
      <c r="BI57" s="142">
        <v>2</v>
      </c>
      <c r="BJ57" s="143">
        <f t="shared" ref="BJ57:BJ65" si="138">IF(BO57&gt;0,BG57+BN57,BG57)</f>
        <v>0</v>
      </c>
      <c r="BL57" s="176" t="e">
        <f t="array" ref="BL57">STDEV(IF(AH57:BF57&lt;&gt;0,AH57:BF57))</f>
        <v>#DIV/0!</v>
      </c>
      <c r="BM57" s="176">
        <v>1.96</v>
      </c>
      <c r="BN57" s="176" t="e">
        <f t="shared" si="137"/>
        <v>#DIV/0!</v>
      </c>
      <c r="BO57" s="176">
        <f t="shared" si="30"/>
        <v>0</v>
      </c>
    </row>
    <row r="58" spans="1:67" hidden="1">
      <c r="A58" s="280" t="s">
        <v>65</v>
      </c>
      <c r="B58" s="269"/>
      <c r="C58" s="278"/>
      <c r="D58" s="278"/>
      <c r="E58" s="270"/>
      <c r="F58" s="279">
        <f t="shared" si="24"/>
        <v>0</v>
      </c>
      <c r="G58" s="254"/>
      <c r="H58" s="271"/>
      <c r="I58" s="272"/>
      <c r="J58" s="272"/>
      <c r="K58" s="272"/>
      <c r="L58" s="272"/>
      <c r="M58" s="272"/>
      <c r="N58" s="272"/>
      <c r="O58" s="272"/>
      <c r="P58" s="272"/>
      <c r="Q58" s="272"/>
      <c r="R58" s="272"/>
      <c r="S58" s="272"/>
      <c r="T58" s="272"/>
      <c r="U58" s="272"/>
      <c r="V58" s="272"/>
      <c r="W58" s="272"/>
      <c r="X58" s="272"/>
      <c r="Y58" s="272"/>
      <c r="Z58" s="272"/>
      <c r="AA58" s="272"/>
      <c r="AB58" s="272"/>
      <c r="AC58" s="272"/>
      <c r="AD58" s="272"/>
      <c r="AE58" s="272"/>
      <c r="AF58" s="273"/>
      <c r="AG58" s="274">
        <f t="shared" si="25"/>
        <v>0</v>
      </c>
      <c r="AH58" s="275">
        <f t="shared" si="112"/>
        <v>0</v>
      </c>
      <c r="AI58" s="276">
        <f t="shared" si="113"/>
        <v>0</v>
      </c>
      <c r="AJ58" s="276">
        <f t="shared" si="114"/>
        <v>0</v>
      </c>
      <c r="AK58" s="276">
        <f t="shared" si="115"/>
        <v>0</v>
      </c>
      <c r="AL58" s="276">
        <f t="shared" si="116"/>
        <v>0</v>
      </c>
      <c r="AM58" s="276" t="str">
        <f t="shared" si="117"/>
        <v/>
      </c>
      <c r="AN58" s="276" t="str">
        <f t="shared" si="118"/>
        <v/>
      </c>
      <c r="AO58" s="276" t="str">
        <f t="shared" si="119"/>
        <v/>
      </c>
      <c r="AP58" s="276" t="str">
        <f t="shared" si="120"/>
        <v/>
      </c>
      <c r="AQ58" s="276" t="str">
        <f t="shared" si="121"/>
        <v/>
      </c>
      <c r="AR58" s="276" t="str">
        <f t="shared" si="122"/>
        <v/>
      </c>
      <c r="AS58" s="276" t="str">
        <f t="shared" si="123"/>
        <v/>
      </c>
      <c r="AT58" s="276" t="str">
        <f t="shared" si="124"/>
        <v/>
      </c>
      <c r="AU58" s="276" t="str">
        <f t="shared" si="125"/>
        <v/>
      </c>
      <c r="AV58" s="276" t="str">
        <f t="shared" si="126"/>
        <v/>
      </c>
      <c r="AW58" s="276" t="str">
        <f t="shared" si="127"/>
        <v/>
      </c>
      <c r="AX58" s="276" t="str">
        <f t="shared" si="128"/>
        <v/>
      </c>
      <c r="AY58" s="276" t="str">
        <f t="shared" si="129"/>
        <v/>
      </c>
      <c r="AZ58" s="276" t="str">
        <f t="shared" si="130"/>
        <v/>
      </c>
      <c r="BA58" s="276" t="str">
        <f t="shared" si="131"/>
        <v/>
      </c>
      <c r="BB58" s="276" t="str">
        <f t="shared" si="132"/>
        <v/>
      </c>
      <c r="BC58" s="276" t="str">
        <f t="shared" si="133"/>
        <v/>
      </c>
      <c r="BD58" s="276" t="str">
        <f t="shared" si="134"/>
        <v/>
      </c>
      <c r="BE58" s="276" t="str">
        <f t="shared" si="135"/>
        <v/>
      </c>
      <c r="BF58" s="277" t="str">
        <f t="shared" si="136"/>
        <v/>
      </c>
      <c r="BG58" s="142">
        <f t="array" ref="BG58">(SUM( IF(ISERROR(AH58:BF58),"", AH58:BF58)))/time</f>
        <v>0</v>
      </c>
      <c r="BH58" s="142">
        <f t="shared" si="27"/>
        <v>0</v>
      </c>
      <c r="BI58" s="142">
        <v>3</v>
      </c>
      <c r="BJ58" s="143">
        <f t="shared" si="138"/>
        <v>0</v>
      </c>
      <c r="BL58" s="176" t="e">
        <f t="array" ref="BL58">STDEV(IF(AH58:BF58&lt;&gt;0,AH58:BF58))</f>
        <v>#DIV/0!</v>
      </c>
      <c r="BM58" s="176">
        <v>1.96</v>
      </c>
      <c r="BN58" s="176" t="e">
        <f t="shared" si="137"/>
        <v>#DIV/0!</v>
      </c>
      <c r="BO58" s="176">
        <f t="shared" si="30"/>
        <v>0</v>
      </c>
    </row>
    <row r="59" spans="1:67" hidden="1">
      <c r="A59" s="280" t="s">
        <v>66</v>
      </c>
      <c r="B59" s="269"/>
      <c r="C59" s="278"/>
      <c r="D59" s="278"/>
      <c r="E59" s="270"/>
      <c r="F59" s="279">
        <f t="shared" si="24"/>
        <v>0</v>
      </c>
      <c r="G59" s="254"/>
      <c r="H59" s="271"/>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3"/>
      <c r="AG59" s="274">
        <f t="shared" si="25"/>
        <v>0</v>
      </c>
      <c r="AH59" s="275">
        <f t="shared" si="112"/>
        <v>0</v>
      </c>
      <c r="AI59" s="276">
        <f t="shared" si="113"/>
        <v>0</v>
      </c>
      <c r="AJ59" s="276">
        <f t="shared" si="114"/>
        <v>0</v>
      </c>
      <c r="AK59" s="276">
        <f t="shared" si="115"/>
        <v>0</v>
      </c>
      <c r="AL59" s="276">
        <f t="shared" si="116"/>
        <v>0</v>
      </c>
      <c r="AM59" s="276" t="str">
        <f t="shared" si="117"/>
        <v/>
      </c>
      <c r="AN59" s="276" t="str">
        <f t="shared" si="118"/>
        <v/>
      </c>
      <c r="AO59" s="276" t="str">
        <f t="shared" si="119"/>
        <v/>
      </c>
      <c r="AP59" s="276" t="str">
        <f t="shared" si="120"/>
        <v/>
      </c>
      <c r="AQ59" s="276" t="str">
        <f t="shared" si="121"/>
        <v/>
      </c>
      <c r="AR59" s="276" t="str">
        <f t="shared" si="122"/>
        <v/>
      </c>
      <c r="AS59" s="276" t="str">
        <f t="shared" si="123"/>
        <v/>
      </c>
      <c r="AT59" s="276" t="str">
        <f t="shared" si="124"/>
        <v/>
      </c>
      <c r="AU59" s="276" t="str">
        <f t="shared" si="125"/>
        <v/>
      </c>
      <c r="AV59" s="276" t="str">
        <f t="shared" si="126"/>
        <v/>
      </c>
      <c r="AW59" s="276" t="str">
        <f t="shared" si="127"/>
        <v/>
      </c>
      <c r="AX59" s="276" t="str">
        <f t="shared" si="128"/>
        <v/>
      </c>
      <c r="AY59" s="276" t="str">
        <f t="shared" si="129"/>
        <v/>
      </c>
      <c r="AZ59" s="276" t="str">
        <f t="shared" si="130"/>
        <v/>
      </c>
      <c r="BA59" s="276" t="str">
        <f t="shared" si="131"/>
        <v/>
      </c>
      <c r="BB59" s="276" t="str">
        <f t="shared" si="132"/>
        <v/>
      </c>
      <c r="BC59" s="276" t="str">
        <f t="shared" si="133"/>
        <v/>
      </c>
      <c r="BD59" s="276" t="str">
        <f t="shared" si="134"/>
        <v/>
      </c>
      <c r="BE59" s="276" t="str">
        <f t="shared" si="135"/>
        <v/>
      </c>
      <c r="BF59" s="277" t="str">
        <f t="shared" si="136"/>
        <v/>
      </c>
      <c r="BG59" s="142">
        <f t="array" ref="BG59">(SUM( IF(ISERROR(AH59:BF59),"", AH59:BF59)))/time</f>
        <v>0</v>
      </c>
      <c r="BH59" s="142">
        <f t="shared" si="27"/>
        <v>0</v>
      </c>
      <c r="BI59" s="142">
        <v>4</v>
      </c>
      <c r="BJ59" s="143">
        <f t="shared" si="138"/>
        <v>0</v>
      </c>
      <c r="BL59" s="176" t="e">
        <f t="array" ref="BL59">STDEV(IF(AH59:BF59&lt;&gt;0,AH59:BF59))</f>
        <v>#DIV/0!</v>
      </c>
      <c r="BM59" s="176">
        <v>1.96</v>
      </c>
      <c r="BN59" s="176" t="e">
        <f t="shared" si="137"/>
        <v>#DIV/0!</v>
      </c>
      <c r="BO59" s="176">
        <f t="shared" si="30"/>
        <v>0</v>
      </c>
    </row>
    <row r="60" spans="1:67" hidden="1">
      <c r="A60" s="280" t="s">
        <v>67</v>
      </c>
      <c r="B60" s="269"/>
      <c r="C60" s="278"/>
      <c r="D60" s="278"/>
      <c r="E60" s="270"/>
      <c r="F60" s="279">
        <f t="shared" si="24"/>
        <v>0</v>
      </c>
      <c r="G60" s="254"/>
      <c r="H60" s="271"/>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3"/>
      <c r="AG60" s="274">
        <f t="shared" si="25"/>
        <v>0</v>
      </c>
      <c r="AH60" s="275">
        <f t="shared" si="112"/>
        <v>0</v>
      </c>
      <c r="AI60" s="276">
        <f t="shared" si="113"/>
        <v>0</v>
      </c>
      <c r="AJ60" s="276">
        <f t="shared" si="114"/>
        <v>0</v>
      </c>
      <c r="AK60" s="276">
        <f t="shared" si="115"/>
        <v>0</v>
      </c>
      <c r="AL60" s="276">
        <f t="shared" si="116"/>
        <v>0</v>
      </c>
      <c r="AM60" s="276" t="str">
        <f t="shared" si="117"/>
        <v/>
      </c>
      <c r="AN60" s="276" t="str">
        <f t="shared" si="118"/>
        <v/>
      </c>
      <c r="AO60" s="276" t="str">
        <f t="shared" si="119"/>
        <v/>
      </c>
      <c r="AP60" s="276" t="str">
        <f t="shared" si="120"/>
        <v/>
      </c>
      <c r="AQ60" s="276" t="str">
        <f t="shared" si="121"/>
        <v/>
      </c>
      <c r="AR60" s="276" t="str">
        <f t="shared" si="122"/>
        <v/>
      </c>
      <c r="AS60" s="276" t="str">
        <f t="shared" si="123"/>
        <v/>
      </c>
      <c r="AT60" s="276" t="str">
        <f t="shared" si="124"/>
        <v/>
      </c>
      <c r="AU60" s="276" t="str">
        <f t="shared" si="125"/>
        <v/>
      </c>
      <c r="AV60" s="276" t="str">
        <f t="shared" si="126"/>
        <v/>
      </c>
      <c r="AW60" s="276" t="str">
        <f t="shared" si="127"/>
        <v/>
      </c>
      <c r="AX60" s="276" t="str">
        <f t="shared" si="128"/>
        <v/>
      </c>
      <c r="AY60" s="276" t="str">
        <f t="shared" si="129"/>
        <v/>
      </c>
      <c r="AZ60" s="276" t="str">
        <f t="shared" si="130"/>
        <v/>
      </c>
      <c r="BA60" s="276" t="str">
        <f t="shared" si="131"/>
        <v/>
      </c>
      <c r="BB60" s="276" t="str">
        <f t="shared" si="132"/>
        <v/>
      </c>
      <c r="BC60" s="276" t="str">
        <f t="shared" si="133"/>
        <v/>
      </c>
      <c r="BD60" s="276" t="str">
        <f t="shared" si="134"/>
        <v/>
      </c>
      <c r="BE60" s="276" t="str">
        <f t="shared" si="135"/>
        <v/>
      </c>
      <c r="BF60" s="277" t="str">
        <f t="shared" si="136"/>
        <v/>
      </c>
      <c r="BG60" s="142">
        <f t="array" ref="BG60">(SUM( IF(ISERROR(AH60:BF60),"", AH60:BF60)))/time</f>
        <v>0</v>
      </c>
      <c r="BH60" s="142">
        <f t="shared" si="27"/>
        <v>0</v>
      </c>
      <c r="BI60" s="142">
        <v>5</v>
      </c>
      <c r="BJ60" s="143">
        <f t="shared" si="138"/>
        <v>0</v>
      </c>
      <c r="BL60" s="176" t="e">
        <f t="array" ref="BL60">STDEV(IF(AH60:BF60&lt;&gt;0,AH60:BF60))</f>
        <v>#DIV/0!</v>
      </c>
      <c r="BM60" s="176">
        <v>1.96</v>
      </c>
      <c r="BN60" s="176" t="e">
        <f t="shared" si="137"/>
        <v>#DIV/0!</v>
      </c>
      <c r="BO60" s="176">
        <f t="shared" si="30"/>
        <v>0</v>
      </c>
    </row>
    <row r="61" spans="1:67" hidden="1">
      <c r="A61" s="280" t="s">
        <v>68</v>
      </c>
      <c r="B61" s="269"/>
      <c r="C61" s="278"/>
      <c r="D61" s="278"/>
      <c r="E61" s="270"/>
      <c r="F61" s="279">
        <f t="shared" si="24"/>
        <v>0</v>
      </c>
      <c r="G61" s="254"/>
      <c r="H61" s="271"/>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3"/>
      <c r="AG61" s="274">
        <f t="shared" si="25"/>
        <v>0</v>
      </c>
      <c r="AH61" s="275">
        <f t="shared" si="112"/>
        <v>0</v>
      </c>
      <c r="AI61" s="276">
        <f t="shared" si="113"/>
        <v>0</v>
      </c>
      <c r="AJ61" s="276">
        <f t="shared" si="114"/>
        <v>0</v>
      </c>
      <c r="AK61" s="276">
        <f t="shared" si="115"/>
        <v>0</v>
      </c>
      <c r="AL61" s="276">
        <f t="shared" si="116"/>
        <v>0</v>
      </c>
      <c r="AM61" s="276" t="str">
        <f t="shared" si="117"/>
        <v/>
      </c>
      <c r="AN61" s="276" t="str">
        <f t="shared" si="118"/>
        <v/>
      </c>
      <c r="AO61" s="276" t="str">
        <f t="shared" si="119"/>
        <v/>
      </c>
      <c r="AP61" s="276" t="str">
        <f t="shared" si="120"/>
        <v/>
      </c>
      <c r="AQ61" s="276" t="str">
        <f t="shared" si="121"/>
        <v/>
      </c>
      <c r="AR61" s="276" t="str">
        <f t="shared" si="122"/>
        <v/>
      </c>
      <c r="AS61" s="276" t="str">
        <f t="shared" si="123"/>
        <v/>
      </c>
      <c r="AT61" s="276" t="str">
        <f t="shared" si="124"/>
        <v/>
      </c>
      <c r="AU61" s="276" t="str">
        <f t="shared" si="125"/>
        <v/>
      </c>
      <c r="AV61" s="276" t="str">
        <f t="shared" si="126"/>
        <v/>
      </c>
      <c r="AW61" s="276" t="str">
        <f t="shared" si="127"/>
        <v/>
      </c>
      <c r="AX61" s="276" t="str">
        <f t="shared" si="128"/>
        <v/>
      </c>
      <c r="AY61" s="276" t="str">
        <f t="shared" si="129"/>
        <v/>
      </c>
      <c r="AZ61" s="276" t="str">
        <f t="shared" si="130"/>
        <v/>
      </c>
      <c r="BA61" s="276" t="str">
        <f t="shared" si="131"/>
        <v/>
      </c>
      <c r="BB61" s="276" t="str">
        <f t="shared" si="132"/>
        <v/>
      </c>
      <c r="BC61" s="276" t="str">
        <f t="shared" si="133"/>
        <v/>
      </c>
      <c r="BD61" s="276" t="str">
        <f t="shared" si="134"/>
        <v/>
      </c>
      <c r="BE61" s="276" t="str">
        <f t="shared" si="135"/>
        <v/>
      </c>
      <c r="BF61" s="277" t="str">
        <f t="shared" si="136"/>
        <v/>
      </c>
      <c r="BG61" s="142">
        <f t="array" ref="BG61">(SUM( IF(ISERROR(AH61:BF61),"", AH61:BF61)))/time</f>
        <v>0</v>
      </c>
      <c r="BH61" s="142">
        <f t="shared" si="27"/>
        <v>0</v>
      </c>
      <c r="BI61" s="142">
        <v>6</v>
      </c>
      <c r="BJ61" s="143">
        <f t="shared" si="138"/>
        <v>0</v>
      </c>
      <c r="BL61" s="176" t="e">
        <f t="array" ref="BL61">STDEV(IF(AH61:BF61&lt;&gt;0,AH61:BF61))</f>
        <v>#DIV/0!</v>
      </c>
      <c r="BM61" s="176">
        <v>1.96</v>
      </c>
      <c r="BN61" s="176" t="e">
        <f t="shared" si="137"/>
        <v>#DIV/0!</v>
      </c>
      <c r="BO61" s="176">
        <f t="shared" si="30"/>
        <v>0</v>
      </c>
    </row>
    <row r="62" spans="1:67" hidden="1">
      <c r="A62" s="280" t="s">
        <v>69</v>
      </c>
      <c r="B62" s="269"/>
      <c r="C62" s="278"/>
      <c r="D62" s="278"/>
      <c r="E62" s="270"/>
      <c r="F62" s="279">
        <f t="shared" si="24"/>
        <v>0</v>
      </c>
      <c r="G62" s="254"/>
      <c r="H62" s="271"/>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3"/>
      <c r="AG62" s="274">
        <f t="shared" si="25"/>
        <v>0</v>
      </c>
      <c r="AH62" s="275">
        <f t="shared" si="112"/>
        <v>0</v>
      </c>
      <c r="AI62" s="276">
        <f t="shared" si="113"/>
        <v>0</v>
      </c>
      <c r="AJ62" s="276">
        <f t="shared" si="114"/>
        <v>0</v>
      </c>
      <c r="AK62" s="276">
        <f t="shared" si="115"/>
        <v>0</v>
      </c>
      <c r="AL62" s="276">
        <f t="shared" si="116"/>
        <v>0</v>
      </c>
      <c r="AM62" s="276" t="str">
        <f t="shared" si="117"/>
        <v/>
      </c>
      <c r="AN62" s="276" t="str">
        <f t="shared" si="118"/>
        <v/>
      </c>
      <c r="AO62" s="276" t="str">
        <f t="shared" si="119"/>
        <v/>
      </c>
      <c r="AP62" s="276" t="str">
        <f t="shared" si="120"/>
        <v/>
      </c>
      <c r="AQ62" s="276" t="str">
        <f t="shared" si="121"/>
        <v/>
      </c>
      <c r="AR62" s="276" t="str">
        <f t="shared" si="122"/>
        <v/>
      </c>
      <c r="AS62" s="276" t="str">
        <f t="shared" si="123"/>
        <v/>
      </c>
      <c r="AT62" s="276" t="str">
        <f t="shared" si="124"/>
        <v/>
      </c>
      <c r="AU62" s="276" t="str">
        <f t="shared" si="125"/>
        <v/>
      </c>
      <c r="AV62" s="276" t="str">
        <f t="shared" si="126"/>
        <v/>
      </c>
      <c r="AW62" s="276" t="str">
        <f t="shared" si="127"/>
        <v/>
      </c>
      <c r="AX62" s="276" t="str">
        <f t="shared" si="128"/>
        <v/>
      </c>
      <c r="AY62" s="276" t="str">
        <f t="shared" si="129"/>
        <v/>
      </c>
      <c r="AZ62" s="276" t="str">
        <f t="shared" si="130"/>
        <v/>
      </c>
      <c r="BA62" s="276" t="str">
        <f t="shared" si="131"/>
        <v/>
      </c>
      <c r="BB62" s="276" t="str">
        <f t="shared" si="132"/>
        <v/>
      </c>
      <c r="BC62" s="276" t="str">
        <f t="shared" si="133"/>
        <v/>
      </c>
      <c r="BD62" s="276" t="str">
        <f t="shared" si="134"/>
        <v/>
      </c>
      <c r="BE62" s="276" t="str">
        <f t="shared" si="135"/>
        <v/>
      </c>
      <c r="BF62" s="277" t="str">
        <f t="shared" si="136"/>
        <v/>
      </c>
      <c r="BG62" s="142">
        <f t="array" ref="BG62">(SUM( IF(ISERROR(AH62:BF62),"", AH62:BF62)))/time</f>
        <v>0</v>
      </c>
      <c r="BH62" s="142">
        <f t="shared" si="27"/>
        <v>0</v>
      </c>
      <c r="BI62" s="142">
        <v>7</v>
      </c>
      <c r="BJ62" s="143">
        <f t="shared" si="138"/>
        <v>0</v>
      </c>
      <c r="BL62" s="176" t="e">
        <f t="array" ref="BL62">STDEV(IF(AH62:BF62&lt;&gt;0,AH62:BF62))</f>
        <v>#DIV/0!</v>
      </c>
      <c r="BM62" s="176">
        <v>1.96</v>
      </c>
      <c r="BN62" s="176" t="e">
        <f t="shared" si="137"/>
        <v>#DIV/0!</v>
      </c>
      <c r="BO62" s="176">
        <f t="shared" si="30"/>
        <v>0</v>
      </c>
    </row>
    <row r="63" spans="1:67" hidden="1">
      <c r="A63" s="280" t="s">
        <v>70</v>
      </c>
      <c r="B63" s="269"/>
      <c r="C63" s="278"/>
      <c r="D63" s="278"/>
      <c r="E63" s="270"/>
      <c r="F63" s="279">
        <f t="shared" si="24"/>
        <v>0</v>
      </c>
      <c r="G63" s="254"/>
      <c r="H63" s="271"/>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3"/>
      <c r="AG63" s="274">
        <f t="shared" si="25"/>
        <v>0</v>
      </c>
      <c r="AH63" s="275">
        <f t="shared" si="112"/>
        <v>0</v>
      </c>
      <c r="AI63" s="276">
        <f t="shared" si="113"/>
        <v>0</v>
      </c>
      <c r="AJ63" s="276">
        <f t="shared" si="114"/>
        <v>0</v>
      </c>
      <c r="AK63" s="276">
        <f t="shared" si="115"/>
        <v>0</v>
      </c>
      <c r="AL63" s="276">
        <f t="shared" si="116"/>
        <v>0</v>
      </c>
      <c r="AM63" s="276" t="str">
        <f t="shared" si="117"/>
        <v/>
      </c>
      <c r="AN63" s="276" t="str">
        <f t="shared" si="118"/>
        <v/>
      </c>
      <c r="AO63" s="276" t="str">
        <f t="shared" si="119"/>
        <v/>
      </c>
      <c r="AP63" s="276" t="str">
        <f t="shared" si="120"/>
        <v/>
      </c>
      <c r="AQ63" s="276" t="str">
        <f t="shared" si="121"/>
        <v/>
      </c>
      <c r="AR63" s="276" t="str">
        <f t="shared" si="122"/>
        <v/>
      </c>
      <c r="AS63" s="276" t="str">
        <f t="shared" si="123"/>
        <v/>
      </c>
      <c r="AT63" s="276" t="str">
        <f t="shared" si="124"/>
        <v/>
      </c>
      <c r="AU63" s="276" t="str">
        <f t="shared" si="125"/>
        <v/>
      </c>
      <c r="AV63" s="276" t="str">
        <f t="shared" si="126"/>
        <v/>
      </c>
      <c r="AW63" s="276" t="str">
        <f t="shared" si="127"/>
        <v/>
      </c>
      <c r="AX63" s="276" t="str">
        <f t="shared" si="128"/>
        <v/>
      </c>
      <c r="AY63" s="276" t="str">
        <f t="shared" si="129"/>
        <v/>
      </c>
      <c r="AZ63" s="276" t="str">
        <f t="shared" si="130"/>
        <v/>
      </c>
      <c r="BA63" s="276" t="str">
        <f t="shared" si="131"/>
        <v/>
      </c>
      <c r="BB63" s="276" t="str">
        <f t="shared" si="132"/>
        <v/>
      </c>
      <c r="BC63" s="276" t="str">
        <f t="shared" si="133"/>
        <v/>
      </c>
      <c r="BD63" s="276" t="str">
        <f t="shared" si="134"/>
        <v/>
      </c>
      <c r="BE63" s="276" t="str">
        <f t="shared" si="135"/>
        <v/>
      </c>
      <c r="BF63" s="277" t="str">
        <f t="shared" si="136"/>
        <v/>
      </c>
      <c r="BG63" s="142">
        <f t="array" ref="BG63">(SUM( IF(ISERROR(AH63:BF63),"", AH63:BF63)))/time</f>
        <v>0</v>
      </c>
      <c r="BH63" s="142">
        <f t="shared" si="27"/>
        <v>0</v>
      </c>
      <c r="BI63" s="142">
        <v>8</v>
      </c>
      <c r="BJ63" s="143">
        <f t="shared" si="138"/>
        <v>0</v>
      </c>
      <c r="BL63" s="176" t="e">
        <f t="array" ref="BL63">STDEV(IF(AH63:BF63&lt;&gt;0,AH63:BF63))</f>
        <v>#DIV/0!</v>
      </c>
      <c r="BM63" s="176">
        <v>1.96</v>
      </c>
      <c r="BN63" s="176" t="e">
        <f t="shared" si="137"/>
        <v>#DIV/0!</v>
      </c>
      <c r="BO63" s="176">
        <f t="shared" si="30"/>
        <v>0</v>
      </c>
    </row>
    <row r="64" spans="1:67" hidden="1">
      <c r="A64" s="280" t="s">
        <v>71</v>
      </c>
      <c r="B64" s="269"/>
      <c r="C64" s="278"/>
      <c r="D64" s="278"/>
      <c r="E64" s="270"/>
      <c r="F64" s="279">
        <f t="shared" si="24"/>
        <v>0</v>
      </c>
      <c r="G64" s="254"/>
      <c r="H64" s="271"/>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3"/>
      <c r="AG64" s="274">
        <f t="shared" si="25"/>
        <v>0</v>
      </c>
      <c r="AH64" s="275">
        <f t="shared" si="112"/>
        <v>0</v>
      </c>
      <c r="AI64" s="276">
        <f t="shared" si="113"/>
        <v>0</v>
      </c>
      <c r="AJ64" s="276">
        <f t="shared" si="114"/>
        <v>0</v>
      </c>
      <c r="AK64" s="276">
        <f t="shared" si="115"/>
        <v>0</v>
      </c>
      <c r="AL64" s="276">
        <f t="shared" si="116"/>
        <v>0</v>
      </c>
      <c r="AM64" s="276" t="str">
        <f t="shared" si="117"/>
        <v/>
      </c>
      <c r="AN64" s="276" t="str">
        <f t="shared" si="118"/>
        <v/>
      </c>
      <c r="AO64" s="276" t="str">
        <f t="shared" si="119"/>
        <v/>
      </c>
      <c r="AP64" s="276" t="str">
        <f t="shared" si="120"/>
        <v/>
      </c>
      <c r="AQ64" s="276" t="str">
        <f t="shared" si="121"/>
        <v/>
      </c>
      <c r="AR64" s="276" t="str">
        <f t="shared" si="122"/>
        <v/>
      </c>
      <c r="AS64" s="276" t="str">
        <f t="shared" si="123"/>
        <v/>
      </c>
      <c r="AT64" s="276" t="str">
        <f t="shared" si="124"/>
        <v/>
      </c>
      <c r="AU64" s="276" t="str">
        <f t="shared" si="125"/>
        <v/>
      </c>
      <c r="AV64" s="276" t="str">
        <f t="shared" si="126"/>
        <v/>
      </c>
      <c r="AW64" s="276" t="str">
        <f t="shared" si="127"/>
        <v/>
      </c>
      <c r="AX64" s="276" t="str">
        <f t="shared" si="128"/>
        <v/>
      </c>
      <c r="AY64" s="276" t="str">
        <f t="shared" si="129"/>
        <v/>
      </c>
      <c r="AZ64" s="276" t="str">
        <f t="shared" si="130"/>
        <v/>
      </c>
      <c r="BA64" s="276" t="str">
        <f t="shared" si="131"/>
        <v/>
      </c>
      <c r="BB64" s="276" t="str">
        <f t="shared" si="132"/>
        <v/>
      </c>
      <c r="BC64" s="276" t="str">
        <f t="shared" si="133"/>
        <v/>
      </c>
      <c r="BD64" s="276" t="str">
        <f t="shared" si="134"/>
        <v/>
      </c>
      <c r="BE64" s="276" t="str">
        <f t="shared" si="135"/>
        <v/>
      </c>
      <c r="BF64" s="277" t="str">
        <f t="shared" si="136"/>
        <v/>
      </c>
      <c r="BG64" s="142">
        <f t="array" ref="BG64">(SUM( IF(ISERROR(AH64:BF64),"", AH64:BF64)))/time</f>
        <v>0</v>
      </c>
      <c r="BH64" s="142">
        <f t="shared" si="27"/>
        <v>0</v>
      </c>
      <c r="BI64" s="142">
        <v>9</v>
      </c>
      <c r="BJ64" s="143">
        <f t="shared" si="138"/>
        <v>0</v>
      </c>
      <c r="BL64" s="176" t="e">
        <f t="array" ref="BL64">STDEV(IF(AH64:BF64&lt;&gt;0,AH64:BF64))</f>
        <v>#DIV/0!</v>
      </c>
      <c r="BM64" s="176">
        <v>1.96</v>
      </c>
      <c r="BN64" s="176" t="e">
        <f t="shared" si="137"/>
        <v>#DIV/0!</v>
      </c>
      <c r="BO64" s="176">
        <f t="shared" si="30"/>
        <v>0</v>
      </c>
    </row>
    <row r="65" spans="1:67" hidden="1">
      <c r="A65" s="280" t="s">
        <v>72</v>
      </c>
      <c r="B65" s="269"/>
      <c r="C65" s="278"/>
      <c r="D65" s="278"/>
      <c r="E65" s="270"/>
      <c r="F65" s="279">
        <f t="shared" si="24"/>
        <v>0</v>
      </c>
      <c r="G65" s="254"/>
      <c r="H65" s="271"/>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3"/>
      <c r="AG65" s="274">
        <f t="shared" si="25"/>
        <v>0</v>
      </c>
      <c r="AH65" s="275">
        <f t="shared" si="112"/>
        <v>0</v>
      </c>
      <c r="AI65" s="276">
        <f t="shared" si="113"/>
        <v>0</v>
      </c>
      <c r="AJ65" s="276">
        <f t="shared" si="114"/>
        <v>0</v>
      </c>
      <c r="AK65" s="276">
        <f t="shared" si="115"/>
        <v>0</v>
      </c>
      <c r="AL65" s="276">
        <f t="shared" si="116"/>
        <v>0</v>
      </c>
      <c r="AM65" s="276" t="str">
        <f t="shared" si="117"/>
        <v/>
      </c>
      <c r="AN65" s="276" t="str">
        <f t="shared" si="118"/>
        <v/>
      </c>
      <c r="AO65" s="276" t="str">
        <f t="shared" si="119"/>
        <v/>
      </c>
      <c r="AP65" s="276" t="str">
        <f t="shared" si="120"/>
        <v/>
      </c>
      <c r="AQ65" s="276" t="str">
        <f t="shared" si="121"/>
        <v/>
      </c>
      <c r="AR65" s="276" t="str">
        <f t="shared" si="122"/>
        <v/>
      </c>
      <c r="AS65" s="276" t="str">
        <f t="shared" si="123"/>
        <v/>
      </c>
      <c r="AT65" s="276" t="str">
        <f t="shared" si="124"/>
        <v/>
      </c>
      <c r="AU65" s="276" t="str">
        <f t="shared" si="125"/>
        <v/>
      </c>
      <c r="AV65" s="276" t="str">
        <f t="shared" si="126"/>
        <v/>
      </c>
      <c r="AW65" s="276" t="str">
        <f t="shared" si="127"/>
        <v/>
      </c>
      <c r="AX65" s="276" t="str">
        <f t="shared" si="128"/>
        <v/>
      </c>
      <c r="AY65" s="276" t="str">
        <f t="shared" si="129"/>
        <v/>
      </c>
      <c r="AZ65" s="276" t="str">
        <f t="shared" si="130"/>
        <v/>
      </c>
      <c r="BA65" s="276" t="str">
        <f t="shared" si="131"/>
        <v/>
      </c>
      <c r="BB65" s="276" t="str">
        <f t="shared" si="132"/>
        <v/>
      </c>
      <c r="BC65" s="276" t="str">
        <f t="shared" si="133"/>
        <v/>
      </c>
      <c r="BD65" s="276" t="str">
        <f t="shared" si="134"/>
        <v/>
      </c>
      <c r="BE65" s="276" t="str">
        <f t="shared" si="135"/>
        <v/>
      </c>
      <c r="BF65" s="277" t="str">
        <f t="shared" si="136"/>
        <v/>
      </c>
      <c r="BG65" s="142">
        <f t="array" ref="BG65">(SUM( IF(ISERROR(AH65:BF65),"", AH65:BF65)))/time</f>
        <v>0</v>
      </c>
      <c r="BH65" s="142">
        <f t="shared" si="27"/>
        <v>0</v>
      </c>
      <c r="BI65" s="142">
        <v>10</v>
      </c>
      <c r="BJ65" s="143">
        <f t="shared" si="138"/>
        <v>0</v>
      </c>
      <c r="BL65" s="176" t="e">
        <f t="array" ref="BL65">STDEV(IF(AH65:BF65&lt;&gt;0,AH65:BF65))</f>
        <v>#DIV/0!</v>
      </c>
      <c r="BM65" s="176">
        <v>1.96</v>
      </c>
      <c r="BN65" s="176" t="e">
        <f t="shared" si="137"/>
        <v>#DIV/0!</v>
      </c>
      <c r="BO65" s="176">
        <f t="shared" si="30"/>
        <v>0</v>
      </c>
    </row>
    <row r="66" spans="1:67" s="196" customFormat="1">
      <c r="A66" s="292" t="s">
        <v>16</v>
      </c>
      <c r="F66" s="203"/>
      <c r="H66" s="202"/>
      <c r="AG66" s="291"/>
      <c r="AH66" s="202"/>
      <c r="BJ66" s="203"/>
    </row>
    <row r="67" spans="1:67">
      <c r="A67" s="848" t="s">
        <v>73</v>
      </c>
      <c r="B67" s="839"/>
      <c r="C67" s="845"/>
      <c r="D67" s="845"/>
      <c r="E67" s="847"/>
      <c r="F67" s="846">
        <f t="shared" si="24"/>
        <v>0</v>
      </c>
      <c r="G67" s="254"/>
      <c r="H67" s="842"/>
      <c r="I67" s="843"/>
      <c r="J67" s="843"/>
      <c r="K67" s="843"/>
      <c r="L67" s="843"/>
      <c r="M67" s="272"/>
      <c r="N67" s="272"/>
      <c r="O67" s="272"/>
      <c r="P67" s="272"/>
      <c r="Q67" s="272"/>
      <c r="R67" s="272"/>
      <c r="S67" s="272"/>
      <c r="T67" s="272"/>
      <c r="U67" s="272"/>
      <c r="V67" s="272"/>
      <c r="W67" s="272"/>
      <c r="X67" s="272"/>
      <c r="Y67" s="272"/>
      <c r="Z67" s="272"/>
      <c r="AA67" s="272"/>
      <c r="AB67" s="272"/>
      <c r="AC67" s="272"/>
      <c r="AD67" s="272"/>
      <c r="AE67" s="272"/>
      <c r="AF67" s="273"/>
      <c r="AG67" s="274">
        <f t="shared" si="25"/>
        <v>0</v>
      </c>
      <c r="AH67" s="275">
        <f t="shared" ref="AH67:AH76" si="139">IF(AH$225&lt;=time,H67*$F67,"")</f>
        <v>0</v>
      </c>
      <c r="AI67" s="276">
        <f t="shared" ref="AI67:AI76" si="140">IF(AI$225&lt;=time,I67*$F67,"")</f>
        <v>0</v>
      </c>
      <c r="AJ67" s="276">
        <f t="shared" ref="AJ67:AJ76" si="141">IF(AJ$225&lt;=time,J67*$F67,"")</f>
        <v>0</v>
      </c>
      <c r="AK67" s="276">
        <f t="shared" ref="AK67:AK76" si="142">IF(AK$225&lt;=time,K67*$F67,"")</f>
        <v>0</v>
      </c>
      <c r="AL67" s="276">
        <f t="shared" ref="AL67:AL76" si="143">IF(AL$225&lt;=time,L67*$F67,"")</f>
        <v>0</v>
      </c>
      <c r="AM67" s="276" t="str">
        <f t="shared" ref="AM67:AM76" si="144">IF(AM$225&lt;=time,M67*$F67,"")</f>
        <v/>
      </c>
      <c r="AN67" s="276" t="str">
        <f t="shared" ref="AN67:AN76" si="145">IF(AN$225&lt;=time,N67*$F67,"")</f>
        <v/>
      </c>
      <c r="AO67" s="276" t="str">
        <f t="shared" ref="AO67:AO76" si="146">IF(AO$225&lt;=time,O67*$F67,"")</f>
        <v/>
      </c>
      <c r="AP67" s="276" t="str">
        <f t="shared" ref="AP67:AP76" si="147">IF(AP$225&lt;=time,P67*$F67,"")</f>
        <v/>
      </c>
      <c r="AQ67" s="276" t="str">
        <f t="shared" ref="AQ67:AQ76" si="148">IF(AQ$225&lt;=time,Q67*$F67,"")</f>
        <v/>
      </c>
      <c r="AR67" s="276" t="str">
        <f t="shared" ref="AR67:AR76" si="149">IF(AR$225&lt;=time,R67*$F67,"")</f>
        <v/>
      </c>
      <c r="AS67" s="276" t="str">
        <f t="shared" ref="AS67:AS76" si="150">IF(AS$225&lt;=time,S67*$F67,"")</f>
        <v/>
      </c>
      <c r="AT67" s="276" t="str">
        <f t="shared" ref="AT67:AT76" si="151">IF(AT$225&lt;=time,T67*$F67,"")</f>
        <v/>
      </c>
      <c r="AU67" s="276" t="str">
        <f t="shared" ref="AU67:AU76" si="152">IF(AU$225&lt;=time,U67*$F67,"")</f>
        <v/>
      </c>
      <c r="AV67" s="276" t="str">
        <f t="shared" ref="AV67:AV76" si="153">IF(AV$225&lt;=time,V67*$F67,"")</f>
        <v/>
      </c>
      <c r="AW67" s="276" t="str">
        <f t="shared" ref="AW67:AW76" si="154">IF(AW$225&lt;=time,W67*$F67,"")</f>
        <v/>
      </c>
      <c r="AX67" s="276" t="str">
        <f t="shared" ref="AX67:AX76" si="155">IF(AX$225&lt;=time,X67*$F67,"")</f>
        <v/>
      </c>
      <c r="AY67" s="276" t="str">
        <f t="shared" ref="AY67:AY76" si="156">IF(AY$225&lt;=time,Y67*$F67,"")</f>
        <v/>
      </c>
      <c r="AZ67" s="276" t="str">
        <f t="shared" ref="AZ67:AZ76" si="157">IF(AZ$225&lt;=time,Z67*$F67,"")</f>
        <v/>
      </c>
      <c r="BA67" s="276" t="str">
        <f t="shared" ref="BA67:BA76" si="158">IF(BA$225&lt;=time,AA67*$F67,"")</f>
        <v/>
      </c>
      <c r="BB67" s="276" t="str">
        <f t="shared" ref="BB67:BB76" si="159">IF(BB$225&lt;=time,AB67*$F67,"")</f>
        <v/>
      </c>
      <c r="BC67" s="276" t="str">
        <f t="shared" ref="BC67:BC76" si="160">IF(BC$225&lt;=time,AC67*$F67,"")</f>
        <v/>
      </c>
      <c r="BD67" s="276" t="str">
        <f t="shared" ref="BD67:BD76" si="161">IF(BD$225&lt;=time,AD67*$F67,"")</f>
        <v/>
      </c>
      <c r="BE67" s="276" t="str">
        <f t="shared" ref="BE67:BE76" si="162">IF(BE$225&lt;=time,AE67*$F67,"")</f>
        <v/>
      </c>
      <c r="BF67" s="277" t="str">
        <f t="shared" ref="BF67:BF76" si="163">IF(BF$225&lt;=time,AF67*$F67,"")</f>
        <v/>
      </c>
      <c r="BG67" s="142">
        <f t="array" ref="BG67">(SUM( IF(ISERROR(AH67:BF67),"", AH67:BF67)))/time</f>
        <v>0</v>
      </c>
      <c r="BH67" s="142">
        <f t="shared" si="27"/>
        <v>0</v>
      </c>
      <c r="BI67" s="142">
        <v>1</v>
      </c>
      <c r="BJ67" s="143">
        <f>IF(BO67&gt;0,BG67+BN67,BG67)</f>
        <v>0</v>
      </c>
      <c r="BL67" s="176" t="e">
        <f t="array" ref="BL67">STDEV(IF(AH67:BF67&lt;&gt;0,AH67:BF67))</f>
        <v>#DIV/0!</v>
      </c>
      <c r="BM67" s="176">
        <v>1.96</v>
      </c>
      <c r="BN67" s="176" t="e">
        <f t="shared" ref="BN67:BN76" si="164">(BM67*BL67)/(time^0.5)</f>
        <v>#DIV/0!</v>
      </c>
      <c r="BO67" s="176">
        <f t="shared" si="30"/>
        <v>0</v>
      </c>
    </row>
    <row r="68" spans="1:67" hidden="1">
      <c r="A68" s="301" t="s">
        <v>74</v>
      </c>
      <c r="B68" s="269"/>
      <c r="C68" s="278"/>
      <c r="D68" s="278"/>
      <c r="E68" s="270"/>
      <c r="F68" s="279">
        <f t="shared" si="24"/>
        <v>0</v>
      </c>
      <c r="G68" s="254"/>
      <c r="H68" s="271"/>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3"/>
      <c r="AG68" s="274">
        <f t="shared" si="25"/>
        <v>0</v>
      </c>
      <c r="AH68" s="275">
        <f t="shared" si="139"/>
        <v>0</v>
      </c>
      <c r="AI68" s="276">
        <f t="shared" si="140"/>
        <v>0</v>
      </c>
      <c r="AJ68" s="276">
        <f t="shared" si="141"/>
        <v>0</v>
      </c>
      <c r="AK68" s="276">
        <f t="shared" si="142"/>
        <v>0</v>
      </c>
      <c r="AL68" s="276">
        <f t="shared" si="143"/>
        <v>0</v>
      </c>
      <c r="AM68" s="276" t="str">
        <f t="shared" si="144"/>
        <v/>
      </c>
      <c r="AN68" s="276" t="str">
        <f t="shared" si="145"/>
        <v/>
      </c>
      <c r="AO68" s="276" t="str">
        <f t="shared" si="146"/>
        <v/>
      </c>
      <c r="AP68" s="276" t="str">
        <f t="shared" si="147"/>
        <v/>
      </c>
      <c r="AQ68" s="276" t="str">
        <f t="shared" si="148"/>
        <v/>
      </c>
      <c r="AR68" s="276" t="str">
        <f t="shared" si="149"/>
        <v/>
      </c>
      <c r="AS68" s="276" t="str">
        <f t="shared" si="150"/>
        <v/>
      </c>
      <c r="AT68" s="276" t="str">
        <f t="shared" si="151"/>
        <v/>
      </c>
      <c r="AU68" s="276" t="str">
        <f t="shared" si="152"/>
        <v/>
      </c>
      <c r="AV68" s="276" t="str">
        <f t="shared" si="153"/>
        <v/>
      </c>
      <c r="AW68" s="276" t="str">
        <f t="shared" si="154"/>
        <v/>
      </c>
      <c r="AX68" s="276" t="str">
        <f t="shared" si="155"/>
        <v/>
      </c>
      <c r="AY68" s="276" t="str">
        <f t="shared" si="156"/>
        <v/>
      </c>
      <c r="AZ68" s="276" t="str">
        <f t="shared" si="157"/>
        <v/>
      </c>
      <c r="BA68" s="276" t="str">
        <f t="shared" si="158"/>
        <v/>
      </c>
      <c r="BB68" s="276" t="str">
        <f t="shared" si="159"/>
        <v/>
      </c>
      <c r="BC68" s="276" t="str">
        <f t="shared" si="160"/>
        <v/>
      </c>
      <c r="BD68" s="276" t="str">
        <f t="shared" si="161"/>
        <v/>
      </c>
      <c r="BE68" s="276" t="str">
        <f t="shared" si="162"/>
        <v/>
      </c>
      <c r="BF68" s="277" t="str">
        <f t="shared" si="163"/>
        <v/>
      </c>
      <c r="BG68" s="142">
        <f t="array" ref="BG68">(SUM( IF(ISERROR(AH68:BF68),"", AH68:BF68)))/time</f>
        <v>0</v>
      </c>
      <c r="BH68" s="142">
        <f t="shared" si="27"/>
        <v>0</v>
      </c>
      <c r="BI68" s="142">
        <v>2</v>
      </c>
      <c r="BJ68" s="143">
        <f t="shared" ref="BJ68:BJ76" si="165">IF(BO68&gt;0,BG68+BN68,BG68)</f>
        <v>0</v>
      </c>
      <c r="BL68" s="176" t="e">
        <f t="array" ref="BL68">STDEV(IF(AH68:BF68&lt;&gt;0,AH68:BF68))</f>
        <v>#DIV/0!</v>
      </c>
      <c r="BM68" s="176">
        <v>1.96</v>
      </c>
      <c r="BN68" s="176" t="e">
        <f t="shared" si="164"/>
        <v>#DIV/0!</v>
      </c>
      <c r="BO68" s="176">
        <f t="shared" si="30"/>
        <v>0</v>
      </c>
    </row>
    <row r="69" spans="1:67" hidden="1">
      <c r="A69" s="301" t="s">
        <v>75</v>
      </c>
      <c r="B69" s="269"/>
      <c r="C69" s="278"/>
      <c r="D69" s="278"/>
      <c r="E69" s="270"/>
      <c r="F69" s="279">
        <f t="shared" si="24"/>
        <v>0</v>
      </c>
      <c r="G69" s="254"/>
      <c r="H69" s="271"/>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3"/>
      <c r="AG69" s="274">
        <f t="shared" si="25"/>
        <v>0</v>
      </c>
      <c r="AH69" s="275">
        <f t="shared" si="139"/>
        <v>0</v>
      </c>
      <c r="AI69" s="276">
        <f t="shared" si="140"/>
        <v>0</v>
      </c>
      <c r="AJ69" s="276">
        <f t="shared" si="141"/>
        <v>0</v>
      </c>
      <c r="AK69" s="276">
        <f t="shared" si="142"/>
        <v>0</v>
      </c>
      <c r="AL69" s="276">
        <f t="shared" si="143"/>
        <v>0</v>
      </c>
      <c r="AM69" s="276" t="str">
        <f t="shared" si="144"/>
        <v/>
      </c>
      <c r="AN69" s="276" t="str">
        <f t="shared" si="145"/>
        <v/>
      </c>
      <c r="AO69" s="276" t="str">
        <f t="shared" si="146"/>
        <v/>
      </c>
      <c r="AP69" s="276" t="str">
        <f t="shared" si="147"/>
        <v/>
      </c>
      <c r="AQ69" s="276" t="str">
        <f t="shared" si="148"/>
        <v/>
      </c>
      <c r="AR69" s="276" t="str">
        <f t="shared" si="149"/>
        <v/>
      </c>
      <c r="AS69" s="276" t="str">
        <f t="shared" si="150"/>
        <v/>
      </c>
      <c r="AT69" s="276" t="str">
        <f t="shared" si="151"/>
        <v/>
      </c>
      <c r="AU69" s="276" t="str">
        <f t="shared" si="152"/>
        <v/>
      </c>
      <c r="AV69" s="276" t="str">
        <f t="shared" si="153"/>
        <v/>
      </c>
      <c r="AW69" s="276" t="str">
        <f t="shared" si="154"/>
        <v/>
      </c>
      <c r="AX69" s="276" t="str">
        <f t="shared" si="155"/>
        <v/>
      </c>
      <c r="AY69" s="276" t="str">
        <f t="shared" si="156"/>
        <v/>
      </c>
      <c r="AZ69" s="276" t="str">
        <f t="shared" si="157"/>
        <v/>
      </c>
      <c r="BA69" s="276" t="str">
        <f t="shared" si="158"/>
        <v/>
      </c>
      <c r="BB69" s="276" t="str">
        <f t="shared" si="159"/>
        <v/>
      </c>
      <c r="BC69" s="276" t="str">
        <f t="shared" si="160"/>
        <v/>
      </c>
      <c r="BD69" s="276" t="str">
        <f t="shared" si="161"/>
        <v/>
      </c>
      <c r="BE69" s="276" t="str">
        <f t="shared" si="162"/>
        <v/>
      </c>
      <c r="BF69" s="277" t="str">
        <f t="shared" si="163"/>
        <v/>
      </c>
      <c r="BG69" s="142">
        <f t="array" ref="BG69">(SUM( IF(ISERROR(AH69:BF69),"", AH69:BF69)))/time</f>
        <v>0</v>
      </c>
      <c r="BH69" s="142">
        <f t="shared" si="27"/>
        <v>0</v>
      </c>
      <c r="BI69" s="142">
        <v>3</v>
      </c>
      <c r="BJ69" s="143">
        <f t="shared" si="165"/>
        <v>0</v>
      </c>
      <c r="BL69" s="176" t="e">
        <f t="array" ref="BL69">STDEV(IF(AH69:BF69&lt;&gt;0,AH69:BF69))</f>
        <v>#DIV/0!</v>
      </c>
      <c r="BM69" s="176">
        <v>1.96</v>
      </c>
      <c r="BN69" s="176" t="e">
        <f t="shared" si="164"/>
        <v>#DIV/0!</v>
      </c>
      <c r="BO69" s="176">
        <f t="shared" si="30"/>
        <v>0</v>
      </c>
    </row>
    <row r="70" spans="1:67" hidden="1">
      <c r="A70" s="301" t="s">
        <v>76</v>
      </c>
      <c r="B70" s="269"/>
      <c r="C70" s="278"/>
      <c r="D70" s="278"/>
      <c r="E70" s="270"/>
      <c r="F70" s="279">
        <f t="shared" si="24"/>
        <v>0</v>
      </c>
      <c r="G70" s="254"/>
      <c r="H70" s="271"/>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3"/>
      <c r="AG70" s="274">
        <f t="shared" si="25"/>
        <v>0</v>
      </c>
      <c r="AH70" s="275">
        <f t="shared" si="139"/>
        <v>0</v>
      </c>
      <c r="AI70" s="276">
        <f t="shared" si="140"/>
        <v>0</v>
      </c>
      <c r="AJ70" s="276">
        <f t="shared" si="141"/>
        <v>0</v>
      </c>
      <c r="AK70" s="276">
        <f t="shared" si="142"/>
        <v>0</v>
      </c>
      <c r="AL70" s="276">
        <f t="shared" si="143"/>
        <v>0</v>
      </c>
      <c r="AM70" s="276" t="str">
        <f t="shared" si="144"/>
        <v/>
      </c>
      <c r="AN70" s="276" t="str">
        <f t="shared" si="145"/>
        <v/>
      </c>
      <c r="AO70" s="276" t="str">
        <f t="shared" si="146"/>
        <v/>
      </c>
      <c r="AP70" s="276" t="str">
        <f t="shared" si="147"/>
        <v/>
      </c>
      <c r="AQ70" s="276" t="str">
        <f t="shared" si="148"/>
        <v/>
      </c>
      <c r="AR70" s="276" t="str">
        <f t="shared" si="149"/>
        <v/>
      </c>
      <c r="AS70" s="276" t="str">
        <f t="shared" si="150"/>
        <v/>
      </c>
      <c r="AT70" s="276" t="str">
        <f t="shared" si="151"/>
        <v/>
      </c>
      <c r="AU70" s="276" t="str">
        <f t="shared" si="152"/>
        <v/>
      </c>
      <c r="AV70" s="276" t="str">
        <f t="shared" si="153"/>
        <v/>
      </c>
      <c r="AW70" s="276" t="str">
        <f t="shared" si="154"/>
        <v/>
      </c>
      <c r="AX70" s="276" t="str">
        <f t="shared" si="155"/>
        <v/>
      </c>
      <c r="AY70" s="276" t="str">
        <f t="shared" si="156"/>
        <v/>
      </c>
      <c r="AZ70" s="276" t="str">
        <f t="shared" si="157"/>
        <v/>
      </c>
      <c r="BA70" s="276" t="str">
        <f t="shared" si="158"/>
        <v/>
      </c>
      <c r="BB70" s="276" t="str">
        <f t="shared" si="159"/>
        <v/>
      </c>
      <c r="BC70" s="276" t="str">
        <f t="shared" si="160"/>
        <v/>
      </c>
      <c r="BD70" s="276" t="str">
        <f t="shared" si="161"/>
        <v/>
      </c>
      <c r="BE70" s="276" t="str">
        <f t="shared" si="162"/>
        <v/>
      </c>
      <c r="BF70" s="277" t="str">
        <f t="shared" si="163"/>
        <v/>
      </c>
      <c r="BG70" s="142">
        <f t="array" ref="BG70">(SUM( IF(ISERROR(AH70:BF70),"", AH70:BF70)))/time</f>
        <v>0</v>
      </c>
      <c r="BH70" s="142">
        <f t="shared" si="27"/>
        <v>0</v>
      </c>
      <c r="BI70" s="142">
        <v>4</v>
      </c>
      <c r="BJ70" s="143">
        <f t="shared" si="165"/>
        <v>0</v>
      </c>
      <c r="BL70" s="176" t="e">
        <f t="array" ref="BL70">STDEV(IF(AH70:BF70&lt;&gt;0,AH70:BF70))</f>
        <v>#DIV/0!</v>
      </c>
      <c r="BM70" s="176">
        <v>1.96</v>
      </c>
      <c r="BN70" s="176" t="e">
        <f t="shared" si="164"/>
        <v>#DIV/0!</v>
      </c>
      <c r="BO70" s="176">
        <f t="shared" si="30"/>
        <v>0</v>
      </c>
    </row>
    <row r="71" spans="1:67" hidden="1">
      <c r="A71" s="301" t="s">
        <v>77</v>
      </c>
      <c r="B71" s="269"/>
      <c r="C71" s="278"/>
      <c r="D71" s="278"/>
      <c r="E71" s="270"/>
      <c r="F71" s="279">
        <f t="shared" si="24"/>
        <v>0</v>
      </c>
      <c r="G71" s="254"/>
      <c r="H71" s="271"/>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3"/>
      <c r="AG71" s="274">
        <f t="shared" si="25"/>
        <v>0</v>
      </c>
      <c r="AH71" s="275">
        <f t="shared" si="139"/>
        <v>0</v>
      </c>
      <c r="AI71" s="276">
        <f t="shared" si="140"/>
        <v>0</v>
      </c>
      <c r="AJ71" s="276">
        <f t="shared" si="141"/>
        <v>0</v>
      </c>
      <c r="AK71" s="276">
        <f t="shared" si="142"/>
        <v>0</v>
      </c>
      <c r="AL71" s="276">
        <f t="shared" si="143"/>
        <v>0</v>
      </c>
      <c r="AM71" s="276" t="str">
        <f t="shared" si="144"/>
        <v/>
      </c>
      <c r="AN71" s="276" t="str">
        <f t="shared" si="145"/>
        <v/>
      </c>
      <c r="AO71" s="276" t="str">
        <f t="shared" si="146"/>
        <v/>
      </c>
      <c r="AP71" s="276" t="str">
        <f t="shared" si="147"/>
        <v/>
      </c>
      <c r="AQ71" s="276" t="str">
        <f t="shared" si="148"/>
        <v/>
      </c>
      <c r="AR71" s="276" t="str">
        <f t="shared" si="149"/>
        <v/>
      </c>
      <c r="AS71" s="276" t="str">
        <f t="shared" si="150"/>
        <v/>
      </c>
      <c r="AT71" s="276" t="str">
        <f t="shared" si="151"/>
        <v/>
      </c>
      <c r="AU71" s="276" t="str">
        <f t="shared" si="152"/>
        <v/>
      </c>
      <c r="AV71" s="276" t="str">
        <f t="shared" si="153"/>
        <v/>
      </c>
      <c r="AW71" s="276" t="str">
        <f t="shared" si="154"/>
        <v/>
      </c>
      <c r="AX71" s="276" t="str">
        <f t="shared" si="155"/>
        <v/>
      </c>
      <c r="AY71" s="276" t="str">
        <f t="shared" si="156"/>
        <v/>
      </c>
      <c r="AZ71" s="276" t="str">
        <f t="shared" si="157"/>
        <v/>
      </c>
      <c r="BA71" s="276" t="str">
        <f t="shared" si="158"/>
        <v/>
      </c>
      <c r="BB71" s="276" t="str">
        <f t="shared" si="159"/>
        <v/>
      </c>
      <c r="BC71" s="276" t="str">
        <f t="shared" si="160"/>
        <v/>
      </c>
      <c r="BD71" s="276" t="str">
        <f t="shared" si="161"/>
        <v/>
      </c>
      <c r="BE71" s="276" t="str">
        <f t="shared" si="162"/>
        <v/>
      </c>
      <c r="BF71" s="277" t="str">
        <f t="shared" si="163"/>
        <v/>
      </c>
      <c r="BG71" s="142">
        <f t="array" ref="BG71">(SUM( IF(ISERROR(AH71:BF71),"", AH71:BF71)))/time</f>
        <v>0</v>
      </c>
      <c r="BH71" s="142">
        <f t="shared" si="27"/>
        <v>0</v>
      </c>
      <c r="BI71" s="142">
        <v>5</v>
      </c>
      <c r="BJ71" s="143">
        <f t="shared" si="165"/>
        <v>0</v>
      </c>
      <c r="BL71" s="176" t="e">
        <f t="array" ref="BL71">STDEV(IF(AH71:BF71&lt;&gt;0,AH71:BF71))</f>
        <v>#DIV/0!</v>
      </c>
      <c r="BM71" s="176">
        <v>1.96</v>
      </c>
      <c r="BN71" s="176" t="e">
        <f t="shared" si="164"/>
        <v>#DIV/0!</v>
      </c>
      <c r="BO71" s="176">
        <f t="shared" si="30"/>
        <v>0</v>
      </c>
    </row>
    <row r="72" spans="1:67" hidden="1">
      <c r="A72" s="301" t="s">
        <v>78</v>
      </c>
      <c r="B72" s="269"/>
      <c r="C72" s="278"/>
      <c r="D72" s="278"/>
      <c r="E72" s="270"/>
      <c r="F72" s="279">
        <f t="shared" si="24"/>
        <v>0</v>
      </c>
      <c r="G72" s="254"/>
      <c r="H72" s="271"/>
      <c r="I72" s="272"/>
      <c r="J72" s="272"/>
      <c r="K72" s="272"/>
      <c r="L72" s="272"/>
      <c r="M72" s="272"/>
      <c r="N72" s="272"/>
      <c r="O72" s="272"/>
      <c r="P72" s="272"/>
      <c r="Q72" s="272"/>
      <c r="R72" s="272"/>
      <c r="S72" s="272"/>
      <c r="T72" s="272"/>
      <c r="U72" s="272"/>
      <c r="V72" s="272"/>
      <c r="W72" s="272"/>
      <c r="X72" s="272"/>
      <c r="Y72" s="272"/>
      <c r="Z72" s="272"/>
      <c r="AA72" s="272"/>
      <c r="AB72" s="272"/>
      <c r="AC72" s="272"/>
      <c r="AD72" s="272"/>
      <c r="AE72" s="272"/>
      <c r="AF72" s="273"/>
      <c r="AG72" s="274">
        <f t="shared" si="25"/>
        <v>0</v>
      </c>
      <c r="AH72" s="275">
        <f t="shared" si="139"/>
        <v>0</v>
      </c>
      <c r="AI72" s="276">
        <f t="shared" si="140"/>
        <v>0</v>
      </c>
      <c r="AJ72" s="276">
        <f t="shared" si="141"/>
        <v>0</v>
      </c>
      <c r="AK72" s="276">
        <f t="shared" si="142"/>
        <v>0</v>
      </c>
      <c r="AL72" s="276">
        <f t="shared" si="143"/>
        <v>0</v>
      </c>
      <c r="AM72" s="276" t="str">
        <f t="shared" si="144"/>
        <v/>
      </c>
      <c r="AN72" s="276" t="str">
        <f t="shared" si="145"/>
        <v/>
      </c>
      <c r="AO72" s="276" t="str">
        <f t="shared" si="146"/>
        <v/>
      </c>
      <c r="AP72" s="276" t="str">
        <f t="shared" si="147"/>
        <v/>
      </c>
      <c r="AQ72" s="276" t="str">
        <f t="shared" si="148"/>
        <v/>
      </c>
      <c r="AR72" s="276" t="str">
        <f t="shared" si="149"/>
        <v/>
      </c>
      <c r="AS72" s="276" t="str">
        <f t="shared" si="150"/>
        <v/>
      </c>
      <c r="AT72" s="276" t="str">
        <f t="shared" si="151"/>
        <v/>
      </c>
      <c r="AU72" s="276" t="str">
        <f t="shared" si="152"/>
        <v/>
      </c>
      <c r="AV72" s="276" t="str">
        <f t="shared" si="153"/>
        <v/>
      </c>
      <c r="AW72" s="276" t="str">
        <f t="shared" si="154"/>
        <v/>
      </c>
      <c r="AX72" s="276" t="str">
        <f t="shared" si="155"/>
        <v/>
      </c>
      <c r="AY72" s="276" t="str">
        <f t="shared" si="156"/>
        <v/>
      </c>
      <c r="AZ72" s="276" t="str">
        <f t="shared" si="157"/>
        <v/>
      </c>
      <c r="BA72" s="276" t="str">
        <f t="shared" si="158"/>
        <v/>
      </c>
      <c r="BB72" s="276" t="str">
        <f t="shared" si="159"/>
        <v/>
      </c>
      <c r="BC72" s="276" t="str">
        <f t="shared" si="160"/>
        <v/>
      </c>
      <c r="BD72" s="276" t="str">
        <f t="shared" si="161"/>
        <v/>
      </c>
      <c r="BE72" s="276" t="str">
        <f t="shared" si="162"/>
        <v/>
      </c>
      <c r="BF72" s="277" t="str">
        <f t="shared" si="163"/>
        <v/>
      </c>
      <c r="BG72" s="142">
        <f t="array" ref="BG72">(SUM( IF(ISERROR(AH72:BF72),"", AH72:BF72)))/time</f>
        <v>0</v>
      </c>
      <c r="BH72" s="142">
        <f t="shared" si="27"/>
        <v>0</v>
      </c>
      <c r="BI72" s="142">
        <v>6</v>
      </c>
      <c r="BJ72" s="143">
        <f t="shared" si="165"/>
        <v>0</v>
      </c>
      <c r="BL72" s="176" t="e">
        <f t="array" ref="BL72">STDEV(IF(AH72:BF72&lt;&gt;0,AH72:BF72))</f>
        <v>#DIV/0!</v>
      </c>
      <c r="BM72" s="176">
        <v>1.96</v>
      </c>
      <c r="BN72" s="176" t="e">
        <f t="shared" si="164"/>
        <v>#DIV/0!</v>
      </c>
      <c r="BO72" s="176">
        <f t="shared" si="30"/>
        <v>0</v>
      </c>
    </row>
    <row r="73" spans="1:67" hidden="1">
      <c r="A73" s="301" t="s">
        <v>79</v>
      </c>
      <c r="B73" s="269"/>
      <c r="C73" s="278"/>
      <c r="D73" s="278"/>
      <c r="E73" s="270"/>
      <c r="F73" s="279">
        <f t="shared" ref="F73:F136" si="166">B73*(1+E73)</f>
        <v>0</v>
      </c>
      <c r="G73" s="254"/>
      <c r="H73" s="271"/>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3"/>
      <c r="AG73" s="274">
        <f t="shared" ref="AG73:AG136" si="167">SUM(H73:AF73)</f>
        <v>0</v>
      </c>
      <c r="AH73" s="275">
        <f t="shared" si="139"/>
        <v>0</v>
      </c>
      <c r="AI73" s="276">
        <f t="shared" si="140"/>
        <v>0</v>
      </c>
      <c r="AJ73" s="276">
        <f t="shared" si="141"/>
        <v>0</v>
      </c>
      <c r="AK73" s="276">
        <f t="shared" si="142"/>
        <v>0</v>
      </c>
      <c r="AL73" s="276">
        <f t="shared" si="143"/>
        <v>0</v>
      </c>
      <c r="AM73" s="276" t="str">
        <f t="shared" si="144"/>
        <v/>
      </c>
      <c r="AN73" s="276" t="str">
        <f t="shared" si="145"/>
        <v/>
      </c>
      <c r="AO73" s="276" t="str">
        <f t="shared" si="146"/>
        <v/>
      </c>
      <c r="AP73" s="276" t="str">
        <f t="shared" si="147"/>
        <v/>
      </c>
      <c r="AQ73" s="276" t="str">
        <f t="shared" si="148"/>
        <v/>
      </c>
      <c r="AR73" s="276" t="str">
        <f t="shared" si="149"/>
        <v/>
      </c>
      <c r="AS73" s="276" t="str">
        <f t="shared" si="150"/>
        <v/>
      </c>
      <c r="AT73" s="276" t="str">
        <f t="shared" si="151"/>
        <v/>
      </c>
      <c r="AU73" s="276" t="str">
        <f t="shared" si="152"/>
        <v/>
      </c>
      <c r="AV73" s="276" t="str">
        <f t="shared" si="153"/>
        <v/>
      </c>
      <c r="AW73" s="276" t="str">
        <f t="shared" si="154"/>
        <v/>
      </c>
      <c r="AX73" s="276" t="str">
        <f t="shared" si="155"/>
        <v/>
      </c>
      <c r="AY73" s="276" t="str">
        <f t="shared" si="156"/>
        <v/>
      </c>
      <c r="AZ73" s="276" t="str">
        <f t="shared" si="157"/>
        <v/>
      </c>
      <c r="BA73" s="276" t="str">
        <f t="shared" si="158"/>
        <v/>
      </c>
      <c r="BB73" s="276" t="str">
        <f t="shared" si="159"/>
        <v/>
      </c>
      <c r="BC73" s="276" t="str">
        <f t="shared" si="160"/>
        <v/>
      </c>
      <c r="BD73" s="276" t="str">
        <f t="shared" si="161"/>
        <v/>
      </c>
      <c r="BE73" s="276" t="str">
        <f t="shared" si="162"/>
        <v/>
      </c>
      <c r="BF73" s="277" t="str">
        <f t="shared" si="163"/>
        <v/>
      </c>
      <c r="BG73" s="142">
        <f t="array" ref="BG73">(SUM( IF(ISERROR(AH73:BF73),"", AH73:BF73)))/time</f>
        <v>0</v>
      </c>
      <c r="BH73" s="142">
        <f t="shared" ref="BH73:BH136" si="168">IF(BO73&gt;0,IF(BG73-BN73&gt;0, BG73-BN73, 0),BG73)</f>
        <v>0</v>
      </c>
      <c r="BI73" s="142">
        <v>7</v>
      </c>
      <c r="BJ73" s="143">
        <f t="shared" si="165"/>
        <v>0</v>
      </c>
      <c r="BL73" s="176" t="e">
        <f t="array" ref="BL73">STDEV(IF(AH73:BF73&lt;&gt;0,AH73:BF73))</f>
        <v>#DIV/0!</v>
      </c>
      <c r="BM73" s="176">
        <v>1.96</v>
      </c>
      <c r="BN73" s="176" t="e">
        <f t="shared" si="164"/>
        <v>#DIV/0!</v>
      </c>
      <c r="BO73" s="176">
        <f t="shared" ref="BO73:BO136" si="169">IFERROR(BL73,0)</f>
        <v>0</v>
      </c>
    </row>
    <row r="74" spans="1:67" hidden="1">
      <c r="A74" s="301" t="s">
        <v>80</v>
      </c>
      <c r="B74" s="269"/>
      <c r="C74" s="278"/>
      <c r="D74" s="278"/>
      <c r="E74" s="270"/>
      <c r="F74" s="279">
        <f t="shared" si="166"/>
        <v>0</v>
      </c>
      <c r="G74" s="254"/>
      <c r="H74" s="271"/>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3"/>
      <c r="AG74" s="274">
        <f t="shared" si="167"/>
        <v>0</v>
      </c>
      <c r="AH74" s="275">
        <f t="shared" si="139"/>
        <v>0</v>
      </c>
      <c r="AI74" s="276">
        <f t="shared" si="140"/>
        <v>0</v>
      </c>
      <c r="AJ74" s="276">
        <f t="shared" si="141"/>
        <v>0</v>
      </c>
      <c r="AK74" s="276">
        <f t="shared" si="142"/>
        <v>0</v>
      </c>
      <c r="AL74" s="276">
        <f t="shared" si="143"/>
        <v>0</v>
      </c>
      <c r="AM74" s="276" t="str">
        <f t="shared" si="144"/>
        <v/>
      </c>
      <c r="AN74" s="276" t="str">
        <f t="shared" si="145"/>
        <v/>
      </c>
      <c r="AO74" s="276" t="str">
        <f t="shared" si="146"/>
        <v/>
      </c>
      <c r="AP74" s="276" t="str">
        <f t="shared" si="147"/>
        <v/>
      </c>
      <c r="AQ74" s="276" t="str">
        <f t="shared" si="148"/>
        <v/>
      </c>
      <c r="AR74" s="276" t="str">
        <f t="shared" si="149"/>
        <v/>
      </c>
      <c r="AS74" s="276" t="str">
        <f t="shared" si="150"/>
        <v/>
      </c>
      <c r="AT74" s="276" t="str">
        <f t="shared" si="151"/>
        <v/>
      </c>
      <c r="AU74" s="276" t="str">
        <f t="shared" si="152"/>
        <v/>
      </c>
      <c r="AV74" s="276" t="str">
        <f t="shared" si="153"/>
        <v/>
      </c>
      <c r="AW74" s="276" t="str">
        <f t="shared" si="154"/>
        <v/>
      </c>
      <c r="AX74" s="276" t="str">
        <f t="shared" si="155"/>
        <v/>
      </c>
      <c r="AY74" s="276" t="str">
        <f t="shared" si="156"/>
        <v/>
      </c>
      <c r="AZ74" s="276" t="str">
        <f t="shared" si="157"/>
        <v/>
      </c>
      <c r="BA74" s="276" t="str">
        <f t="shared" si="158"/>
        <v/>
      </c>
      <c r="BB74" s="276" t="str">
        <f t="shared" si="159"/>
        <v/>
      </c>
      <c r="BC74" s="276" t="str">
        <f t="shared" si="160"/>
        <v/>
      </c>
      <c r="BD74" s="276" t="str">
        <f t="shared" si="161"/>
        <v/>
      </c>
      <c r="BE74" s="276" t="str">
        <f t="shared" si="162"/>
        <v/>
      </c>
      <c r="BF74" s="277" t="str">
        <f t="shared" si="163"/>
        <v/>
      </c>
      <c r="BG74" s="142">
        <f t="array" ref="BG74">(SUM( IF(ISERROR(AH74:BF74),"", AH74:BF74)))/time</f>
        <v>0</v>
      </c>
      <c r="BH74" s="142">
        <f t="shared" si="168"/>
        <v>0</v>
      </c>
      <c r="BI74" s="142">
        <v>8</v>
      </c>
      <c r="BJ74" s="143">
        <f t="shared" si="165"/>
        <v>0</v>
      </c>
      <c r="BL74" s="176" t="e">
        <f t="array" ref="BL74">STDEV(IF(AH74:BF74&lt;&gt;0,AH74:BF74))</f>
        <v>#DIV/0!</v>
      </c>
      <c r="BM74" s="176">
        <v>1.96</v>
      </c>
      <c r="BN74" s="176" t="e">
        <f t="shared" si="164"/>
        <v>#DIV/0!</v>
      </c>
      <c r="BO74" s="176">
        <f t="shared" si="169"/>
        <v>0</v>
      </c>
    </row>
    <row r="75" spans="1:67" hidden="1">
      <c r="A75" s="301" t="s">
        <v>81</v>
      </c>
      <c r="B75" s="269"/>
      <c r="C75" s="278"/>
      <c r="D75" s="278"/>
      <c r="E75" s="270"/>
      <c r="F75" s="279">
        <f t="shared" si="166"/>
        <v>0</v>
      </c>
      <c r="G75" s="254"/>
      <c r="H75" s="271"/>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3"/>
      <c r="AG75" s="274">
        <f t="shared" si="167"/>
        <v>0</v>
      </c>
      <c r="AH75" s="275">
        <f t="shared" si="139"/>
        <v>0</v>
      </c>
      <c r="AI75" s="276">
        <f t="shared" si="140"/>
        <v>0</v>
      </c>
      <c r="AJ75" s="276">
        <f t="shared" si="141"/>
        <v>0</v>
      </c>
      <c r="AK75" s="276">
        <f t="shared" si="142"/>
        <v>0</v>
      </c>
      <c r="AL75" s="276">
        <f t="shared" si="143"/>
        <v>0</v>
      </c>
      <c r="AM75" s="276" t="str">
        <f t="shared" si="144"/>
        <v/>
      </c>
      <c r="AN75" s="276" t="str">
        <f t="shared" si="145"/>
        <v/>
      </c>
      <c r="AO75" s="276" t="str">
        <f t="shared" si="146"/>
        <v/>
      </c>
      <c r="AP75" s="276" t="str">
        <f t="shared" si="147"/>
        <v/>
      </c>
      <c r="AQ75" s="276" t="str">
        <f t="shared" si="148"/>
        <v/>
      </c>
      <c r="AR75" s="276" t="str">
        <f t="shared" si="149"/>
        <v/>
      </c>
      <c r="AS75" s="276" t="str">
        <f t="shared" si="150"/>
        <v/>
      </c>
      <c r="AT75" s="276" t="str">
        <f t="shared" si="151"/>
        <v/>
      </c>
      <c r="AU75" s="276" t="str">
        <f t="shared" si="152"/>
        <v/>
      </c>
      <c r="AV75" s="276" t="str">
        <f t="shared" si="153"/>
        <v/>
      </c>
      <c r="AW75" s="276" t="str">
        <f t="shared" si="154"/>
        <v/>
      </c>
      <c r="AX75" s="276" t="str">
        <f t="shared" si="155"/>
        <v/>
      </c>
      <c r="AY75" s="276" t="str">
        <f t="shared" si="156"/>
        <v/>
      </c>
      <c r="AZ75" s="276" t="str">
        <f t="shared" si="157"/>
        <v/>
      </c>
      <c r="BA75" s="276" t="str">
        <f t="shared" si="158"/>
        <v/>
      </c>
      <c r="BB75" s="276" t="str">
        <f t="shared" si="159"/>
        <v/>
      </c>
      <c r="BC75" s="276" t="str">
        <f t="shared" si="160"/>
        <v/>
      </c>
      <c r="BD75" s="276" t="str">
        <f t="shared" si="161"/>
        <v/>
      </c>
      <c r="BE75" s="276" t="str">
        <f t="shared" si="162"/>
        <v/>
      </c>
      <c r="BF75" s="277" t="str">
        <f t="shared" si="163"/>
        <v/>
      </c>
      <c r="BG75" s="142">
        <f t="array" ref="BG75">(SUM( IF(ISERROR(AH75:BF75),"", AH75:BF75)))/time</f>
        <v>0</v>
      </c>
      <c r="BH75" s="142">
        <f t="shared" si="168"/>
        <v>0</v>
      </c>
      <c r="BI75" s="142">
        <v>9</v>
      </c>
      <c r="BJ75" s="143">
        <f t="shared" si="165"/>
        <v>0</v>
      </c>
      <c r="BL75" s="176" t="e">
        <f t="array" ref="BL75">STDEV(IF(AH75:BF75&lt;&gt;0,AH75:BF75))</f>
        <v>#DIV/0!</v>
      </c>
      <c r="BM75" s="176">
        <v>1.96</v>
      </c>
      <c r="BN75" s="176" t="e">
        <f t="shared" si="164"/>
        <v>#DIV/0!</v>
      </c>
      <c r="BO75" s="176">
        <f t="shared" si="169"/>
        <v>0</v>
      </c>
    </row>
    <row r="76" spans="1:67" hidden="1">
      <c r="A76" s="301" t="s">
        <v>82</v>
      </c>
      <c r="B76" s="269"/>
      <c r="C76" s="278"/>
      <c r="D76" s="278"/>
      <c r="E76" s="270"/>
      <c r="F76" s="279">
        <f t="shared" si="166"/>
        <v>0</v>
      </c>
      <c r="G76" s="254"/>
      <c r="H76" s="271"/>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3"/>
      <c r="AG76" s="274">
        <f t="shared" si="167"/>
        <v>0</v>
      </c>
      <c r="AH76" s="275">
        <f t="shared" si="139"/>
        <v>0</v>
      </c>
      <c r="AI76" s="276">
        <f t="shared" si="140"/>
        <v>0</v>
      </c>
      <c r="AJ76" s="276">
        <f t="shared" si="141"/>
        <v>0</v>
      </c>
      <c r="AK76" s="276">
        <f t="shared" si="142"/>
        <v>0</v>
      </c>
      <c r="AL76" s="276">
        <f t="shared" si="143"/>
        <v>0</v>
      </c>
      <c r="AM76" s="276" t="str">
        <f t="shared" si="144"/>
        <v/>
      </c>
      <c r="AN76" s="276" t="str">
        <f t="shared" si="145"/>
        <v/>
      </c>
      <c r="AO76" s="276" t="str">
        <f t="shared" si="146"/>
        <v/>
      </c>
      <c r="AP76" s="276" t="str">
        <f t="shared" si="147"/>
        <v/>
      </c>
      <c r="AQ76" s="276" t="str">
        <f t="shared" si="148"/>
        <v/>
      </c>
      <c r="AR76" s="276" t="str">
        <f t="shared" si="149"/>
        <v/>
      </c>
      <c r="AS76" s="276" t="str">
        <f t="shared" si="150"/>
        <v/>
      </c>
      <c r="AT76" s="276" t="str">
        <f t="shared" si="151"/>
        <v/>
      </c>
      <c r="AU76" s="276" t="str">
        <f t="shared" si="152"/>
        <v/>
      </c>
      <c r="AV76" s="276" t="str">
        <f t="shared" si="153"/>
        <v/>
      </c>
      <c r="AW76" s="276" t="str">
        <f t="shared" si="154"/>
        <v/>
      </c>
      <c r="AX76" s="276" t="str">
        <f t="shared" si="155"/>
        <v/>
      </c>
      <c r="AY76" s="276" t="str">
        <f t="shared" si="156"/>
        <v/>
      </c>
      <c r="AZ76" s="276" t="str">
        <f t="shared" si="157"/>
        <v/>
      </c>
      <c r="BA76" s="276" t="str">
        <f t="shared" si="158"/>
        <v/>
      </c>
      <c r="BB76" s="276" t="str">
        <f t="shared" si="159"/>
        <v/>
      </c>
      <c r="BC76" s="276" t="str">
        <f t="shared" si="160"/>
        <v/>
      </c>
      <c r="BD76" s="276" t="str">
        <f t="shared" si="161"/>
        <v/>
      </c>
      <c r="BE76" s="276" t="str">
        <f t="shared" si="162"/>
        <v/>
      </c>
      <c r="BF76" s="277" t="str">
        <f t="shared" si="163"/>
        <v/>
      </c>
      <c r="BG76" s="142">
        <f t="array" ref="BG76">(SUM( IF(ISERROR(AH76:BF76),"", AH76:BF76)))/time</f>
        <v>0</v>
      </c>
      <c r="BH76" s="142">
        <f t="shared" si="168"/>
        <v>0</v>
      </c>
      <c r="BI76" s="142">
        <v>10</v>
      </c>
      <c r="BJ76" s="143">
        <f t="shared" si="165"/>
        <v>0</v>
      </c>
      <c r="BL76" s="176" t="e">
        <f t="array" ref="BL76">STDEV(IF(AH76:BF76&lt;&gt;0,AH76:BF76))</f>
        <v>#DIV/0!</v>
      </c>
      <c r="BM76" s="176">
        <v>1.96</v>
      </c>
      <c r="BN76" s="176" t="e">
        <f t="shared" si="164"/>
        <v>#DIV/0!</v>
      </c>
      <c r="BO76" s="176">
        <f t="shared" si="169"/>
        <v>0</v>
      </c>
    </row>
    <row r="77" spans="1:67" s="196" customFormat="1">
      <c r="A77" s="290" t="s">
        <v>285</v>
      </c>
      <c r="F77" s="203"/>
      <c r="H77" s="202"/>
      <c r="AG77" s="291"/>
      <c r="AH77" s="202"/>
      <c r="BJ77" s="203"/>
    </row>
    <row r="78" spans="1:67">
      <c r="A78" s="848" t="s">
        <v>274</v>
      </c>
      <c r="B78" s="839"/>
      <c r="C78" s="851"/>
      <c r="D78" s="845"/>
      <c r="E78" s="847"/>
      <c r="F78" s="846">
        <f t="shared" si="166"/>
        <v>0</v>
      </c>
      <c r="G78" s="304"/>
      <c r="H78" s="842"/>
      <c r="I78" s="843"/>
      <c r="J78" s="843"/>
      <c r="K78" s="843"/>
      <c r="L78" s="843"/>
      <c r="M78" s="272"/>
      <c r="N78" s="272"/>
      <c r="O78" s="272"/>
      <c r="P78" s="272"/>
      <c r="Q78" s="272"/>
      <c r="R78" s="272"/>
      <c r="S78" s="272"/>
      <c r="T78" s="272"/>
      <c r="U78" s="272"/>
      <c r="V78" s="272"/>
      <c r="W78" s="272"/>
      <c r="X78" s="272"/>
      <c r="Y78" s="272"/>
      <c r="Z78" s="272"/>
      <c r="AA78" s="272"/>
      <c r="AB78" s="272"/>
      <c r="AC78" s="272"/>
      <c r="AD78" s="272"/>
      <c r="AE78" s="272"/>
      <c r="AF78" s="273"/>
      <c r="AG78" s="274">
        <f t="shared" si="167"/>
        <v>0</v>
      </c>
      <c r="AH78" s="275">
        <f t="shared" ref="AH78:AH87" si="170">IF(AH$225&lt;=time,H78*$F78,"")</f>
        <v>0</v>
      </c>
      <c r="AI78" s="276">
        <f t="shared" ref="AI78:AI87" si="171">IF(AI$225&lt;=time,I78*$F78,"")</f>
        <v>0</v>
      </c>
      <c r="AJ78" s="276">
        <f t="shared" ref="AJ78:AJ87" si="172">IF(AJ$225&lt;=time,J78*$F78,"")</f>
        <v>0</v>
      </c>
      <c r="AK78" s="276">
        <f t="shared" ref="AK78:AK87" si="173">IF(AK$225&lt;=time,K78*$F78,"")</f>
        <v>0</v>
      </c>
      <c r="AL78" s="276">
        <f t="shared" ref="AL78:AL87" si="174">IF(AL$225&lt;=time,L78*$F78,"")</f>
        <v>0</v>
      </c>
      <c r="AM78" s="276" t="str">
        <f t="shared" ref="AM78:AM87" si="175">IF(AM$225&lt;=time,M78*$F78,"")</f>
        <v/>
      </c>
      <c r="AN78" s="276" t="str">
        <f t="shared" ref="AN78:AN87" si="176">IF(AN$225&lt;=time,N78*$F78,"")</f>
        <v/>
      </c>
      <c r="AO78" s="276" t="str">
        <f t="shared" ref="AO78:AO87" si="177">IF(AO$225&lt;=time,O78*$F78,"")</f>
        <v/>
      </c>
      <c r="AP78" s="276" t="str">
        <f t="shared" ref="AP78:AP87" si="178">IF(AP$225&lt;=time,P78*$F78,"")</f>
        <v/>
      </c>
      <c r="AQ78" s="276" t="str">
        <f t="shared" ref="AQ78:AQ87" si="179">IF(AQ$225&lt;=time,Q78*$F78,"")</f>
        <v/>
      </c>
      <c r="AR78" s="276" t="str">
        <f t="shared" ref="AR78:AR87" si="180">IF(AR$225&lt;=time,R78*$F78,"")</f>
        <v/>
      </c>
      <c r="AS78" s="276" t="str">
        <f t="shared" ref="AS78:AS87" si="181">IF(AS$225&lt;=time,S78*$F78,"")</f>
        <v/>
      </c>
      <c r="AT78" s="276" t="str">
        <f t="shared" ref="AT78:AT87" si="182">IF(AT$225&lt;=time,T78*$F78,"")</f>
        <v/>
      </c>
      <c r="AU78" s="276" t="str">
        <f t="shared" ref="AU78:AU87" si="183">IF(AU$225&lt;=time,U78*$F78,"")</f>
        <v/>
      </c>
      <c r="AV78" s="276" t="str">
        <f t="shared" ref="AV78:AV87" si="184">IF(AV$225&lt;=time,V78*$F78,"")</f>
        <v/>
      </c>
      <c r="AW78" s="276" t="str">
        <f t="shared" ref="AW78:AW87" si="185">IF(AW$225&lt;=time,W78*$F78,"")</f>
        <v/>
      </c>
      <c r="AX78" s="276" t="str">
        <f t="shared" ref="AX78:AX87" si="186">IF(AX$225&lt;=time,X78*$F78,"")</f>
        <v/>
      </c>
      <c r="AY78" s="276" t="str">
        <f t="shared" ref="AY78:AY87" si="187">IF(AY$225&lt;=time,Y78*$F78,"")</f>
        <v/>
      </c>
      <c r="AZ78" s="276" t="str">
        <f t="shared" ref="AZ78:AZ87" si="188">IF(AZ$225&lt;=time,Z78*$F78,"")</f>
        <v/>
      </c>
      <c r="BA78" s="276" t="str">
        <f t="shared" ref="BA78:BA87" si="189">IF(BA$225&lt;=time,AA78*$F78,"")</f>
        <v/>
      </c>
      <c r="BB78" s="276" t="str">
        <f t="shared" ref="BB78:BB87" si="190">IF(BB$225&lt;=time,AB78*$F78,"")</f>
        <v/>
      </c>
      <c r="BC78" s="276" t="str">
        <f t="shared" ref="BC78:BC87" si="191">IF(BC$225&lt;=time,AC78*$F78,"")</f>
        <v/>
      </c>
      <c r="BD78" s="276" t="str">
        <f t="shared" ref="BD78:BD87" si="192">IF(BD$225&lt;=time,AD78*$F78,"")</f>
        <v/>
      </c>
      <c r="BE78" s="276" t="str">
        <f t="shared" ref="BE78:BE87" si="193">IF(BE$225&lt;=time,AE78*$F78,"")</f>
        <v/>
      </c>
      <c r="BF78" s="277" t="str">
        <f t="shared" ref="BF78:BF87" si="194">IF(BF$225&lt;=time,AF78*$F78,"")</f>
        <v/>
      </c>
      <c r="BG78" s="142">
        <f t="array" ref="BG78">(SUM( IF(ISERROR(AH78:BF78),"", AH78:BF78)))/time</f>
        <v>0</v>
      </c>
      <c r="BH78" s="142">
        <f t="shared" si="168"/>
        <v>0</v>
      </c>
      <c r="BI78" s="142">
        <v>1</v>
      </c>
      <c r="BJ78" s="143">
        <f>IF(BO78&gt;0,BG78+BN78,BG78)</f>
        <v>0</v>
      </c>
      <c r="BL78" s="176" t="e">
        <f t="array" ref="BL78">STDEV(IF(AH78:BF78&lt;&gt;0,AH78:BF78))</f>
        <v>#DIV/0!</v>
      </c>
      <c r="BM78" s="176">
        <v>1.96</v>
      </c>
      <c r="BN78" s="176" t="e">
        <f t="shared" ref="BN78:BN87" si="195">(BM78*BL78)/(time^0.5)</f>
        <v>#DIV/0!</v>
      </c>
      <c r="BO78" s="176">
        <f t="shared" si="169"/>
        <v>0</v>
      </c>
    </row>
    <row r="79" spans="1:67" hidden="1">
      <c r="A79" s="301" t="s">
        <v>195</v>
      </c>
      <c r="B79" s="269"/>
      <c r="C79" s="303"/>
      <c r="D79" s="278"/>
      <c r="E79" s="270"/>
      <c r="F79" s="279">
        <f t="shared" si="166"/>
        <v>0</v>
      </c>
      <c r="G79" s="304"/>
      <c r="H79" s="271"/>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s="273"/>
      <c r="AG79" s="274">
        <f t="shared" si="167"/>
        <v>0</v>
      </c>
      <c r="AH79" s="275">
        <f t="shared" si="170"/>
        <v>0</v>
      </c>
      <c r="AI79" s="276">
        <f t="shared" si="171"/>
        <v>0</v>
      </c>
      <c r="AJ79" s="276">
        <f t="shared" si="172"/>
        <v>0</v>
      </c>
      <c r="AK79" s="276">
        <f t="shared" si="173"/>
        <v>0</v>
      </c>
      <c r="AL79" s="276">
        <f t="shared" si="174"/>
        <v>0</v>
      </c>
      <c r="AM79" s="276" t="str">
        <f t="shared" si="175"/>
        <v/>
      </c>
      <c r="AN79" s="276" t="str">
        <f t="shared" si="176"/>
        <v/>
      </c>
      <c r="AO79" s="276" t="str">
        <f t="shared" si="177"/>
        <v/>
      </c>
      <c r="AP79" s="276" t="str">
        <f t="shared" si="178"/>
        <v/>
      </c>
      <c r="AQ79" s="276" t="str">
        <f t="shared" si="179"/>
        <v/>
      </c>
      <c r="AR79" s="276" t="str">
        <f t="shared" si="180"/>
        <v/>
      </c>
      <c r="AS79" s="276" t="str">
        <f t="shared" si="181"/>
        <v/>
      </c>
      <c r="AT79" s="276" t="str">
        <f t="shared" si="182"/>
        <v/>
      </c>
      <c r="AU79" s="276" t="str">
        <f t="shared" si="183"/>
        <v/>
      </c>
      <c r="AV79" s="276" t="str">
        <f t="shared" si="184"/>
        <v/>
      </c>
      <c r="AW79" s="276" t="str">
        <f t="shared" si="185"/>
        <v/>
      </c>
      <c r="AX79" s="276" t="str">
        <f t="shared" si="186"/>
        <v/>
      </c>
      <c r="AY79" s="276" t="str">
        <f t="shared" si="187"/>
        <v/>
      </c>
      <c r="AZ79" s="276" t="str">
        <f t="shared" si="188"/>
        <v/>
      </c>
      <c r="BA79" s="276" t="str">
        <f t="shared" si="189"/>
        <v/>
      </c>
      <c r="BB79" s="276" t="str">
        <f t="shared" si="190"/>
        <v/>
      </c>
      <c r="BC79" s="276" t="str">
        <f t="shared" si="191"/>
        <v/>
      </c>
      <c r="BD79" s="276" t="str">
        <f t="shared" si="192"/>
        <v/>
      </c>
      <c r="BE79" s="276" t="str">
        <f t="shared" si="193"/>
        <v/>
      </c>
      <c r="BF79" s="277" t="str">
        <f t="shared" si="194"/>
        <v/>
      </c>
      <c r="BG79" s="142">
        <f t="array" ref="BG79">(SUM( IF(ISERROR(AH79:BF79),"", AH79:BF79)))/time</f>
        <v>0</v>
      </c>
      <c r="BH79" s="142">
        <f t="shared" si="168"/>
        <v>0</v>
      </c>
      <c r="BI79" s="142">
        <v>2</v>
      </c>
      <c r="BJ79" s="143">
        <f t="shared" ref="BJ79:BJ87" si="196">IF(BO79&gt;0,BG79+BN79,BG79)</f>
        <v>0</v>
      </c>
      <c r="BL79" s="176" t="e">
        <f t="array" ref="BL79">STDEV(IF(AH79:BF79&lt;&gt;0,AH79:BF79))</f>
        <v>#DIV/0!</v>
      </c>
      <c r="BM79" s="176">
        <v>1.96</v>
      </c>
      <c r="BN79" s="176" t="e">
        <f t="shared" si="195"/>
        <v>#DIV/0!</v>
      </c>
      <c r="BO79" s="176">
        <f t="shared" si="169"/>
        <v>0</v>
      </c>
    </row>
    <row r="80" spans="1:67" hidden="1">
      <c r="A80" s="301" t="s">
        <v>196</v>
      </c>
      <c r="B80" s="269"/>
      <c r="C80" s="303"/>
      <c r="D80" s="278"/>
      <c r="E80" s="270"/>
      <c r="F80" s="279">
        <f t="shared" si="166"/>
        <v>0</v>
      </c>
      <c r="G80" s="304"/>
      <c r="H80" s="271"/>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s="273"/>
      <c r="AG80" s="274">
        <f t="shared" si="167"/>
        <v>0</v>
      </c>
      <c r="AH80" s="275">
        <f t="shared" si="170"/>
        <v>0</v>
      </c>
      <c r="AI80" s="276">
        <f t="shared" si="171"/>
        <v>0</v>
      </c>
      <c r="AJ80" s="276">
        <f t="shared" si="172"/>
        <v>0</v>
      </c>
      <c r="AK80" s="276">
        <f t="shared" si="173"/>
        <v>0</v>
      </c>
      <c r="AL80" s="276">
        <f t="shared" si="174"/>
        <v>0</v>
      </c>
      <c r="AM80" s="276" t="str">
        <f t="shared" si="175"/>
        <v/>
      </c>
      <c r="AN80" s="276" t="str">
        <f t="shared" si="176"/>
        <v/>
      </c>
      <c r="AO80" s="276" t="str">
        <f t="shared" si="177"/>
        <v/>
      </c>
      <c r="AP80" s="276" t="str">
        <f t="shared" si="178"/>
        <v/>
      </c>
      <c r="AQ80" s="276" t="str">
        <f t="shared" si="179"/>
        <v/>
      </c>
      <c r="AR80" s="276" t="str">
        <f t="shared" si="180"/>
        <v/>
      </c>
      <c r="AS80" s="276" t="str">
        <f t="shared" si="181"/>
        <v/>
      </c>
      <c r="AT80" s="276" t="str">
        <f t="shared" si="182"/>
        <v/>
      </c>
      <c r="AU80" s="276" t="str">
        <f t="shared" si="183"/>
        <v/>
      </c>
      <c r="AV80" s="276" t="str">
        <f t="shared" si="184"/>
        <v/>
      </c>
      <c r="AW80" s="276" t="str">
        <f t="shared" si="185"/>
        <v/>
      </c>
      <c r="AX80" s="276" t="str">
        <f t="shared" si="186"/>
        <v/>
      </c>
      <c r="AY80" s="276" t="str">
        <f t="shared" si="187"/>
        <v/>
      </c>
      <c r="AZ80" s="276" t="str">
        <f t="shared" si="188"/>
        <v/>
      </c>
      <c r="BA80" s="276" t="str">
        <f t="shared" si="189"/>
        <v/>
      </c>
      <c r="BB80" s="276" t="str">
        <f t="shared" si="190"/>
        <v/>
      </c>
      <c r="BC80" s="276" t="str">
        <f t="shared" si="191"/>
        <v/>
      </c>
      <c r="BD80" s="276" t="str">
        <f t="shared" si="192"/>
        <v/>
      </c>
      <c r="BE80" s="276" t="str">
        <f t="shared" si="193"/>
        <v/>
      </c>
      <c r="BF80" s="277" t="str">
        <f t="shared" si="194"/>
        <v/>
      </c>
      <c r="BG80" s="142">
        <f t="array" ref="BG80">(SUM( IF(ISERROR(AH80:BF80),"", AH80:BF80)))/time</f>
        <v>0</v>
      </c>
      <c r="BH80" s="142">
        <f t="shared" si="168"/>
        <v>0</v>
      </c>
      <c r="BI80" s="142">
        <v>3</v>
      </c>
      <c r="BJ80" s="143">
        <f t="shared" si="196"/>
        <v>0</v>
      </c>
      <c r="BL80" s="176" t="e">
        <f t="array" ref="BL80">STDEV(IF(AH80:BF80&lt;&gt;0,AH80:BF80))</f>
        <v>#DIV/0!</v>
      </c>
      <c r="BM80" s="176">
        <v>1.96</v>
      </c>
      <c r="BN80" s="176" t="e">
        <f t="shared" si="195"/>
        <v>#DIV/0!</v>
      </c>
      <c r="BO80" s="176">
        <f t="shared" si="169"/>
        <v>0</v>
      </c>
    </row>
    <row r="81" spans="1:67" hidden="1">
      <c r="A81" s="301" t="s">
        <v>197</v>
      </c>
      <c r="B81" s="269"/>
      <c r="C81" s="303"/>
      <c r="D81" s="278"/>
      <c r="E81" s="270"/>
      <c r="F81" s="279">
        <f t="shared" si="166"/>
        <v>0</v>
      </c>
      <c r="G81" s="304"/>
      <c r="H81" s="271"/>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3"/>
      <c r="AG81" s="274">
        <f t="shared" si="167"/>
        <v>0</v>
      </c>
      <c r="AH81" s="275">
        <f t="shared" si="170"/>
        <v>0</v>
      </c>
      <c r="AI81" s="276">
        <f t="shared" si="171"/>
        <v>0</v>
      </c>
      <c r="AJ81" s="276">
        <f t="shared" si="172"/>
        <v>0</v>
      </c>
      <c r="AK81" s="276">
        <f t="shared" si="173"/>
        <v>0</v>
      </c>
      <c r="AL81" s="276">
        <f t="shared" si="174"/>
        <v>0</v>
      </c>
      <c r="AM81" s="276" t="str">
        <f t="shared" si="175"/>
        <v/>
      </c>
      <c r="AN81" s="276" t="str">
        <f t="shared" si="176"/>
        <v/>
      </c>
      <c r="AO81" s="276" t="str">
        <f t="shared" si="177"/>
        <v/>
      </c>
      <c r="AP81" s="276" t="str">
        <f t="shared" si="178"/>
        <v/>
      </c>
      <c r="AQ81" s="276" t="str">
        <f t="shared" si="179"/>
        <v/>
      </c>
      <c r="AR81" s="276" t="str">
        <f t="shared" si="180"/>
        <v/>
      </c>
      <c r="AS81" s="276" t="str">
        <f t="shared" si="181"/>
        <v/>
      </c>
      <c r="AT81" s="276" t="str">
        <f t="shared" si="182"/>
        <v/>
      </c>
      <c r="AU81" s="276" t="str">
        <f t="shared" si="183"/>
        <v/>
      </c>
      <c r="AV81" s="276" t="str">
        <f t="shared" si="184"/>
        <v/>
      </c>
      <c r="AW81" s="276" t="str">
        <f t="shared" si="185"/>
        <v/>
      </c>
      <c r="AX81" s="276" t="str">
        <f t="shared" si="186"/>
        <v/>
      </c>
      <c r="AY81" s="276" t="str">
        <f t="shared" si="187"/>
        <v/>
      </c>
      <c r="AZ81" s="276" t="str">
        <f t="shared" si="188"/>
        <v/>
      </c>
      <c r="BA81" s="276" t="str">
        <f t="shared" si="189"/>
        <v/>
      </c>
      <c r="BB81" s="276" t="str">
        <f t="shared" si="190"/>
        <v/>
      </c>
      <c r="BC81" s="276" t="str">
        <f t="shared" si="191"/>
        <v/>
      </c>
      <c r="BD81" s="276" t="str">
        <f t="shared" si="192"/>
        <v/>
      </c>
      <c r="BE81" s="276" t="str">
        <f t="shared" si="193"/>
        <v/>
      </c>
      <c r="BF81" s="277" t="str">
        <f t="shared" si="194"/>
        <v/>
      </c>
      <c r="BG81" s="142">
        <f t="array" ref="BG81">(SUM( IF(ISERROR(AH81:BF81),"", AH81:BF81)))/time</f>
        <v>0</v>
      </c>
      <c r="BH81" s="142">
        <f t="shared" si="168"/>
        <v>0</v>
      </c>
      <c r="BI81" s="142">
        <v>4</v>
      </c>
      <c r="BJ81" s="143">
        <f t="shared" si="196"/>
        <v>0</v>
      </c>
      <c r="BL81" s="176" t="e">
        <f t="array" ref="BL81">STDEV(IF(AH81:BF81&lt;&gt;0,AH81:BF81))</f>
        <v>#DIV/0!</v>
      </c>
      <c r="BM81" s="176">
        <v>1.96</v>
      </c>
      <c r="BN81" s="176" t="e">
        <f t="shared" si="195"/>
        <v>#DIV/0!</v>
      </c>
      <c r="BO81" s="176">
        <f t="shared" si="169"/>
        <v>0</v>
      </c>
    </row>
    <row r="82" spans="1:67" hidden="1">
      <c r="A82" s="301" t="s">
        <v>198</v>
      </c>
      <c r="B82" s="269"/>
      <c r="C82" s="303"/>
      <c r="D82" s="278"/>
      <c r="E82" s="270"/>
      <c r="F82" s="279">
        <f t="shared" si="166"/>
        <v>0</v>
      </c>
      <c r="G82" s="304"/>
      <c r="H82" s="271"/>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c r="AF82" s="273"/>
      <c r="AG82" s="274">
        <f t="shared" si="167"/>
        <v>0</v>
      </c>
      <c r="AH82" s="275">
        <f t="shared" si="170"/>
        <v>0</v>
      </c>
      <c r="AI82" s="276">
        <f t="shared" si="171"/>
        <v>0</v>
      </c>
      <c r="AJ82" s="276">
        <f t="shared" si="172"/>
        <v>0</v>
      </c>
      <c r="AK82" s="276">
        <f t="shared" si="173"/>
        <v>0</v>
      </c>
      <c r="AL82" s="276">
        <f t="shared" si="174"/>
        <v>0</v>
      </c>
      <c r="AM82" s="276" t="str">
        <f t="shared" si="175"/>
        <v/>
      </c>
      <c r="AN82" s="276" t="str">
        <f t="shared" si="176"/>
        <v/>
      </c>
      <c r="AO82" s="276" t="str">
        <f t="shared" si="177"/>
        <v/>
      </c>
      <c r="AP82" s="276" t="str">
        <f t="shared" si="178"/>
        <v/>
      </c>
      <c r="AQ82" s="276" t="str">
        <f t="shared" si="179"/>
        <v/>
      </c>
      <c r="AR82" s="276" t="str">
        <f t="shared" si="180"/>
        <v/>
      </c>
      <c r="AS82" s="276" t="str">
        <f t="shared" si="181"/>
        <v/>
      </c>
      <c r="AT82" s="276" t="str">
        <f t="shared" si="182"/>
        <v/>
      </c>
      <c r="AU82" s="276" t="str">
        <f t="shared" si="183"/>
        <v/>
      </c>
      <c r="AV82" s="276" t="str">
        <f t="shared" si="184"/>
        <v/>
      </c>
      <c r="AW82" s="276" t="str">
        <f t="shared" si="185"/>
        <v/>
      </c>
      <c r="AX82" s="276" t="str">
        <f t="shared" si="186"/>
        <v/>
      </c>
      <c r="AY82" s="276" t="str">
        <f t="shared" si="187"/>
        <v/>
      </c>
      <c r="AZ82" s="276" t="str">
        <f t="shared" si="188"/>
        <v/>
      </c>
      <c r="BA82" s="276" t="str">
        <f t="shared" si="189"/>
        <v/>
      </c>
      <c r="BB82" s="276" t="str">
        <f t="shared" si="190"/>
        <v/>
      </c>
      <c r="BC82" s="276" t="str">
        <f t="shared" si="191"/>
        <v/>
      </c>
      <c r="BD82" s="276" t="str">
        <f t="shared" si="192"/>
        <v/>
      </c>
      <c r="BE82" s="276" t="str">
        <f t="shared" si="193"/>
        <v/>
      </c>
      <c r="BF82" s="277" t="str">
        <f t="shared" si="194"/>
        <v/>
      </c>
      <c r="BG82" s="142">
        <f t="array" ref="BG82">(SUM( IF(ISERROR(AH82:BF82),"", AH82:BF82)))/time</f>
        <v>0</v>
      </c>
      <c r="BH82" s="142">
        <f t="shared" si="168"/>
        <v>0</v>
      </c>
      <c r="BI82" s="142">
        <v>5</v>
      </c>
      <c r="BJ82" s="143">
        <f t="shared" si="196"/>
        <v>0</v>
      </c>
      <c r="BL82" s="176" t="e">
        <f t="array" ref="BL82">STDEV(IF(AH82:BF82&lt;&gt;0,AH82:BF82))</f>
        <v>#DIV/0!</v>
      </c>
      <c r="BM82" s="176">
        <v>1.96</v>
      </c>
      <c r="BN82" s="176" t="e">
        <f t="shared" si="195"/>
        <v>#DIV/0!</v>
      </c>
      <c r="BO82" s="176">
        <f t="shared" si="169"/>
        <v>0</v>
      </c>
    </row>
    <row r="83" spans="1:67" hidden="1">
      <c r="A83" s="301" t="s">
        <v>199</v>
      </c>
      <c r="B83" s="269"/>
      <c r="C83" s="303"/>
      <c r="D83" s="278"/>
      <c r="E83" s="270"/>
      <c r="F83" s="279">
        <f t="shared" si="166"/>
        <v>0</v>
      </c>
      <c r="G83" s="304"/>
      <c r="H83" s="271"/>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3"/>
      <c r="AG83" s="274">
        <f t="shared" si="167"/>
        <v>0</v>
      </c>
      <c r="AH83" s="275">
        <f t="shared" si="170"/>
        <v>0</v>
      </c>
      <c r="AI83" s="276">
        <f t="shared" si="171"/>
        <v>0</v>
      </c>
      <c r="AJ83" s="276">
        <f t="shared" si="172"/>
        <v>0</v>
      </c>
      <c r="AK83" s="276">
        <f t="shared" si="173"/>
        <v>0</v>
      </c>
      <c r="AL83" s="276">
        <f t="shared" si="174"/>
        <v>0</v>
      </c>
      <c r="AM83" s="276" t="str">
        <f t="shared" si="175"/>
        <v/>
      </c>
      <c r="AN83" s="276" t="str">
        <f t="shared" si="176"/>
        <v/>
      </c>
      <c r="AO83" s="276" t="str">
        <f t="shared" si="177"/>
        <v/>
      </c>
      <c r="AP83" s="276" t="str">
        <f t="shared" si="178"/>
        <v/>
      </c>
      <c r="AQ83" s="276" t="str">
        <f t="shared" si="179"/>
        <v/>
      </c>
      <c r="AR83" s="276" t="str">
        <f t="shared" si="180"/>
        <v/>
      </c>
      <c r="AS83" s="276" t="str">
        <f t="shared" si="181"/>
        <v/>
      </c>
      <c r="AT83" s="276" t="str">
        <f t="shared" si="182"/>
        <v/>
      </c>
      <c r="AU83" s="276" t="str">
        <f t="shared" si="183"/>
        <v/>
      </c>
      <c r="AV83" s="276" t="str">
        <f t="shared" si="184"/>
        <v/>
      </c>
      <c r="AW83" s="276" t="str">
        <f t="shared" si="185"/>
        <v/>
      </c>
      <c r="AX83" s="276" t="str">
        <f t="shared" si="186"/>
        <v/>
      </c>
      <c r="AY83" s="276" t="str">
        <f t="shared" si="187"/>
        <v/>
      </c>
      <c r="AZ83" s="276" t="str">
        <f t="shared" si="188"/>
        <v/>
      </c>
      <c r="BA83" s="276" t="str">
        <f t="shared" si="189"/>
        <v/>
      </c>
      <c r="BB83" s="276" t="str">
        <f t="shared" si="190"/>
        <v/>
      </c>
      <c r="BC83" s="276" t="str">
        <f t="shared" si="191"/>
        <v/>
      </c>
      <c r="BD83" s="276" t="str">
        <f t="shared" si="192"/>
        <v/>
      </c>
      <c r="BE83" s="276" t="str">
        <f t="shared" si="193"/>
        <v/>
      </c>
      <c r="BF83" s="277" t="str">
        <f t="shared" si="194"/>
        <v/>
      </c>
      <c r="BG83" s="142">
        <f t="array" ref="BG83">(SUM( IF(ISERROR(AH83:BF83),"", AH83:BF83)))/time</f>
        <v>0</v>
      </c>
      <c r="BH83" s="142">
        <f t="shared" si="168"/>
        <v>0</v>
      </c>
      <c r="BI83" s="142">
        <v>6</v>
      </c>
      <c r="BJ83" s="143">
        <f t="shared" si="196"/>
        <v>0</v>
      </c>
      <c r="BL83" s="176" t="e">
        <f t="array" ref="BL83">STDEV(IF(AH83:BF83&lt;&gt;0,AH83:BF83))</f>
        <v>#DIV/0!</v>
      </c>
      <c r="BM83" s="176">
        <v>1.96</v>
      </c>
      <c r="BN83" s="176" t="e">
        <f t="shared" si="195"/>
        <v>#DIV/0!</v>
      </c>
      <c r="BO83" s="176">
        <f t="shared" si="169"/>
        <v>0</v>
      </c>
    </row>
    <row r="84" spans="1:67" hidden="1">
      <c r="A84" s="301" t="s">
        <v>200</v>
      </c>
      <c r="B84" s="269"/>
      <c r="C84" s="303"/>
      <c r="D84" s="278"/>
      <c r="E84" s="270"/>
      <c r="F84" s="279">
        <f t="shared" si="166"/>
        <v>0</v>
      </c>
      <c r="G84" s="304"/>
      <c r="H84" s="271"/>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c r="AF84" s="273"/>
      <c r="AG84" s="274">
        <f t="shared" si="167"/>
        <v>0</v>
      </c>
      <c r="AH84" s="275">
        <f t="shared" si="170"/>
        <v>0</v>
      </c>
      <c r="AI84" s="276">
        <f t="shared" si="171"/>
        <v>0</v>
      </c>
      <c r="AJ84" s="276">
        <f t="shared" si="172"/>
        <v>0</v>
      </c>
      <c r="AK84" s="276">
        <f t="shared" si="173"/>
        <v>0</v>
      </c>
      <c r="AL84" s="276">
        <f t="shared" si="174"/>
        <v>0</v>
      </c>
      <c r="AM84" s="276" t="str">
        <f t="shared" si="175"/>
        <v/>
      </c>
      <c r="AN84" s="276" t="str">
        <f t="shared" si="176"/>
        <v/>
      </c>
      <c r="AO84" s="276" t="str">
        <f t="shared" si="177"/>
        <v/>
      </c>
      <c r="AP84" s="276" t="str">
        <f t="shared" si="178"/>
        <v/>
      </c>
      <c r="AQ84" s="276" t="str">
        <f t="shared" si="179"/>
        <v/>
      </c>
      <c r="AR84" s="276" t="str">
        <f t="shared" si="180"/>
        <v/>
      </c>
      <c r="AS84" s="276" t="str">
        <f t="shared" si="181"/>
        <v/>
      </c>
      <c r="AT84" s="276" t="str">
        <f t="shared" si="182"/>
        <v/>
      </c>
      <c r="AU84" s="276" t="str">
        <f t="shared" si="183"/>
        <v/>
      </c>
      <c r="AV84" s="276" t="str">
        <f t="shared" si="184"/>
        <v/>
      </c>
      <c r="AW84" s="276" t="str">
        <f t="shared" si="185"/>
        <v/>
      </c>
      <c r="AX84" s="276" t="str">
        <f t="shared" si="186"/>
        <v/>
      </c>
      <c r="AY84" s="276" t="str">
        <f t="shared" si="187"/>
        <v/>
      </c>
      <c r="AZ84" s="276" t="str">
        <f t="shared" si="188"/>
        <v/>
      </c>
      <c r="BA84" s="276" t="str">
        <f t="shared" si="189"/>
        <v/>
      </c>
      <c r="BB84" s="276" t="str">
        <f t="shared" si="190"/>
        <v/>
      </c>
      <c r="BC84" s="276" t="str">
        <f t="shared" si="191"/>
        <v/>
      </c>
      <c r="BD84" s="276" t="str">
        <f t="shared" si="192"/>
        <v/>
      </c>
      <c r="BE84" s="276" t="str">
        <f t="shared" si="193"/>
        <v/>
      </c>
      <c r="BF84" s="277" t="str">
        <f t="shared" si="194"/>
        <v/>
      </c>
      <c r="BG84" s="142">
        <f t="array" ref="BG84">(SUM( IF(ISERROR(AH84:BF84),"", AH84:BF84)))/time</f>
        <v>0</v>
      </c>
      <c r="BH84" s="142">
        <f t="shared" si="168"/>
        <v>0</v>
      </c>
      <c r="BI84" s="142">
        <v>7</v>
      </c>
      <c r="BJ84" s="143">
        <f t="shared" si="196"/>
        <v>0</v>
      </c>
      <c r="BL84" s="176" t="e">
        <f t="array" ref="BL84">STDEV(IF(AH84:BF84&lt;&gt;0,AH84:BF84))</f>
        <v>#DIV/0!</v>
      </c>
      <c r="BM84" s="176">
        <v>1.96</v>
      </c>
      <c r="BN84" s="176" t="e">
        <f t="shared" si="195"/>
        <v>#DIV/0!</v>
      </c>
      <c r="BO84" s="176">
        <f t="shared" si="169"/>
        <v>0</v>
      </c>
    </row>
    <row r="85" spans="1:67" hidden="1">
      <c r="A85" s="301" t="s">
        <v>201</v>
      </c>
      <c r="B85" s="269"/>
      <c r="C85" s="303"/>
      <c r="D85" s="278"/>
      <c r="E85" s="270"/>
      <c r="F85" s="279">
        <f t="shared" si="166"/>
        <v>0</v>
      </c>
      <c r="G85" s="304"/>
      <c r="H85" s="271"/>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s="273"/>
      <c r="AG85" s="274">
        <f t="shared" si="167"/>
        <v>0</v>
      </c>
      <c r="AH85" s="275">
        <f t="shared" si="170"/>
        <v>0</v>
      </c>
      <c r="AI85" s="276">
        <f t="shared" si="171"/>
        <v>0</v>
      </c>
      <c r="AJ85" s="276">
        <f t="shared" si="172"/>
        <v>0</v>
      </c>
      <c r="AK85" s="276">
        <f t="shared" si="173"/>
        <v>0</v>
      </c>
      <c r="AL85" s="276">
        <f t="shared" si="174"/>
        <v>0</v>
      </c>
      <c r="AM85" s="276" t="str">
        <f t="shared" si="175"/>
        <v/>
      </c>
      <c r="AN85" s="276" t="str">
        <f t="shared" si="176"/>
        <v/>
      </c>
      <c r="AO85" s="276" t="str">
        <f t="shared" si="177"/>
        <v/>
      </c>
      <c r="AP85" s="276" t="str">
        <f t="shared" si="178"/>
        <v/>
      </c>
      <c r="AQ85" s="276" t="str">
        <f t="shared" si="179"/>
        <v/>
      </c>
      <c r="AR85" s="276" t="str">
        <f t="shared" si="180"/>
        <v/>
      </c>
      <c r="AS85" s="276" t="str">
        <f t="shared" si="181"/>
        <v/>
      </c>
      <c r="AT85" s="276" t="str">
        <f t="shared" si="182"/>
        <v/>
      </c>
      <c r="AU85" s="276" t="str">
        <f t="shared" si="183"/>
        <v/>
      </c>
      <c r="AV85" s="276" t="str">
        <f t="shared" si="184"/>
        <v/>
      </c>
      <c r="AW85" s="276" t="str">
        <f t="shared" si="185"/>
        <v/>
      </c>
      <c r="AX85" s="276" t="str">
        <f t="shared" si="186"/>
        <v/>
      </c>
      <c r="AY85" s="276" t="str">
        <f t="shared" si="187"/>
        <v/>
      </c>
      <c r="AZ85" s="276" t="str">
        <f t="shared" si="188"/>
        <v/>
      </c>
      <c r="BA85" s="276" t="str">
        <f t="shared" si="189"/>
        <v/>
      </c>
      <c r="BB85" s="276" t="str">
        <f t="shared" si="190"/>
        <v/>
      </c>
      <c r="BC85" s="276" t="str">
        <f t="shared" si="191"/>
        <v/>
      </c>
      <c r="BD85" s="276" t="str">
        <f t="shared" si="192"/>
        <v/>
      </c>
      <c r="BE85" s="276" t="str">
        <f t="shared" si="193"/>
        <v/>
      </c>
      <c r="BF85" s="277" t="str">
        <f t="shared" si="194"/>
        <v/>
      </c>
      <c r="BG85" s="142">
        <f t="array" ref="BG85">(SUM( IF(ISERROR(AH85:BF85),"", AH85:BF85)))/time</f>
        <v>0</v>
      </c>
      <c r="BH85" s="142">
        <f t="shared" si="168"/>
        <v>0</v>
      </c>
      <c r="BI85" s="142">
        <v>8</v>
      </c>
      <c r="BJ85" s="143">
        <f t="shared" si="196"/>
        <v>0</v>
      </c>
      <c r="BL85" s="176" t="e">
        <f t="array" ref="BL85">STDEV(IF(AH85:BF85&lt;&gt;0,AH85:BF85))</f>
        <v>#DIV/0!</v>
      </c>
      <c r="BM85" s="176">
        <v>1.96</v>
      </c>
      <c r="BN85" s="176" t="e">
        <f t="shared" si="195"/>
        <v>#DIV/0!</v>
      </c>
      <c r="BO85" s="176">
        <f t="shared" si="169"/>
        <v>0</v>
      </c>
    </row>
    <row r="86" spans="1:67" hidden="1">
      <c r="A86" s="301" t="s">
        <v>202</v>
      </c>
      <c r="B86" s="269"/>
      <c r="C86" s="303"/>
      <c r="D86" s="278"/>
      <c r="E86" s="270"/>
      <c r="F86" s="279">
        <f t="shared" si="166"/>
        <v>0</v>
      </c>
      <c r="G86" s="304"/>
      <c r="H86" s="271"/>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3"/>
      <c r="AG86" s="274">
        <f t="shared" si="167"/>
        <v>0</v>
      </c>
      <c r="AH86" s="275">
        <f t="shared" si="170"/>
        <v>0</v>
      </c>
      <c r="AI86" s="276">
        <f t="shared" si="171"/>
        <v>0</v>
      </c>
      <c r="AJ86" s="276">
        <f t="shared" si="172"/>
        <v>0</v>
      </c>
      <c r="AK86" s="276">
        <f t="shared" si="173"/>
        <v>0</v>
      </c>
      <c r="AL86" s="276">
        <f t="shared" si="174"/>
        <v>0</v>
      </c>
      <c r="AM86" s="276" t="str">
        <f t="shared" si="175"/>
        <v/>
      </c>
      <c r="AN86" s="276" t="str">
        <f t="shared" si="176"/>
        <v/>
      </c>
      <c r="AO86" s="276" t="str">
        <f t="shared" si="177"/>
        <v/>
      </c>
      <c r="AP86" s="276" t="str">
        <f t="shared" si="178"/>
        <v/>
      </c>
      <c r="AQ86" s="276" t="str">
        <f t="shared" si="179"/>
        <v/>
      </c>
      <c r="AR86" s="276" t="str">
        <f t="shared" si="180"/>
        <v/>
      </c>
      <c r="AS86" s="276" t="str">
        <f t="shared" si="181"/>
        <v/>
      </c>
      <c r="AT86" s="276" t="str">
        <f t="shared" si="182"/>
        <v/>
      </c>
      <c r="AU86" s="276" t="str">
        <f t="shared" si="183"/>
        <v/>
      </c>
      <c r="AV86" s="276" t="str">
        <f t="shared" si="184"/>
        <v/>
      </c>
      <c r="AW86" s="276" t="str">
        <f t="shared" si="185"/>
        <v/>
      </c>
      <c r="AX86" s="276" t="str">
        <f t="shared" si="186"/>
        <v/>
      </c>
      <c r="AY86" s="276" t="str">
        <f t="shared" si="187"/>
        <v/>
      </c>
      <c r="AZ86" s="276" t="str">
        <f t="shared" si="188"/>
        <v/>
      </c>
      <c r="BA86" s="276" t="str">
        <f t="shared" si="189"/>
        <v/>
      </c>
      <c r="BB86" s="276" t="str">
        <f t="shared" si="190"/>
        <v/>
      </c>
      <c r="BC86" s="276" t="str">
        <f t="shared" si="191"/>
        <v/>
      </c>
      <c r="BD86" s="276" t="str">
        <f t="shared" si="192"/>
        <v/>
      </c>
      <c r="BE86" s="276" t="str">
        <f t="shared" si="193"/>
        <v/>
      </c>
      <c r="BF86" s="277" t="str">
        <f t="shared" si="194"/>
        <v/>
      </c>
      <c r="BG86" s="142">
        <f t="array" ref="BG86">(SUM( IF(ISERROR(AH86:BF86),"", AH86:BF86)))/time</f>
        <v>0</v>
      </c>
      <c r="BH86" s="142">
        <f t="shared" si="168"/>
        <v>0</v>
      </c>
      <c r="BI86" s="142">
        <v>9</v>
      </c>
      <c r="BJ86" s="143">
        <f t="shared" si="196"/>
        <v>0</v>
      </c>
      <c r="BL86" s="176" t="e">
        <f t="array" ref="BL86">STDEV(IF(AH86:BF86&lt;&gt;0,AH86:BF86))</f>
        <v>#DIV/0!</v>
      </c>
      <c r="BM86" s="176">
        <v>1.96</v>
      </c>
      <c r="BN86" s="176" t="e">
        <f t="shared" si="195"/>
        <v>#DIV/0!</v>
      </c>
      <c r="BO86" s="176">
        <f t="shared" si="169"/>
        <v>0</v>
      </c>
    </row>
    <row r="87" spans="1:67" hidden="1">
      <c r="A87" s="301" t="s">
        <v>203</v>
      </c>
      <c r="B87" s="269"/>
      <c r="C87" s="303"/>
      <c r="D87" s="278"/>
      <c r="E87" s="270"/>
      <c r="F87" s="279">
        <f t="shared" si="166"/>
        <v>0</v>
      </c>
      <c r="G87" s="304"/>
      <c r="H87" s="271"/>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3"/>
      <c r="AG87" s="274">
        <f t="shared" si="167"/>
        <v>0</v>
      </c>
      <c r="AH87" s="275">
        <f t="shared" si="170"/>
        <v>0</v>
      </c>
      <c r="AI87" s="276">
        <f t="shared" si="171"/>
        <v>0</v>
      </c>
      <c r="AJ87" s="276">
        <f t="shared" si="172"/>
        <v>0</v>
      </c>
      <c r="AK87" s="276">
        <f t="shared" si="173"/>
        <v>0</v>
      </c>
      <c r="AL87" s="276">
        <f t="shared" si="174"/>
        <v>0</v>
      </c>
      <c r="AM87" s="276" t="str">
        <f t="shared" si="175"/>
        <v/>
      </c>
      <c r="AN87" s="276" t="str">
        <f t="shared" si="176"/>
        <v/>
      </c>
      <c r="AO87" s="276" t="str">
        <f t="shared" si="177"/>
        <v/>
      </c>
      <c r="AP87" s="276" t="str">
        <f t="shared" si="178"/>
        <v/>
      </c>
      <c r="AQ87" s="276" t="str">
        <f t="shared" si="179"/>
        <v/>
      </c>
      <c r="AR87" s="276" t="str">
        <f t="shared" si="180"/>
        <v/>
      </c>
      <c r="AS87" s="276" t="str">
        <f t="shared" si="181"/>
        <v/>
      </c>
      <c r="AT87" s="276" t="str">
        <f t="shared" si="182"/>
        <v/>
      </c>
      <c r="AU87" s="276" t="str">
        <f t="shared" si="183"/>
        <v/>
      </c>
      <c r="AV87" s="276" t="str">
        <f t="shared" si="184"/>
        <v/>
      </c>
      <c r="AW87" s="276" t="str">
        <f t="shared" si="185"/>
        <v/>
      </c>
      <c r="AX87" s="276" t="str">
        <f t="shared" si="186"/>
        <v/>
      </c>
      <c r="AY87" s="276" t="str">
        <f t="shared" si="187"/>
        <v/>
      </c>
      <c r="AZ87" s="276" t="str">
        <f t="shared" si="188"/>
        <v/>
      </c>
      <c r="BA87" s="276" t="str">
        <f t="shared" si="189"/>
        <v/>
      </c>
      <c r="BB87" s="276" t="str">
        <f t="shared" si="190"/>
        <v/>
      </c>
      <c r="BC87" s="276" t="str">
        <f t="shared" si="191"/>
        <v/>
      </c>
      <c r="BD87" s="276" t="str">
        <f t="shared" si="192"/>
        <v/>
      </c>
      <c r="BE87" s="276" t="str">
        <f t="shared" si="193"/>
        <v/>
      </c>
      <c r="BF87" s="277" t="str">
        <f t="shared" si="194"/>
        <v/>
      </c>
      <c r="BG87" s="142">
        <f t="array" ref="BG87">(SUM( IF(ISERROR(AH87:BF87),"", AH87:BF87)))/time</f>
        <v>0</v>
      </c>
      <c r="BH87" s="142">
        <f t="shared" si="168"/>
        <v>0</v>
      </c>
      <c r="BI87" s="142">
        <v>10</v>
      </c>
      <c r="BJ87" s="143">
        <f t="shared" si="196"/>
        <v>0</v>
      </c>
      <c r="BL87" s="176" t="e">
        <f t="array" ref="BL87">STDEV(IF(AH87:BF87&lt;&gt;0,AH87:BF87))</f>
        <v>#DIV/0!</v>
      </c>
      <c r="BM87" s="176">
        <v>1.96</v>
      </c>
      <c r="BN87" s="176" t="e">
        <f t="shared" si="195"/>
        <v>#DIV/0!</v>
      </c>
      <c r="BO87" s="176">
        <f t="shared" si="169"/>
        <v>0</v>
      </c>
    </row>
    <row r="88" spans="1:67" s="196" customFormat="1">
      <c r="A88" s="290" t="s">
        <v>286</v>
      </c>
      <c r="F88" s="203"/>
      <c r="H88" s="202"/>
      <c r="AG88" s="291"/>
      <c r="AH88" s="202"/>
      <c r="BJ88" s="203"/>
    </row>
    <row r="89" spans="1:67">
      <c r="A89" s="848" t="s">
        <v>204</v>
      </c>
      <c r="B89" s="839"/>
      <c r="C89" s="851"/>
      <c r="D89" s="845"/>
      <c r="E89" s="847"/>
      <c r="F89" s="846">
        <f t="shared" si="166"/>
        <v>0</v>
      </c>
      <c r="G89" s="304"/>
      <c r="H89" s="842"/>
      <c r="I89" s="843"/>
      <c r="J89" s="843"/>
      <c r="K89" s="843"/>
      <c r="L89" s="843"/>
      <c r="M89" s="272"/>
      <c r="N89" s="272"/>
      <c r="O89" s="272"/>
      <c r="P89" s="272"/>
      <c r="Q89" s="272"/>
      <c r="R89" s="272"/>
      <c r="S89" s="272"/>
      <c r="T89" s="272"/>
      <c r="U89" s="272"/>
      <c r="V89" s="272"/>
      <c r="W89" s="272"/>
      <c r="X89" s="272"/>
      <c r="Y89" s="272"/>
      <c r="Z89" s="272"/>
      <c r="AA89" s="272"/>
      <c r="AB89" s="272"/>
      <c r="AC89" s="272"/>
      <c r="AD89" s="272"/>
      <c r="AE89" s="272"/>
      <c r="AF89" s="273"/>
      <c r="AG89" s="274">
        <f t="shared" si="167"/>
        <v>0</v>
      </c>
      <c r="AH89" s="275">
        <f t="shared" ref="AH89:AH98" si="197">IF(AH$225&lt;=time,H89*$F89,"")</f>
        <v>0</v>
      </c>
      <c r="AI89" s="276">
        <f t="shared" ref="AI89:AI98" si="198">IF(AI$225&lt;=time,I89*$F89,"")</f>
        <v>0</v>
      </c>
      <c r="AJ89" s="276">
        <f t="shared" ref="AJ89:AJ98" si="199">IF(AJ$225&lt;=time,J89*$F89,"")</f>
        <v>0</v>
      </c>
      <c r="AK89" s="276">
        <f t="shared" ref="AK89:AK98" si="200">IF(AK$225&lt;=time,K89*$F89,"")</f>
        <v>0</v>
      </c>
      <c r="AL89" s="276">
        <f t="shared" ref="AL89:AL98" si="201">IF(AL$225&lt;=time,L89*$F89,"")</f>
        <v>0</v>
      </c>
      <c r="AM89" s="276" t="str">
        <f t="shared" ref="AM89:AM98" si="202">IF(AM$225&lt;=time,M89*$F89,"")</f>
        <v/>
      </c>
      <c r="AN89" s="276" t="str">
        <f t="shared" ref="AN89:AN98" si="203">IF(AN$225&lt;=time,N89*$F89,"")</f>
        <v/>
      </c>
      <c r="AO89" s="276" t="str">
        <f t="shared" ref="AO89:AO98" si="204">IF(AO$225&lt;=time,O89*$F89,"")</f>
        <v/>
      </c>
      <c r="AP89" s="276" t="str">
        <f t="shared" ref="AP89:AP98" si="205">IF(AP$225&lt;=time,P89*$F89,"")</f>
        <v/>
      </c>
      <c r="AQ89" s="276" t="str">
        <f t="shared" ref="AQ89:AQ98" si="206">IF(AQ$225&lt;=time,Q89*$F89,"")</f>
        <v/>
      </c>
      <c r="AR89" s="276" t="str">
        <f t="shared" ref="AR89:AR98" si="207">IF(AR$225&lt;=time,R89*$F89,"")</f>
        <v/>
      </c>
      <c r="AS89" s="276" t="str">
        <f t="shared" ref="AS89:AS98" si="208">IF(AS$225&lt;=time,S89*$F89,"")</f>
        <v/>
      </c>
      <c r="AT89" s="276" t="str">
        <f t="shared" ref="AT89:AT98" si="209">IF(AT$225&lt;=time,T89*$F89,"")</f>
        <v/>
      </c>
      <c r="AU89" s="276" t="str">
        <f t="shared" ref="AU89:AU98" si="210">IF(AU$225&lt;=time,U89*$F89,"")</f>
        <v/>
      </c>
      <c r="AV89" s="276" t="str">
        <f t="shared" ref="AV89:AV98" si="211">IF(AV$225&lt;=time,V89*$F89,"")</f>
        <v/>
      </c>
      <c r="AW89" s="276" t="str">
        <f t="shared" ref="AW89:AW98" si="212">IF(AW$225&lt;=time,W89*$F89,"")</f>
        <v/>
      </c>
      <c r="AX89" s="276" t="str">
        <f t="shared" ref="AX89:AX98" si="213">IF(AX$225&lt;=time,X89*$F89,"")</f>
        <v/>
      </c>
      <c r="AY89" s="276" t="str">
        <f t="shared" ref="AY89:AY98" si="214">IF(AY$225&lt;=time,Y89*$F89,"")</f>
        <v/>
      </c>
      <c r="AZ89" s="276" t="str">
        <f t="shared" ref="AZ89:AZ98" si="215">IF(AZ$225&lt;=time,Z89*$F89,"")</f>
        <v/>
      </c>
      <c r="BA89" s="276" t="str">
        <f t="shared" ref="BA89:BA98" si="216">IF(BA$225&lt;=time,AA89*$F89,"")</f>
        <v/>
      </c>
      <c r="BB89" s="276" t="str">
        <f t="shared" ref="BB89:BB98" si="217">IF(BB$225&lt;=time,AB89*$F89,"")</f>
        <v/>
      </c>
      <c r="BC89" s="276" t="str">
        <f t="shared" ref="BC89:BC98" si="218">IF(BC$225&lt;=time,AC89*$F89,"")</f>
        <v/>
      </c>
      <c r="BD89" s="276" t="str">
        <f t="shared" ref="BD89:BD98" si="219">IF(BD$225&lt;=time,AD89*$F89,"")</f>
        <v/>
      </c>
      <c r="BE89" s="276" t="str">
        <f t="shared" ref="BE89:BE98" si="220">IF(BE$225&lt;=time,AE89*$F89,"")</f>
        <v/>
      </c>
      <c r="BF89" s="277" t="str">
        <f t="shared" ref="BF89:BF98" si="221">IF(BF$225&lt;=time,AF89*$F89,"")</f>
        <v/>
      </c>
      <c r="BG89" s="142">
        <f t="array" ref="BG89">(SUM( IF(ISERROR(AH89:BF89),"", AH89:BF89)))/time</f>
        <v>0</v>
      </c>
      <c r="BH89" s="142">
        <f t="shared" si="168"/>
        <v>0</v>
      </c>
      <c r="BI89" s="142">
        <v>1</v>
      </c>
      <c r="BJ89" s="143">
        <f>IF(BO89&gt;0,BG89+BN89,BG89)</f>
        <v>0</v>
      </c>
      <c r="BL89" s="176" t="e">
        <f t="array" ref="BL89">STDEV(IF(AH89:BF89&lt;&gt;0,AH89:BF89))</f>
        <v>#DIV/0!</v>
      </c>
      <c r="BM89" s="176">
        <v>1.96</v>
      </c>
      <c r="BN89" s="176" t="e">
        <f t="shared" ref="BN89:BN98" si="222">(BM89*BL89)/(time^0.5)</f>
        <v>#DIV/0!</v>
      </c>
      <c r="BO89" s="176">
        <f t="shared" si="169"/>
        <v>0</v>
      </c>
    </row>
    <row r="90" spans="1:67" hidden="1">
      <c r="A90" s="301" t="s">
        <v>205</v>
      </c>
      <c r="B90" s="305"/>
      <c r="C90" s="303"/>
      <c r="D90" s="278"/>
      <c r="E90" s="270"/>
      <c r="F90" s="279">
        <f t="shared" si="166"/>
        <v>0</v>
      </c>
      <c r="G90" s="304"/>
      <c r="H90" s="271"/>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3"/>
      <c r="AG90" s="274">
        <f t="shared" si="167"/>
        <v>0</v>
      </c>
      <c r="AH90" s="275">
        <f t="shared" si="197"/>
        <v>0</v>
      </c>
      <c r="AI90" s="276">
        <f t="shared" si="198"/>
        <v>0</v>
      </c>
      <c r="AJ90" s="276">
        <f t="shared" si="199"/>
        <v>0</v>
      </c>
      <c r="AK90" s="276">
        <f t="shared" si="200"/>
        <v>0</v>
      </c>
      <c r="AL90" s="276">
        <f t="shared" si="201"/>
        <v>0</v>
      </c>
      <c r="AM90" s="276" t="str">
        <f t="shared" si="202"/>
        <v/>
      </c>
      <c r="AN90" s="276" t="str">
        <f t="shared" si="203"/>
        <v/>
      </c>
      <c r="AO90" s="276" t="str">
        <f t="shared" si="204"/>
        <v/>
      </c>
      <c r="AP90" s="276" t="str">
        <f t="shared" si="205"/>
        <v/>
      </c>
      <c r="AQ90" s="276" t="str">
        <f t="shared" si="206"/>
        <v/>
      </c>
      <c r="AR90" s="276" t="str">
        <f t="shared" si="207"/>
        <v/>
      </c>
      <c r="AS90" s="276" t="str">
        <f t="shared" si="208"/>
        <v/>
      </c>
      <c r="AT90" s="276" t="str">
        <f t="shared" si="209"/>
        <v/>
      </c>
      <c r="AU90" s="276" t="str">
        <f t="shared" si="210"/>
        <v/>
      </c>
      <c r="AV90" s="276" t="str">
        <f t="shared" si="211"/>
        <v/>
      </c>
      <c r="AW90" s="276" t="str">
        <f t="shared" si="212"/>
        <v/>
      </c>
      <c r="AX90" s="276" t="str">
        <f t="shared" si="213"/>
        <v/>
      </c>
      <c r="AY90" s="276" t="str">
        <f t="shared" si="214"/>
        <v/>
      </c>
      <c r="AZ90" s="276" t="str">
        <f t="shared" si="215"/>
        <v/>
      </c>
      <c r="BA90" s="276" t="str">
        <f t="shared" si="216"/>
        <v/>
      </c>
      <c r="BB90" s="276" t="str">
        <f t="shared" si="217"/>
        <v/>
      </c>
      <c r="BC90" s="276" t="str">
        <f t="shared" si="218"/>
        <v/>
      </c>
      <c r="BD90" s="276" t="str">
        <f t="shared" si="219"/>
        <v/>
      </c>
      <c r="BE90" s="276" t="str">
        <f t="shared" si="220"/>
        <v/>
      </c>
      <c r="BF90" s="277" t="str">
        <f t="shared" si="221"/>
        <v/>
      </c>
      <c r="BG90" s="142">
        <f t="array" ref="BG90">(SUM( IF(ISERROR(AH90:BF90),"", AH90:BF90)))/time</f>
        <v>0</v>
      </c>
      <c r="BH90" s="142">
        <f t="shared" si="168"/>
        <v>0</v>
      </c>
      <c r="BI90" s="142">
        <v>2</v>
      </c>
      <c r="BJ90" s="143">
        <f t="shared" ref="BJ90:BJ98" si="223">IF(BO90&gt;0,BG90+BN90,BG90)</f>
        <v>0</v>
      </c>
      <c r="BL90" s="176" t="e">
        <f t="array" ref="BL90">STDEV(IF(AH90:BF90&lt;&gt;0,AH90:BF90))</f>
        <v>#DIV/0!</v>
      </c>
      <c r="BM90" s="176">
        <v>1.96</v>
      </c>
      <c r="BN90" s="176" t="e">
        <f t="shared" si="222"/>
        <v>#DIV/0!</v>
      </c>
      <c r="BO90" s="176">
        <f t="shared" si="169"/>
        <v>0</v>
      </c>
    </row>
    <row r="91" spans="1:67" hidden="1">
      <c r="A91" s="301" t="s">
        <v>206</v>
      </c>
      <c r="B91" s="305"/>
      <c r="C91" s="303"/>
      <c r="D91" s="278"/>
      <c r="E91" s="270"/>
      <c r="F91" s="279">
        <f t="shared" si="166"/>
        <v>0</v>
      </c>
      <c r="G91" s="304"/>
      <c r="H91" s="271"/>
      <c r="I91" s="272"/>
      <c r="J91" s="272"/>
      <c r="K91" s="272"/>
      <c r="L91" s="272"/>
      <c r="M91" s="272"/>
      <c r="N91" s="272"/>
      <c r="O91" s="272"/>
      <c r="P91" s="272"/>
      <c r="Q91" s="272"/>
      <c r="R91" s="272"/>
      <c r="S91" s="272"/>
      <c r="T91" s="272"/>
      <c r="U91" s="272"/>
      <c r="V91" s="272"/>
      <c r="W91" s="272"/>
      <c r="X91" s="272"/>
      <c r="Y91" s="272"/>
      <c r="Z91" s="272"/>
      <c r="AA91" s="272"/>
      <c r="AB91" s="272"/>
      <c r="AC91" s="272"/>
      <c r="AD91" s="272"/>
      <c r="AE91" s="272"/>
      <c r="AF91" s="273"/>
      <c r="AG91" s="274">
        <f t="shared" si="167"/>
        <v>0</v>
      </c>
      <c r="AH91" s="275">
        <f t="shared" si="197"/>
        <v>0</v>
      </c>
      <c r="AI91" s="276">
        <f t="shared" si="198"/>
        <v>0</v>
      </c>
      <c r="AJ91" s="276">
        <f t="shared" si="199"/>
        <v>0</v>
      </c>
      <c r="AK91" s="276">
        <f t="shared" si="200"/>
        <v>0</v>
      </c>
      <c r="AL91" s="276">
        <f t="shared" si="201"/>
        <v>0</v>
      </c>
      <c r="AM91" s="276" t="str">
        <f t="shared" si="202"/>
        <v/>
      </c>
      <c r="AN91" s="276" t="str">
        <f t="shared" si="203"/>
        <v/>
      </c>
      <c r="AO91" s="276" t="str">
        <f t="shared" si="204"/>
        <v/>
      </c>
      <c r="AP91" s="276" t="str">
        <f t="shared" si="205"/>
        <v/>
      </c>
      <c r="AQ91" s="276" t="str">
        <f t="shared" si="206"/>
        <v/>
      </c>
      <c r="AR91" s="276" t="str">
        <f t="shared" si="207"/>
        <v/>
      </c>
      <c r="AS91" s="276" t="str">
        <f t="shared" si="208"/>
        <v/>
      </c>
      <c r="AT91" s="276" t="str">
        <f t="shared" si="209"/>
        <v/>
      </c>
      <c r="AU91" s="276" t="str">
        <f t="shared" si="210"/>
        <v/>
      </c>
      <c r="AV91" s="276" t="str">
        <f t="shared" si="211"/>
        <v/>
      </c>
      <c r="AW91" s="276" t="str">
        <f t="shared" si="212"/>
        <v/>
      </c>
      <c r="AX91" s="276" t="str">
        <f t="shared" si="213"/>
        <v/>
      </c>
      <c r="AY91" s="276" t="str">
        <f t="shared" si="214"/>
        <v/>
      </c>
      <c r="AZ91" s="276" t="str">
        <f t="shared" si="215"/>
        <v/>
      </c>
      <c r="BA91" s="276" t="str">
        <f t="shared" si="216"/>
        <v/>
      </c>
      <c r="BB91" s="276" t="str">
        <f t="shared" si="217"/>
        <v/>
      </c>
      <c r="BC91" s="276" t="str">
        <f t="shared" si="218"/>
        <v/>
      </c>
      <c r="BD91" s="276" t="str">
        <f t="shared" si="219"/>
        <v/>
      </c>
      <c r="BE91" s="276" t="str">
        <f t="shared" si="220"/>
        <v/>
      </c>
      <c r="BF91" s="277" t="str">
        <f t="shared" si="221"/>
        <v/>
      </c>
      <c r="BG91" s="142">
        <f t="array" ref="BG91">(SUM( IF(ISERROR(AH91:BF91),"", AH91:BF91)))/time</f>
        <v>0</v>
      </c>
      <c r="BH91" s="142">
        <f t="shared" si="168"/>
        <v>0</v>
      </c>
      <c r="BI91" s="142">
        <v>3</v>
      </c>
      <c r="BJ91" s="143">
        <f t="shared" si="223"/>
        <v>0</v>
      </c>
      <c r="BL91" s="176" t="e">
        <f t="array" ref="BL91">STDEV(IF(AH91:BF91&lt;&gt;0,AH91:BF91))</f>
        <v>#DIV/0!</v>
      </c>
      <c r="BM91" s="176">
        <v>1.96</v>
      </c>
      <c r="BN91" s="176" t="e">
        <f t="shared" si="222"/>
        <v>#DIV/0!</v>
      </c>
      <c r="BO91" s="176">
        <f t="shared" si="169"/>
        <v>0</v>
      </c>
    </row>
    <row r="92" spans="1:67" hidden="1">
      <c r="A92" s="301" t="s">
        <v>207</v>
      </c>
      <c r="B92" s="305"/>
      <c r="C92" s="303"/>
      <c r="D92" s="278"/>
      <c r="E92" s="270"/>
      <c r="F92" s="279">
        <f t="shared" si="166"/>
        <v>0</v>
      </c>
      <c r="G92" s="304"/>
      <c r="H92" s="271"/>
      <c r="I92" s="272"/>
      <c r="J92" s="272"/>
      <c r="K92" s="272"/>
      <c r="L92" s="272"/>
      <c r="M92" s="272"/>
      <c r="N92" s="272"/>
      <c r="O92" s="272"/>
      <c r="P92" s="272"/>
      <c r="Q92" s="272"/>
      <c r="R92" s="272"/>
      <c r="S92" s="272"/>
      <c r="T92" s="272"/>
      <c r="U92" s="272"/>
      <c r="V92" s="272"/>
      <c r="W92" s="272"/>
      <c r="X92" s="272"/>
      <c r="Y92" s="272"/>
      <c r="Z92" s="272"/>
      <c r="AA92" s="272"/>
      <c r="AB92" s="272"/>
      <c r="AC92" s="272"/>
      <c r="AD92" s="272"/>
      <c r="AE92" s="272"/>
      <c r="AF92" s="273"/>
      <c r="AG92" s="274">
        <f t="shared" si="167"/>
        <v>0</v>
      </c>
      <c r="AH92" s="275">
        <f t="shared" si="197"/>
        <v>0</v>
      </c>
      <c r="AI92" s="276">
        <f t="shared" si="198"/>
        <v>0</v>
      </c>
      <c r="AJ92" s="276">
        <f t="shared" si="199"/>
        <v>0</v>
      </c>
      <c r="AK92" s="276">
        <f t="shared" si="200"/>
        <v>0</v>
      </c>
      <c r="AL92" s="276">
        <f t="shared" si="201"/>
        <v>0</v>
      </c>
      <c r="AM92" s="276" t="str">
        <f t="shared" si="202"/>
        <v/>
      </c>
      <c r="AN92" s="276" t="str">
        <f t="shared" si="203"/>
        <v/>
      </c>
      <c r="AO92" s="276" t="str">
        <f t="shared" si="204"/>
        <v/>
      </c>
      <c r="AP92" s="276" t="str">
        <f t="shared" si="205"/>
        <v/>
      </c>
      <c r="AQ92" s="276" t="str">
        <f t="shared" si="206"/>
        <v/>
      </c>
      <c r="AR92" s="276" t="str">
        <f t="shared" si="207"/>
        <v/>
      </c>
      <c r="AS92" s="276" t="str">
        <f t="shared" si="208"/>
        <v/>
      </c>
      <c r="AT92" s="276" t="str">
        <f t="shared" si="209"/>
        <v/>
      </c>
      <c r="AU92" s="276" t="str">
        <f t="shared" si="210"/>
        <v/>
      </c>
      <c r="AV92" s="276" t="str">
        <f t="shared" si="211"/>
        <v/>
      </c>
      <c r="AW92" s="276" t="str">
        <f t="shared" si="212"/>
        <v/>
      </c>
      <c r="AX92" s="276" t="str">
        <f t="shared" si="213"/>
        <v/>
      </c>
      <c r="AY92" s="276" t="str">
        <f t="shared" si="214"/>
        <v/>
      </c>
      <c r="AZ92" s="276" t="str">
        <f t="shared" si="215"/>
        <v/>
      </c>
      <c r="BA92" s="276" t="str">
        <f t="shared" si="216"/>
        <v/>
      </c>
      <c r="BB92" s="276" t="str">
        <f t="shared" si="217"/>
        <v/>
      </c>
      <c r="BC92" s="276" t="str">
        <f t="shared" si="218"/>
        <v/>
      </c>
      <c r="BD92" s="276" t="str">
        <f t="shared" si="219"/>
        <v/>
      </c>
      <c r="BE92" s="276" t="str">
        <f t="shared" si="220"/>
        <v/>
      </c>
      <c r="BF92" s="277" t="str">
        <f t="shared" si="221"/>
        <v/>
      </c>
      <c r="BG92" s="142">
        <f t="array" ref="BG92">(SUM( IF(ISERROR(AH92:BF92),"", AH92:BF92)))/time</f>
        <v>0</v>
      </c>
      <c r="BH92" s="142">
        <f t="shared" si="168"/>
        <v>0</v>
      </c>
      <c r="BI92" s="142">
        <v>4</v>
      </c>
      <c r="BJ92" s="143">
        <f t="shared" si="223"/>
        <v>0</v>
      </c>
      <c r="BL92" s="176" t="e">
        <f t="array" ref="BL92">STDEV(IF(AH92:BF92&lt;&gt;0,AH92:BF92))</f>
        <v>#DIV/0!</v>
      </c>
      <c r="BM92" s="176">
        <v>1.96</v>
      </c>
      <c r="BN92" s="176" t="e">
        <f t="shared" si="222"/>
        <v>#DIV/0!</v>
      </c>
      <c r="BO92" s="176">
        <f t="shared" si="169"/>
        <v>0</v>
      </c>
    </row>
    <row r="93" spans="1:67" hidden="1">
      <c r="A93" s="301" t="s">
        <v>208</v>
      </c>
      <c r="B93" s="305"/>
      <c r="C93" s="303"/>
      <c r="D93" s="278"/>
      <c r="E93" s="270"/>
      <c r="F93" s="279">
        <f t="shared" si="166"/>
        <v>0</v>
      </c>
      <c r="G93" s="304"/>
      <c r="H93" s="271"/>
      <c r="I93" s="272"/>
      <c r="J93" s="272"/>
      <c r="K93" s="272"/>
      <c r="L93" s="272"/>
      <c r="M93" s="272"/>
      <c r="N93" s="272"/>
      <c r="O93" s="272"/>
      <c r="P93" s="272"/>
      <c r="Q93" s="272"/>
      <c r="R93" s="272"/>
      <c r="S93" s="272"/>
      <c r="T93" s="272"/>
      <c r="U93" s="272"/>
      <c r="V93" s="272"/>
      <c r="W93" s="272"/>
      <c r="X93" s="272"/>
      <c r="Y93" s="272"/>
      <c r="Z93" s="272"/>
      <c r="AA93" s="272"/>
      <c r="AB93" s="272"/>
      <c r="AC93" s="272"/>
      <c r="AD93" s="272"/>
      <c r="AE93" s="272"/>
      <c r="AF93" s="273"/>
      <c r="AG93" s="274">
        <f t="shared" si="167"/>
        <v>0</v>
      </c>
      <c r="AH93" s="275">
        <f t="shared" si="197"/>
        <v>0</v>
      </c>
      <c r="AI93" s="276">
        <f t="shared" si="198"/>
        <v>0</v>
      </c>
      <c r="AJ93" s="276">
        <f t="shared" si="199"/>
        <v>0</v>
      </c>
      <c r="AK93" s="276">
        <f t="shared" si="200"/>
        <v>0</v>
      </c>
      <c r="AL93" s="276">
        <f t="shared" si="201"/>
        <v>0</v>
      </c>
      <c r="AM93" s="276" t="str">
        <f t="shared" si="202"/>
        <v/>
      </c>
      <c r="AN93" s="276" t="str">
        <f t="shared" si="203"/>
        <v/>
      </c>
      <c r="AO93" s="276" t="str">
        <f t="shared" si="204"/>
        <v/>
      </c>
      <c r="AP93" s="276" t="str">
        <f t="shared" si="205"/>
        <v/>
      </c>
      <c r="AQ93" s="276" t="str">
        <f t="shared" si="206"/>
        <v/>
      </c>
      <c r="AR93" s="276" t="str">
        <f t="shared" si="207"/>
        <v/>
      </c>
      <c r="AS93" s="276" t="str">
        <f t="shared" si="208"/>
        <v/>
      </c>
      <c r="AT93" s="276" t="str">
        <f t="shared" si="209"/>
        <v/>
      </c>
      <c r="AU93" s="276" t="str">
        <f t="shared" si="210"/>
        <v/>
      </c>
      <c r="AV93" s="276" t="str">
        <f t="shared" si="211"/>
        <v/>
      </c>
      <c r="AW93" s="276" t="str">
        <f t="shared" si="212"/>
        <v/>
      </c>
      <c r="AX93" s="276" t="str">
        <f t="shared" si="213"/>
        <v/>
      </c>
      <c r="AY93" s="276" t="str">
        <f t="shared" si="214"/>
        <v/>
      </c>
      <c r="AZ93" s="276" t="str">
        <f t="shared" si="215"/>
        <v/>
      </c>
      <c r="BA93" s="276" t="str">
        <f t="shared" si="216"/>
        <v/>
      </c>
      <c r="BB93" s="276" t="str">
        <f t="shared" si="217"/>
        <v/>
      </c>
      <c r="BC93" s="276" t="str">
        <f t="shared" si="218"/>
        <v/>
      </c>
      <c r="BD93" s="276" t="str">
        <f t="shared" si="219"/>
        <v/>
      </c>
      <c r="BE93" s="276" t="str">
        <f t="shared" si="220"/>
        <v/>
      </c>
      <c r="BF93" s="277" t="str">
        <f t="shared" si="221"/>
        <v/>
      </c>
      <c r="BG93" s="142">
        <f t="array" ref="BG93">(SUM( IF(ISERROR(AH93:BF93),"", AH93:BF93)))/time</f>
        <v>0</v>
      </c>
      <c r="BH93" s="142">
        <f t="shared" si="168"/>
        <v>0</v>
      </c>
      <c r="BI93" s="142">
        <v>5</v>
      </c>
      <c r="BJ93" s="143">
        <f t="shared" si="223"/>
        <v>0</v>
      </c>
      <c r="BL93" s="176" t="e">
        <f t="array" ref="BL93">STDEV(IF(AH93:BF93&lt;&gt;0,AH93:BF93))</f>
        <v>#DIV/0!</v>
      </c>
      <c r="BM93" s="176">
        <v>1.96</v>
      </c>
      <c r="BN93" s="176" t="e">
        <f t="shared" si="222"/>
        <v>#DIV/0!</v>
      </c>
      <c r="BO93" s="176">
        <f t="shared" si="169"/>
        <v>0</v>
      </c>
    </row>
    <row r="94" spans="1:67" hidden="1">
      <c r="A94" s="301" t="s">
        <v>209</v>
      </c>
      <c r="B94" s="305"/>
      <c r="C94" s="303"/>
      <c r="D94" s="278"/>
      <c r="E94" s="270"/>
      <c r="F94" s="279">
        <f t="shared" si="166"/>
        <v>0</v>
      </c>
      <c r="G94" s="304"/>
      <c r="H94" s="271"/>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3"/>
      <c r="AG94" s="274">
        <f t="shared" si="167"/>
        <v>0</v>
      </c>
      <c r="AH94" s="275">
        <f t="shared" si="197"/>
        <v>0</v>
      </c>
      <c r="AI94" s="276">
        <f t="shared" si="198"/>
        <v>0</v>
      </c>
      <c r="AJ94" s="276">
        <f t="shared" si="199"/>
        <v>0</v>
      </c>
      <c r="AK94" s="276">
        <f t="shared" si="200"/>
        <v>0</v>
      </c>
      <c r="AL94" s="276">
        <f t="shared" si="201"/>
        <v>0</v>
      </c>
      <c r="AM94" s="276" t="str">
        <f t="shared" si="202"/>
        <v/>
      </c>
      <c r="AN94" s="276" t="str">
        <f t="shared" si="203"/>
        <v/>
      </c>
      <c r="AO94" s="276" t="str">
        <f t="shared" si="204"/>
        <v/>
      </c>
      <c r="AP94" s="276" t="str">
        <f t="shared" si="205"/>
        <v/>
      </c>
      <c r="AQ94" s="276" t="str">
        <f t="shared" si="206"/>
        <v/>
      </c>
      <c r="AR94" s="276" t="str">
        <f t="shared" si="207"/>
        <v/>
      </c>
      <c r="AS94" s="276" t="str">
        <f t="shared" si="208"/>
        <v/>
      </c>
      <c r="AT94" s="276" t="str">
        <f t="shared" si="209"/>
        <v/>
      </c>
      <c r="AU94" s="276" t="str">
        <f t="shared" si="210"/>
        <v/>
      </c>
      <c r="AV94" s="276" t="str">
        <f t="shared" si="211"/>
        <v/>
      </c>
      <c r="AW94" s="276" t="str">
        <f t="shared" si="212"/>
        <v/>
      </c>
      <c r="AX94" s="276" t="str">
        <f t="shared" si="213"/>
        <v/>
      </c>
      <c r="AY94" s="276" t="str">
        <f t="shared" si="214"/>
        <v/>
      </c>
      <c r="AZ94" s="276" t="str">
        <f t="shared" si="215"/>
        <v/>
      </c>
      <c r="BA94" s="276" t="str">
        <f t="shared" si="216"/>
        <v/>
      </c>
      <c r="BB94" s="276" t="str">
        <f t="shared" si="217"/>
        <v/>
      </c>
      <c r="BC94" s="276" t="str">
        <f t="shared" si="218"/>
        <v/>
      </c>
      <c r="BD94" s="276" t="str">
        <f t="shared" si="219"/>
        <v/>
      </c>
      <c r="BE94" s="276" t="str">
        <f t="shared" si="220"/>
        <v/>
      </c>
      <c r="BF94" s="277" t="str">
        <f t="shared" si="221"/>
        <v/>
      </c>
      <c r="BG94" s="142">
        <f t="array" ref="BG94">(SUM( IF(ISERROR(AH94:BF94),"", AH94:BF94)))/time</f>
        <v>0</v>
      </c>
      <c r="BH94" s="142">
        <f t="shared" si="168"/>
        <v>0</v>
      </c>
      <c r="BI94" s="142">
        <v>6</v>
      </c>
      <c r="BJ94" s="143">
        <f t="shared" si="223"/>
        <v>0</v>
      </c>
      <c r="BL94" s="176" t="e">
        <f t="array" ref="BL94">STDEV(IF(AH94:BF94&lt;&gt;0,AH94:BF94))</f>
        <v>#DIV/0!</v>
      </c>
      <c r="BM94" s="176">
        <v>1.96</v>
      </c>
      <c r="BN94" s="176" t="e">
        <f t="shared" si="222"/>
        <v>#DIV/0!</v>
      </c>
      <c r="BO94" s="176">
        <f t="shared" si="169"/>
        <v>0</v>
      </c>
    </row>
    <row r="95" spans="1:67" hidden="1">
      <c r="A95" s="301" t="s">
        <v>210</v>
      </c>
      <c r="B95" s="305"/>
      <c r="C95" s="303"/>
      <c r="D95" s="278"/>
      <c r="E95" s="270"/>
      <c r="F95" s="279">
        <f t="shared" si="166"/>
        <v>0</v>
      </c>
      <c r="G95" s="304"/>
      <c r="H95" s="271"/>
      <c r="I95" s="272"/>
      <c r="J95" s="272"/>
      <c r="K95" s="272"/>
      <c r="L95" s="272"/>
      <c r="M95" s="272"/>
      <c r="N95" s="272"/>
      <c r="O95" s="272"/>
      <c r="P95" s="272"/>
      <c r="Q95" s="272"/>
      <c r="R95" s="272"/>
      <c r="S95" s="272"/>
      <c r="T95" s="272"/>
      <c r="U95" s="272"/>
      <c r="V95" s="272"/>
      <c r="W95" s="272"/>
      <c r="X95" s="272"/>
      <c r="Y95" s="272"/>
      <c r="Z95" s="272"/>
      <c r="AA95" s="272"/>
      <c r="AB95" s="272"/>
      <c r="AC95" s="272"/>
      <c r="AD95" s="272"/>
      <c r="AE95" s="272"/>
      <c r="AF95" s="273"/>
      <c r="AG95" s="274">
        <f t="shared" si="167"/>
        <v>0</v>
      </c>
      <c r="AH95" s="275">
        <f t="shared" si="197"/>
        <v>0</v>
      </c>
      <c r="AI95" s="276">
        <f t="shared" si="198"/>
        <v>0</v>
      </c>
      <c r="AJ95" s="276">
        <f t="shared" si="199"/>
        <v>0</v>
      </c>
      <c r="AK95" s="276">
        <f t="shared" si="200"/>
        <v>0</v>
      </c>
      <c r="AL95" s="276">
        <f t="shared" si="201"/>
        <v>0</v>
      </c>
      <c r="AM95" s="276" t="str">
        <f t="shared" si="202"/>
        <v/>
      </c>
      <c r="AN95" s="276" t="str">
        <f t="shared" si="203"/>
        <v/>
      </c>
      <c r="AO95" s="276" t="str">
        <f t="shared" si="204"/>
        <v/>
      </c>
      <c r="AP95" s="276" t="str">
        <f t="shared" si="205"/>
        <v/>
      </c>
      <c r="AQ95" s="276" t="str">
        <f t="shared" si="206"/>
        <v/>
      </c>
      <c r="AR95" s="276" t="str">
        <f t="shared" si="207"/>
        <v/>
      </c>
      <c r="AS95" s="276" t="str">
        <f t="shared" si="208"/>
        <v/>
      </c>
      <c r="AT95" s="276" t="str">
        <f t="shared" si="209"/>
        <v/>
      </c>
      <c r="AU95" s="276" t="str">
        <f t="shared" si="210"/>
        <v/>
      </c>
      <c r="AV95" s="276" t="str">
        <f t="shared" si="211"/>
        <v/>
      </c>
      <c r="AW95" s="276" t="str">
        <f t="shared" si="212"/>
        <v/>
      </c>
      <c r="AX95" s="276" t="str">
        <f t="shared" si="213"/>
        <v/>
      </c>
      <c r="AY95" s="276" t="str">
        <f t="shared" si="214"/>
        <v/>
      </c>
      <c r="AZ95" s="276" t="str">
        <f t="shared" si="215"/>
        <v/>
      </c>
      <c r="BA95" s="276" t="str">
        <f t="shared" si="216"/>
        <v/>
      </c>
      <c r="BB95" s="276" t="str">
        <f t="shared" si="217"/>
        <v/>
      </c>
      <c r="BC95" s="276" t="str">
        <f t="shared" si="218"/>
        <v/>
      </c>
      <c r="BD95" s="276" t="str">
        <f t="shared" si="219"/>
        <v/>
      </c>
      <c r="BE95" s="276" t="str">
        <f t="shared" si="220"/>
        <v/>
      </c>
      <c r="BF95" s="277" t="str">
        <f t="shared" si="221"/>
        <v/>
      </c>
      <c r="BG95" s="142">
        <f t="array" ref="BG95">(SUM( IF(ISERROR(AH95:BF95),"", AH95:BF95)))/time</f>
        <v>0</v>
      </c>
      <c r="BH95" s="142">
        <f t="shared" si="168"/>
        <v>0</v>
      </c>
      <c r="BI95" s="142">
        <v>7</v>
      </c>
      <c r="BJ95" s="143">
        <f t="shared" si="223"/>
        <v>0</v>
      </c>
      <c r="BL95" s="176" t="e">
        <f t="array" ref="BL95">STDEV(IF(AH95:BF95&lt;&gt;0,AH95:BF95))</f>
        <v>#DIV/0!</v>
      </c>
      <c r="BM95" s="176">
        <v>1.96</v>
      </c>
      <c r="BN95" s="176" t="e">
        <f t="shared" si="222"/>
        <v>#DIV/0!</v>
      </c>
      <c r="BO95" s="176">
        <f t="shared" si="169"/>
        <v>0</v>
      </c>
    </row>
    <row r="96" spans="1:67" hidden="1">
      <c r="A96" s="301" t="s">
        <v>211</v>
      </c>
      <c r="B96" s="305"/>
      <c r="C96" s="303"/>
      <c r="D96" s="278"/>
      <c r="E96" s="270"/>
      <c r="F96" s="279">
        <f t="shared" si="166"/>
        <v>0</v>
      </c>
      <c r="G96" s="304"/>
      <c r="H96" s="271"/>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3"/>
      <c r="AG96" s="274">
        <f t="shared" si="167"/>
        <v>0</v>
      </c>
      <c r="AH96" s="275">
        <f t="shared" si="197"/>
        <v>0</v>
      </c>
      <c r="AI96" s="276">
        <f t="shared" si="198"/>
        <v>0</v>
      </c>
      <c r="AJ96" s="276">
        <f t="shared" si="199"/>
        <v>0</v>
      </c>
      <c r="AK96" s="276">
        <f t="shared" si="200"/>
        <v>0</v>
      </c>
      <c r="AL96" s="276">
        <f t="shared" si="201"/>
        <v>0</v>
      </c>
      <c r="AM96" s="276" t="str">
        <f t="shared" si="202"/>
        <v/>
      </c>
      <c r="AN96" s="276" t="str">
        <f t="shared" si="203"/>
        <v/>
      </c>
      <c r="AO96" s="276" t="str">
        <f t="shared" si="204"/>
        <v/>
      </c>
      <c r="AP96" s="276" t="str">
        <f t="shared" si="205"/>
        <v/>
      </c>
      <c r="AQ96" s="276" t="str">
        <f t="shared" si="206"/>
        <v/>
      </c>
      <c r="AR96" s="276" t="str">
        <f t="shared" si="207"/>
        <v/>
      </c>
      <c r="AS96" s="276" t="str">
        <f t="shared" si="208"/>
        <v/>
      </c>
      <c r="AT96" s="276" t="str">
        <f t="shared" si="209"/>
        <v/>
      </c>
      <c r="AU96" s="276" t="str">
        <f t="shared" si="210"/>
        <v/>
      </c>
      <c r="AV96" s="276" t="str">
        <f t="shared" si="211"/>
        <v/>
      </c>
      <c r="AW96" s="276" t="str">
        <f t="shared" si="212"/>
        <v/>
      </c>
      <c r="AX96" s="276" t="str">
        <f t="shared" si="213"/>
        <v/>
      </c>
      <c r="AY96" s="276" t="str">
        <f t="shared" si="214"/>
        <v/>
      </c>
      <c r="AZ96" s="276" t="str">
        <f t="shared" si="215"/>
        <v/>
      </c>
      <c r="BA96" s="276" t="str">
        <f t="shared" si="216"/>
        <v/>
      </c>
      <c r="BB96" s="276" t="str">
        <f t="shared" si="217"/>
        <v/>
      </c>
      <c r="BC96" s="276" t="str">
        <f t="shared" si="218"/>
        <v/>
      </c>
      <c r="BD96" s="276" t="str">
        <f t="shared" si="219"/>
        <v/>
      </c>
      <c r="BE96" s="276" t="str">
        <f t="shared" si="220"/>
        <v/>
      </c>
      <c r="BF96" s="277" t="str">
        <f t="shared" si="221"/>
        <v/>
      </c>
      <c r="BG96" s="142">
        <f t="array" ref="BG96">(SUM( IF(ISERROR(AH96:BF96),"", AH96:BF96)))/time</f>
        <v>0</v>
      </c>
      <c r="BH96" s="142">
        <f t="shared" si="168"/>
        <v>0</v>
      </c>
      <c r="BI96" s="142">
        <v>8</v>
      </c>
      <c r="BJ96" s="143">
        <f t="shared" si="223"/>
        <v>0</v>
      </c>
      <c r="BL96" s="176" t="e">
        <f t="array" ref="BL96">STDEV(IF(AH96:BF96&lt;&gt;0,AH96:BF96))</f>
        <v>#DIV/0!</v>
      </c>
      <c r="BM96" s="176">
        <v>1.96</v>
      </c>
      <c r="BN96" s="176" t="e">
        <f t="shared" si="222"/>
        <v>#DIV/0!</v>
      </c>
      <c r="BO96" s="176">
        <f t="shared" si="169"/>
        <v>0</v>
      </c>
    </row>
    <row r="97" spans="1:67" hidden="1">
      <c r="A97" s="301" t="s">
        <v>212</v>
      </c>
      <c r="B97" s="305"/>
      <c r="C97" s="303"/>
      <c r="D97" s="278"/>
      <c r="E97" s="270"/>
      <c r="F97" s="279">
        <f t="shared" si="166"/>
        <v>0</v>
      </c>
      <c r="G97" s="304"/>
      <c r="H97" s="271"/>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s="273"/>
      <c r="AG97" s="274">
        <f t="shared" si="167"/>
        <v>0</v>
      </c>
      <c r="AH97" s="275">
        <f t="shared" si="197"/>
        <v>0</v>
      </c>
      <c r="AI97" s="276">
        <f t="shared" si="198"/>
        <v>0</v>
      </c>
      <c r="AJ97" s="276">
        <f t="shared" si="199"/>
        <v>0</v>
      </c>
      <c r="AK97" s="276">
        <f t="shared" si="200"/>
        <v>0</v>
      </c>
      <c r="AL97" s="276">
        <f t="shared" si="201"/>
        <v>0</v>
      </c>
      <c r="AM97" s="276" t="str">
        <f t="shared" si="202"/>
        <v/>
      </c>
      <c r="AN97" s="276" t="str">
        <f t="shared" si="203"/>
        <v/>
      </c>
      <c r="AO97" s="276" t="str">
        <f t="shared" si="204"/>
        <v/>
      </c>
      <c r="AP97" s="276" t="str">
        <f t="shared" si="205"/>
        <v/>
      </c>
      <c r="AQ97" s="276" t="str">
        <f t="shared" si="206"/>
        <v/>
      </c>
      <c r="AR97" s="276" t="str">
        <f t="shared" si="207"/>
        <v/>
      </c>
      <c r="AS97" s="276" t="str">
        <f t="shared" si="208"/>
        <v/>
      </c>
      <c r="AT97" s="276" t="str">
        <f t="shared" si="209"/>
        <v/>
      </c>
      <c r="AU97" s="276" t="str">
        <f t="shared" si="210"/>
        <v/>
      </c>
      <c r="AV97" s="276" t="str">
        <f t="shared" si="211"/>
        <v/>
      </c>
      <c r="AW97" s="276" t="str">
        <f t="shared" si="212"/>
        <v/>
      </c>
      <c r="AX97" s="276" t="str">
        <f t="shared" si="213"/>
        <v/>
      </c>
      <c r="AY97" s="276" t="str">
        <f t="shared" si="214"/>
        <v/>
      </c>
      <c r="AZ97" s="276" t="str">
        <f t="shared" si="215"/>
        <v/>
      </c>
      <c r="BA97" s="276" t="str">
        <f t="shared" si="216"/>
        <v/>
      </c>
      <c r="BB97" s="276" t="str">
        <f t="shared" si="217"/>
        <v/>
      </c>
      <c r="BC97" s="276" t="str">
        <f t="shared" si="218"/>
        <v/>
      </c>
      <c r="BD97" s="276" t="str">
        <f t="shared" si="219"/>
        <v/>
      </c>
      <c r="BE97" s="276" t="str">
        <f t="shared" si="220"/>
        <v/>
      </c>
      <c r="BF97" s="277" t="str">
        <f t="shared" si="221"/>
        <v/>
      </c>
      <c r="BG97" s="142">
        <f t="array" ref="BG97">(SUM( IF(ISERROR(AH97:BF97),"", AH97:BF97)))/time</f>
        <v>0</v>
      </c>
      <c r="BH97" s="142">
        <f t="shared" si="168"/>
        <v>0</v>
      </c>
      <c r="BI97" s="142">
        <v>9</v>
      </c>
      <c r="BJ97" s="143">
        <f t="shared" si="223"/>
        <v>0</v>
      </c>
      <c r="BL97" s="176" t="e">
        <f t="array" ref="BL97">STDEV(IF(AH97:BF97&lt;&gt;0,AH97:BF97))</f>
        <v>#DIV/0!</v>
      </c>
      <c r="BM97" s="176">
        <v>1.96</v>
      </c>
      <c r="BN97" s="176" t="e">
        <f t="shared" si="222"/>
        <v>#DIV/0!</v>
      </c>
      <c r="BO97" s="176">
        <f t="shared" si="169"/>
        <v>0</v>
      </c>
    </row>
    <row r="98" spans="1:67" hidden="1">
      <c r="A98" s="301" t="s">
        <v>213</v>
      </c>
      <c r="B98" s="305"/>
      <c r="C98" s="303"/>
      <c r="D98" s="278"/>
      <c r="E98" s="270"/>
      <c r="F98" s="279">
        <f t="shared" si="166"/>
        <v>0</v>
      </c>
      <c r="G98" s="304"/>
      <c r="H98" s="271"/>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3"/>
      <c r="AG98" s="274">
        <f t="shared" si="167"/>
        <v>0</v>
      </c>
      <c r="AH98" s="275">
        <f t="shared" si="197"/>
        <v>0</v>
      </c>
      <c r="AI98" s="276">
        <f t="shared" si="198"/>
        <v>0</v>
      </c>
      <c r="AJ98" s="276">
        <f t="shared" si="199"/>
        <v>0</v>
      </c>
      <c r="AK98" s="276">
        <f t="shared" si="200"/>
        <v>0</v>
      </c>
      <c r="AL98" s="276">
        <f t="shared" si="201"/>
        <v>0</v>
      </c>
      <c r="AM98" s="276" t="str">
        <f t="shared" si="202"/>
        <v/>
      </c>
      <c r="AN98" s="276" t="str">
        <f t="shared" si="203"/>
        <v/>
      </c>
      <c r="AO98" s="276" t="str">
        <f t="shared" si="204"/>
        <v/>
      </c>
      <c r="AP98" s="276" t="str">
        <f t="shared" si="205"/>
        <v/>
      </c>
      <c r="AQ98" s="276" t="str">
        <f t="shared" si="206"/>
        <v/>
      </c>
      <c r="AR98" s="276" t="str">
        <f t="shared" si="207"/>
        <v/>
      </c>
      <c r="AS98" s="276" t="str">
        <f t="shared" si="208"/>
        <v/>
      </c>
      <c r="AT98" s="276" t="str">
        <f t="shared" si="209"/>
        <v/>
      </c>
      <c r="AU98" s="276" t="str">
        <f t="shared" si="210"/>
        <v/>
      </c>
      <c r="AV98" s="276" t="str">
        <f t="shared" si="211"/>
        <v/>
      </c>
      <c r="AW98" s="276" t="str">
        <f t="shared" si="212"/>
        <v/>
      </c>
      <c r="AX98" s="276" t="str">
        <f t="shared" si="213"/>
        <v/>
      </c>
      <c r="AY98" s="276" t="str">
        <f t="shared" si="214"/>
        <v/>
      </c>
      <c r="AZ98" s="276" t="str">
        <f t="shared" si="215"/>
        <v/>
      </c>
      <c r="BA98" s="276" t="str">
        <f t="shared" si="216"/>
        <v/>
      </c>
      <c r="BB98" s="276" t="str">
        <f t="shared" si="217"/>
        <v/>
      </c>
      <c r="BC98" s="276" t="str">
        <f t="shared" si="218"/>
        <v/>
      </c>
      <c r="BD98" s="276" t="str">
        <f t="shared" si="219"/>
        <v/>
      </c>
      <c r="BE98" s="276" t="str">
        <f t="shared" si="220"/>
        <v/>
      </c>
      <c r="BF98" s="277" t="str">
        <f t="shared" si="221"/>
        <v/>
      </c>
      <c r="BG98" s="142">
        <f t="array" ref="BG98">(SUM( IF(ISERROR(AH98:BF98),"", AH98:BF98)))/time</f>
        <v>0</v>
      </c>
      <c r="BH98" s="142">
        <f t="shared" si="168"/>
        <v>0</v>
      </c>
      <c r="BI98" s="142">
        <v>10</v>
      </c>
      <c r="BJ98" s="143">
        <f t="shared" si="223"/>
        <v>0</v>
      </c>
      <c r="BL98" s="176" t="e">
        <f t="array" ref="BL98">STDEV(IF(AH98:BF98&lt;&gt;0,AH98:BF98))</f>
        <v>#DIV/0!</v>
      </c>
      <c r="BM98" s="176">
        <v>1.96</v>
      </c>
      <c r="BN98" s="176" t="e">
        <f t="shared" si="222"/>
        <v>#DIV/0!</v>
      </c>
      <c r="BO98" s="176">
        <f t="shared" si="169"/>
        <v>0</v>
      </c>
    </row>
    <row r="99" spans="1:67" s="196" customFormat="1">
      <c r="A99" s="290" t="s">
        <v>192</v>
      </c>
      <c r="F99" s="203"/>
      <c r="H99" s="202"/>
      <c r="AG99" s="291"/>
      <c r="AH99" s="202"/>
      <c r="BJ99" s="203"/>
    </row>
    <row r="100" spans="1:67" s="196" customFormat="1">
      <c r="A100" s="302" t="s">
        <v>431</v>
      </c>
      <c r="F100" s="203"/>
      <c r="H100" s="202"/>
      <c r="AG100" s="291"/>
      <c r="AH100" s="202"/>
      <c r="BJ100" s="203"/>
    </row>
    <row r="101" spans="1:67">
      <c r="A101" s="848" t="s">
        <v>432</v>
      </c>
      <c r="B101" s="852"/>
      <c r="C101" s="851"/>
      <c r="D101" s="845"/>
      <c r="E101" s="847"/>
      <c r="F101" s="846">
        <f t="shared" si="166"/>
        <v>0</v>
      </c>
      <c r="G101" s="304"/>
      <c r="H101" s="842"/>
      <c r="I101" s="843"/>
      <c r="J101" s="843"/>
      <c r="K101" s="843"/>
      <c r="L101" s="843"/>
      <c r="M101" s="272"/>
      <c r="N101" s="272"/>
      <c r="O101" s="272"/>
      <c r="P101" s="272"/>
      <c r="Q101" s="272"/>
      <c r="R101" s="272"/>
      <c r="S101" s="272"/>
      <c r="T101" s="272"/>
      <c r="U101" s="272"/>
      <c r="V101" s="272"/>
      <c r="W101" s="272"/>
      <c r="X101" s="272"/>
      <c r="Y101" s="272"/>
      <c r="Z101" s="272"/>
      <c r="AA101" s="272"/>
      <c r="AB101" s="272"/>
      <c r="AC101" s="272"/>
      <c r="AD101" s="272"/>
      <c r="AE101" s="272"/>
      <c r="AF101" s="273"/>
      <c r="AG101" s="274">
        <f t="shared" si="167"/>
        <v>0</v>
      </c>
      <c r="AH101" s="275">
        <f t="shared" ref="AH101:AH110" si="224">IF(AH$225&lt;=time,H101*$F101,"")</f>
        <v>0</v>
      </c>
      <c r="AI101" s="276">
        <f t="shared" ref="AI101:AI110" si="225">IF(AI$225&lt;=time,I101*$F101,"")</f>
        <v>0</v>
      </c>
      <c r="AJ101" s="276">
        <f t="shared" ref="AJ101:AJ110" si="226">IF(AJ$225&lt;=time,J101*$F101,"")</f>
        <v>0</v>
      </c>
      <c r="AK101" s="276">
        <f t="shared" ref="AK101:AK110" si="227">IF(AK$225&lt;=time,K101*$F101,"")</f>
        <v>0</v>
      </c>
      <c r="AL101" s="276">
        <f t="shared" ref="AL101:AL110" si="228">IF(AL$225&lt;=time,L101*$F101,"")</f>
        <v>0</v>
      </c>
      <c r="AM101" s="276" t="str">
        <f t="shared" ref="AM101:AM110" si="229">IF(AM$225&lt;=time,M101*$F101,"")</f>
        <v/>
      </c>
      <c r="AN101" s="276" t="str">
        <f t="shared" ref="AN101:AN110" si="230">IF(AN$225&lt;=time,N101*$F101,"")</f>
        <v/>
      </c>
      <c r="AO101" s="276" t="str">
        <f t="shared" ref="AO101:AO110" si="231">IF(AO$225&lt;=time,O101*$F101,"")</f>
        <v/>
      </c>
      <c r="AP101" s="276" t="str">
        <f t="shared" ref="AP101:AP110" si="232">IF(AP$225&lt;=time,P101*$F101,"")</f>
        <v/>
      </c>
      <c r="AQ101" s="276" t="str">
        <f t="shared" ref="AQ101:AQ110" si="233">IF(AQ$225&lt;=time,Q101*$F101,"")</f>
        <v/>
      </c>
      <c r="AR101" s="276" t="str">
        <f t="shared" ref="AR101:AR110" si="234">IF(AR$225&lt;=time,R101*$F101,"")</f>
        <v/>
      </c>
      <c r="AS101" s="276" t="str">
        <f t="shared" ref="AS101:AS110" si="235">IF(AS$225&lt;=time,S101*$F101,"")</f>
        <v/>
      </c>
      <c r="AT101" s="276" t="str">
        <f t="shared" ref="AT101:AT110" si="236">IF(AT$225&lt;=time,T101*$F101,"")</f>
        <v/>
      </c>
      <c r="AU101" s="276" t="str">
        <f t="shared" ref="AU101:AU110" si="237">IF(AU$225&lt;=time,U101*$F101,"")</f>
        <v/>
      </c>
      <c r="AV101" s="276" t="str">
        <f t="shared" ref="AV101:AV110" si="238">IF(AV$225&lt;=time,V101*$F101,"")</f>
        <v/>
      </c>
      <c r="AW101" s="276" t="str">
        <f t="shared" ref="AW101:AW110" si="239">IF(AW$225&lt;=time,W101*$F101,"")</f>
        <v/>
      </c>
      <c r="AX101" s="276" t="str">
        <f t="shared" ref="AX101:AX110" si="240">IF(AX$225&lt;=time,X101*$F101,"")</f>
        <v/>
      </c>
      <c r="AY101" s="276" t="str">
        <f t="shared" ref="AY101:AY110" si="241">IF(AY$225&lt;=time,Y101*$F101,"")</f>
        <v/>
      </c>
      <c r="AZ101" s="276" t="str">
        <f t="shared" ref="AZ101:AZ110" si="242">IF(AZ$225&lt;=time,Z101*$F101,"")</f>
        <v/>
      </c>
      <c r="BA101" s="276" t="str">
        <f t="shared" ref="BA101:BA110" si="243">IF(BA$225&lt;=time,AA101*$F101,"")</f>
        <v/>
      </c>
      <c r="BB101" s="276" t="str">
        <f t="shared" ref="BB101:BB110" si="244">IF(BB$225&lt;=time,AB101*$F101,"")</f>
        <v/>
      </c>
      <c r="BC101" s="276" t="str">
        <f t="shared" ref="BC101:BC110" si="245">IF(BC$225&lt;=time,AC101*$F101,"")</f>
        <v/>
      </c>
      <c r="BD101" s="276" t="str">
        <f t="shared" ref="BD101:BD110" si="246">IF(BD$225&lt;=time,AD101*$F101,"")</f>
        <v/>
      </c>
      <c r="BE101" s="276" t="str">
        <f t="shared" ref="BE101:BE110" si="247">IF(BE$225&lt;=time,AE101*$F101,"")</f>
        <v/>
      </c>
      <c r="BF101" s="277" t="str">
        <f t="shared" ref="BF101:BF110" si="248">IF(BF$225&lt;=time,AF101*$F101,"")</f>
        <v/>
      </c>
      <c r="BG101" s="142">
        <f t="array" ref="BG101">(SUM( IF(ISERROR(AH101:BF101),"", AH101:BF101)))/time</f>
        <v>0</v>
      </c>
      <c r="BH101" s="142">
        <f t="shared" si="168"/>
        <v>0</v>
      </c>
      <c r="BI101" s="142">
        <v>1</v>
      </c>
      <c r="BJ101" s="143">
        <f>IF(BO101&gt;0,BG101+BN101,BG101)</f>
        <v>0</v>
      </c>
      <c r="BL101" s="176" t="e">
        <f t="array" ref="BL101">STDEV(IF(AH101:BF101&lt;&gt;0,AH101:BF101))</f>
        <v>#DIV/0!</v>
      </c>
      <c r="BM101" s="176">
        <v>1.96</v>
      </c>
      <c r="BN101" s="176" t="e">
        <f t="shared" ref="BN101:BN110" si="249">(BM101*BL101)/(time^0.5)</f>
        <v>#DIV/0!</v>
      </c>
      <c r="BO101" s="176">
        <f t="shared" si="169"/>
        <v>0</v>
      </c>
    </row>
    <row r="102" spans="1:67" hidden="1">
      <c r="A102" s="301" t="s">
        <v>433</v>
      </c>
      <c r="B102" s="305"/>
      <c r="C102" s="303"/>
      <c r="D102" s="278"/>
      <c r="E102" s="270"/>
      <c r="F102" s="279">
        <f t="shared" si="166"/>
        <v>0</v>
      </c>
      <c r="G102" s="304"/>
      <c r="H102" s="271"/>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272"/>
      <c r="AF102" s="273"/>
      <c r="AG102" s="274">
        <f t="shared" si="167"/>
        <v>0</v>
      </c>
      <c r="AH102" s="275">
        <f t="shared" si="224"/>
        <v>0</v>
      </c>
      <c r="AI102" s="276">
        <f t="shared" si="225"/>
        <v>0</v>
      </c>
      <c r="AJ102" s="276">
        <f t="shared" si="226"/>
        <v>0</v>
      </c>
      <c r="AK102" s="276">
        <f t="shared" si="227"/>
        <v>0</v>
      </c>
      <c r="AL102" s="276">
        <f t="shared" si="228"/>
        <v>0</v>
      </c>
      <c r="AM102" s="276" t="str">
        <f t="shared" si="229"/>
        <v/>
      </c>
      <c r="AN102" s="276" t="str">
        <f t="shared" si="230"/>
        <v/>
      </c>
      <c r="AO102" s="276" t="str">
        <f t="shared" si="231"/>
        <v/>
      </c>
      <c r="AP102" s="276" t="str">
        <f t="shared" si="232"/>
        <v/>
      </c>
      <c r="AQ102" s="276" t="str">
        <f t="shared" si="233"/>
        <v/>
      </c>
      <c r="AR102" s="276" t="str">
        <f t="shared" si="234"/>
        <v/>
      </c>
      <c r="AS102" s="276" t="str">
        <f t="shared" si="235"/>
        <v/>
      </c>
      <c r="AT102" s="276" t="str">
        <f t="shared" si="236"/>
        <v/>
      </c>
      <c r="AU102" s="276" t="str">
        <f t="shared" si="237"/>
        <v/>
      </c>
      <c r="AV102" s="276" t="str">
        <f t="shared" si="238"/>
        <v/>
      </c>
      <c r="AW102" s="276" t="str">
        <f t="shared" si="239"/>
        <v/>
      </c>
      <c r="AX102" s="276" t="str">
        <f t="shared" si="240"/>
        <v/>
      </c>
      <c r="AY102" s="276" t="str">
        <f t="shared" si="241"/>
        <v/>
      </c>
      <c r="AZ102" s="276" t="str">
        <f t="shared" si="242"/>
        <v/>
      </c>
      <c r="BA102" s="276" t="str">
        <f t="shared" si="243"/>
        <v/>
      </c>
      <c r="BB102" s="276" t="str">
        <f t="shared" si="244"/>
        <v/>
      </c>
      <c r="BC102" s="276" t="str">
        <f t="shared" si="245"/>
        <v/>
      </c>
      <c r="BD102" s="276" t="str">
        <f t="shared" si="246"/>
        <v/>
      </c>
      <c r="BE102" s="276" t="str">
        <f t="shared" si="247"/>
        <v/>
      </c>
      <c r="BF102" s="277" t="str">
        <f t="shared" si="248"/>
        <v/>
      </c>
      <c r="BG102" s="142">
        <f t="array" ref="BG102">(SUM( IF(ISERROR(AH102:BF102),"", AH102:BF102)))/time</f>
        <v>0</v>
      </c>
      <c r="BH102" s="142">
        <f t="shared" si="168"/>
        <v>0</v>
      </c>
      <c r="BI102" s="142">
        <v>2</v>
      </c>
      <c r="BJ102" s="143">
        <f t="shared" ref="BJ102:BJ110" si="250">IF(BO102&gt;0,BG102+BN102,BG102)</f>
        <v>0</v>
      </c>
      <c r="BL102" s="176" t="e">
        <f t="array" ref="BL102">STDEV(IF(AH102:BF102&lt;&gt;0,AH102:BF102))</f>
        <v>#DIV/0!</v>
      </c>
      <c r="BM102" s="176">
        <v>1.96</v>
      </c>
      <c r="BN102" s="176" t="e">
        <f t="shared" si="249"/>
        <v>#DIV/0!</v>
      </c>
      <c r="BO102" s="176">
        <f t="shared" si="169"/>
        <v>0</v>
      </c>
    </row>
    <row r="103" spans="1:67" hidden="1">
      <c r="A103" s="301" t="s">
        <v>434</v>
      </c>
      <c r="B103" s="305"/>
      <c r="C103" s="303"/>
      <c r="D103" s="278"/>
      <c r="E103" s="270"/>
      <c r="F103" s="279">
        <f t="shared" si="166"/>
        <v>0</v>
      </c>
      <c r="G103" s="304"/>
      <c r="H103" s="271"/>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c r="AE103" s="272"/>
      <c r="AF103" s="273"/>
      <c r="AG103" s="274">
        <f t="shared" si="167"/>
        <v>0</v>
      </c>
      <c r="AH103" s="275">
        <f t="shared" si="224"/>
        <v>0</v>
      </c>
      <c r="AI103" s="276">
        <f t="shared" si="225"/>
        <v>0</v>
      </c>
      <c r="AJ103" s="276">
        <f t="shared" si="226"/>
        <v>0</v>
      </c>
      <c r="AK103" s="276">
        <f t="shared" si="227"/>
        <v>0</v>
      </c>
      <c r="AL103" s="276">
        <f t="shared" si="228"/>
        <v>0</v>
      </c>
      <c r="AM103" s="276" t="str">
        <f t="shared" si="229"/>
        <v/>
      </c>
      <c r="AN103" s="276" t="str">
        <f t="shared" si="230"/>
        <v/>
      </c>
      <c r="AO103" s="276" t="str">
        <f t="shared" si="231"/>
        <v/>
      </c>
      <c r="AP103" s="276" t="str">
        <f t="shared" si="232"/>
        <v/>
      </c>
      <c r="AQ103" s="276" t="str">
        <f t="shared" si="233"/>
        <v/>
      </c>
      <c r="AR103" s="276" t="str">
        <f t="shared" si="234"/>
        <v/>
      </c>
      <c r="AS103" s="276" t="str">
        <f t="shared" si="235"/>
        <v/>
      </c>
      <c r="AT103" s="276" t="str">
        <f t="shared" si="236"/>
        <v/>
      </c>
      <c r="AU103" s="276" t="str">
        <f t="shared" si="237"/>
        <v/>
      </c>
      <c r="AV103" s="276" t="str">
        <f t="shared" si="238"/>
        <v/>
      </c>
      <c r="AW103" s="276" t="str">
        <f t="shared" si="239"/>
        <v/>
      </c>
      <c r="AX103" s="276" t="str">
        <f t="shared" si="240"/>
        <v/>
      </c>
      <c r="AY103" s="276" t="str">
        <f t="shared" si="241"/>
        <v/>
      </c>
      <c r="AZ103" s="276" t="str">
        <f t="shared" si="242"/>
        <v/>
      </c>
      <c r="BA103" s="276" t="str">
        <f t="shared" si="243"/>
        <v/>
      </c>
      <c r="BB103" s="276" t="str">
        <f t="shared" si="244"/>
        <v/>
      </c>
      <c r="BC103" s="276" t="str">
        <f t="shared" si="245"/>
        <v/>
      </c>
      <c r="BD103" s="276" t="str">
        <f t="shared" si="246"/>
        <v/>
      </c>
      <c r="BE103" s="276" t="str">
        <f t="shared" si="247"/>
        <v/>
      </c>
      <c r="BF103" s="277" t="str">
        <f t="shared" si="248"/>
        <v/>
      </c>
      <c r="BG103" s="142">
        <f t="array" ref="BG103">(SUM( IF(ISERROR(AH103:BF103),"", AH103:BF103)))/time</f>
        <v>0</v>
      </c>
      <c r="BH103" s="142">
        <f t="shared" si="168"/>
        <v>0</v>
      </c>
      <c r="BI103" s="142">
        <v>3</v>
      </c>
      <c r="BJ103" s="143">
        <f t="shared" si="250"/>
        <v>0</v>
      </c>
      <c r="BL103" s="176" t="e">
        <f t="array" ref="BL103">STDEV(IF(AH103:BF103&lt;&gt;0,AH103:BF103))</f>
        <v>#DIV/0!</v>
      </c>
      <c r="BM103" s="176">
        <v>1.96</v>
      </c>
      <c r="BN103" s="176" t="e">
        <f t="shared" si="249"/>
        <v>#DIV/0!</v>
      </c>
      <c r="BO103" s="176">
        <f t="shared" si="169"/>
        <v>0</v>
      </c>
    </row>
    <row r="104" spans="1:67" hidden="1">
      <c r="A104" s="301" t="s">
        <v>435</v>
      </c>
      <c r="B104" s="305"/>
      <c r="C104" s="303"/>
      <c r="D104" s="278"/>
      <c r="E104" s="270"/>
      <c r="F104" s="279">
        <f t="shared" si="166"/>
        <v>0</v>
      </c>
      <c r="G104" s="304"/>
      <c r="H104" s="271"/>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c r="AE104" s="272"/>
      <c r="AF104" s="273"/>
      <c r="AG104" s="274">
        <f t="shared" si="167"/>
        <v>0</v>
      </c>
      <c r="AH104" s="275">
        <f t="shared" si="224"/>
        <v>0</v>
      </c>
      <c r="AI104" s="276">
        <f t="shared" si="225"/>
        <v>0</v>
      </c>
      <c r="AJ104" s="276">
        <f t="shared" si="226"/>
        <v>0</v>
      </c>
      <c r="AK104" s="276">
        <f t="shared" si="227"/>
        <v>0</v>
      </c>
      <c r="AL104" s="276">
        <f t="shared" si="228"/>
        <v>0</v>
      </c>
      <c r="AM104" s="276" t="str">
        <f t="shared" si="229"/>
        <v/>
      </c>
      <c r="AN104" s="276" t="str">
        <f t="shared" si="230"/>
        <v/>
      </c>
      <c r="AO104" s="276" t="str">
        <f t="shared" si="231"/>
        <v/>
      </c>
      <c r="AP104" s="276" t="str">
        <f t="shared" si="232"/>
        <v/>
      </c>
      <c r="AQ104" s="276" t="str">
        <f t="shared" si="233"/>
        <v/>
      </c>
      <c r="AR104" s="276" t="str">
        <f t="shared" si="234"/>
        <v/>
      </c>
      <c r="AS104" s="276" t="str">
        <f t="shared" si="235"/>
        <v/>
      </c>
      <c r="AT104" s="276" t="str">
        <f t="shared" si="236"/>
        <v/>
      </c>
      <c r="AU104" s="276" t="str">
        <f t="shared" si="237"/>
        <v/>
      </c>
      <c r="AV104" s="276" t="str">
        <f t="shared" si="238"/>
        <v/>
      </c>
      <c r="AW104" s="276" t="str">
        <f t="shared" si="239"/>
        <v/>
      </c>
      <c r="AX104" s="276" t="str">
        <f t="shared" si="240"/>
        <v/>
      </c>
      <c r="AY104" s="276" t="str">
        <f t="shared" si="241"/>
        <v/>
      </c>
      <c r="AZ104" s="276" t="str">
        <f t="shared" si="242"/>
        <v/>
      </c>
      <c r="BA104" s="276" t="str">
        <f t="shared" si="243"/>
        <v/>
      </c>
      <c r="BB104" s="276" t="str">
        <f t="shared" si="244"/>
        <v/>
      </c>
      <c r="BC104" s="276" t="str">
        <f t="shared" si="245"/>
        <v/>
      </c>
      <c r="BD104" s="276" t="str">
        <f t="shared" si="246"/>
        <v/>
      </c>
      <c r="BE104" s="276" t="str">
        <f t="shared" si="247"/>
        <v/>
      </c>
      <c r="BF104" s="277" t="str">
        <f t="shared" si="248"/>
        <v/>
      </c>
      <c r="BG104" s="142">
        <f t="array" ref="BG104">(SUM( IF(ISERROR(AH104:BF104),"", AH104:BF104)))/time</f>
        <v>0</v>
      </c>
      <c r="BH104" s="142">
        <f t="shared" si="168"/>
        <v>0</v>
      </c>
      <c r="BI104" s="142">
        <v>4</v>
      </c>
      <c r="BJ104" s="143">
        <f t="shared" si="250"/>
        <v>0</v>
      </c>
      <c r="BL104" s="176" t="e">
        <f t="array" ref="BL104">STDEV(IF(AH104:BF104&lt;&gt;0,AH104:BF104))</f>
        <v>#DIV/0!</v>
      </c>
      <c r="BM104" s="176">
        <v>1.96</v>
      </c>
      <c r="BN104" s="176" t="e">
        <f t="shared" si="249"/>
        <v>#DIV/0!</v>
      </c>
      <c r="BO104" s="176">
        <f t="shared" si="169"/>
        <v>0</v>
      </c>
    </row>
    <row r="105" spans="1:67" hidden="1">
      <c r="A105" s="301" t="s">
        <v>436</v>
      </c>
      <c r="B105" s="305"/>
      <c r="C105" s="303"/>
      <c r="D105" s="278"/>
      <c r="E105" s="270"/>
      <c r="F105" s="279">
        <f t="shared" si="166"/>
        <v>0</v>
      </c>
      <c r="G105" s="304"/>
      <c r="H105" s="271"/>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272"/>
      <c r="AF105" s="273"/>
      <c r="AG105" s="274">
        <f t="shared" si="167"/>
        <v>0</v>
      </c>
      <c r="AH105" s="275">
        <f t="shared" si="224"/>
        <v>0</v>
      </c>
      <c r="AI105" s="276">
        <f t="shared" si="225"/>
        <v>0</v>
      </c>
      <c r="AJ105" s="276">
        <f t="shared" si="226"/>
        <v>0</v>
      </c>
      <c r="AK105" s="276">
        <f t="shared" si="227"/>
        <v>0</v>
      </c>
      <c r="AL105" s="276">
        <f t="shared" si="228"/>
        <v>0</v>
      </c>
      <c r="AM105" s="276" t="str">
        <f t="shared" si="229"/>
        <v/>
      </c>
      <c r="AN105" s="276" t="str">
        <f t="shared" si="230"/>
        <v/>
      </c>
      <c r="AO105" s="276" t="str">
        <f t="shared" si="231"/>
        <v/>
      </c>
      <c r="AP105" s="276" t="str">
        <f t="shared" si="232"/>
        <v/>
      </c>
      <c r="AQ105" s="276" t="str">
        <f t="shared" si="233"/>
        <v/>
      </c>
      <c r="AR105" s="276" t="str">
        <f t="shared" si="234"/>
        <v/>
      </c>
      <c r="AS105" s="276" t="str">
        <f t="shared" si="235"/>
        <v/>
      </c>
      <c r="AT105" s="276" t="str">
        <f t="shared" si="236"/>
        <v/>
      </c>
      <c r="AU105" s="276" t="str">
        <f t="shared" si="237"/>
        <v/>
      </c>
      <c r="AV105" s="276" t="str">
        <f t="shared" si="238"/>
        <v/>
      </c>
      <c r="AW105" s="276" t="str">
        <f t="shared" si="239"/>
        <v/>
      </c>
      <c r="AX105" s="276" t="str">
        <f t="shared" si="240"/>
        <v/>
      </c>
      <c r="AY105" s="276" t="str">
        <f t="shared" si="241"/>
        <v/>
      </c>
      <c r="AZ105" s="276" t="str">
        <f t="shared" si="242"/>
        <v/>
      </c>
      <c r="BA105" s="276" t="str">
        <f t="shared" si="243"/>
        <v/>
      </c>
      <c r="BB105" s="276" t="str">
        <f t="shared" si="244"/>
        <v/>
      </c>
      <c r="BC105" s="276" t="str">
        <f t="shared" si="245"/>
        <v/>
      </c>
      <c r="BD105" s="276" t="str">
        <f t="shared" si="246"/>
        <v/>
      </c>
      <c r="BE105" s="276" t="str">
        <f t="shared" si="247"/>
        <v/>
      </c>
      <c r="BF105" s="277" t="str">
        <f t="shared" si="248"/>
        <v/>
      </c>
      <c r="BG105" s="142">
        <f t="array" ref="BG105">(SUM( IF(ISERROR(AH105:BF105),"", AH105:BF105)))/time</f>
        <v>0</v>
      </c>
      <c r="BH105" s="142">
        <f t="shared" si="168"/>
        <v>0</v>
      </c>
      <c r="BI105" s="142">
        <v>5</v>
      </c>
      <c r="BJ105" s="143">
        <f t="shared" si="250"/>
        <v>0</v>
      </c>
      <c r="BL105" s="176" t="e">
        <f t="array" ref="BL105">STDEV(IF(AH105:BF105&lt;&gt;0,AH105:BF105))</f>
        <v>#DIV/0!</v>
      </c>
      <c r="BM105" s="176">
        <v>1.96</v>
      </c>
      <c r="BN105" s="176" t="e">
        <f t="shared" si="249"/>
        <v>#DIV/0!</v>
      </c>
      <c r="BO105" s="176">
        <f t="shared" si="169"/>
        <v>0</v>
      </c>
    </row>
    <row r="106" spans="1:67" hidden="1">
      <c r="A106" s="301" t="s">
        <v>437</v>
      </c>
      <c r="B106" s="305"/>
      <c r="C106" s="303"/>
      <c r="D106" s="278"/>
      <c r="E106" s="270"/>
      <c r="F106" s="279">
        <f t="shared" si="166"/>
        <v>0</v>
      </c>
      <c r="G106" s="304"/>
      <c r="H106" s="271"/>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c r="AE106" s="272"/>
      <c r="AF106" s="273"/>
      <c r="AG106" s="274">
        <f t="shared" si="167"/>
        <v>0</v>
      </c>
      <c r="AH106" s="275">
        <f t="shared" si="224"/>
        <v>0</v>
      </c>
      <c r="AI106" s="276">
        <f t="shared" si="225"/>
        <v>0</v>
      </c>
      <c r="AJ106" s="276">
        <f t="shared" si="226"/>
        <v>0</v>
      </c>
      <c r="AK106" s="276">
        <f t="shared" si="227"/>
        <v>0</v>
      </c>
      <c r="AL106" s="276">
        <f t="shared" si="228"/>
        <v>0</v>
      </c>
      <c r="AM106" s="276" t="str">
        <f t="shared" si="229"/>
        <v/>
      </c>
      <c r="AN106" s="276" t="str">
        <f t="shared" si="230"/>
        <v/>
      </c>
      <c r="AO106" s="276" t="str">
        <f t="shared" si="231"/>
        <v/>
      </c>
      <c r="AP106" s="276" t="str">
        <f t="shared" si="232"/>
        <v/>
      </c>
      <c r="AQ106" s="276" t="str">
        <f t="shared" si="233"/>
        <v/>
      </c>
      <c r="AR106" s="276" t="str">
        <f t="shared" si="234"/>
        <v/>
      </c>
      <c r="AS106" s="276" t="str">
        <f t="shared" si="235"/>
        <v/>
      </c>
      <c r="AT106" s="276" t="str">
        <f t="shared" si="236"/>
        <v/>
      </c>
      <c r="AU106" s="276" t="str">
        <f t="shared" si="237"/>
        <v/>
      </c>
      <c r="AV106" s="276" t="str">
        <f t="shared" si="238"/>
        <v/>
      </c>
      <c r="AW106" s="276" t="str">
        <f t="shared" si="239"/>
        <v/>
      </c>
      <c r="AX106" s="276" t="str">
        <f t="shared" si="240"/>
        <v/>
      </c>
      <c r="AY106" s="276" t="str">
        <f t="shared" si="241"/>
        <v/>
      </c>
      <c r="AZ106" s="276" t="str">
        <f t="shared" si="242"/>
        <v/>
      </c>
      <c r="BA106" s="276" t="str">
        <f t="shared" si="243"/>
        <v/>
      </c>
      <c r="BB106" s="276" t="str">
        <f t="shared" si="244"/>
        <v/>
      </c>
      <c r="BC106" s="276" t="str">
        <f t="shared" si="245"/>
        <v/>
      </c>
      <c r="BD106" s="276" t="str">
        <f t="shared" si="246"/>
        <v/>
      </c>
      <c r="BE106" s="276" t="str">
        <f t="shared" si="247"/>
        <v/>
      </c>
      <c r="BF106" s="277" t="str">
        <f t="shared" si="248"/>
        <v/>
      </c>
      <c r="BG106" s="142">
        <f t="array" ref="BG106">(SUM( IF(ISERROR(AH106:BF106),"", AH106:BF106)))/time</f>
        <v>0</v>
      </c>
      <c r="BH106" s="142">
        <f t="shared" si="168"/>
        <v>0</v>
      </c>
      <c r="BI106" s="142">
        <v>6</v>
      </c>
      <c r="BJ106" s="143">
        <f t="shared" si="250"/>
        <v>0</v>
      </c>
      <c r="BL106" s="176" t="e">
        <f t="array" ref="BL106">STDEV(IF(AH106:BF106&lt;&gt;0,AH106:BF106))</f>
        <v>#DIV/0!</v>
      </c>
      <c r="BM106" s="176">
        <v>1.96</v>
      </c>
      <c r="BN106" s="176" t="e">
        <f t="shared" si="249"/>
        <v>#DIV/0!</v>
      </c>
      <c r="BO106" s="176">
        <f t="shared" si="169"/>
        <v>0</v>
      </c>
    </row>
    <row r="107" spans="1:67" hidden="1">
      <c r="A107" s="301" t="s">
        <v>438</v>
      </c>
      <c r="B107" s="305"/>
      <c r="C107" s="303"/>
      <c r="D107" s="278"/>
      <c r="E107" s="270"/>
      <c r="F107" s="279">
        <f t="shared" si="166"/>
        <v>0</v>
      </c>
      <c r="G107" s="304"/>
      <c r="H107" s="271"/>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72"/>
      <c r="AE107" s="272"/>
      <c r="AF107" s="273"/>
      <c r="AG107" s="274">
        <f t="shared" si="167"/>
        <v>0</v>
      </c>
      <c r="AH107" s="275">
        <f t="shared" si="224"/>
        <v>0</v>
      </c>
      <c r="AI107" s="276">
        <f t="shared" si="225"/>
        <v>0</v>
      </c>
      <c r="AJ107" s="276">
        <f t="shared" si="226"/>
        <v>0</v>
      </c>
      <c r="AK107" s="276">
        <f t="shared" si="227"/>
        <v>0</v>
      </c>
      <c r="AL107" s="276">
        <f t="shared" si="228"/>
        <v>0</v>
      </c>
      <c r="AM107" s="276" t="str">
        <f t="shared" si="229"/>
        <v/>
      </c>
      <c r="AN107" s="276" t="str">
        <f t="shared" si="230"/>
        <v/>
      </c>
      <c r="AO107" s="276" t="str">
        <f t="shared" si="231"/>
        <v/>
      </c>
      <c r="AP107" s="276" t="str">
        <f t="shared" si="232"/>
        <v/>
      </c>
      <c r="AQ107" s="276" t="str">
        <f t="shared" si="233"/>
        <v/>
      </c>
      <c r="AR107" s="276" t="str">
        <f t="shared" si="234"/>
        <v/>
      </c>
      <c r="AS107" s="276" t="str">
        <f t="shared" si="235"/>
        <v/>
      </c>
      <c r="AT107" s="276" t="str">
        <f t="shared" si="236"/>
        <v/>
      </c>
      <c r="AU107" s="276" t="str">
        <f t="shared" si="237"/>
        <v/>
      </c>
      <c r="AV107" s="276" t="str">
        <f t="shared" si="238"/>
        <v/>
      </c>
      <c r="AW107" s="276" t="str">
        <f t="shared" si="239"/>
        <v/>
      </c>
      <c r="AX107" s="276" t="str">
        <f t="shared" si="240"/>
        <v/>
      </c>
      <c r="AY107" s="276" t="str">
        <f t="shared" si="241"/>
        <v/>
      </c>
      <c r="AZ107" s="276" t="str">
        <f t="shared" si="242"/>
        <v/>
      </c>
      <c r="BA107" s="276" t="str">
        <f t="shared" si="243"/>
        <v/>
      </c>
      <c r="BB107" s="276" t="str">
        <f t="shared" si="244"/>
        <v/>
      </c>
      <c r="BC107" s="276" t="str">
        <f t="shared" si="245"/>
        <v/>
      </c>
      <c r="BD107" s="276" t="str">
        <f t="shared" si="246"/>
        <v/>
      </c>
      <c r="BE107" s="276" t="str">
        <f t="shared" si="247"/>
        <v/>
      </c>
      <c r="BF107" s="277" t="str">
        <f t="shared" si="248"/>
        <v/>
      </c>
      <c r="BG107" s="142">
        <f t="array" ref="BG107">(SUM( IF(ISERROR(AH107:BF107),"", AH107:BF107)))/time</f>
        <v>0</v>
      </c>
      <c r="BH107" s="142">
        <f t="shared" si="168"/>
        <v>0</v>
      </c>
      <c r="BI107" s="142">
        <v>7</v>
      </c>
      <c r="BJ107" s="143">
        <f t="shared" si="250"/>
        <v>0</v>
      </c>
      <c r="BL107" s="176" t="e">
        <f t="array" ref="BL107">STDEV(IF(AH107:BF107&lt;&gt;0,AH107:BF107))</f>
        <v>#DIV/0!</v>
      </c>
      <c r="BM107" s="176">
        <v>1.96</v>
      </c>
      <c r="BN107" s="176" t="e">
        <f t="shared" si="249"/>
        <v>#DIV/0!</v>
      </c>
      <c r="BO107" s="176">
        <f t="shared" si="169"/>
        <v>0</v>
      </c>
    </row>
    <row r="108" spans="1:67" hidden="1">
      <c r="A108" s="301" t="s">
        <v>439</v>
      </c>
      <c r="B108" s="305"/>
      <c r="C108" s="303"/>
      <c r="D108" s="278"/>
      <c r="E108" s="270"/>
      <c r="F108" s="279">
        <f t="shared" si="166"/>
        <v>0</v>
      </c>
      <c r="G108" s="304"/>
      <c r="H108" s="271"/>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c r="AE108" s="272"/>
      <c r="AF108" s="273"/>
      <c r="AG108" s="274">
        <f t="shared" si="167"/>
        <v>0</v>
      </c>
      <c r="AH108" s="275">
        <f t="shared" si="224"/>
        <v>0</v>
      </c>
      <c r="AI108" s="276">
        <f t="shared" si="225"/>
        <v>0</v>
      </c>
      <c r="AJ108" s="276">
        <f t="shared" si="226"/>
        <v>0</v>
      </c>
      <c r="AK108" s="276">
        <f t="shared" si="227"/>
        <v>0</v>
      </c>
      <c r="AL108" s="276">
        <f t="shared" si="228"/>
        <v>0</v>
      </c>
      <c r="AM108" s="276" t="str">
        <f t="shared" si="229"/>
        <v/>
      </c>
      <c r="AN108" s="276" t="str">
        <f t="shared" si="230"/>
        <v/>
      </c>
      <c r="AO108" s="276" t="str">
        <f t="shared" si="231"/>
        <v/>
      </c>
      <c r="AP108" s="276" t="str">
        <f t="shared" si="232"/>
        <v/>
      </c>
      <c r="AQ108" s="276" t="str">
        <f t="shared" si="233"/>
        <v/>
      </c>
      <c r="AR108" s="276" t="str">
        <f t="shared" si="234"/>
        <v/>
      </c>
      <c r="AS108" s="276" t="str">
        <f t="shared" si="235"/>
        <v/>
      </c>
      <c r="AT108" s="276" t="str">
        <f t="shared" si="236"/>
        <v/>
      </c>
      <c r="AU108" s="276" t="str">
        <f t="shared" si="237"/>
        <v/>
      </c>
      <c r="AV108" s="276" t="str">
        <f t="shared" si="238"/>
        <v/>
      </c>
      <c r="AW108" s="276" t="str">
        <f t="shared" si="239"/>
        <v/>
      </c>
      <c r="AX108" s="276" t="str">
        <f t="shared" si="240"/>
        <v/>
      </c>
      <c r="AY108" s="276" t="str">
        <f t="shared" si="241"/>
        <v/>
      </c>
      <c r="AZ108" s="276" t="str">
        <f t="shared" si="242"/>
        <v/>
      </c>
      <c r="BA108" s="276" t="str">
        <f t="shared" si="243"/>
        <v/>
      </c>
      <c r="BB108" s="276" t="str">
        <f t="shared" si="244"/>
        <v/>
      </c>
      <c r="BC108" s="276" t="str">
        <f t="shared" si="245"/>
        <v/>
      </c>
      <c r="BD108" s="276" t="str">
        <f t="shared" si="246"/>
        <v/>
      </c>
      <c r="BE108" s="276" t="str">
        <f t="shared" si="247"/>
        <v/>
      </c>
      <c r="BF108" s="277" t="str">
        <f t="shared" si="248"/>
        <v/>
      </c>
      <c r="BG108" s="142">
        <f t="array" ref="BG108">(SUM( IF(ISERROR(AH108:BF108),"", AH108:BF108)))/time</f>
        <v>0</v>
      </c>
      <c r="BH108" s="142">
        <f t="shared" si="168"/>
        <v>0</v>
      </c>
      <c r="BI108" s="142">
        <v>8</v>
      </c>
      <c r="BJ108" s="143">
        <f t="shared" si="250"/>
        <v>0</v>
      </c>
      <c r="BL108" s="176" t="e">
        <f t="array" ref="BL108">STDEV(IF(AH108:BF108&lt;&gt;0,AH108:BF108))</f>
        <v>#DIV/0!</v>
      </c>
      <c r="BM108" s="176">
        <v>1.96</v>
      </c>
      <c r="BN108" s="176" t="e">
        <f t="shared" si="249"/>
        <v>#DIV/0!</v>
      </c>
      <c r="BO108" s="176">
        <f t="shared" si="169"/>
        <v>0</v>
      </c>
    </row>
    <row r="109" spans="1:67" hidden="1">
      <c r="A109" s="301" t="s">
        <v>440</v>
      </c>
      <c r="B109" s="305"/>
      <c r="C109" s="303"/>
      <c r="D109" s="278"/>
      <c r="E109" s="270"/>
      <c r="F109" s="279">
        <f t="shared" si="166"/>
        <v>0</v>
      </c>
      <c r="G109" s="304"/>
      <c r="H109" s="271"/>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c r="AE109" s="272"/>
      <c r="AF109" s="273"/>
      <c r="AG109" s="274">
        <f t="shared" si="167"/>
        <v>0</v>
      </c>
      <c r="AH109" s="275">
        <f t="shared" si="224"/>
        <v>0</v>
      </c>
      <c r="AI109" s="276">
        <f t="shared" si="225"/>
        <v>0</v>
      </c>
      <c r="AJ109" s="276">
        <f t="shared" si="226"/>
        <v>0</v>
      </c>
      <c r="AK109" s="276">
        <f t="shared" si="227"/>
        <v>0</v>
      </c>
      <c r="AL109" s="276">
        <f t="shared" si="228"/>
        <v>0</v>
      </c>
      <c r="AM109" s="276" t="str">
        <f t="shared" si="229"/>
        <v/>
      </c>
      <c r="AN109" s="276" t="str">
        <f t="shared" si="230"/>
        <v/>
      </c>
      <c r="AO109" s="276" t="str">
        <f t="shared" si="231"/>
        <v/>
      </c>
      <c r="AP109" s="276" t="str">
        <f t="shared" si="232"/>
        <v/>
      </c>
      <c r="AQ109" s="276" t="str">
        <f t="shared" si="233"/>
        <v/>
      </c>
      <c r="AR109" s="276" t="str">
        <f t="shared" si="234"/>
        <v/>
      </c>
      <c r="AS109" s="276" t="str">
        <f t="shared" si="235"/>
        <v/>
      </c>
      <c r="AT109" s="276" t="str">
        <f t="shared" si="236"/>
        <v/>
      </c>
      <c r="AU109" s="276" t="str">
        <f t="shared" si="237"/>
        <v/>
      </c>
      <c r="AV109" s="276" t="str">
        <f t="shared" si="238"/>
        <v/>
      </c>
      <c r="AW109" s="276" t="str">
        <f t="shared" si="239"/>
        <v/>
      </c>
      <c r="AX109" s="276" t="str">
        <f t="shared" si="240"/>
        <v/>
      </c>
      <c r="AY109" s="276" t="str">
        <f t="shared" si="241"/>
        <v/>
      </c>
      <c r="AZ109" s="276" t="str">
        <f t="shared" si="242"/>
        <v/>
      </c>
      <c r="BA109" s="276" t="str">
        <f t="shared" si="243"/>
        <v/>
      </c>
      <c r="BB109" s="276" t="str">
        <f t="shared" si="244"/>
        <v/>
      </c>
      <c r="BC109" s="276" t="str">
        <f t="shared" si="245"/>
        <v/>
      </c>
      <c r="BD109" s="276" t="str">
        <f t="shared" si="246"/>
        <v/>
      </c>
      <c r="BE109" s="276" t="str">
        <f t="shared" si="247"/>
        <v/>
      </c>
      <c r="BF109" s="277" t="str">
        <f t="shared" si="248"/>
        <v/>
      </c>
      <c r="BG109" s="142">
        <f t="array" ref="BG109">(SUM( IF(ISERROR(AH109:BF109),"", AH109:BF109)))/time</f>
        <v>0</v>
      </c>
      <c r="BH109" s="142">
        <f t="shared" si="168"/>
        <v>0</v>
      </c>
      <c r="BI109" s="142">
        <v>9</v>
      </c>
      <c r="BJ109" s="143">
        <f t="shared" si="250"/>
        <v>0</v>
      </c>
      <c r="BL109" s="176" t="e">
        <f t="array" ref="BL109">STDEV(IF(AH109:BF109&lt;&gt;0,AH109:BF109))</f>
        <v>#DIV/0!</v>
      </c>
      <c r="BM109" s="176">
        <v>1.96</v>
      </c>
      <c r="BN109" s="176" t="e">
        <f t="shared" si="249"/>
        <v>#DIV/0!</v>
      </c>
      <c r="BO109" s="176">
        <f t="shared" si="169"/>
        <v>0</v>
      </c>
    </row>
    <row r="110" spans="1:67" hidden="1">
      <c r="A110" s="301" t="s">
        <v>441</v>
      </c>
      <c r="B110" s="305"/>
      <c r="C110" s="303"/>
      <c r="D110" s="278"/>
      <c r="E110" s="270"/>
      <c r="F110" s="279">
        <f t="shared" si="166"/>
        <v>0</v>
      </c>
      <c r="G110" s="304"/>
      <c r="H110" s="271"/>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c r="AF110" s="273"/>
      <c r="AG110" s="274">
        <f t="shared" si="167"/>
        <v>0</v>
      </c>
      <c r="AH110" s="275">
        <f t="shared" si="224"/>
        <v>0</v>
      </c>
      <c r="AI110" s="276">
        <f t="shared" si="225"/>
        <v>0</v>
      </c>
      <c r="AJ110" s="276">
        <f t="shared" si="226"/>
        <v>0</v>
      </c>
      <c r="AK110" s="276">
        <f t="shared" si="227"/>
        <v>0</v>
      </c>
      <c r="AL110" s="276">
        <f t="shared" si="228"/>
        <v>0</v>
      </c>
      <c r="AM110" s="276" t="str">
        <f t="shared" si="229"/>
        <v/>
      </c>
      <c r="AN110" s="276" t="str">
        <f t="shared" si="230"/>
        <v/>
      </c>
      <c r="AO110" s="276" t="str">
        <f t="shared" si="231"/>
        <v/>
      </c>
      <c r="AP110" s="276" t="str">
        <f t="shared" si="232"/>
        <v/>
      </c>
      <c r="AQ110" s="276" t="str">
        <f t="shared" si="233"/>
        <v/>
      </c>
      <c r="AR110" s="276" t="str">
        <f t="shared" si="234"/>
        <v/>
      </c>
      <c r="AS110" s="276" t="str">
        <f t="shared" si="235"/>
        <v/>
      </c>
      <c r="AT110" s="276" t="str">
        <f t="shared" si="236"/>
        <v/>
      </c>
      <c r="AU110" s="276" t="str">
        <f t="shared" si="237"/>
        <v/>
      </c>
      <c r="AV110" s="276" t="str">
        <f t="shared" si="238"/>
        <v/>
      </c>
      <c r="AW110" s="276" t="str">
        <f t="shared" si="239"/>
        <v/>
      </c>
      <c r="AX110" s="276" t="str">
        <f t="shared" si="240"/>
        <v/>
      </c>
      <c r="AY110" s="276" t="str">
        <f t="shared" si="241"/>
        <v/>
      </c>
      <c r="AZ110" s="276" t="str">
        <f t="shared" si="242"/>
        <v/>
      </c>
      <c r="BA110" s="276" t="str">
        <f t="shared" si="243"/>
        <v/>
      </c>
      <c r="BB110" s="276" t="str">
        <f t="shared" si="244"/>
        <v/>
      </c>
      <c r="BC110" s="276" t="str">
        <f t="shared" si="245"/>
        <v/>
      </c>
      <c r="BD110" s="276" t="str">
        <f t="shared" si="246"/>
        <v/>
      </c>
      <c r="BE110" s="276" t="str">
        <f t="shared" si="247"/>
        <v/>
      </c>
      <c r="BF110" s="277" t="str">
        <f t="shared" si="248"/>
        <v/>
      </c>
      <c r="BG110" s="142">
        <f t="array" ref="BG110">(SUM( IF(ISERROR(AH110:BF110),"", AH110:BF110)))/time</f>
        <v>0</v>
      </c>
      <c r="BH110" s="142">
        <f t="shared" si="168"/>
        <v>0</v>
      </c>
      <c r="BI110" s="142">
        <v>10</v>
      </c>
      <c r="BJ110" s="143">
        <f t="shared" si="250"/>
        <v>0</v>
      </c>
      <c r="BL110" s="176" t="e">
        <f t="array" ref="BL110">STDEV(IF(AH110:BF110&lt;&gt;0,AH110:BF110))</f>
        <v>#DIV/0!</v>
      </c>
      <c r="BM110" s="176">
        <v>1.96</v>
      </c>
      <c r="BN110" s="176" t="e">
        <f t="shared" si="249"/>
        <v>#DIV/0!</v>
      </c>
      <c r="BO110" s="176">
        <f t="shared" si="169"/>
        <v>0</v>
      </c>
    </row>
    <row r="111" spans="1:67" s="196" customFormat="1">
      <c r="A111" s="302" t="s">
        <v>15</v>
      </c>
      <c r="F111" s="203"/>
      <c r="H111" s="202"/>
      <c r="AG111" s="291"/>
      <c r="AH111" s="202"/>
      <c r="BJ111" s="203"/>
    </row>
    <row r="112" spans="1:67">
      <c r="A112" s="848" t="s">
        <v>63</v>
      </c>
      <c r="B112" s="852"/>
      <c r="C112" s="851"/>
      <c r="D112" s="845"/>
      <c r="E112" s="847"/>
      <c r="F112" s="846">
        <f t="shared" si="166"/>
        <v>0</v>
      </c>
      <c r="G112" s="304"/>
      <c r="H112" s="842"/>
      <c r="I112" s="843"/>
      <c r="J112" s="843"/>
      <c r="K112" s="843"/>
      <c r="L112" s="843"/>
      <c r="M112" s="272"/>
      <c r="N112" s="272"/>
      <c r="O112" s="272"/>
      <c r="P112" s="272"/>
      <c r="Q112" s="272"/>
      <c r="R112" s="272"/>
      <c r="S112" s="272"/>
      <c r="T112" s="272"/>
      <c r="U112" s="272"/>
      <c r="V112" s="272"/>
      <c r="W112" s="272"/>
      <c r="X112" s="272"/>
      <c r="Y112" s="272"/>
      <c r="Z112" s="272"/>
      <c r="AA112" s="272"/>
      <c r="AB112" s="272"/>
      <c r="AC112" s="272"/>
      <c r="AD112" s="272"/>
      <c r="AE112" s="272"/>
      <c r="AF112" s="273"/>
      <c r="AG112" s="274">
        <f t="shared" si="167"/>
        <v>0</v>
      </c>
      <c r="AH112" s="275">
        <f t="shared" ref="AH112:AH121" si="251">IF(AH$225&lt;=time,H112*$F112,"")</f>
        <v>0</v>
      </c>
      <c r="AI112" s="276">
        <f t="shared" ref="AI112:AI121" si="252">IF(AI$225&lt;=time,I112*$F112,"")</f>
        <v>0</v>
      </c>
      <c r="AJ112" s="276">
        <f t="shared" ref="AJ112:AJ121" si="253">IF(AJ$225&lt;=time,J112*$F112,"")</f>
        <v>0</v>
      </c>
      <c r="AK112" s="276">
        <f t="shared" ref="AK112:AK121" si="254">IF(AK$225&lt;=time,K112*$F112,"")</f>
        <v>0</v>
      </c>
      <c r="AL112" s="276">
        <f t="shared" ref="AL112:AL121" si="255">IF(AL$225&lt;=time,L112*$F112,"")</f>
        <v>0</v>
      </c>
      <c r="AM112" s="276" t="str">
        <f t="shared" ref="AM112:AM121" si="256">IF(AM$225&lt;=time,M112*$F112,"")</f>
        <v/>
      </c>
      <c r="AN112" s="276" t="str">
        <f t="shared" ref="AN112:AN121" si="257">IF(AN$225&lt;=time,N112*$F112,"")</f>
        <v/>
      </c>
      <c r="AO112" s="276" t="str">
        <f t="shared" ref="AO112:AO121" si="258">IF(AO$225&lt;=time,O112*$F112,"")</f>
        <v/>
      </c>
      <c r="AP112" s="276" t="str">
        <f t="shared" ref="AP112:AP121" si="259">IF(AP$225&lt;=time,P112*$F112,"")</f>
        <v/>
      </c>
      <c r="AQ112" s="276" t="str">
        <f t="shared" ref="AQ112:AQ121" si="260">IF(AQ$225&lt;=time,Q112*$F112,"")</f>
        <v/>
      </c>
      <c r="AR112" s="276" t="str">
        <f t="shared" ref="AR112:AR121" si="261">IF(AR$225&lt;=time,R112*$F112,"")</f>
        <v/>
      </c>
      <c r="AS112" s="276" t="str">
        <f t="shared" ref="AS112:AS121" si="262">IF(AS$225&lt;=time,S112*$F112,"")</f>
        <v/>
      </c>
      <c r="AT112" s="276" t="str">
        <f t="shared" ref="AT112:AT121" si="263">IF(AT$225&lt;=time,T112*$F112,"")</f>
        <v/>
      </c>
      <c r="AU112" s="276" t="str">
        <f t="shared" ref="AU112:AU121" si="264">IF(AU$225&lt;=time,U112*$F112,"")</f>
        <v/>
      </c>
      <c r="AV112" s="276" t="str">
        <f t="shared" ref="AV112:AV121" si="265">IF(AV$225&lt;=time,V112*$F112,"")</f>
        <v/>
      </c>
      <c r="AW112" s="276" t="str">
        <f t="shared" ref="AW112:AW121" si="266">IF(AW$225&lt;=time,W112*$F112,"")</f>
        <v/>
      </c>
      <c r="AX112" s="276" t="str">
        <f t="shared" ref="AX112:AX121" si="267">IF(AX$225&lt;=time,X112*$F112,"")</f>
        <v/>
      </c>
      <c r="AY112" s="276" t="str">
        <f t="shared" ref="AY112:AY121" si="268">IF(AY$225&lt;=time,Y112*$F112,"")</f>
        <v/>
      </c>
      <c r="AZ112" s="276" t="str">
        <f t="shared" ref="AZ112:AZ121" si="269">IF(AZ$225&lt;=time,Z112*$F112,"")</f>
        <v/>
      </c>
      <c r="BA112" s="276" t="str">
        <f t="shared" ref="BA112:BA121" si="270">IF(BA$225&lt;=time,AA112*$F112,"")</f>
        <v/>
      </c>
      <c r="BB112" s="276" t="str">
        <f t="shared" ref="BB112:BB121" si="271">IF(BB$225&lt;=time,AB112*$F112,"")</f>
        <v/>
      </c>
      <c r="BC112" s="276" t="str">
        <f t="shared" ref="BC112:BC121" si="272">IF(BC$225&lt;=time,AC112*$F112,"")</f>
        <v/>
      </c>
      <c r="BD112" s="276" t="str">
        <f t="shared" ref="BD112:BD121" si="273">IF(BD$225&lt;=time,AD112*$F112,"")</f>
        <v/>
      </c>
      <c r="BE112" s="276" t="str">
        <f t="shared" ref="BE112:BE121" si="274">IF(BE$225&lt;=time,AE112*$F112,"")</f>
        <v/>
      </c>
      <c r="BF112" s="277" t="str">
        <f t="shared" ref="BF112:BF121" si="275">IF(BF$225&lt;=time,AF112*$F112,"")</f>
        <v/>
      </c>
      <c r="BG112" s="142">
        <f t="array" ref="BG112">(SUM( IF(ISERROR(AH112:BF112),"", AH112:BF112)))/time</f>
        <v>0</v>
      </c>
      <c r="BH112" s="142">
        <f t="shared" si="168"/>
        <v>0</v>
      </c>
      <c r="BI112" s="142">
        <v>1</v>
      </c>
      <c r="BJ112" s="143">
        <f>IF(BO112&gt;0,BG112+BN112,BG112)</f>
        <v>0</v>
      </c>
      <c r="BL112" s="176" t="e">
        <f t="array" ref="BL112">STDEV(IF(AH112:BF112&lt;&gt;0,AH112:BF112))</f>
        <v>#DIV/0!</v>
      </c>
      <c r="BM112" s="176">
        <v>1.96</v>
      </c>
      <c r="BN112" s="176" t="e">
        <f t="shared" ref="BN112:BN121" si="276">(BM112*BL112)/(time^0.5)</f>
        <v>#DIV/0!</v>
      </c>
      <c r="BO112" s="176">
        <f t="shared" si="169"/>
        <v>0</v>
      </c>
    </row>
    <row r="113" spans="1:67" hidden="1">
      <c r="A113" s="301" t="s">
        <v>64</v>
      </c>
      <c r="B113" s="305"/>
      <c r="C113" s="303"/>
      <c r="D113" s="278"/>
      <c r="E113" s="270"/>
      <c r="F113" s="279">
        <f t="shared" si="166"/>
        <v>0</v>
      </c>
      <c r="G113" s="304"/>
      <c r="H113" s="271"/>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72"/>
      <c r="AE113" s="272"/>
      <c r="AF113" s="273"/>
      <c r="AG113" s="274">
        <f t="shared" si="167"/>
        <v>0</v>
      </c>
      <c r="AH113" s="275">
        <f t="shared" si="251"/>
        <v>0</v>
      </c>
      <c r="AI113" s="276">
        <f t="shared" si="252"/>
        <v>0</v>
      </c>
      <c r="AJ113" s="276">
        <f t="shared" si="253"/>
        <v>0</v>
      </c>
      <c r="AK113" s="276">
        <f t="shared" si="254"/>
        <v>0</v>
      </c>
      <c r="AL113" s="276">
        <f t="shared" si="255"/>
        <v>0</v>
      </c>
      <c r="AM113" s="276" t="str">
        <f t="shared" si="256"/>
        <v/>
      </c>
      <c r="AN113" s="276" t="str">
        <f t="shared" si="257"/>
        <v/>
      </c>
      <c r="AO113" s="276" t="str">
        <f t="shared" si="258"/>
        <v/>
      </c>
      <c r="AP113" s="276" t="str">
        <f t="shared" si="259"/>
        <v/>
      </c>
      <c r="AQ113" s="276" t="str">
        <f t="shared" si="260"/>
        <v/>
      </c>
      <c r="AR113" s="276" t="str">
        <f t="shared" si="261"/>
        <v/>
      </c>
      <c r="AS113" s="276" t="str">
        <f t="shared" si="262"/>
        <v/>
      </c>
      <c r="AT113" s="276" t="str">
        <f t="shared" si="263"/>
        <v/>
      </c>
      <c r="AU113" s="276" t="str">
        <f t="shared" si="264"/>
        <v/>
      </c>
      <c r="AV113" s="276" t="str">
        <f t="shared" si="265"/>
        <v/>
      </c>
      <c r="AW113" s="276" t="str">
        <f t="shared" si="266"/>
        <v/>
      </c>
      <c r="AX113" s="276" t="str">
        <f t="shared" si="267"/>
        <v/>
      </c>
      <c r="AY113" s="276" t="str">
        <f t="shared" si="268"/>
        <v/>
      </c>
      <c r="AZ113" s="276" t="str">
        <f t="shared" si="269"/>
        <v/>
      </c>
      <c r="BA113" s="276" t="str">
        <f t="shared" si="270"/>
        <v/>
      </c>
      <c r="BB113" s="276" t="str">
        <f t="shared" si="271"/>
        <v/>
      </c>
      <c r="BC113" s="276" t="str">
        <f t="shared" si="272"/>
        <v/>
      </c>
      <c r="BD113" s="276" t="str">
        <f t="shared" si="273"/>
        <v/>
      </c>
      <c r="BE113" s="276" t="str">
        <f t="shared" si="274"/>
        <v/>
      </c>
      <c r="BF113" s="277" t="str">
        <f t="shared" si="275"/>
        <v/>
      </c>
      <c r="BG113" s="142">
        <f t="array" ref="BG113">(SUM( IF(ISERROR(AH113:BF113),"", AH113:BF113)))/time</f>
        <v>0</v>
      </c>
      <c r="BH113" s="142">
        <f t="shared" si="168"/>
        <v>0</v>
      </c>
      <c r="BI113" s="142">
        <v>2</v>
      </c>
      <c r="BJ113" s="143">
        <f t="shared" ref="BJ113:BJ121" si="277">IF(BO113&gt;0,BG113+BN113,BG113)</f>
        <v>0</v>
      </c>
      <c r="BL113" s="176" t="e">
        <f t="array" ref="BL113">STDEV(IF(AH113:BF113&lt;&gt;0,AH113:BF113))</f>
        <v>#DIV/0!</v>
      </c>
      <c r="BM113" s="176">
        <v>1.96</v>
      </c>
      <c r="BN113" s="176" t="e">
        <f t="shared" si="276"/>
        <v>#DIV/0!</v>
      </c>
      <c r="BO113" s="176">
        <f t="shared" si="169"/>
        <v>0</v>
      </c>
    </row>
    <row r="114" spans="1:67" hidden="1">
      <c r="A114" s="301" t="s">
        <v>65</v>
      </c>
      <c r="B114" s="305"/>
      <c r="C114" s="303"/>
      <c r="D114" s="278"/>
      <c r="E114" s="270"/>
      <c r="F114" s="279">
        <f t="shared" si="166"/>
        <v>0</v>
      </c>
      <c r="G114" s="304"/>
      <c r="H114" s="271"/>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72"/>
      <c r="AE114" s="272"/>
      <c r="AF114" s="273"/>
      <c r="AG114" s="274">
        <f t="shared" si="167"/>
        <v>0</v>
      </c>
      <c r="AH114" s="275">
        <f t="shared" si="251"/>
        <v>0</v>
      </c>
      <c r="AI114" s="276">
        <f t="shared" si="252"/>
        <v>0</v>
      </c>
      <c r="AJ114" s="276">
        <f t="shared" si="253"/>
        <v>0</v>
      </c>
      <c r="AK114" s="276">
        <f t="shared" si="254"/>
        <v>0</v>
      </c>
      <c r="AL114" s="276">
        <f t="shared" si="255"/>
        <v>0</v>
      </c>
      <c r="AM114" s="276" t="str">
        <f t="shared" si="256"/>
        <v/>
      </c>
      <c r="AN114" s="276" t="str">
        <f t="shared" si="257"/>
        <v/>
      </c>
      <c r="AO114" s="276" t="str">
        <f t="shared" si="258"/>
        <v/>
      </c>
      <c r="AP114" s="276" t="str">
        <f t="shared" si="259"/>
        <v/>
      </c>
      <c r="AQ114" s="276" t="str">
        <f t="shared" si="260"/>
        <v/>
      </c>
      <c r="AR114" s="276" t="str">
        <f t="shared" si="261"/>
        <v/>
      </c>
      <c r="AS114" s="276" t="str">
        <f t="shared" si="262"/>
        <v/>
      </c>
      <c r="AT114" s="276" t="str">
        <f t="shared" si="263"/>
        <v/>
      </c>
      <c r="AU114" s="276" t="str">
        <f t="shared" si="264"/>
        <v/>
      </c>
      <c r="AV114" s="276" t="str">
        <f t="shared" si="265"/>
        <v/>
      </c>
      <c r="AW114" s="276" t="str">
        <f t="shared" si="266"/>
        <v/>
      </c>
      <c r="AX114" s="276" t="str">
        <f t="shared" si="267"/>
        <v/>
      </c>
      <c r="AY114" s="276" t="str">
        <f t="shared" si="268"/>
        <v/>
      </c>
      <c r="AZ114" s="276" t="str">
        <f t="shared" si="269"/>
        <v/>
      </c>
      <c r="BA114" s="276" t="str">
        <f t="shared" si="270"/>
        <v/>
      </c>
      <c r="BB114" s="276" t="str">
        <f t="shared" si="271"/>
        <v/>
      </c>
      <c r="BC114" s="276" t="str">
        <f t="shared" si="272"/>
        <v/>
      </c>
      <c r="BD114" s="276" t="str">
        <f t="shared" si="273"/>
        <v/>
      </c>
      <c r="BE114" s="276" t="str">
        <f t="shared" si="274"/>
        <v/>
      </c>
      <c r="BF114" s="277" t="str">
        <f t="shared" si="275"/>
        <v/>
      </c>
      <c r="BG114" s="142">
        <f t="array" ref="BG114">(SUM( IF(ISERROR(AH114:BF114),"", AH114:BF114)))/time</f>
        <v>0</v>
      </c>
      <c r="BH114" s="142">
        <f t="shared" si="168"/>
        <v>0</v>
      </c>
      <c r="BI114" s="142">
        <v>3</v>
      </c>
      <c r="BJ114" s="143">
        <f t="shared" si="277"/>
        <v>0</v>
      </c>
      <c r="BL114" s="176" t="e">
        <f t="array" ref="BL114">STDEV(IF(AH114:BF114&lt;&gt;0,AH114:BF114))</f>
        <v>#DIV/0!</v>
      </c>
      <c r="BM114" s="176">
        <v>1.96</v>
      </c>
      <c r="BN114" s="176" t="e">
        <f t="shared" si="276"/>
        <v>#DIV/0!</v>
      </c>
      <c r="BO114" s="176">
        <f t="shared" si="169"/>
        <v>0</v>
      </c>
    </row>
    <row r="115" spans="1:67" hidden="1">
      <c r="A115" s="301" t="s">
        <v>66</v>
      </c>
      <c r="B115" s="305"/>
      <c r="C115" s="303"/>
      <c r="D115" s="278"/>
      <c r="E115" s="270"/>
      <c r="F115" s="279">
        <f t="shared" si="166"/>
        <v>0</v>
      </c>
      <c r="G115" s="304"/>
      <c r="H115" s="271"/>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72"/>
      <c r="AE115" s="272"/>
      <c r="AF115" s="273"/>
      <c r="AG115" s="274">
        <f t="shared" si="167"/>
        <v>0</v>
      </c>
      <c r="AH115" s="275">
        <f t="shared" si="251"/>
        <v>0</v>
      </c>
      <c r="AI115" s="276">
        <f t="shared" si="252"/>
        <v>0</v>
      </c>
      <c r="AJ115" s="276">
        <f t="shared" si="253"/>
        <v>0</v>
      </c>
      <c r="AK115" s="276">
        <f t="shared" si="254"/>
        <v>0</v>
      </c>
      <c r="AL115" s="276">
        <f t="shared" si="255"/>
        <v>0</v>
      </c>
      <c r="AM115" s="276" t="str">
        <f t="shared" si="256"/>
        <v/>
      </c>
      <c r="AN115" s="276" t="str">
        <f t="shared" si="257"/>
        <v/>
      </c>
      <c r="AO115" s="276" t="str">
        <f t="shared" si="258"/>
        <v/>
      </c>
      <c r="AP115" s="276" t="str">
        <f t="shared" si="259"/>
        <v/>
      </c>
      <c r="AQ115" s="276" t="str">
        <f t="shared" si="260"/>
        <v/>
      </c>
      <c r="AR115" s="276" t="str">
        <f t="shared" si="261"/>
        <v/>
      </c>
      <c r="AS115" s="276" t="str">
        <f t="shared" si="262"/>
        <v/>
      </c>
      <c r="AT115" s="276" t="str">
        <f t="shared" si="263"/>
        <v/>
      </c>
      <c r="AU115" s="276" t="str">
        <f t="shared" si="264"/>
        <v/>
      </c>
      <c r="AV115" s="276" t="str">
        <f t="shared" si="265"/>
        <v/>
      </c>
      <c r="AW115" s="276" t="str">
        <f t="shared" si="266"/>
        <v/>
      </c>
      <c r="AX115" s="276" t="str">
        <f t="shared" si="267"/>
        <v/>
      </c>
      <c r="AY115" s="276" t="str">
        <f t="shared" si="268"/>
        <v/>
      </c>
      <c r="AZ115" s="276" t="str">
        <f t="shared" si="269"/>
        <v/>
      </c>
      <c r="BA115" s="276" t="str">
        <f t="shared" si="270"/>
        <v/>
      </c>
      <c r="BB115" s="276" t="str">
        <f t="shared" si="271"/>
        <v/>
      </c>
      <c r="BC115" s="276" t="str">
        <f t="shared" si="272"/>
        <v/>
      </c>
      <c r="BD115" s="276" t="str">
        <f t="shared" si="273"/>
        <v/>
      </c>
      <c r="BE115" s="276" t="str">
        <f t="shared" si="274"/>
        <v/>
      </c>
      <c r="BF115" s="277" t="str">
        <f t="shared" si="275"/>
        <v/>
      </c>
      <c r="BG115" s="142">
        <f t="array" ref="BG115">(SUM( IF(ISERROR(AH115:BF115),"", AH115:BF115)))/time</f>
        <v>0</v>
      </c>
      <c r="BH115" s="142">
        <f t="shared" si="168"/>
        <v>0</v>
      </c>
      <c r="BI115" s="142">
        <v>4</v>
      </c>
      <c r="BJ115" s="143">
        <f t="shared" si="277"/>
        <v>0</v>
      </c>
      <c r="BL115" s="176" t="e">
        <f t="array" ref="BL115">STDEV(IF(AH115:BF115&lt;&gt;0,AH115:BF115))</f>
        <v>#DIV/0!</v>
      </c>
      <c r="BM115" s="176">
        <v>1.96</v>
      </c>
      <c r="BN115" s="176" t="e">
        <f t="shared" si="276"/>
        <v>#DIV/0!</v>
      </c>
      <c r="BO115" s="176">
        <f t="shared" si="169"/>
        <v>0</v>
      </c>
    </row>
    <row r="116" spans="1:67" hidden="1">
      <c r="A116" s="301" t="s">
        <v>67</v>
      </c>
      <c r="B116" s="305"/>
      <c r="C116" s="303"/>
      <c r="D116" s="278"/>
      <c r="E116" s="270"/>
      <c r="F116" s="279">
        <f t="shared" si="166"/>
        <v>0</v>
      </c>
      <c r="G116" s="304"/>
      <c r="H116" s="271"/>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72"/>
      <c r="AE116" s="272"/>
      <c r="AF116" s="273"/>
      <c r="AG116" s="274">
        <f t="shared" si="167"/>
        <v>0</v>
      </c>
      <c r="AH116" s="275">
        <f t="shared" si="251"/>
        <v>0</v>
      </c>
      <c r="AI116" s="276">
        <f t="shared" si="252"/>
        <v>0</v>
      </c>
      <c r="AJ116" s="276">
        <f t="shared" si="253"/>
        <v>0</v>
      </c>
      <c r="AK116" s="276">
        <f t="shared" si="254"/>
        <v>0</v>
      </c>
      <c r="AL116" s="276">
        <f t="shared" si="255"/>
        <v>0</v>
      </c>
      <c r="AM116" s="276" t="str">
        <f t="shared" si="256"/>
        <v/>
      </c>
      <c r="AN116" s="276" t="str">
        <f t="shared" si="257"/>
        <v/>
      </c>
      <c r="AO116" s="276" t="str">
        <f t="shared" si="258"/>
        <v/>
      </c>
      <c r="AP116" s="276" t="str">
        <f t="shared" si="259"/>
        <v/>
      </c>
      <c r="AQ116" s="276" t="str">
        <f t="shared" si="260"/>
        <v/>
      </c>
      <c r="AR116" s="276" t="str">
        <f t="shared" si="261"/>
        <v/>
      </c>
      <c r="AS116" s="276" t="str">
        <f t="shared" si="262"/>
        <v/>
      </c>
      <c r="AT116" s="276" t="str">
        <f t="shared" si="263"/>
        <v/>
      </c>
      <c r="AU116" s="276" t="str">
        <f t="shared" si="264"/>
        <v/>
      </c>
      <c r="AV116" s="276" t="str">
        <f t="shared" si="265"/>
        <v/>
      </c>
      <c r="AW116" s="276" t="str">
        <f t="shared" si="266"/>
        <v/>
      </c>
      <c r="AX116" s="276" t="str">
        <f t="shared" si="267"/>
        <v/>
      </c>
      <c r="AY116" s="276" t="str">
        <f t="shared" si="268"/>
        <v/>
      </c>
      <c r="AZ116" s="276" t="str">
        <f t="shared" si="269"/>
        <v/>
      </c>
      <c r="BA116" s="276" t="str">
        <f t="shared" si="270"/>
        <v/>
      </c>
      <c r="BB116" s="276" t="str">
        <f t="shared" si="271"/>
        <v/>
      </c>
      <c r="BC116" s="276" t="str">
        <f t="shared" si="272"/>
        <v/>
      </c>
      <c r="BD116" s="276" t="str">
        <f t="shared" si="273"/>
        <v/>
      </c>
      <c r="BE116" s="276" t="str">
        <f t="shared" si="274"/>
        <v/>
      </c>
      <c r="BF116" s="277" t="str">
        <f t="shared" si="275"/>
        <v/>
      </c>
      <c r="BG116" s="142">
        <f t="array" ref="BG116">(SUM( IF(ISERROR(AH116:BF116),"", AH116:BF116)))/time</f>
        <v>0</v>
      </c>
      <c r="BH116" s="142">
        <f t="shared" si="168"/>
        <v>0</v>
      </c>
      <c r="BI116" s="142">
        <v>5</v>
      </c>
      <c r="BJ116" s="143">
        <f t="shared" si="277"/>
        <v>0</v>
      </c>
      <c r="BL116" s="176" t="e">
        <f t="array" ref="BL116">STDEV(IF(AH116:BF116&lt;&gt;0,AH116:BF116))</f>
        <v>#DIV/0!</v>
      </c>
      <c r="BM116" s="176">
        <v>1.96</v>
      </c>
      <c r="BN116" s="176" t="e">
        <f t="shared" si="276"/>
        <v>#DIV/0!</v>
      </c>
      <c r="BO116" s="176">
        <f t="shared" si="169"/>
        <v>0</v>
      </c>
    </row>
    <row r="117" spans="1:67" hidden="1">
      <c r="A117" s="301" t="s">
        <v>68</v>
      </c>
      <c r="B117" s="305"/>
      <c r="C117" s="303"/>
      <c r="D117" s="278"/>
      <c r="E117" s="270"/>
      <c r="F117" s="279">
        <f t="shared" si="166"/>
        <v>0</v>
      </c>
      <c r="G117" s="304"/>
      <c r="H117" s="271"/>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72"/>
      <c r="AE117" s="272"/>
      <c r="AF117" s="273"/>
      <c r="AG117" s="274">
        <f t="shared" si="167"/>
        <v>0</v>
      </c>
      <c r="AH117" s="275">
        <f t="shared" si="251"/>
        <v>0</v>
      </c>
      <c r="AI117" s="276">
        <f t="shared" si="252"/>
        <v>0</v>
      </c>
      <c r="AJ117" s="276">
        <f t="shared" si="253"/>
        <v>0</v>
      </c>
      <c r="AK117" s="276">
        <f t="shared" si="254"/>
        <v>0</v>
      </c>
      <c r="AL117" s="276">
        <f t="shared" si="255"/>
        <v>0</v>
      </c>
      <c r="AM117" s="276" t="str">
        <f t="shared" si="256"/>
        <v/>
      </c>
      <c r="AN117" s="276" t="str">
        <f t="shared" si="257"/>
        <v/>
      </c>
      <c r="AO117" s="276" t="str">
        <f t="shared" si="258"/>
        <v/>
      </c>
      <c r="AP117" s="276" t="str">
        <f t="shared" si="259"/>
        <v/>
      </c>
      <c r="AQ117" s="276" t="str">
        <f t="shared" si="260"/>
        <v/>
      </c>
      <c r="AR117" s="276" t="str">
        <f t="shared" si="261"/>
        <v/>
      </c>
      <c r="AS117" s="276" t="str">
        <f t="shared" si="262"/>
        <v/>
      </c>
      <c r="AT117" s="276" t="str">
        <f t="shared" si="263"/>
        <v/>
      </c>
      <c r="AU117" s="276" t="str">
        <f t="shared" si="264"/>
        <v/>
      </c>
      <c r="AV117" s="276" t="str">
        <f t="shared" si="265"/>
        <v/>
      </c>
      <c r="AW117" s="276" t="str">
        <f t="shared" si="266"/>
        <v/>
      </c>
      <c r="AX117" s="276" t="str">
        <f t="shared" si="267"/>
        <v/>
      </c>
      <c r="AY117" s="276" t="str">
        <f t="shared" si="268"/>
        <v/>
      </c>
      <c r="AZ117" s="276" t="str">
        <f t="shared" si="269"/>
        <v/>
      </c>
      <c r="BA117" s="276" t="str">
        <f t="shared" si="270"/>
        <v/>
      </c>
      <c r="BB117" s="276" t="str">
        <f t="shared" si="271"/>
        <v/>
      </c>
      <c r="BC117" s="276" t="str">
        <f t="shared" si="272"/>
        <v/>
      </c>
      <c r="BD117" s="276" t="str">
        <f t="shared" si="273"/>
        <v/>
      </c>
      <c r="BE117" s="276" t="str">
        <f t="shared" si="274"/>
        <v/>
      </c>
      <c r="BF117" s="277" t="str">
        <f t="shared" si="275"/>
        <v/>
      </c>
      <c r="BG117" s="142">
        <f t="array" ref="BG117">(SUM( IF(ISERROR(AH117:BF117),"", AH117:BF117)))/time</f>
        <v>0</v>
      </c>
      <c r="BH117" s="142">
        <f t="shared" si="168"/>
        <v>0</v>
      </c>
      <c r="BI117" s="142">
        <v>6</v>
      </c>
      <c r="BJ117" s="143">
        <f t="shared" si="277"/>
        <v>0</v>
      </c>
      <c r="BL117" s="176" t="e">
        <f t="array" ref="BL117">STDEV(IF(AH117:BF117&lt;&gt;0,AH117:BF117))</f>
        <v>#DIV/0!</v>
      </c>
      <c r="BM117" s="176">
        <v>1.96</v>
      </c>
      <c r="BN117" s="176" t="e">
        <f t="shared" si="276"/>
        <v>#DIV/0!</v>
      </c>
      <c r="BO117" s="176">
        <f t="shared" si="169"/>
        <v>0</v>
      </c>
    </row>
    <row r="118" spans="1:67" hidden="1">
      <c r="A118" s="301" t="s">
        <v>69</v>
      </c>
      <c r="B118" s="305"/>
      <c r="C118" s="303"/>
      <c r="D118" s="278"/>
      <c r="E118" s="270"/>
      <c r="F118" s="279">
        <f t="shared" si="166"/>
        <v>0</v>
      </c>
      <c r="G118" s="304"/>
      <c r="H118" s="271"/>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72"/>
      <c r="AE118" s="272"/>
      <c r="AF118" s="273"/>
      <c r="AG118" s="274">
        <f t="shared" si="167"/>
        <v>0</v>
      </c>
      <c r="AH118" s="275">
        <f t="shared" si="251"/>
        <v>0</v>
      </c>
      <c r="AI118" s="276">
        <f t="shared" si="252"/>
        <v>0</v>
      </c>
      <c r="AJ118" s="276">
        <f t="shared" si="253"/>
        <v>0</v>
      </c>
      <c r="AK118" s="276">
        <f t="shared" si="254"/>
        <v>0</v>
      </c>
      <c r="AL118" s="276">
        <f t="shared" si="255"/>
        <v>0</v>
      </c>
      <c r="AM118" s="276" t="str">
        <f t="shared" si="256"/>
        <v/>
      </c>
      <c r="AN118" s="276" t="str">
        <f t="shared" si="257"/>
        <v/>
      </c>
      <c r="AO118" s="276" t="str">
        <f t="shared" si="258"/>
        <v/>
      </c>
      <c r="AP118" s="276" t="str">
        <f t="shared" si="259"/>
        <v/>
      </c>
      <c r="AQ118" s="276" t="str">
        <f t="shared" si="260"/>
        <v/>
      </c>
      <c r="AR118" s="276" t="str">
        <f t="shared" si="261"/>
        <v/>
      </c>
      <c r="AS118" s="276" t="str">
        <f t="shared" si="262"/>
        <v/>
      </c>
      <c r="AT118" s="276" t="str">
        <f t="shared" si="263"/>
        <v/>
      </c>
      <c r="AU118" s="276" t="str">
        <f t="shared" si="264"/>
        <v/>
      </c>
      <c r="AV118" s="276" t="str">
        <f t="shared" si="265"/>
        <v/>
      </c>
      <c r="AW118" s="276" t="str">
        <f t="shared" si="266"/>
        <v/>
      </c>
      <c r="AX118" s="276" t="str">
        <f t="shared" si="267"/>
        <v/>
      </c>
      <c r="AY118" s="276" t="str">
        <f t="shared" si="268"/>
        <v/>
      </c>
      <c r="AZ118" s="276" t="str">
        <f t="shared" si="269"/>
        <v/>
      </c>
      <c r="BA118" s="276" t="str">
        <f t="shared" si="270"/>
        <v/>
      </c>
      <c r="BB118" s="276" t="str">
        <f t="shared" si="271"/>
        <v/>
      </c>
      <c r="BC118" s="276" t="str">
        <f t="shared" si="272"/>
        <v/>
      </c>
      <c r="BD118" s="276" t="str">
        <f t="shared" si="273"/>
        <v/>
      </c>
      <c r="BE118" s="276" t="str">
        <f t="shared" si="274"/>
        <v/>
      </c>
      <c r="BF118" s="277" t="str">
        <f t="shared" si="275"/>
        <v/>
      </c>
      <c r="BG118" s="142">
        <f t="array" ref="BG118">(SUM( IF(ISERROR(AH118:BF118),"", AH118:BF118)))/time</f>
        <v>0</v>
      </c>
      <c r="BH118" s="142">
        <f t="shared" si="168"/>
        <v>0</v>
      </c>
      <c r="BI118" s="142">
        <v>7</v>
      </c>
      <c r="BJ118" s="143">
        <f t="shared" si="277"/>
        <v>0</v>
      </c>
      <c r="BL118" s="176" t="e">
        <f t="array" ref="BL118">STDEV(IF(AH118:BF118&lt;&gt;0,AH118:BF118))</f>
        <v>#DIV/0!</v>
      </c>
      <c r="BM118" s="176">
        <v>1.96</v>
      </c>
      <c r="BN118" s="176" t="e">
        <f t="shared" si="276"/>
        <v>#DIV/0!</v>
      </c>
      <c r="BO118" s="176">
        <f t="shared" si="169"/>
        <v>0</v>
      </c>
    </row>
    <row r="119" spans="1:67" hidden="1">
      <c r="A119" s="301" t="s">
        <v>70</v>
      </c>
      <c r="B119" s="305"/>
      <c r="C119" s="303"/>
      <c r="D119" s="278"/>
      <c r="E119" s="270"/>
      <c r="F119" s="279">
        <f t="shared" si="166"/>
        <v>0</v>
      </c>
      <c r="G119" s="304"/>
      <c r="H119" s="271"/>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c r="AE119" s="272"/>
      <c r="AF119" s="273"/>
      <c r="AG119" s="274">
        <f t="shared" si="167"/>
        <v>0</v>
      </c>
      <c r="AH119" s="275">
        <f t="shared" si="251"/>
        <v>0</v>
      </c>
      <c r="AI119" s="276">
        <f t="shared" si="252"/>
        <v>0</v>
      </c>
      <c r="AJ119" s="276">
        <f t="shared" si="253"/>
        <v>0</v>
      </c>
      <c r="AK119" s="276">
        <f t="shared" si="254"/>
        <v>0</v>
      </c>
      <c r="AL119" s="276">
        <f t="shared" si="255"/>
        <v>0</v>
      </c>
      <c r="AM119" s="276" t="str">
        <f t="shared" si="256"/>
        <v/>
      </c>
      <c r="AN119" s="276" t="str">
        <f t="shared" si="257"/>
        <v/>
      </c>
      <c r="AO119" s="276" t="str">
        <f t="shared" si="258"/>
        <v/>
      </c>
      <c r="AP119" s="276" t="str">
        <f t="shared" si="259"/>
        <v/>
      </c>
      <c r="AQ119" s="276" t="str">
        <f t="shared" si="260"/>
        <v/>
      </c>
      <c r="AR119" s="276" t="str">
        <f t="shared" si="261"/>
        <v/>
      </c>
      <c r="AS119" s="276" t="str">
        <f t="shared" si="262"/>
        <v/>
      </c>
      <c r="AT119" s="276" t="str">
        <f t="shared" si="263"/>
        <v/>
      </c>
      <c r="AU119" s="276" t="str">
        <f t="shared" si="264"/>
        <v/>
      </c>
      <c r="AV119" s="276" t="str">
        <f t="shared" si="265"/>
        <v/>
      </c>
      <c r="AW119" s="276" t="str">
        <f t="shared" si="266"/>
        <v/>
      </c>
      <c r="AX119" s="276" t="str">
        <f t="shared" si="267"/>
        <v/>
      </c>
      <c r="AY119" s="276" t="str">
        <f t="shared" si="268"/>
        <v/>
      </c>
      <c r="AZ119" s="276" t="str">
        <f t="shared" si="269"/>
        <v/>
      </c>
      <c r="BA119" s="276" t="str">
        <f t="shared" si="270"/>
        <v/>
      </c>
      <c r="BB119" s="276" t="str">
        <f t="shared" si="271"/>
        <v/>
      </c>
      <c r="BC119" s="276" t="str">
        <f t="shared" si="272"/>
        <v/>
      </c>
      <c r="BD119" s="276" t="str">
        <f t="shared" si="273"/>
        <v/>
      </c>
      <c r="BE119" s="276" t="str">
        <f t="shared" si="274"/>
        <v/>
      </c>
      <c r="BF119" s="277" t="str">
        <f t="shared" si="275"/>
        <v/>
      </c>
      <c r="BG119" s="142">
        <f t="array" ref="BG119">(SUM( IF(ISERROR(AH119:BF119),"", AH119:BF119)))/time</f>
        <v>0</v>
      </c>
      <c r="BH119" s="142">
        <f t="shared" si="168"/>
        <v>0</v>
      </c>
      <c r="BI119" s="142">
        <v>8</v>
      </c>
      <c r="BJ119" s="143">
        <f t="shared" si="277"/>
        <v>0</v>
      </c>
      <c r="BL119" s="176" t="e">
        <f t="array" ref="BL119">STDEV(IF(AH119:BF119&lt;&gt;0,AH119:BF119))</f>
        <v>#DIV/0!</v>
      </c>
      <c r="BM119" s="176">
        <v>1.96</v>
      </c>
      <c r="BN119" s="176" t="e">
        <f t="shared" si="276"/>
        <v>#DIV/0!</v>
      </c>
      <c r="BO119" s="176">
        <f t="shared" si="169"/>
        <v>0</v>
      </c>
    </row>
    <row r="120" spans="1:67" hidden="1">
      <c r="A120" s="301" t="s">
        <v>71</v>
      </c>
      <c r="B120" s="305"/>
      <c r="C120" s="303"/>
      <c r="D120" s="278"/>
      <c r="E120" s="270"/>
      <c r="F120" s="279">
        <f t="shared" si="166"/>
        <v>0</v>
      </c>
      <c r="G120" s="304"/>
      <c r="H120" s="271"/>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272"/>
      <c r="AF120" s="273"/>
      <c r="AG120" s="274">
        <f t="shared" si="167"/>
        <v>0</v>
      </c>
      <c r="AH120" s="275">
        <f t="shared" si="251"/>
        <v>0</v>
      </c>
      <c r="AI120" s="276">
        <f t="shared" si="252"/>
        <v>0</v>
      </c>
      <c r="AJ120" s="276">
        <f t="shared" si="253"/>
        <v>0</v>
      </c>
      <c r="AK120" s="276">
        <f t="shared" si="254"/>
        <v>0</v>
      </c>
      <c r="AL120" s="276">
        <f t="shared" si="255"/>
        <v>0</v>
      </c>
      <c r="AM120" s="276" t="str">
        <f t="shared" si="256"/>
        <v/>
      </c>
      <c r="AN120" s="276" t="str">
        <f t="shared" si="257"/>
        <v/>
      </c>
      <c r="AO120" s="276" t="str">
        <f t="shared" si="258"/>
        <v/>
      </c>
      <c r="AP120" s="276" t="str">
        <f t="shared" si="259"/>
        <v/>
      </c>
      <c r="AQ120" s="276" t="str">
        <f t="shared" si="260"/>
        <v/>
      </c>
      <c r="AR120" s="276" t="str">
        <f t="shared" si="261"/>
        <v/>
      </c>
      <c r="AS120" s="276" t="str">
        <f t="shared" si="262"/>
        <v/>
      </c>
      <c r="AT120" s="276" t="str">
        <f t="shared" si="263"/>
        <v/>
      </c>
      <c r="AU120" s="276" t="str">
        <f t="shared" si="264"/>
        <v/>
      </c>
      <c r="AV120" s="276" t="str">
        <f t="shared" si="265"/>
        <v/>
      </c>
      <c r="AW120" s="276" t="str">
        <f t="shared" si="266"/>
        <v/>
      </c>
      <c r="AX120" s="276" t="str">
        <f t="shared" si="267"/>
        <v/>
      </c>
      <c r="AY120" s="276" t="str">
        <f t="shared" si="268"/>
        <v/>
      </c>
      <c r="AZ120" s="276" t="str">
        <f t="shared" si="269"/>
        <v/>
      </c>
      <c r="BA120" s="276" t="str">
        <f t="shared" si="270"/>
        <v/>
      </c>
      <c r="BB120" s="276" t="str">
        <f t="shared" si="271"/>
        <v/>
      </c>
      <c r="BC120" s="276" t="str">
        <f t="shared" si="272"/>
        <v/>
      </c>
      <c r="BD120" s="276" t="str">
        <f t="shared" si="273"/>
        <v/>
      </c>
      <c r="BE120" s="276" t="str">
        <f t="shared" si="274"/>
        <v/>
      </c>
      <c r="BF120" s="277" t="str">
        <f t="shared" si="275"/>
        <v/>
      </c>
      <c r="BG120" s="142">
        <f t="array" ref="BG120">(SUM( IF(ISERROR(AH120:BF120),"", AH120:BF120)))/time</f>
        <v>0</v>
      </c>
      <c r="BH120" s="142">
        <f t="shared" si="168"/>
        <v>0</v>
      </c>
      <c r="BI120" s="142">
        <v>9</v>
      </c>
      <c r="BJ120" s="143">
        <f t="shared" si="277"/>
        <v>0</v>
      </c>
      <c r="BL120" s="176" t="e">
        <f t="array" ref="BL120">STDEV(IF(AH120:BF120&lt;&gt;0,AH120:BF120))</f>
        <v>#DIV/0!</v>
      </c>
      <c r="BM120" s="176">
        <v>1.96</v>
      </c>
      <c r="BN120" s="176" t="e">
        <f t="shared" si="276"/>
        <v>#DIV/0!</v>
      </c>
      <c r="BO120" s="176">
        <f t="shared" si="169"/>
        <v>0</v>
      </c>
    </row>
    <row r="121" spans="1:67" hidden="1">
      <c r="A121" s="301" t="s">
        <v>72</v>
      </c>
      <c r="B121" s="305"/>
      <c r="C121" s="303"/>
      <c r="D121" s="278"/>
      <c r="E121" s="270"/>
      <c r="F121" s="279">
        <f t="shared" si="166"/>
        <v>0</v>
      </c>
      <c r="G121" s="304"/>
      <c r="H121" s="271"/>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c r="AE121" s="272"/>
      <c r="AF121" s="273"/>
      <c r="AG121" s="274">
        <f t="shared" si="167"/>
        <v>0</v>
      </c>
      <c r="AH121" s="275">
        <f t="shared" si="251"/>
        <v>0</v>
      </c>
      <c r="AI121" s="276">
        <f t="shared" si="252"/>
        <v>0</v>
      </c>
      <c r="AJ121" s="276">
        <f t="shared" si="253"/>
        <v>0</v>
      </c>
      <c r="AK121" s="276">
        <f t="shared" si="254"/>
        <v>0</v>
      </c>
      <c r="AL121" s="276">
        <f t="shared" si="255"/>
        <v>0</v>
      </c>
      <c r="AM121" s="276" t="str">
        <f t="shared" si="256"/>
        <v/>
      </c>
      <c r="AN121" s="276" t="str">
        <f t="shared" si="257"/>
        <v/>
      </c>
      <c r="AO121" s="276" t="str">
        <f t="shared" si="258"/>
        <v/>
      </c>
      <c r="AP121" s="276" t="str">
        <f t="shared" si="259"/>
        <v/>
      </c>
      <c r="AQ121" s="276" t="str">
        <f t="shared" si="260"/>
        <v/>
      </c>
      <c r="AR121" s="276" t="str">
        <f t="shared" si="261"/>
        <v/>
      </c>
      <c r="AS121" s="276" t="str">
        <f t="shared" si="262"/>
        <v/>
      </c>
      <c r="AT121" s="276" t="str">
        <f t="shared" si="263"/>
        <v/>
      </c>
      <c r="AU121" s="276" t="str">
        <f t="shared" si="264"/>
        <v/>
      </c>
      <c r="AV121" s="276" t="str">
        <f t="shared" si="265"/>
        <v/>
      </c>
      <c r="AW121" s="276" t="str">
        <f t="shared" si="266"/>
        <v/>
      </c>
      <c r="AX121" s="276" t="str">
        <f t="shared" si="267"/>
        <v/>
      </c>
      <c r="AY121" s="276" t="str">
        <f t="shared" si="268"/>
        <v/>
      </c>
      <c r="AZ121" s="276" t="str">
        <f t="shared" si="269"/>
        <v/>
      </c>
      <c r="BA121" s="276" t="str">
        <f t="shared" si="270"/>
        <v/>
      </c>
      <c r="BB121" s="276" t="str">
        <f t="shared" si="271"/>
        <v/>
      </c>
      <c r="BC121" s="276" t="str">
        <f t="shared" si="272"/>
        <v/>
      </c>
      <c r="BD121" s="276" t="str">
        <f t="shared" si="273"/>
        <v/>
      </c>
      <c r="BE121" s="276" t="str">
        <f t="shared" si="274"/>
        <v/>
      </c>
      <c r="BF121" s="277" t="str">
        <f t="shared" si="275"/>
        <v/>
      </c>
      <c r="BG121" s="142">
        <f t="array" ref="BG121">(SUM( IF(ISERROR(AH121:BF121),"", AH121:BF121)))/time</f>
        <v>0</v>
      </c>
      <c r="BH121" s="142">
        <f t="shared" si="168"/>
        <v>0</v>
      </c>
      <c r="BI121" s="142">
        <v>10</v>
      </c>
      <c r="BJ121" s="143">
        <f t="shared" si="277"/>
        <v>0</v>
      </c>
      <c r="BL121" s="176" t="e">
        <f t="array" ref="BL121">STDEV(IF(AH121:BF121&lt;&gt;0,AH121:BF121))</f>
        <v>#DIV/0!</v>
      </c>
      <c r="BM121" s="176">
        <v>1.96</v>
      </c>
      <c r="BN121" s="176" t="e">
        <f t="shared" si="276"/>
        <v>#DIV/0!</v>
      </c>
      <c r="BO121" s="176">
        <f t="shared" si="169"/>
        <v>0</v>
      </c>
    </row>
    <row r="122" spans="1:67" s="196" customFormat="1">
      <c r="A122" s="302" t="s">
        <v>16</v>
      </c>
      <c r="F122" s="203"/>
      <c r="H122" s="202"/>
      <c r="AG122" s="291"/>
      <c r="AH122" s="202"/>
      <c r="BJ122" s="203"/>
    </row>
    <row r="123" spans="1:67">
      <c r="A123" s="848" t="s">
        <v>73</v>
      </c>
      <c r="B123" s="852"/>
      <c r="C123" s="851"/>
      <c r="D123" s="845"/>
      <c r="E123" s="847"/>
      <c r="F123" s="846">
        <f t="shared" si="166"/>
        <v>0</v>
      </c>
      <c r="G123" s="304"/>
      <c r="H123" s="842"/>
      <c r="I123" s="843"/>
      <c r="J123" s="843"/>
      <c r="K123" s="843"/>
      <c r="L123" s="843"/>
      <c r="M123" s="272"/>
      <c r="N123" s="272"/>
      <c r="O123" s="272"/>
      <c r="P123" s="272"/>
      <c r="Q123" s="272"/>
      <c r="R123" s="272"/>
      <c r="S123" s="272"/>
      <c r="T123" s="272"/>
      <c r="U123" s="272"/>
      <c r="V123" s="272"/>
      <c r="W123" s="272"/>
      <c r="X123" s="272"/>
      <c r="Y123" s="272"/>
      <c r="Z123" s="272"/>
      <c r="AA123" s="272"/>
      <c r="AB123" s="272"/>
      <c r="AC123" s="272"/>
      <c r="AD123" s="272"/>
      <c r="AE123" s="272"/>
      <c r="AF123" s="273"/>
      <c r="AG123" s="274">
        <f t="shared" si="167"/>
        <v>0</v>
      </c>
      <c r="AH123" s="275">
        <f t="shared" ref="AH123:AH132" si="278">IF(AH$225&lt;=time,H123*$F123,"")</f>
        <v>0</v>
      </c>
      <c r="AI123" s="276">
        <f t="shared" ref="AI123:AI132" si="279">IF(AI$225&lt;=time,I123*$F123,"")</f>
        <v>0</v>
      </c>
      <c r="AJ123" s="276">
        <f t="shared" ref="AJ123:AJ132" si="280">IF(AJ$225&lt;=time,J123*$F123,"")</f>
        <v>0</v>
      </c>
      <c r="AK123" s="276">
        <f t="shared" ref="AK123:AK132" si="281">IF(AK$225&lt;=time,K123*$F123,"")</f>
        <v>0</v>
      </c>
      <c r="AL123" s="276">
        <f t="shared" ref="AL123:AL132" si="282">IF(AL$225&lt;=time,L123*$F123,"")</f>
        <v>0</v>
      </c>
      <c r="AM123" s="276" t="str">
        <f t="shared" ref="AM123:AM132" si="283">IF(AM$225&lt;=time,M123*$F123,"")</f>
        <v/>
      </c>
      <c r="AN123" s="276" t="str">
        <f t="shared" ref="AN123:AN132" si="284">IF(AN$225&lt;=time,N123*$F123,"")</f>
        <v/>
      </c>
      <c r="AO123" s="276" t="str">
        <f t="shared" ref="AO123:AO132" si="285">IF(AO$225&lt;=time,O123*$F123,"")</f>
        <v/>
      </c>
      <c r="AP123" s="276" t="str">
        <f t="shared" ref="AP123:AP132" si="286">IF(AP$225&lt;=time,P123*$F123,"")</f>
        <v/>
      </c>
      <c r="AQ123" s="276" t="str">
        <f t="shared" ref="AQ123:AQ132" si="287">IF(AQ$225&lt;=time,Q123*$F123,"")</f>
        <v/>
      </c>
      <c r="AR123" s="276" t="str">
        <f t="shared" ref="AR123:AR132" si="288">IF(AR$225&lt;=time,R123*$F123,"")</f>
        <v/>
      </c>
      <c r="AS123" s="276" t="str">
        <f t="shared" ref="AS123:AS132" si="289">IF(AS$225&lt;=time,S123*$F123,"")</f>
        <v/>
      </c>
      <c r="AT123" s="276" t="str">
        <f t="shared" ref="AT123:AT132" si="290">IF(AT$225&lt;=time,T123*$F123,"")</f>
        <v/>
      </c>
      <c r="AU123" s="276" t="str">
        <f t="shared" ref="AU123:AU132" si="291">IF(AU$225&lt;=time,U123*$F123,"")</f>
        <v/>
      </c>
      <c r="AV123" s="276" t="str">
        <f t="shared" ref="AV123:AV132" si="292">IF(AV$225&lt;=time,V123*$F123,"")</f>
        <v/>
      </c>
      <c r="AW123" s="276" t="str">
        <f t="shared" ref="AW123:AW132" si="293">IF(AW$225&lt;=time,W123*$F123,"")</f>
        <v/>
      </c>
      <c r="AX123" s="276" t="str">
        <f t="shared" ref="AX123:AX132" si="294">IF(AX$225&lt;=time,X123*$F123,"")</f>
        <v/>
      </c>
      <c r="AY123" s="276" t="str">
        <f t="shared" ref="AY123:AY132" si="295">IF(AY$225&lt;=time,Y123*$F123,"")</f>
        <v/>
      </c>
      <c r="AZ123" s="276" t="str">
        <f t="shared" ref="AZ123:AZ132" si="296">IF(AZ$225&lt;=time,Z123*$F123,"")</f>
        <v/>
      </c>
      <c r="BA123" s="276" t="str">
        <f t="shared" ref="BA123:BA132" si="297">IF(BA$225&lt;=time,AA123*$F123,"")</f>
        <v/>
      </c>
      <c r="BB123" s="276" t="str">
        <f t="shared" ref="BB123:BB132" si="298">IF(BB$225&lt;=time,AB123*$F123,"")</f>
        <v/>
      </c>
      <c r="BC123" s="276" t="str">
        <f t="shared" ref="BC123:BC132" si="299">IF(BC$225&lt;=time,AC123*$F123,"")</f>
        <v/>
      </c>
      <c r="BD123" s="276" t="str">
        <f t="shared" ref="BD123:BD132" si="300">IF(BD$225&lt;=time,AD123*$F123,"")</f>
        <v/>
      </c>
      <c r="BE123" s="276" t="str">
        <f t="shared" ref="BE123:BE132" si="301">IF(BE$225&lt;=time,AE123*$F123,"")</f>
        <v/>
      </c>
      <c r="BF123" s="277" t="str">
        <f t="shared" ref="BF123:BF132" si="302">IF(BF$225&lt;=time,AF123*$F123,"")</f>
        <v/>
      </c>
      <c r="BG123" s="142">
        <f t="array" ref="BG123">(SUM( IF(ISERROR(AH123:BF123),"", AH123:BF123)))/time</f>
        <v>0</v>
      </c>
      <c r="BH123" s="142">
        <f t="shared" si="168"/>
        <v>0</v>
      </c>
      <c r="BI123" s="142">
        <v>1</v>
      </c>
      <c r="BJ123" s="143">
        <f>IF(BO123&gt;0,BG123+BN123,BG123)</f>
        <v>0</v>
      </c>
      <c r="BL123" s="176" t="e">
        <f t="array" ref="BL123">STDEV(IF(AH123:BF123&lt;&gt;0,AH123:BF123))</f>
        <v>#DIV/0!</v>
      </c>
      <c r="BM123" s="176">
        <v>1.96</v>
      </c>
      <c r="BN123" s="176" t="e">
        <f t="shared" ref="BN123:BN132" si="303">(BM123*BL123)/(time^0.5)</f>
        <v>#DIV/0!</v>
      </c>
      <c r="BO123" s="176">
        <f t="shared" si="169"/>
        <v>0</v>
      </c>
    </row>
    <row r="124" spans="1:67" hidden="1">
      <c r="A124" s="301" t="s">
        <v>74</v>
      </c>
      <c r="B124" s="305"/>
      <c r="C124" s="303"/>
      <c r="D124" s="278"/>
      <c r="E124" s="270"/>
      <c r="F124" s="279">
        <f t="shared" si="166"/>
        <v>0</v>
      </c>
      <c r="G124" s="304"/>
      <c r="H124" s="271"/>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s="273"/>
      <c r="AG124" s="274">
        <f t="shared" si="167"/>
        <v>0</v>
      </c>
      <c r="AH124" s="275">
        <f t="shared" si="278"/>
        <v>0</v>
      </c>
      <c r="AI124" s="276">
        <f t="shared" si="279"/>
        <v>0</v>
      </c>
      <c r="AJ124" s="276">
        <f t="shared" si="280"/>
        <v>0</v>
      </c>
      <c r="AK124" s="276">
        <f t="shared" si="281"/>
        <v>0</v>
      </c>
      <c r="AL124" s="276">
        <f t="shared" si="282"/>
        <v>0</v>
      </c>
      <c r="AM124" s="276" t="str">
        <f t="shared" si="283"/>
        <v/>
      </c>
      <c r="AN124" s="276" t="str">
        <f t="shared" si="284"/>
        <v/>
      </c>
      <c r="AO124" s="276" t="str">
        <f t="shared" si="285"/>
        <v/>
      </c>
      <c r="AP124" s="276" t="str">
        <f t="shared" si="286"/>
        <v/>
      </c>
      <c r="AQ124" s="276" t="str">
        <f t="shared" si="287"/>
        <v/>
      </c>
      <c r="AR124" s="276" t="str">
        <f t="shared" si="288"/>
        <v/>
      </c>
      <c r="AS124" s="276" t="str">
        <f t="shared" si="289"/>
        <v/>
      </c>
      <c r="AT124" s="276" t="str">
        <f t="shared" si="290"/>
        <v/>
      </c>
      <c r="AU124" s="276" t="str">
        <f t="shared" si="291"/>
        <v/>
      </c>
      <c r="AV124" s="276" t="str">
        <f t="shared" si="292"/>
        <v/>
      </c>
      <c r="AW124" s="276" t="str">
        <f t="shared" si="293"/>
        <v/>
      </c>
      <c r="AX124" s="276" t="str">
        <f t="shared" si="294"/>
        <v/>
      </c>
      <c r="AY124" s="276" t="str">
        <f t="shared" si="295"/>
        <v/>
      </c>
      <c r="AZ124" s="276" t="str">
        <f t="shared" si="296"/>
        <v/>
      </c>
      <c r="BA124" s="276" t="str">
        <f t="shared" si="297"/>
        <v/>
      </c>
      <c r="BB124" s="276" t="str">
        <f t="shared" si="298"/>
        <v/>
      </c>
      <c r="BC124" s="276" t="str">
        <f t="shared" si="299"/>
        <v/>
      </c>
      <c r="BD124" s="276" t="str">
        <f t="shared" si="300"/>
        <v/>
      </c>
      <c r="BE124" s="276" t="str">
        <f t="shared" si="301"/>
        <v/>
      </c>
      <c r="BF124" s="277" t="str">
        <f t="shared" si="302"/>
        <v/>
      </c>
      <c r="BG124" s="142">
        <f t="array" ref="BG124">(SUM( IF(ISERROR(AH124:BF124),"", AH124:BF124)))/time</f>
        <v>0</v>
      </c>
      <c r="BH124" s="142">
        <f t="shared" si="168"/>
        <v>0</v>
      </c>
      <c r="BI124" s="142">
        <v>2</v>
      </c>
      <c r="BJ124" s="143">
        <f t="shared" ref="BJ124:BJ132" si="304">IF(BO124&gt;0,BG124+BN124,BG124)</f>
        <v>0</v>
      </c>
      <c r="BL124" s="176" t="e">
        <f t="array" ref="BL124">STDEV(IF(AH124:BF124&lt;&gt;0,AH124:BF124))</f>
        <v>#DIV/0!</v>
      </c>
      <c r="BM124" s="176">
        <v>1.96</v>
      </c>
      <c r="BN124" s="176" t="e">
        <f t="shared" si="303"/>
        <v>#DIV/0!</v>
      </c>
      <c r="BO124" s="176">
        <f t="shared" si="169"/>
        <v>0</v>
      </c>
    </row>
    <row r="125" spans="1:67" hidden="1">
      <c r="A125" s="301" t="s">
        <v>75</v>
      </c>
      <c r="B125" s="305"/>
      <c r="C125" s="303"/>
      <c r="D125" s="278"/>
      <c r="E125" s="270"/>
      <c r="F125" s="279">
        <f t="shared" si="166"/>
        <v>0</v>
      </c>
      <c r="G125" s="304"/>
      <c r="H125" s="271"/>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c r="AE125" s="272"/>
      <c r="AF125" s="273"/>
      <c r="AG125" s="274">
        <f t="shared" si="167"/>
        <v>0</v>
      </c>
      <c r="AH125" s="275">
        <f t="shared" si="278"/>
        <v>0</v>
      </c>
      <c r="AI125" s="276">
        <f t="shared" si="279"/>
        <v>0</v>
      </c>
      <c r="AJ125" s="276">
        <f t="shared" si="280"/>
        <v>0</v>
      </c>
      <c r="AK125" s="276">
        <f t="shared" si="281"/>
        <v>0</v>
      </c>
      <c r="AL125" s="276">
        <f t="shared" si="282"/>
        <v>0</v>
      </c>
      <c r="AM125" s="276" t="str">
        <f t="shared" si="283"/>
        <v/>
      </c>
      <c r="AN125" s="276" t="str">
        <f t="shared" si="284"/>
        <v/>
      </c>
      <c r="AO125" s="276" t="str">
        <f t="shared" si="285"/>
        <v/>
      </c>
      <c r="AP125" s="276" t="str">
        <f t="shared" si="286"/>
        <v/>
      </c>
      <c r="AQ125" s="276" t="str">
        <f t="shared" si="287"/>
        <v/>
      </c>
      <c r="AR125" s="276" t="str">
        <f t="shared" si="288"/>
        <v/>
      </c>
      <c r="AS125" s="276" t="str">
        <f t="shared" si="289"/>
        <v/>
      </c>
      <c r="AT125" s="276" t="str">
        <f t="shared" si="290"/>
        <v/>
      </c>
      <c r="AU125" s="276" t="str">
        <f t="shared" si="291"/>
        <v/>
      </c>
      <c r="AV125" s="276" t="str">
        <f t="shared" si="292"/>
        <v/>
      </c>
      <c r="AW125" s="276" t="str">
        <f t="shared" si="293"/>
        <v/>
      </c>
      <c r="AX125" s="276" t="str">
        <f t="shared" si="294"/>
        <v/>
      </c>
      <c r="AY125" s="276" t="str">
        <f t="shared" si="295"/>
        <v/>
      </c>
      <c r="AZ125" s="276" t="str">
        <f t="shared" si="296"/>
        <v/>
      </c>
      <c r="BA125" s="276" t="str">
        <f t="shared" si="297"/>
        <v/>
      </c>
      <c r="BB125" s="276" t="str">
        <f t="shared" si="298"/>
        <v/>
      </c>
      <c r="BC125" s="276" t="str">
        <f t="shared" si="299"/>
        <v/>
      </c>
      <c r="BD125" s="276" t="str">
        <f t="shared" si="300"/>
        <v/>
      </c>
      <c r="BE125" s="276" t="str">
        <f t="shared" si="301"/>
        <v/>
      </c>
      <c r="BF125" s="277" t="str">
        <f t="shared" si="302"/>
        <v/>
      </c>
      <c r="BG125" s="142">
        <f t="array" ref="BG125">(SUM( IF(ISERROR(AH125:BF125),"", AH125:BF125)))/time</f>
        <v>0</v>
      </c>
      <c r="BH125" s="142">
        <f t="shared" si="168"/>
        <v>0</v>
      </c>
      <c r="BI125" s="142">
        <v>3</v>
      </c>
      <c r="BJ125" s="143">
        <f t="shared" si="304"/>
        <v>0</v>
      </c>
      <c r="BL125" s="176" t="e">
        <f t="array" ref="BL125">STDEV(IF(AH125:BF125&lt;&gt;0,AH125:BF125))</f>
        <v>#DIV/0!</v>
      </c>
      <c r="BM125" s="176">
        <v>1.96</v>
      </c>
      <c r="BN125" s="176" t="e">
        <f t="shared" si="303"/>
        <v>#DIV/0!</v>
      </c>
      <c r="BO125" s="176">
        <f t="shared" si="169"/>
        <v>0</v>
      </c>
    </row>
    <row r="126" spans="1:67" hidden="1">
      <c r="A126" s="301" t="s">
        <v>76</v>
      </c>
      <c r="B126" s="305"/>
      <c r="C126" s="303"/>
      <c r="D126" s="278"/>
      <c r="E126" s="270"/>
      <c r="F126" s="279">
        <f t="shared" si="166"/>
        <v>0</v>
      </c>
      <c r="G126" s="304"/>
      <c r="H126" s="271"/>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s="273"/>
      <c r="AG126" s="274">
        <f t="shared" si="167"/>
        <v>0</v>
      </c>
      <c r="AH126" s="275">
        <f t="shared" si="278"/>
        <v>0</v>
      </c>
      <c r="AI126" s="276">
        <f t="shared" si="279"/>
        <v>0</v>
      </c>
      <c r="AJ126" s="276">
        <f t="shared" si="280"/>
        <v>0</v>
      </c>
      <c r="AK126" s="276">
        <f t="shared" si="281"/>
        <v>0</v>
      </c>
      <c r="AL126" s="276">
        <f t="shared" si="282"/>
        <v>0</v>
      </c>
      <c r="AM126" s="276" t="str">
        <f t="shared" si="283"/>
        <v/>
      </c>
      <c r="AN126" s="276" t="str">
        <f t="shared" si="284"/>
        <v/>
      </c>
      <c r="AO126" s="276" t="str">
        <f t="shared" si="285"/>
        <v/>
      </c>
      <c r="AP126" s="276" t="str">
        <f t="shared" si="286"/>
        <v/>
      </c>
      <c r="AQ126" s="276" t="str">
        <f t="shared" si="287"/>
        <v/>
      </c>
      <c r="AR126" s="276" t="str">
        <f t="shared" si="288"/>
        <v/>
      </c>
      <c r="AS126" s="276" t="str">
        <f t="shared" si="289"/>
        <v/>
      </c>
      <c r="AT126" s="276" t="str">
        <f t="shared" si="290"/>
        <v/>
      </c>
      <c r="AU126" s="276" t="str">
        <f t="shared" si="291"/>
        <v/>
      </c>
      <c r="AV126" s="276" t="str">
        <f t="shared" si="292"/>
        <v/>
      </c>
      <c r="AW126" s="276" t="str">
        <f t="shared" si="293"/>
        <v/>
      </c>
      <c r="AX126" s="276" t="str">
        <f t="shared" si="294"/>
        <v/>
      </c>
      <c r="AY126" s="276" t="str">
        <f t="shared" si="295"/>
        <v/>
      </c>
      <c r="AZ126" s="276" t="str">
        <f t="shared" si="296"/>
        <v/>
      </c>
      <c r="BA126" s="276" t="str">
        <f t="shared" si="297"/>
        <v/>
      </c>
      <c r="BB126" s="276" t="str">
        <f t="shared" si="298"/>
        <v/>
      </c>
      <c r="BC126" s="276" t="str">
        <f t="shared" si="299"/>
        <v/>
      </c>
      <c r="BD126" s="276" t="str">
        <f t="shared" si="300"/>
        <v/>
      </c>
      <c r="BE126" s="276" t="str">
        <f t="shared" si="301"/>
        <v/>
      </c>
      <c r="BF126" s="277" t="str">
        <f t="shared" si="302"/>
        <v/>
      </c>
      <c r="BG126" s="142">
        <f t="array" ref="BG126">(SUM( IF(ISERROR(AH126:BF126),"", AH126:BF126)))/time</f>
        <v>0</v>
      </c>
      <c r="BH126" s="142">
        <f t="shared" si="168"/>
        <v>0</v>
      </c>
      <c r="BI126" s="142">
        <v>4</v>
      </c>
      <c r="BJ126" s="143">
        <f t="shared" si="304"/>
        <v>0</v>
      </c>
      <c r="BL126" s="176" t="e">
        <f t="array" ref="BL126">STDEV(IF(AH126:BF126&lt;&gt;0,AH126:BF126))</f>
        <v>#DIV/0!</v>
      </c>
      <c r="BM126" s="176">
        <v>1.96</v>
      </c>
      <c r="BN126" s="176" t="e">
        <f t="shared" si="303"/>
        <v>#DIV/0!</v>
      </c>
      <c r="BO126" s="176">
        <f t="shared" si="169"/>
        <v>0</v>
      </c>
    </row>
    <row r="127" spans="1:67" hidden="1">
      <c r="A127" s="301" t="s">
        <v>77</v>
      </c>
      <c r="B127" s="305"/>
      <c r="C127" s="303"/>
      <c r="D127" s="278"/>
      <c r="E127" s="270"/>
      <c r="F127" s="279">
        <f t="shared" si="166"/>
        <v>0</v>
      </c>
      <c r="G127" s="304"/>
      <c r="H127" s="271"/>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c r="AE127" s="272"/>
      <c r="AF127" s="273"/>
      <c r="AG127" s="274">
        <f t="shared" si="167"/>
        <v>0</v>
      </c>
      <c r="AH127" s="275">
        <f t="shared" si="278"/>
        <v>0</v>
      </c>
      <c r="AI127" s="276">
        <f t="shared" si="279"/>
        <v>0</v>
      </c>
      <c r="AJ127" s="276">
        <f t="shared" si="280"/>
        <v>0</v>
      </c>
      <c r="AK127" s="276">
        <f t="shared" si="281"/>
        <v>0</v>
      </c>
      <c r="AL127" s="276">
        <f t="shared" si="282"/>
        <v>0</v>
      </c>
      <c r="AM127" s="276" t="str">
        <f t="shared" si="283"/>
        <v/>
      </c>
      <c r="AN127" s="276" t="str">
        <f t="shared" si="284"/>
        <v/>
      </c>
      <c r="AO127" s="276" t="str">
        <f t="shared" si="285"/>
        <v/>
      </c>
      <c r="AP127" s="276" t="str">
        <f t="shared" si="286"/>
        <v/>
      </c>
      <c r="AQ127" s="276" t="str">
        <f t="shared" si="287"/>
        <v/>
      </c>
      <c r="AR127" s="276" t="str">
        <f t="shared" si="288"/>
        <v/>
      </c>
      <c r="AS127" s="276" t="str">
        <f t="shared" si="289"/>
        <v/>
      </c>
      <c r="AT127" s="276" t="str">
        <f t="shared" si="290"/>
        <v/>
      </c>
      <c r="AU127" s="276" t="str">
        <f t="shared" si="291"/>
        <v/>
      </c>
      <c r="AV127" s="276" t="str">
        <f t="shared" si="292"/>
        <v/>
      </c>
      <c r="AW127" s="276" t="str">
        <f t="shared" si="293"/>
        <v/>
      </c>
      <c r="AX127" s="276" t="str">
        <f t="shared" si="294"/>
        <v/>
      </c>
      <c r="AY127" s="276" t="str">
        <f t="shared" si="295"/>
        <v/>
      </c>
      <c r="AZ127" s="276" t="str">
        <f t="shared" si="296"/>
        <v/>
      </c>
      <c r="BA127" s="276" t="str">
        <f t="shared" si="297"/>
        <v/>
      </c>
      <c r="BB127" s="276" t="str">
        <f t="shared" si="298"/>
        <v/>
      </c>
      <c r="BC127" s="276" t="str">
        <f t="shared" si="299"/>
        <v/>
      </c>
      <c r="BD127" s="276" t="str">
        <f t="shared" si="300"/>
        <v/>
      </c>
      <c r="BE127" s="276" t="str">
        <f t="shared" si="301"/>
        <v/>
      </c>
      <c r="BF127" s="277" t="str">
        <f t="shared" si="302"/>
        <v/>
      </c>
      <c r="BG127" s="142">
        <f t="array" ref="BG127">(SUM( IF(ISERROR(AH127:BF127),"", AH127:BF127)))/time</f>
        <v>0</v>
      </c>
      <c r="BH127" s="142">
        <f t="shared" si="168"/>
        <v>0</v>
      </c>
      <c r="BI127" s="142">
        <v>5</v>
      </c>
      <c r="BJ127" s="143">
        <f t="shared" si="304"/>
        <v>0</v>
      </c>
      <c r="BL127" s="176" t="e">
        <f t="array" ref="BL127">STDEV(IF(AH127:BF127&lt;&gt;0,AH127:BF127))</f>
        <v>#DIV/0!</v>
      </c>
      <c r="BM127" s="176">
        <v>1.96</v>
      </c>
      <c r="BN127" s="176" t="e">
        <f t="shared" si="303"/>
        <v>#DIV/0!</v>
      </c>
      <c r="BO127" s="176">
        <f t="shared" si="169"/>
        <v>0</v>
      </c>
    </row>
    <row r="128" spans="1:67" hidden="1">
      <c r="A128" s="301" t="s">
        <v>78</v>
      </c>
      <c r="B128" s="305"/>
      <c r="C128" s="303"/>
      <c r="D128" s="278"/>
      <c r="E128" s="270"/>
      <c r="F128" s="279">
        <f t="shared" si="166"/>
        <v>0</v>
      </c>
      <c r="G128" s="304"/>
      <c r="H128" s="271"/>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c r="AF128" s="273"/>
      <c r="AG128" s="274">
        <f t="shared" si="167"/>
        <v>0</v>
      </c>
      <c r="AH128" s="275">
        <f t="shared" si="278"/>
        <v>0</v>
      </c>
      <c r="AI128" s="276">
        <f t="shared" si="279"/>
        <v>0</v>
      </c>
      <c r="AJ128" s="276">
        <f t="shared" si="280"/>
        <v>0</v>
      </c>
      <c r="AK128" s="276">
        <f t="shared" si="281"/>
        <v>0</v>
      </c>
      <c r="AL128" s="276">
        <f t="shared" si="282"/>
        <v>0</v>
      </c>
      <c r="AM128" s="276" t="str">
        <f t="shared" si="283"/>
        <v/>
      </c>
      <c r="AN128" s="276" t="str">
        <f t="shared" si="284"/>
        <v/>
      </c>
      <c r="AO128" s="276" t="str">
        <f t="shared" si="285"/>
        <v/>
      </c>
      <c r="AP128" s="276" t="str">
        <f t="shared" si="286"/>
        <v/>
      </c>
      <c r="AQ128" s="276" t="str">
        <f t="shared" si="287"/>
        <v/>
      </c>
      <c r="AR128" s="276" t="str">
        <f t="shared" si="288"/>
        <v/>
      </c>
      <c r="AS128" s="276" t="str">
        <f t="shared" si="289"/>
        <v/>
      </c>
      <c r="AT128" s="276" t="str">
        <f t="shared" si="290"/>
        <v/>
      </c>
      <c r="AU128" s="276" t="str">
        <f t="shared" si="291"/>
        <v/>
      </c>
      <c r="AV128" s="276" t="str">
        <f t="shared" si="292"/>
        <v/>
      </c>
      <c r="AW128" s="276" t="str">
        <f t="shared" si="293"/>
        <v/>
      </c>
      <c r="AX128" s="276" t="str">
        <f t="shared" si="294"/>
        <v/>
      </c>
      <c r="AY128" s="276" t="str">
        <f t="shared" si="295"/>
        <v/>
      </c>
      <c r="AZ128" s="276" t="str">
        <f t="shared" si="296"/>
        <v/>
      </c>
      <c r="BA128" s="276" t="str">
        <f t="shared" si="297"/>
        <v/>
      </c>
      <c r="BB128" s="276" t="str">
        <f t="shared" si="298"/>
        <v/>
      </c>
      <c r="BC128" s="276" t="str">
        <f t="shared" si="299"/>
        <v/>
      </c>
      <c r="BD128" s="276" t="str">
        <f t="shared" si="300"/>
        <v/>
      </c>
      <c r="BE128" s="276" t="str">
        <f t="shared" si="301"/>
        <v/>
      </c>
      <c r="BF128" s="277" t="str">
        <f t="shared" si="302"/>
        <v/>
      </c>
      <c r="BG128" s="142">
        <f t="array" ref="BG128">(SUM( IF(ISERROR(AH128:BF128),"", AH128:BF128)))/time</f>
        <v>0</v>
      </c>
      <c r="BH128" s="142">
        <f t="shared" si="168"/>
        <v>0</v>
      </c>
      <c r="BI128" s="142">
        <v>6</v>
      </c>
      <c r="BJ128" s="143">
        <f t="shared" si="304"/>
        <v>0</v>
      </c>
      <c r="BL128" s="176" t="e">
        <f t="array" ref="BL128">STDEV(IF(AH128:BF128&lt;&gt;0,AH128:BF128))</f>
        <v>#DIV/0!</v>
      </c>
      <c r="BM128" s="176">
        <v>1.96</v>
      </c>
      <c r="BN128" s="176" t="e">
        <f t="shared" si="303"/>
        <v>#DIV/0!</v>
      </c>
      <c r="BO128" s="176">
        <f t="shared" si="169"/>
        <v>0</v>
      </c>
    </row>
    <row r="129" spans="1:67" hidden="1">
      <c r="A129" s="301" t="s">
        <v>79</v>
      </c>
      <c r="B129" s="305"/>
      <c r="C129" s="303"/>
      <c r="D129" s="278"/>
      <c r="E129" s="270"/>
      <c r="F129" s="279">
        <f t="shared" si="166"/>
        <v>0</v>
      </c>
      <c r="G129" s="304"/>
      <c r="H129" s="271"/>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c r="AE129" s="272"/>
      <c r="AF129" s="273"/>
      <c r="AG129" s="274">
        <f t="shared" si="167"/>
        <v>0</v>
      </c>
      <c r="AH129" s="275">
        <f t="shared" si="278"/>
        <v>0</v>
      </c>
      <c r="AI129" s="276">
        <f t="shared" si="279"/>
        <v>0</v>
      </c>
      <c r="AJ129" s="276">
        <f t="shared" si="280"/>
        <v>0</v>
      </c>
      <c r="AK129" s="276">
        <f t="shared" si="281"/>
        <v>0</v>
      </c>
      <c r="AL129" s="276">
        <f t="shared" si="282"/>
        <v>0</v>
      </c>
      <c r="AM129" s="276" t="str">
        <f t="shared" si="283"/>
        <v/>
      </c>
      <c r="AN129" s="276" t="str">
        <f t="shared" si="284"/>
        <v/>
      </c>
      <c r="AO129" s="276" t="str">
        <f t="shared" si="285"/>
        <v/>
      </c>
      <c r="AP129" s="276" t="str">
        <f t="shared" si="286"/>
        <v/>
      </c>
      <c r="AQ129" s="276" t="str">
        <f t="shared" si="287"/>
        <v/>
      </c>
      <c r="AR129" s="276" t="str">
        <f t="shared" si="288"/>
        <v/>
      </c>
      <c r="AS129" s="276" t="str">
        <f t="shared" si="289"/>
        <v/>
      </c>
      <c r="AT129" s="276" t="str">
        <f t="shared" si="290"/>
        <v/>
      </c>
      <c r="AU129" s="276" t="str">
        <f t="shared" si="291"/>
        <v/>
      </c>
      <c r="AV129" s="276" t="str">
        <f t="shared" si="292"/>
        <v/>
      </c>
      <c r="AW129" s="276" t="str">
        <f t="shared" si="293"/>
        <v/>
      </c>
      <c r="AX129" s="276" t="str">
        <f t="shared" si="294"/>
        <v/>
      </c>
      <c r="AY129" s="276" t="str">
        <f t="shared" si="295"/>
        <v/>
      </c>
      <c r="AZ129" s="276" t="str">
        <f t="shared" si="296"/>
        <v/>
      </c>
      <c r="BA129" s="276" t="str">
        <f t="shared" si="297"/>
        <v/>
      </c>
      <c r="BB129" s="276" t="str">
        <f t="shared" si="298"/>
        <v/>
      </c>
      <c r="BC129" s="276" t="str">
        <f t="shared" si="299"/>
        <v/>
      </c>
      <c r="BD129" s="276" t="str">
        <f t="shared" si="300"/>
        <v/>
      </c>
      <c r="BE129" s="276" t="str">
        <f t="shared" si="301"/>
        <v/>
      </c>
      <c r="BF129" s="277" t="str">
        <f t="shared" si="302"/>
        <v/>
      </c>
      <c r="BG129" s="142">
        <f t="array" ref="BG129">(SUM( IF(ISERROR(AH129:BF129),"", AH129:BF129)))/time</f>
        <v>0</v>
      </c>
      <c r="BH129" s="142">
        <f t="shared" si="168"/>
        <v>0</v>
      </c>
      <c r="BI129" s="142">
        <v>7</v>
      </c>
      <c r="BJ129" s="143">
        <f t="shared" si="304"/>
        <v>0</v>
      </c>
      <c r="BL129" s="176" t="e">
        <f t="array" ref="BL129">STDEV(IF(AH129:BF129&lt;&gt;0,AH129:BF129))</f>
        <v>#DIV/0!</v>
      </c>
      <c r="BM129" s="176">
        <v>1.96</v>
      </c>
      <c r="BN129" s="176" t="e">
        <f t="shared" si="303"/>
        <v>#DIV/0!</v>
      </c>
      <c r="BO129" s="176">
        <f t="shared" si="169"/>
        <v>0</v>
      </c>
    </row>
    <row r="130" spans="1:67" hidden="1">
      <c r="A130" s="301" t="s">
        <v>80</v>
      </c>
      <c r="B130" s="305"/>
      <c r="C130" s="303"/>
      <c r="D130" s="278"/>
      <c r="E130" s="270"/>
      <c r="F130" s="279">
        <f t="shared" si="166"/>
        <v>0</v>
      </c>
      <c r="G130" s="304"/>
      <c r="H130" s="271"/>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c r="AE130" s="272"/>
      <c r="AF130" s="273"/>
      <c r="AG130" s="274">
        <f t="shared" si="167"/>
        <v>0</v>
      </c>
      <c r="AH130" s="275">
        <f t="shared" si="278"/>
        <v>0</v>
      </c>
      <c r="AI130" s="276">
        <f t="shared" si="279"/>
        <v>0</v>
      </c>
      <c r="AJ130" s="276">
        <f t="shared" si="280"/>
        <v>0</v>
      </c>
      <c r="AK130" s="276">
        <f t="shared" si="281"/>
        <v>0</v>
      </c>
      <c r="AL130" s="276">
        <f t="shared" si="282"/>
        <v>0</v>
      </c>
      <c r="AM130" s="276" t="str">
        <f t="shared" si="283"/>
        <v/>
      </c>
      <c r="AN130" s="276" t="str">
        <f t="shared" si="284"/>
        <v/>
      </c>
      <c r="AO130" s="276" t="str">
        <f t="shared" si="285"/>
        <v/>
      </c>
      <c r="AP130" s="276" t="str">
        <f t="shared" si="286"/>
        <v/>
      </c>
      <c r="AQ130" s="276" t="str">
        <f t="shared" si="287"/>
        <v/>
      </c>
      <c r="AR130" s="276" t="str">
        <f t="shared" si="288"/>
        <v/>
      </c>
      <c r="AS130" s="276" t="str">
        <f t="shared" si="289"/>
        <v/>
      </c>
      <c r="AT130" s="276" t="str">
        <f t="shared" si="290"/>
        <v/>
      </c>
      <c r="AU130" s="276" t="str">
        <f t="shared" si="291"/>
        <v/>
      </c>
      <c r="AV130" s="276" t="str">
        <f t="shared" si="292"/>
        <v/>
      </c>
      <c r="AW130" s="276" t="str">
        <f t="shared" si="293"/>
        <v/>
      </c>
      <c r="AX130" s="276" t="str">
        <f t="shared" si="294"/>
        <v/>
      </c>
      <c r="AY130" s="276" t="str">
        <f t="shared" si="295"/>
        <v/>
      </c>
      <c r="AZ130" s="276" t="str">
        <f t="shared" si="296"/>
        <v/>
      </c>
      <c r="BA130" s="276" t="str">
        <f t="shared" si="297"/>
        <v/>
      </c>
      <c r="BB130" s="276" t="str">
        <f t="shared" si="298"/>
        <v/>
      </c>
      <c r="BC130" s="276" t="str">
        <f t="shared" si="299"/>
        <v/>
      </c>
      <c r="BD130" s="276" t="str">
        <f t="shared" si="300"/>
        <v/>
      </c>
      <c r="BE130" s="276" t="str">
        <f t="shared" si="301"/>
        <v/>
      </c>
      <c r="BF130" s="277" t="str">
        <f t="shared" si="302"/>
        <v/>
      </c>
      <c r="BG130" s="142">
        <f t="array" ref="BG130">(SUM( IF(ISERROR(AH130:BF130),"", AH130:BF130)))/time</f>
        <v>0</v>
      </c>
      <c r="BH130" s="142">
        <f t="shared" si="168"/>
        <v>0</v>
      </c>
      <c r="BI130" s="142">
        <v>8</v>
      </c>
      <c r="BJ130" s="143">
        <f t="shared" si="304"/>
        <v>0</v>
      </c>
      <c r="BL130" s="176" t="e">
        <f t="array" ref="BL130">STDEV(IF(AH130:BF130&lt;&gt;0,AH130:BF130))</f>
        <v>#DIV/0!</v>
      </c>
      <c r="BM130" s="176">
        <v>1.96</v>
      </c>
      <c r="BN130" s="176" t="e">
        <f t="shared" si="303"/>
        <v>#DIV/0!</v>
      </c>
      <c r="BO130" s="176">
        <f t="shared" si="169"/>
        <v>0</v>
      </c>
    </row>
    <row r="131" spans="1:67" hidden="1">
      <c r="A131" s="301" t="s">
        <v>81</v>
      </c>
      <c r="B131" s="305"/>
      <c r="C131" s="303"/>
      <c r="D131" s="278"/>
      <c r="E131" s="270"/>
      <c r="F131" s="279">
        <f t="shared" si="166"/>
        <v>0</v>
      </c>
      <c r="G131" s="304"/>
      <c r="H131" s="271"/>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c r="AE131" s="272"/>
      <c r="AF131" s="273"/>
      <c r="AG131" s="274">
        <f t="shared" si="167"/>
        <v>0</v>
      </c>
      <c r="AH131" s="275">
        <f t="shared" si="278"/>
        <v>0</v>
      </c>
      <c r="AI131" s="276">
        <f t="shared" si="279"/>
        <v>0</v>
      </c>
      <c r="AJ131" s="276">
        <f t="shared" si="280"/>
        <v>0</v>
      </c>
      <c r="AK131" s="276">
        <f t="shared" si="281"/>
        <v>0</v>
      </c>
      <c r="AL131" s="276">
        <f t="shared" si="282"/>
        <v>0</v>
      </c>
      <c r="AM131" s="276" t="str">
        <f t="shared" si="283"/>
        <v/>
      </c>
      <c r="AN131" s="276" t="str">
        <f t="shared" si="284"/>
        <v/>
      </c>
      <c r="AO131" s="276" t="str">
        <f t="shared" si="285"/>
        <v/>
      </c>
      <c r="AP131" s="276" t="str">
        <f t="shared" si="286"/>
        <v/>
      </c>
      <c r="AQ131" s="276" t="str">
        <f t="shared" si="287"/>
        <v/>
      </c>
      <c r="AR131" s="276" t="str">
        <f t="shared" si="288"/>
        <v/>
      </c>
      <c r="AS131" s="276" t="str">
        <f t="shared" si="289"/>
        <v/>
      </c>
      <c r="AT131" s="276" t="str">
        <f t="shared" si="290"/>
        <v/>
      </c>
      <c r="AU131" s="276" t="str">
        <f t="shared" si="291"/>
        <v/>
      </c>
      <c r="AV131" s="276" t="str">
        <f t="shared" si="292"/>
        <v/>
      </c>
      <c r="AW131" s="276" t="str">
        <f t="shared" si="293"/>
        <v/>
      </c>
      <c r="AX131" s="276" t="str">
        <f t="shared" si="294"/>
        <v/>
      </c>
      <c r="AY131" s="276" t="str">
        <f t="shared" si="295"/>
        <v/>
      </c>
      <c r="AZ131" s="276" t="str">
        <f t="shared" si="296"/>
        <v/>
      </c>
      <c r="BA131" s="276" t="str">
        <f t="shared" si="297"/>
        <v/>
      </c>
      <c r="BB131" s="276" t="str">
        <f t="shared" si="298"/>
        <v/>
      </c>
      <c r="BC131" s="276" t="str">
        <f t="shared" si="299"/>
        <v/>
      </c>
      <c r="BD131" s="276" t="str">
        <f t="shared" si="300"/>
        <v/>
      </c>
      <c r="BE131" s="276" t="str">
        <f t="shared" si="301"/>
        <v/>
      </c>
      <c r="BF131" s="277" t="str">
        <f t="shared" si="302"/>
        <v/>
      </c>
      <c r="BG131" s="142">
        <f t="array" ref="BG131">(SUM( IF(ISERROR(AH131:BF131),"", AH131:BF131)))/time</f>
        <v>0</v>
      </c>
      <c r="BH131" s="142">
        <f t="shared" si="168"/>
        <v>0</v>
      </c>
      <c r="BI131" s="142">
        <v>9</v>
      </c>
      <c r="BJ131" s="143">
        <f t="shared" si="304"/>
        <v>0</v>
      </c>
      <c r="BL131" s="176" t="e">
        <f t="array" ref="BL131">STDEV(IF(AH131:BF131&lt;&gt;0,AH131:BF131))</f>
        <v>#DIV/0!</v>
      </c>
      <c r="BM131" s="176">
        <v>1.96</v>
      </c>
      <c r="BN131" s="176" t="e">
        <f t="shared" si="303"/>
        <v>#DIV/0!</v>
      </c>
      <c r="BO131" s="176">
        <f t="shared" si="169"/>
        <v>0</v>
      </c>
    </row>
    <row r="132" spans="1:67" ht="19.649999999999999" hidden="1" customHeight="1">
      <c r="A132" s="301" t="s">
        <v>82</v>
      </c>
      <c r="B132" s="305"/>
      <c r="C132" s="303"/>
      <c r="D132" s="278"/>
      <c r="E132" s="270"/>
      <c r="F132" s="279">
        <f t="shared" si="166"/>
        <v>0</v>
      </c>
      <c r="G132" s="304"/>
      <c r="H132" s="271"/>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c r="AE132" s="272"/>
      <c r="AF132" s="273"/>
      <c r="AG132" s="274">
        <f t="shared" si="167"/>
        <v>0</v>
      </c>
      <c r="AH132" s="275">
        <f t="shared" si="278"/>
        <v>0</v>
      </c>
      <c r="AI132" s="276">
        <f t="shared" si="279"/>
        <v>0</v>
      </c>
      <c r="AJ132" s="276">
        <f t="shared" si="280"/>
        <v>0</v>
      </c>
      <c r="AK132" s="276">
        <f t="shared" si="281"/>
        <v>0</v>
      </c>
      <c r="AL132" s="276">
        <f t="shared" si="282"/>
        <v>0</v>
      </c>
      <c r="AM132" s="276" t="str">
        <f t="shared" si="283"/>
        <v/>
      </c>
      <c r="AN132" s="276" t="str">
        <f t="shared" si="284"/>
        <v/>
      </c>
      <c r="AO132" s="276" t="str">
        <f t="shared" si="285"/>
        <v/>
      </c>
      <c r="AP132" s="276" t="str">
        <f t="shared" si="286"/>
        <v/>
      </c>
      <c r="AQ132" s="276" t="str">
        <f t="shared" si="287"/>
        <v/>
      </c>
      <c r="AR132" s="276" t="str">
        <f t="shared" si="288"/>
        <v/>
      </c>
      <c r="AS132" s="276" t="str">
        <f t="shared" si="289"/>
        <v/>
      </c>
      <c r="AT132" s="276" t="str">
        <f t="shared" si="290"/>
        <v/>
      </c>
      <c r="AU132" s="276" t="str">
        <f t="shared" si="291"/>
        <v/>
      </c>
      <c r="AV132" s="276" t="str">
        <f t="shared" si="292"/>
        <v/>
      </c>
      <c r="AW132" s="276" t="str">
        <f t="shared" si="293"/>
        <v/>
      </c>
      <c r="AX132" s="276" t="str">
        <f t="shared" si="294"/>
        <v/>
      </c>
      <c r="AY132" s="276" t="str">
        <f t="shared" si="295"/>
        <v/>
      </c>
      <c r="AZ132" s="276" t="str">
        <f t="shared" si="296"/>
        <v/>
      </c>
      <c r="BA132" s="276" t="str">
        <f t="shared" si="297"/>
        <v/>
      </c>
      <c r="BB132" s="276" t="str">
        <f t="shared" si="298"/>
        <v/>
      </c>
      <c r="BC132" s="276" t="str">
        <f t="shared" si="299"/>
        <v/>
      </c>
      <c r="BD132" s="276" t="str">
        <f t="shared" si="300"/>
        <v/>
      </c>
      <c r="BE132" s="276" t="str">
        <f t="shared" si="301"/>
        <v/>
      </c>
      <c r="BF132" s="277" t="str">
        <f t="shared" si="302"/>
        <v/>
      </c>
      <c r="BG132" s="142">
        <f t="array" ref="BG132">(SUM( IF(ISERROR(AH132:BF132),"", AH132:BF132)))/time</f>
        <v>0</v>
      </c>
      <c r="BH132" s="142">
        <f t="shared" si="168"/>
        <v>0</v>
      </c>
      <c r="BI132" s="142">
        <v>10</v>
      </c>
      <c r="BJ132" s="143">
        <f t="shared" si="304"/>
        <v>0</v>
      </c>
      <c r="BL132" s="176" t="e">
        <f t="array" ref="BL132">STDEV(IF(AH132:BF132&lt;&gt;0,AH132:BF132))</f>
        <v>#DIV/0!</v>
      </c>
      <c r="BM132" s="176">
        <v>1.96</v>
      </c>
      <c r="BN132" s="176" t="e">
        <f t="shared" si="303"/>
        <v>#DIV/0!</v>
      </c>
      <c r="BO132" s="176">
        <f t="shared" si="169"/>
        <v>0</v>
      </c>
    </row>
    <row r="133" spans="1:67" s="196" customFormat="1">
      <c r="A133" s="290" t="s">
        <v>193</v>
      </c>
      <c r="F133" s="203"/>
      <c r="H133" s="202"/>
      <c r="AG133" s="288"/>
      <c r="AH133" s="202"/>
      <c r="BJ133" s="203"/>
    </row>
    <row r="134" spans="1:67">
      <c r="A134" s="848" t="s">
        <v>274</v>
      </c>
      <c r="B134" s="852"/>
      <c r="C134" s="851"/>
      <c r="D134" s="845"/>
      <c r="E134" s="847"/>
      <c r="F134" s="846">
        <f t="shared" si="166"/>
        <v>0</v>
      </c>
      <c r="G134" s="304"/>
      <c r="H134" s="842"/>
      <c r="I134" s="843"/>
      <c r="J134" s="843"/>
      <c r="K134" s="843"/>
      <c r="L134" s="843"/>
      <c r="M134" s="272"/>
      <c r="N134" s="272"/>
      <c r="O134" s="272"/>
      <c r="P134" s="272"/>
      <c r="Q134" s="272"/>
      <c r="R134" s="272"/>
      <c r="S134" s="272"/>
      <c r="T134" s="272"/>
      <c r="U134" s="272"/>
      <c r="V134" s="272"/>
      <c r="W134" s="272"/>
      <c r="X134" s="272"/>
      <c r="Y134" s="272"/>
      <c r="Z134" s="272"/>
      <c r="AA134" s="272"/>
      <c r="AB134" s="272"/>
      <c r="AC134" s="272"/>
      <c r="AD134" s="272"/>
      <c r="AE134" s="272"/>
      <c r="AF134" s="273"/>
      <c r="AG134" s="274">
        <f t="shared" si="167"/>
        <v>0</v>
      </c>
      <c r="AH134" s="275">
        <f t="shared" ref="AH134:AH143" si="305">IF(AH$225&lt;=time,H134*$F134,"")</f>
        <v>0</v>
      </c>
      <c r="AI134" s="276">
        <f t="shared" ref="AI134:AI143" si="306">IF(AI$225&lt;=time,I134*$F134,"")</f>
        <v>0</v>
      </c>
      <c r="AJ134" s="276">
        <f t="shared" ref="AJ134:AJ143" si="307">IF(AJ$225&lt;=time,J134*$F134,"")</f>
        <v>0</v>
      </c>
      <c r="AK134" s="276">
        <f t="shared" ref="AK134:AK143" si="308">IF(AK$225&lt;=time,K134*$F134,"")</f>
        <v>0</v>
      </c>
      <c r="AL134" s="276">
        <f t="shared" ref="AL134:AL143" si="309">IF(AL$225&lt;=time,L134*$F134,"")</f>
        <v>0</v>
      </c>
      <c r="AM134" s="276" t="str">
        <f t="shared" ref="AM134:AM143" si="310">IF(AM$225&lt;=time,M134*$F134,"")</f>
        <v/>
      </c>
      <c r="AN134" s="276" t="str">
        <f t="shared" ref="AN134:AN143" si="311">IF(AN$225&lt;=time,N134*$F134,"")</f>
        <v/>
      </c>
      <c r="AO134" s="276" t="str">
        <f t="shared" ref="AO134:AO143" si="312">IF(AO$225&lt;=time,O134*$F134,"")</f>
        <v/>
      </c>
      <c r="AP134" s="276" t="str">
        <f t="shared" ref="AP134:AP143" si="313">IF(AP$225&lt;=time,P134*$F134,"")</f>
        <v/>
      </c>
      <c r="AQ134" s="276" t="str">
        <f t="shared" ref="AQ134:AQ143" si="314">IF(AQ$225&lt;=time,Q134*$F134,"")</f>
        <v/>
      </c>
      <c r="AR134" s="276" t="str">
        <f t="shared" ref="AR134:AR143" si="315">IF(AR$225&lt;=time,R134*$F134,"")</f>
        <v/>
      </c>
      <c r="AS134" s="276" t="str">
        <f t="shared" ref="AS134:AS143" si="316">IF(AS$225&lt;=time,S134*$F134,"")</f>
        <v/>
      </c>
      <c r="AT134" s="276" t="str">
        <f t="shared" ref="AT134:AT143" si="317">IF(AT$225&lt;=time,T134*$F134,"")</f>
        <v/>
      </c>
      <c r="AU134" s="276" t="str">
        <f t="shared" ref="AU134:AU143" si="318">IF(AU$225&lt;=time,U134*$F134,"")</f>
        <v/>
      </c>
      <c r="AV134" s="276" t="str">
        <f t="shared" ref="AV134:AV143" si="319">IF(AV$225&lt;=time,V134*$F134,"")</f>
        <v/>
      </c>
      <c r="AW134" s="276" t="str">
        <f t="shared" ref="AW134:AW143" si="320">IF(AW$225&lt;=time,W134*$F134,"")</f>
        <v/>
      </c>
      <c r="AX134" s="276" t="str">
        <f t="shared" ref="AX134:AX143" si="321">IF(AX$225&lt;=time,X134*$F134,"")</f>
        <v/>
      </c>
      <c r="AY134" s="276" t="str">
        <f t="shared" ref="AY134:AY143" si="322">IF(AY$225&lt;=time,Y134*$F134,"")</f>
        <v/>
      </c>
      <c r="AZ134" s="276" t="str">
        <f t="shared" ref="AZ134:AZ143" si="323">IF(AZ$225&lt;=time,Z134*$F134,"")</f>
        <v/>
      </c>
      <c r="BA134" s="276" t="str">
        <f t="shared" ref="BA134:BA143" si="324">IF(BA$225&lt;=time,AA134*$F134,"")</f>
        <v/>
      </c>
      <c r="BB134" s="276" t="str">
        <f t="shared" ref="BB134:BB143" si="325">IF(BB$225&lt;=time,AB134*$F134,"")</f>
        <v/>
      </c>
      <c r="BC134" s="276" t="str">
        <f t="shared" ref="BC134:BC143" si="326">IF(BC$225&lt;=time,AC134*$F134,"")</f>
        <v/>
      </c>
      <c r="BD134" s="276" t="str">
        <f t="shared" ref="BD134:BD143" si="327">IF(BD$225&lt;=time,AD134*$F134,"")</f>
        <v/>
      </c>
      <c r="BE134" s="276" t="str">
        <f t="shared" ref="BE134:BE143" si="328">IF(BE$225&lt;=time,AE134*$F134,"")</f>
        <v/>
      </c>
      <c r="BF134" s="277" t="str">
        <f t="shared" ref="BF134:BF143" si="329">IF(BF$225&lt;=time,AF134*$F134,"")</f>
        <v/>
      </c>
      <c r="BG134" s="142">
        <f t="array" ref="BG134">(SUM( IF(ISERROR(AH134:BF134),"", AH134:BF134)))/time</f>
        <v>0</v>
      </c>
      <c r="BH134" s="142">
        <f t="shared" si="168"/>
        <v>0</v>
      </c>
      <c r="BI134" s="142">
        <v>1</v>
      </c>
      <c r="BJ134" s="143">
        <f>IF(BO134&gt;0,BG134+BN134,BG134)</f>
        <v>0</v>
      </c>
      <c r="BL134" s="176" t="e">
        <f t="array" ref="BL134">STDEV(IF(AH134:BF134&lt;&gt;0,AH134:BF134))</f>
        <v>#DIV/0!</v>
      </c>
      <c r="BM134" s="176">
        <v>1.96</v>
      </c>
      <c r="BN134" s="176" t="e">
        <f t="shared" ref="BN134:BN143" si="330">(BM134*BL134)/(time^0.5)</f>
        <v>#DIV/0!</v>
      </c>
      <c r="BO134" s="176">
        <f t="shared" si="169"/>
        <v>0</v>
      </c>
    </row>
    <row r="135" spans="1:67" hidden="1">
      <c r="A135" s="301" t="s">
        <v>195</v>
      </c>
      <c r="B135" s="305"/>
      <c r="C135" s="303"/>
      <c r="D135" s="278"/>
      <c r="E135" s="270"/>
      <c r="F135" s="279">
        <f t="shared" si="166"/>
        <v>0</v>
      </c>
      <c r="G135" s="304"/>
      <c r="H135" s="271"/>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72"/>
      <c r="AE135" s="272"/>
      <c r="AF135" s="273"/>
      <c r="AG135" s="274">
        <f t="shared" si="167"/>
        <v>0</v>
      </c>
      <c r="AH135" s="275">
        <f t="shared" si="305"/>
        <v>0</v>
      </c>
      <c r="AI135" s="276">
        <f t="shared" si="306"/>
        <v>0</v>
      </c>
      <c r="AJ135" s="276">
        <f t="shared" si="307"/>
        <v>0</v>
      </c>
      <c r="AK135" s="276">
        <f t="shared" si="308"/>
        <v>0</v>
      </c>
      <c r="AL135" s="276">
        <f t="shared" si="309"/>
        <v>0</v>
      </c>
      <c r="AM135" s="276" t="str">
        <f t="shared" si="310"/>
        <v/>
      </c>
      <c r="AN135" s="276" t="str">
        <f t="shared" si="311"/>
        <v/>
      </c>
      <c r="AO135" s="276" t="str">
        <f t="shared" si="312"/>
        <v/>
      </c>
      <c r="AP135" s="276" t="str">
        <f t="shared" si="313"/>
        <v/>
      </c>
      <c r="AQ135" s="276" t="str">
        <f t="shared" si="314"/>
        <v/>
      </c>
      <c r="AR135" s="276" t="str">
        <f t="shared" si="315"/>
        <v/>
      </c>
      <c r="AS135" s="276" t="str">
        <f t="shared" si="316"/>
        <v/>
      </c>
      <c r="AT135" s="276" t="str">
        <f t="shared" si="317"/>
        <v/>
      </c>
      <c r="AU135" s="276" t="str">
        <f t="shared" si="318"/>
        <v/>
      </c>
      <c r="AV135" s="276" t="str">
        <f t="shared" si="319"/>
        <v/>
      </c>
      <c r="AW135" s="276" t="str">
        <f t="shared" si="320"/>
        <v/>
      </c>
      <c r="AX135" s="276" t="str">
        <f t="shared" si="321"/>
        <v/>
      </c>
      <c r="AY135" s="276" t="str">
        <f t="shared" si="322"/>
        <v/>
      </c>
      <c r="AZ135" s="276" t="str">
        <f t="shared" si="323"/>
        <v/>
      </c>
      <c r="BA135" s="276" t="str">
        <f t="shared" si="324"/>
        <v/>
      </c>
      <c r="BB135" s="276" t="str">
        <f t="shared" si="325"/>
        <v/>
      </c>
      <c r="BC135" s="276" t="str">
        <f t="shared" si="326"/>
        <v/>
      </c>
      <c r="BD135" s="276" t="str">
        <f t="shared" si="327"/>
        <v/>
      </c>
      <c r="BE135" s="276" t="str">
        <f t="shared" si="328"/>
        <v/>
      </c>
      <c r="BF135" s="277" t="str">
        <f t="shared" si="329"/>
        <v/>
      </c>
      <c r="BG135" s="142">
        <f t="array" ref="BG135">(SUM( IF(ISERROR(AH135:BF135),"", AH135:BF135)))/time</f>
        <v>0</v>
      </c>
      <c r="BH135" s="142">
        <f t="shared" si="168"/>
        <v>0</v>
      </c>
      <c r="BI135" s="142">
        <v>2</v>
      </c>
      <c r="BJ135" s="143">
        <f t="shared" ref="BJ135:BJ143" si="331">IF(BO135&gt;0,BG135+BN135,BG135)</f>
        <v>0</v>
      </c>
      <c r="BL135" s="176" t="e">
        <f t="array" ref="BL135">STDEV(IF(AH135:BF135&lt;&gt;0,AH135:BF135))</f>
        <v>#DIV/0!</v>
      </c>
      <c r="BM135" s="176">
        <v>1.96</v>
      </c>
      <c r="BN135" s="176" t="e">
        <f t="shared" si="330"/>
        <v>#DIV/0!</v>
      </c>
      <c r="BO135" s="176">
        <f t="shared" si="169"/>
        <v>0</v>
      </c>
    </row>
    <row r="136" spans="1:67" hidden="1">
      <c r="A136" s="301" t="s">
        <v>196</v>
      </c>
      <c r="B136" s="305"/>
      <c r="C136" s="303"/>
      <c r="D136" s="278"/>
      <c r="E136" s="270"/>
      <c r="F136" s="279">
        <f t="shared" si="166"/>
        <v>0</v>
      </c>
      <c r="G136" s="304"/>
      <c r="H136" s="271"/>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s="273"/>
      <c r="AG136" s="274">
        <f t="shared" si="167"/>
        <v>0</v>
      </c>
      <c r="AH136" s="275">
        <f t="shared" si="305"/>
        <v>0</v>
      </c>
      <c r="AI136" s="276">
        <f t="shared" si="306"/>
        <v>0</v>
      </c>
      <c r="AJ136" s="276">
        <f t="shared" si="307"/>
        <v>0</v>
      </c>
      <c r="AK136" s="276">
        <f t="shared" si="308"/>
        <v>0</v>
      </c>
      <c r="AL136" s="276">
        <f t="shared" si="309"/>
        <v>0</v>
      </c>
      <c r="AM136" s="276" t="str">
        <f t="shared" si="310"/>
        <v/>
      </c>
      <c r="AN136" s="276" t="str">
        <f t="shared" si="311"/>
        <v/>
      </c>
      <c r="AO136" s="276" t="str">
        <f t="shared" si="312"/>
        <v/>
      </c>
      <c r="AP136" s="276" t="str">
        <f t="shared" si="313"/>
        <v/>
      </c>
      <c r="AQ136" s="276" t="str">
        <f t="shared" si="314"/>
        <v/>
      </c>
      <c r="AR136" s="276" t="str">
        <f t="shared" si="315"/>
        <v/>
      </c>
      <c r="AS136" s="276" t="str">
        <f t="shared" si="316"/>
        <v/>
      </c>
      <c r="AT136" s="276" t="str">
        <f t="shared" si="317"/>
        <v/>
      </c>
      <c r="AU136" s="276" t="str">
        <f t="shared" si="318"/>
        <v/>
      </c>
      <c r="AV136" s="276" t="str">
        <f t="shared" si="319"/>
        <v/>
      </c>
      <c r="AW136" s="276" t="str">
        <f t="shared" si="320"/>
        <v/>
      </c>
      <c r="AX136" s="276" t="str">
        <f t="shared" si="321"/>
        <v/>
      </c>
      <c r="AY136" s="276" t="str">
        <f t="shared" si="322"/>
        <v/>
      </c>
      <c r="AZ136" s="276" t="str">
        <f t="shared" si="323"/>
        <v/>
      </c>
      <c r="BA136" s="276" t="str">
        <f t="shared" si="324"/>
        <v/>
      </c>
      <c r="BB136" s="276" t="str">
        <f t="shared" si="325"/>
        <v/>
      </c>
      <c r="BC136" s="276" t="str">
        <f t="shared" si="326"/>
        <v/>
      </c>
      <c r="BD136" s="276" t="str">
        <f t="shared" si="327"/>
        <v/>
      </c>
      <c r="BE136" s="276" t="str">
        <f t="shared" si="328"/>
        <v/>
      </c>
      <c r="BF136" s="277" t="str">
        <f t="shared" si="329"/>
        <v/>
      </c>
      <c r="BG136" s="142">
        <f t="array" ref="BG136">(SUM( IF(ISERROR(AH136:BF136),"", AH136:BF136)))/time</f>
        <v>0</v>
      </c>
      <c r="BH136" s="142">
        <f t="shared" si="168"/>
        <v>0</v>
      </c>
      <c r="BI136" s="142">
        <v>3</v>
      </c>
      <c r="BJ136" s="143">
        <f t="shared" si="331"/>
        <v>0</v>
      </c>
      <c r="BL136" s="176" t="e">
        <f t="array" ref="BL136">STDEV(IF(AH136:BF136&lt;&gt;0,AH136:BF136))</f>
        <v>#DIV/0!</v>
      </c>
      <c r="BM136" s="176">
        <v>1.96</v>
      </c>
      <c r="BN136" s="176" t="e">
        <f t="shared" si="330"/>
        <v>#DIV/0!</v>
      </c>
      <c r="BO136" s="176">
        <f t="shared" si="169"/>
        <v>0</v>
      </c>
    </row>
    <row r="137" spans="1:67" hidden="1">
      <c r="A137" s="301" t="s">
        <v>197</v>
      </c>
      <c r="B137" s="305"/>
      <c r="C137" s="303"/>
      <c r="D137" s="278"/>
      <c r="E137" s="270"/>
      <c r="F137" s="279">
        <f t="shared" ref="F137:F199" si="332">B137*(1+E137)</f>
        <v>0</v>
      </c>
      <c r="G137" s="304"/>
      <c r="H137" s="271"/>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72"/>
      <c r="AE137" s="272"/>
      <c r="AF137" s="273"/>
      <c r="AG137" s="274">
        <f t="shared" ref="AG137:AG199" si="333">SUM(H137:AF137)</f>
        <v>0</v>
      </c>
      <c r="AH137" s="275">
        <f t="shared" si="305"/>
        <v>0</v>
      </c>
      <c r="AI137" s="276">
        <f t="shared" si="306"/>
        <v>0</v>
      </c>
      <c r="AJ137" s="276">
        <f t="shared" si="307"/>
        <v>0</v>
      </c>
      <c r="AK137" s="276">
        <f t="shared" si="308"/>
        <v>0</v>
      </c>
      <c r="AL137" s="276">
        <f t="shared" si="309"/>
        <v>0</v>
      </c>
      <c r="AM137" s="276" t="str">
        <f t="shared" si="310"/>
        <v/>
      </c>
      <c r="AN137" s="276" t="str">
        <f t="shared" si="311"/>
        <v/>
      </c>
      <c r="AO137" s="276" t="str">
        <f t="shared" si="312"/>
        <v/>
      </c>
      <c r="AP137" s="276" t="str">
        <f t="shared" si="313"/>
        <v/>
      </c>
      <c r="AQ137" s="276" t="str">
        <f t="shared" si="314"/>
        <v/>
      </c>
      <c r="AR137" s="276" t="str">
        <f t="shared" si="315"/>
        <v/>
      </c>
      <c r="AS137" s="276" t="str">
        <f t="shared" si="316"/>
        <v/>
      </c>
      <c r="AT137" s="276" t="str">
        <f t="shared" si="317"/>
        <v/>
      </c>
      <c r="AU137" s="276" t="str">
        <f t="shared" si="318"/>
        <v/>
      </c>
      <c r="AV137" s="276" t="str">
        <f t="shared" si="319"/>
        <v/>
      </c>
      <c r="AW137" s="276" t="str">
        <f t="shared" si="320"/>
        <v/>
      </c>
      <c r="AX137" s="276" t="str">
        <f t="shared" si="321"/>
        <v/>
      </c>
      <c r="AY137" s="276" t="str">
        <f t="shared" si="322"/>
        <v/>
      </c>
      <c r="AZ137" s="276" t="str">
        <f t="shared" si="323"/>
        <v/>
      </c>
      <c r="BA137" s="276" t="str">
        <f t="shared" si="324"/>
        <v/>
      </c>
      <c r="BB137" s="276" t="str">
        <f t="shared" si="325"/>
        <v/>
      </c>
      <c r="BC137" s="276" t="str">
        <f t="shared" si="326"/>
        <v/>
      </c>
      <c r="BD137" s="276" t="str">
        <f t="shared" si="327"/>
        <v/>
      </c>
      <c r="BE137" s="276" t="str">
        <f t="shared" si="328"/>
        <v/>
      </c>
      <c r="BF137" s="277" t="str">
        <f t="shared" si="329"/>
        <v/>
      </c>
      <c r="BG137" s="142">
        <f t="array" ref="BG137">(SUM( IF(ISERROR(AH137:BF137),"", AH137:BF137)))/time</f>
        <v>0</v>
      </c>
      <c r="BH137" s="142">
        <f t="shared" ref="BH137:BH199" si="334">IF(BO137&gt;0,IF(BG137-BN137&gt;0, BG137-BN137, 0),BG137)</f>
        <v>0</v>
      </c>
      <c r="BI137" s="142">
        <v>4</v>
      </c>
      <c r="BJ137" s="143">
        <f t="shared" si="331"/>
        <v>0</v>
      </c>
      <c r="BL137" s="176" t="e">
        <f t="array" ref="BL137">STDEV(IF(AH137:BF137&lt;&gt;0,AH137:BF137))</f>
        <v>#DIV/0!</v>
      </c>
      <c r="BM137" s="176">
        <v>1.96</v>
      </c>
      <c r="BN137" s="176" t="e">
        <f t="shared" si="330"/>
        <v>#DIV/0!</v>
      </c>
      <c r="BO137" s="176">
        <f t="shared" ref="BO137:BO199" si="335">IFERROR(BL137,0)</f>
        <v>0</v>
      </c>
    </row>
    <row r="138" spans="1:67" hidden="1">
      <c r="A138" s="301" t="s">
        <v>198</v>
      </c>
      <c r="B138" s="305"/>
      <c r="C138" s="303"/>
      <c r="D138" s="278"/>
      <c r="E138" s="270"/>
      <c r="F138" s="279">
        <f t="shared" si="332"/>
        <v>0</v>
      </c>
      <c r="G138" s="304"/>
      <c r="H138" s="271"/>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72"/>
      <c r="AE138" s="272"/>
      <c r="AF138" s="273"/>
      <c r="AG138" s="274">
        <f t="shared" si="333"/>
        <v>0</v>
      </c>
      <c r="AH138" s="275">
        <f t="shared" si="305"/>
        <v>0</v>
      </c>
      <c r="AI138" s="276">
        <f t="shared" si="306"/>
        <v>0</v>
      </c>
      <c r="AJ138" s="276">
        <f t="shared" si="307"/>
        <v>0</v>
      </c>
      <c r="AK138" s="276">
        <f t="shared" si="308"/>
        <v>0</v>
      </c>
      <c r="AL138" s="276">
        <f t="shared" si="309"/>
        <v>0</v>
      </c>
      <c r="AM138" s="276" t="str">
        <f t="shared" si="310"/>
        <v/>
      </c>
      <c r="AN138" s="276" t="str">
        <f t="shared" si="311"/>
        <v/>
      </c>
      <c r="AO138" s="276" t="str">
        <f t="shared" si="312"/>
        <v/>
      </c>
      <c r="AP138" s="276" t="str">
        <f t="shared" si="313"/>
        <v/>
      </c>
      <c r="AQ138" s="276" t="str">
        <f t="shared" si="314"/>
        <v/>
      </c>
      <c r="AR138" s="276" t="str">
        <f t="shared" si="315"/>
        <v/>
      </c>
      <c r="AS138" s="276" t="str">
        <f t="shared" si="316"/>
        <v/>
      </c>
      <c r="AT138" s="276" t="str">
        <f t="shared" si="317"/>
        <v/>
      </c>
      <c r="AU138" s="276" t="str">
        <f t="shared" si="318"/>
        <v/>
      </c>
      <c r="AV138" s="276" t="str">
        <f t="shared" si="319"/>
        <v/>
      </c>
      <c r="AW138" s="276" t="str">
        <f t="shared" si="320"/>
        <v/>
      </c>
      <c r="AX138" s="276" t="str">
        <f t="shared" si="321"/>
        <v/>
      </c>
      <c r="AY138" s="276" t="str">
        <f t="shared" si="322"/>
        <v/>
      </c>
      <c r="AZ138" s="276" t="str">
        <f t="shared" si="323"/>
        <v/>
      </c>
      <c r="BA138" s="276" t="str">
        <f t="shared" si="324"/>
        <v/>
      </c>
      <c r="BB138" s="276" t="str">
        <f t="shared" si="325"/>
        <v/>
      </c>
      <c r="BC138" s="276" t="str">
        <f t="shared" si="326"/>
        <v/>
      </c>
      <c r="BD138" s="276" t="str">
        <f t="shared" si="327"/>
        <v/>
      </c>
      <c r="BE138" s="276" t="str">
        <f t="shared" si="328"/>
        <v/>
      </c>
      <c r="BF138" s="277" t="str">
        <f t="shared" si="329"/>
        <v/>
      </c>
      <c r="BG138" s="142">
        <f t="array" ref="BG138">(SUM( IF(ISERROR(AH138:BF138),"", AH138:BF138)))/time</f>
        <v>0</v>
      </c>
      <c r="BH138" s="142">
        <f t="shared" si="334"/>
        <v>0</v>
      </c>
      <c r="BI138" s="142">
        <v>5</v>
      </c>
      <c r="BJ138" s="143">
        <f t="shared" si="331"/>
        <v>0</v>
      </c>
      <c r="BL138" s="176" t="e">
        <f t="array" ref="BL138">STDEV(IF(AH138:BF138&lt;&gt;0,AH138:BF138))</f>
        <v>#DIV/0!</v>
      </c>
      <c r="BM138" s="176">
        <v>1.96</v>
      </c>
      <c r="BN138" s="176" t="e">
        <f t="shared" si="330"/>
        <v>#DIV/0!</v>
      </c>
      <c r="BO138" s="176">
        <f t="shared" si="335"/>
        <v>0</v>
      </c>
    </row>
    <row r="139" spans="1:67" hidden="1">
      <c r="A139" s="301" t="s">
        <v>199</v>
      </c>
      <c r="B139" s="305"/>
      <c r="C139" s="303"/>
      <c r="D139" s="278"/>
      <c r="E139" s="270"/>
      <c r="F139" s="279">
        <f t="shared" si="332"/>
        <v>0</v>
      </c>
      <c r="G139" s="304"/>
      <c r="H139" s="271"/>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c r="AE139" s="272"/>
      <c r="AF139" s="273"/>
      <c r="AG139" s="274">
        <f t="shared" si="333"/>
        <v>0</v>
      </c>
      <c r="AH139" s="275">
        <f t="shared" si="305"/>
        <v>0</v>
      </c>
      <c r="AI139" s="276">
        <f t="shared" si="306"/>
        <v>0</v>
      </c>
      <c r="AJ139" s="276">
        <f t="shared" si="307"/>
        <v>0</v>
      </c>
      <c r="AK139" s="276">
        <f t="shared" si="308"/>
        <v>0</v>
      </c>
      <c r="AL139" s="276">
        <f t="shared" si="309"/>
        <v>0</v>
      </c>
      <c r="AM139" s="276" t="str">
        <f t="shared" si="310"/>
        <v/>
      </c>
      <c r="AN139" s="276" t="str">
        <f t="shared" si="311"/>
        <v/>
      </c>
      <c r="AO139" s="276" t="str">
        <f t="shared" si="312"/>
        <v/>
      </c>
      <c r="AP139" s="276" t="str">
        <f t="shared" si="313"/>
        <v/>
      </c>
      <c r="AQ139" s="276" t="str">
        <f t="shared" si="314"/>
        <v/>
      </c>
      <c r="AR139" s="276" t="str">
        <f t="shared" si="315"/>
        <v/>
      </c>
      <c r="AS139" s="276" t="str">
        <f t="shared" si="316"/>
        <v/>
      </c>
      <c r="AT139" s="276" t="str">
        <f t="shared" si="317"/>
        <v/>
      </c>
      <c r="AU139" s="276" t="str">
        <f t="shared" si="318"/>
        <v/>
      </c>
      <c r="AV139" s="276" t="str">
        <f t="shared" si="319"/>
        <v/>
      </c>
      <c r="AW139" s="276" t="str">
        <f t="shared" si="320"/>
        <v/>
      </c>
      <c r="AX139" s="276" t="str">
        <f t="shared" si="321"/>
        <v/>
      </c>
      <c r="AY139" s="276" t="str">
        <f t="shared" si="322"/>
        <v/>
      </c>
      <c r="AZ139" s="276" t="str">
        <f t="shared" si="323"/>
        <v/>
      </c>
      <c r="BA139" s="276" t="str">
        <f t="shared" si="324"/>
        <v/>
      </c>
      <c r="BB139" s="276" t="str">
        <f t="shared" si="325"/>
        <v/>
      </c>
      <c r="BC139" s="276" t="str">
        <f t="shared" si="326"/>
        <v/>
      </c>
      <c r="BD139" s="276" t="str">
        <f t="shared" si="327"/>
        <v/>
      </c>
      <c r="BE139" s="276" t="str">
        <f t="shared" si="328"/>
        <v/>
      </c>
      <c r="BF139" s="277" t="str">
        <f t="shared" si="329"/>
        <v/>
      </c>
      <c r="BG139" s="142">
        <f t="array" ref="BG139">(SUM( IF(ISERROR(AH139:BF139),"", AH139:BF139)))/time</f>
        <v>0</v>
      </c>
      <c r="BH139" s="142">
        <f t="shared" si="334"/>
        <v>0</v>
      </c>
      <c r="BI139" s="142">
        <v>6</v>
      </c>
      <c r="BJ139" s="143">
        <f t="shared" si="331"/>
        <v>0</v>
      </c>
      <c r="BL139" s="176" t="e">
        <f t="array" ref="BL139">STDEV(IF(AH139:BF139&lt;&gt;0,AH139:BF139))</f>
        <v>#DIV/0!</v>
      </c>
      <c r="BM139" s="176">
        <v>1.96</v>
      </c>
      <c r="BN139" s="176" t="e">
        <f t="shared" si="330"/>
        <v>#DIV/0!</v>
      </c>
      <c r="BO139" s="176">
        <f t="shared" si="335"/>
        <v>0</v>
      </c>
    </row>
    <row r="140" spans="1:67" hidden="1">
      <c r="A140" s="301" t="s">
        <v>200</v>
      </c>
      <c r="B140" s="305"/>
      <c r="C140" s="303"/>
      <c r="D140" s="278"/>
      <c r="E140" s="270"/>
      <c r="F140" s="279">
        <f t="shared" si="332"/>
        <v>0</v>
      </c>
      <c r="G140" s="304"/>
      <c r="H140" s="271"/>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c r="AE140" s="272"/>
      <c r="AF140" s="273"/>
      <c r="AG140" s="274">
        <f t="shared" si="333"/>
        <v>0</v>
      </c>
      <c r="AH140" s="275">
        <f t="shared" si="305"/>
        <v>0</v>
      </c>
      <c r="AI140" s="276">
        <f t="shared" si="306"/>
        <v>0</v>
      </c>
      <c r="AJ140" s="276">
        <f t="shared" si="307"/>
        <v>0</v>
      </c>
      <c r="AK140" s="276">
        <f t="shared" si="308"/>
        <v>0</v>
      </c>
      <c r="AL140" s="276">
        <f t="shared" si="309"/>
        <v>0</v>
      </c>
      <c r="AM140" s="276" t="str">
        <f t="shared" si="310"/>
        <v/>
      </c>
      <c r="AN140" s="276" t="str">
        <f t="shared" si="311"/>
        <v/>
      </c>
      <c r="AO140" s="276" t="str">
        <f t="shared" si="312"/>
        <v/>
      </c>
      <c r="AP140" s="276" t="str">
        <f t="shared" si="313"/>
        <v/>
      </c>
      <c r="AQ140" s="276" t="str">
        <f t="shared" si="314"/>
        <v/>
      </c>
      <c r="AR140" s="276" t="str">
        <f t="shared" si="315"/>
        <v/>
      </c>
      <c r="AS140" s="276" t="str">
        <f t="shared" si="316"/>
        <v/>
      </c>
      <c r="AT140" s="276" t="str">
        <f t="shared" si="317"/>
        <v/>
      </c>
      <c r="AU140" s="276" t="str">
        <f t="shared" si="318"/>
        <v/>
      </c>
      <c r="AV140" s="276" t="str">
        <f t="shared" si="319"/>
        <v/>
      </c>
      <c r="AW140" s="276" t="str">
        <f t="shared" si="320"/>
        <v/>
      </c>
      <c r="AX140" s="276" t="str">
        <f t="shared" si="321"/>
        <v/>
      </c>
      <c r="AY140" s="276" t="str">
        <f t="shared" si="322"/>
        <v/>
      </c>
      <c r="AZ140" s="276" t="str">
        <f t="shared" si="323"/>
        <v/>
      </c>
      <c r="BA140" s="276" t="str">
        <f t="shared" si="324"/>
        <v/>
      </c>
      <c r="BB140" s="276" t="str">
        <f t="shared" si="325"/>
        <v/>
      </c>
      <c r="BC140" s="276" t="str">
        <f t="shared" si="326"/>
        <v/>
      </c>
      <c r="BD140" s="276" t="str">
        <f t="shared" si="327"/>
        <v/>
      </c>
      <c r="BE140" s="276" t="str">
        <f t="shared" si="328"/>
        <v/>
      </c>
      <c r="BF140" s="277" t="str">
        <f t="shared" si="329"/>
        <v/>
      </c>
      <c r="BG140" s="142">
        <f t="array" ref="BG140">(SUM( IF(ISERROR(AH140:BF140),"", AH140:BF140)))/time</f>
        <v>0</v>
      </c>
      <c r="BH140" s="142">
        <f t="shared" si="334"/>
        <v>0</v>
      </c>
      <c r="BI140" s="142">
        <v>7</v>
      </c>
      <c r="BJ140" s="143">
        <f t="shared" si="331"/>
        <v>0</v>
      </c>
      <c r="BL140" s="176" t="e">
        <f t="array" ref="BL140">STDEV(IF(AH140:BF140&lt;&gt;0,AH140:BF140))</f>
        <v>#DIV/0!</v>
      </c>
      <c r="BM140" s="176">
        <v>1.96</v>
      </c>
      <c r="BN140" s="176" t="e">
        <f t="shared" si="330"/>
        <v>#DIV/0!</v>
      </c>
      <c r="BO140" s="176">
        <f t="shared" si="335"/>
        <v>0</v>
      </c>
    </row>
    <row r="141" spans="1:67" hidden="1">
      <c r="A141" s="301" t="s">
        <v>201</v>
      </c>
      <c r="B141" s="305"/>
      <c r="C141" s="303"/>
      <c r="D141" s="278"/>
      <c r="E141" s="270"/>
      <c r="F141" s="279">
        <f t="shared" si="332"/>
        <v>0</v>
      </c>
      <c r="G141" s="304"/>
      <c r="H141" s="271"/>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72"/>
      <c r="AE141" s="272"/>
      <c r="AF141" s="273"/>
      <c r="AG141" s="274">
        <f t="shared" si="333"/>
        <v>0</v>
      </c>
      <c r="AH141" s="275">
        <f t="shared" si="305"/>
        <v>0</v>
      </c>
      <c r="AI141" s="276">
        <f t="shared" si="306"/>
        <v>0</v>
      </c>
      <c r="AJ141" s="276">
        <f t="shared" si="307"/>
        <v>0</v>
      </c>
      <c r="AK141" s="276">
        <f t="shared" si="308"/>
        <v>0</v>
      </c>
      <c r="AL141" s="276">
        <f t="shared" si="309"/>
        <v>0</v>
      </c>
      <c r="AM141" s="276" t="str">
        <f t="shared" si="310"/>
        <v/>
      </c>
      <c r="AN141" s="276" t="str">
        <f t="shared" si="311"/>
        <v/>
      </c>
      <c r="AO141" s="276" t="str">
        <f t="shared" si="312"/>
        <v/>
      </c>
      <c r="AP141" s="276" t="str">
        <f t="shared" si="313"/>
        <v/>
      </c>
      <c r="AQ141" s="276" t="str">
        <f t="shared" si="314"/>
        <v/>
      </c>
      <c r="AR141" s="276" t="str">
        <f t="shared" si="315"/>
        <v/>
      </c>
      <c r="AS141" s="276" t="str">
        <f t="shared" si="316"/>
        <v/>
      </c>
      <c r="AT141" s="276" t="str">
        <f t="shared" si="317"/>
        <v/>
      </c>
      <c r="AU141" s="276" t="str">
        <f t="shared" si="318"/>
        <v/>
      </c>
      <c r="AV141" s="276" t="str">
        <f t="shared" si="319"/>
        <v/>
      </c>
      <c r="AW141" s="276" t="str">
        <f t="shared" si="320"/>
        <v/>
      </c>
      <c r="AX141" s="276" t="str">
        <f t="shared" si="321"/>
        <v/>
      </c>
      <c r="AY141" s="276" t="str">
        <f t="shared" si="322"/>
        <v/>
      </c>
      <c r="AZ141" s="276" t="str">
        <f t="shared" si="323"/>
        <v/>
      </c>
      <c r="BA141" s="276" t="str">
        <f t="shared" si="324"/>
        <v/>
      </c>
      <c r="BB141" s="276" t="str">
        <f t="shared" si="325"/>
        <v/>
      </c>
      <c r="BC141" s="276" t="str">
        <f t="shared" si="326"/>
        <v/>
      </c>
      <c r="BD141" s="276" t="str">
        <f t="shared" si="327"/>
        <v/>
      </c>
      <c r="BE141" s="276" t="str">
        <f t="shared" si="328"/>
        <v/>
      </c>
      <c r="BF141" s="277" t="str">
        <f t="shared" si="329"/>
        <v/>
      </c>
      <c r="BG141" s="142">
        <f t="array" ref="BG141">(SUM( IF(ISERROR(AH141:BF141),"", AH141:BF141)))/time</f>
        <v>0</v>
      </c>
      <c r="BH141" s="142">
        <f t="shared" si="334"/>
        <v>0</v>
      </c>
      <c r="BI141" s="142">
        <v>8</v>
      </c>
      <c r="BJ141" s="143">
        <f t="shared" si="331"/>
        <v>0</v>
      </c>
      <c r="BL141" s="176" t="e">
        <f t="array" ref="BL141">STDEV(IF(AH141:BF141&lt;&gt;0,AH141:BF141))</f>
        <v>#DIV/0!</v>
      </c>
      <c r="BM141" s="176">
        <v>1.96</v>
      </c>
      <c r="BN141" s="176" t="e">
        <f t="shared" si="330"/>
        <v>#DIV/0!</v>
      </c>
      <c r="BO141" s="176">
        <f t="shared" si="335"/>
        <v>0</v>
      </c>
    </row>
    <row r="142" spans="1:67" hidden="1">
      <c r="A142" s="301" t="s">
        <v>202</v>
      </c>
      <c r="B142" s="305"/>
      <c r="C142" s="303"/>
      <c r="D142" s="278"/>
      <c r="E142" s="270"/>
      <c r="F142" s="279">
        <f t="shared" si="332"/>
        <v>0</v>
      </c>
      <c r="G142" s="304"/>
      <c r="H142" s="271"/>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72"/>
      <c r="AE142" s="272"/>
      <c r="AF142" s="273"/>
      <c r="AG142" s="274">
        <f t="shared" si="333"/>
        <v>0</v>
      </c>
      <c r="AH142" s="275">
        <f t="shared" si="305"/>
        <v>0</v>
      </c>
      <c r="AI142" s="276">
        <f t="shared" si="306"/>
        <v>0</v>
      </c>
      <c r="AJ142" s="276">
        <f t="shared" si="307"/>
        <v>0</v>
      </c>
      <c r="AK142" s="276">
        <f t="shared" si="308"/>
        <v>0</v>
      </c>
      <c r="AL142" s="276">
        <f t="shared" si="309"/>
        <v>0</v>
      </c>
      <c r="AM142" s="276" t="str">
        <f t="shared" si="310"/>
        <v/>
      </c>
      <c r="AN142" s="276" t="str">
        <f t="shared" si="311"/>
        <v/>
      </c>
      <c r="AO142" s="276" t="str">
        <f t="shared" si="312"/>
        <v/>
      </c>
      <c r="AP142" s="276" t="str">
        <f t="shared" si="313"/>
        <v/>
      </c>
      <c r="AQ142" s="276" t="str">
        <f t="shared" si="314"/>
        <v/>
      </c>
      <c r="AR142" s="276" t="str">
        <f t="shared" si="315"/>
        <v/>
      </c>
      <c r="AS142" s="276" t="str">
        <f t="shared" si="316"/>
        <v/>
      </c>
      <c r="AT142" s="276" t="str">
        <f t="shared" si="317"/>
        <v/>
      </c>
      <c r="AU142" s="276" t="str">
        <f t="shared" si="318"/>
        <v/>
      </c>
      <c r="AV142" s="276" t="str">
        <f t="shared" si="319"/>
        <v/>
      </c>
      <c r="AW142" s="276" t="str">
        <f t="shared" si="320"/>
        <v/>
      </c>
      <c r="AX142" s="276" t="str">
        <f t="shared" si="321"/>
        <v/>
      </c>
      <c r="AY142" s="276" t="str">
        <f t="shared" si="322"/>
        <v/>
      </c>
      <c r="AZ142" s="276" t="str">
        <f t="shared" si="323"/>
        <v/>
      </c>
      <c r="BA142" s="276" t="str">
        <f t="shared" si="324"/>
        <v/>
      </c>
      <c r="BB142" s="276" t="str">
        <f t="shared" si="325"/>
        <v/>
      </c>
      <c r="BC142" s="276" t="str">
        <f t="shared" si="326"/>
        <v/>
      </c>
      <c r="BD142" s="276" t="str">
        <f t="shared" si="327"/>
        <v/>
      </c>
      <c r="BE142" s="276" t="str">
        <f t="shared" si="328"/>
        <v/>
      </c>
      <c r="BF142" s="277" t="str">
        <f t="shared" si="329"/>
        <v/>
      </c>
      <c r="BG142" s="142">
        <f t="array" ref="BG142">(SUM( IF(ISERROR(AH142:BF142),"", AH142:BF142)))/time</f>
        <v>0</v>
      </c>
      <c r="BH142" s="142">
        <f t="shared" si="334"/>
        <v>0</v>
      </c>
      <c r="BI142" s="142">
        <v>9</v>
      </c>
      <c r="BJ142" s="143">
        <f t="shared" si="331"/>
        <v>0</v>
      </c>
      <c r="BL142" s="176" t="e">
        <f t="array" ref="BL142">STDEV(IF(AH142:BF142&lt;&gt;0,AH142:BF142))</f>
        <v>#DIV/0!</v>
      </c>
      <c r="BM142" s="176">
        <v>1.96</v>
      </c>
      <c r="BN142" s="176" t="e">
        <f t="shared" si="330"/>
        <v>#DIV/0!</v>
      </c>
      <c r="BO142" s="176">
        <f t="shared" si="335"/>
        <v>0</v>
      </c>
    </row>
    <row r="143" spans="1:67" hidden="1">
      <c r="A143" s="301" t="s">
        <v>203</v>
      </c>
      <c r="B143" s="305"/>
      <c r="C143" s="303"/>
      <c r="D143" s="278"/>
      <c r="E143" s="270"/>
      <c r="F143" s="279">
        <f t="shared" si="332"/>
        <v>0</v>
      </c>
      <c r="G143" s="304"/>
      <c r="H143" s="271"/>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272"/>
      <c r="AF143" s="273"/>
      <c r="AG143" s="274">
        <f t="shared" si="333"/>
        <v>0</v>
      </c>
      <c r="AH143" s="275">
        <f t="shared" si="305"/>
        <v>0</v>
      </c>
      <c r="AI143" s="276">
        <f t="shared" si="306"/>
        <v>0</v>
      </c>
      <c r="AJ143" s="276">
        <f t="shared" si="307"/>
        <v>0</v>
      </c>
      <c r="AK143" s="276">
        <f t="shared" si="308"/>
        <v>0</v>
      </c>
      <c r="AL143" s="276">
        <f t="shared" si="309"/>
        <v>0</v>
      </c>
      <c r="AM143" s="276" t="str">
        <f t="shared" si="310"/>
        <v/>
      </c>
      <c r="AN143" s="276" t="str">
        <f t="shared" si="311"/>
        <v/>
      </c>
      <c r="AO143" s="276" t="str">
        <f t="shared" si="312"/>
        <v/>
      </c>
      <c r="AP143" s="276" t="str">
        <f t="shared" si="313"/>
        <v/>
      </c>
      <c r="AQ143" s="276" t="str">
        <f t="shared" si="314"/>
        <v/>
      </c>
      <c r="AR143" s="276" t="str">
        <f t="shared" si="315"/>
        <v/>
      </c>
      <c r="AS143" s="276" t="str">
        <f t="shared" si="316"/>
        <v/>
      </c>
      <c r="AT143" s="276" t="str">
        <f t="shared" si="317"/>
        <v/>
      </c>
      <c r="AU143" s="276" t="str">
        <f t="shared" si="318"/>
        <v/>
      </c>
      <c r="AV143" s="276" t="str">
        <f t="shared" si="319"/>
        <v/>
      </c>
      <c r="AW143" s="276" t="str">
        <f t="shared" si="320"/>
        <v/>
      </c>
      <c r="AX143" s="276" t="str">
        <f t="shared" si="321"/>
        <v/>
      </c>
      <c r="AY143" s="276" t="str">
        <f t="shared" si="322"/>
        <v/>
      </c>
      <c r="AZ143" s="276" t="str">
        <f t="shared" si="323"/>
        <v/>
      </c>
      <c r="BA143" s="276" t="str">
        <f t="shared" si="324"/>
        <v/>
      </c>
      <c r="BB143" s="276" t="str">
        <f t="shared" si="325"/>
        <v/>
      </c>
      <c r="BC143" s="276" t="str">
        <f t="shared" si="326"/>
        <v/>
      </c>
      <c r="BD143" s="276" t="str">
        <f t="shared" si="327"/>
        <v/>
      </c>
      <c r="BE143" s="276" t="str">
        <f t="shared" si="328"/>
        <v/>
      </c>
      <c r="BF143" s="277" t="str">
        <f t="shared" si="329"/>
        <v/>
      </c>
      <c r="BG143" s="142">
        <f t="array" ref="BG143">(SUM( IF(ISERROR(AH143:BF143),"", AH143:BF143)))/time</f>
        <v>0</v>
      </c>
      <c r="BH143" s="142">
        <f t="shared" si="334"/>
        <v>0</v>
      </c>
      <c r="BI143" s="142">
        <v>10</v>
      </c>
      <c r="BJ143" s="143">
        <f t="shared" si="331"/>
        <v>0</v>
      </c>
      <c r="BL143" s="176" t="e">
        <f t="array" ref="BL143">STDEV(IF(AH143:BF143&lt;&gt;0,AH143:BF143))</f>
        <v>#DIV/0!</v>
      </c>
      <c r="BM143" s="176">
        <v>1.96</v>
      </c>
      <c r="BN143" s="176" t="e">
        <f t="shared" si="330"/>
        <v>#DIV/0!</v>
      </c>
      <c r="BO143" s="176">
        <f t="shared" si="335"/>
        <v>0</v>
      </c>
    </row>
    <row r="144" spans="1:67" s="196" customFormat="1">
      <c r="A144" s="290" t="s">
        <v>194</v>
      </c>
      <c r="F144" s="203"/>
      <c r="H144" s="202"/>
      <c r="AG144" s="288"/>
      <c r="AH144" s="202"/>
      <c r="BJ144" s="203"/>
    </row>
    <row r="145" spans="1:67">
      <c r="A145" s="848" t="s">
        <v>204</v>
      </c>
      <c r="B145" s="839"/>
      <c r="C145" s="851"/>
      <c r="D145" s="845"/>
      <c r="E145" s="847"/>
      <c r="F145" s="846">
        <f t="shared" si="332"/>
        <v>0</v>
      </c>
      <c r="G145" s="304"/>
      <c r="H145" s="842"/>
      <c r="I145" s="843"/>
      <c r="J145" s="843"/>
      <c r="K145" s="843"/>
      <c r="L145" s="843"/>
      <c r="M145" s="272"/>
      <c r="N145" s="272"/>
      <c r="O145" s="272"/>
      <c r="P145" s="272"/>
      <c r="Q145" s="272"/>
      <c r="R145" s="272"/>
      <c r="S145" s="272"/>
      <c r="T145" s="272"/>
      <c r="U145" s="272"/>
      <c r="V145" s="272"/>
      <c r="W145" s="272"/>
      <c r="X145" s="272"/>
      <c r="Y145" s="272"/>
      <c r="Z145" s="272"/>
      <c r="AA145" s="272"/>
      <c r="AB145" s="272"/>
      <c r="AC145" s="272"/>
      <c r="AD145" s="272"/>
      <c r="AE145" s="272"/>
      <c r="AF145" s="273"/>
      <c r="AG145" s="274">
        <f t="shared" si="333"/>
        <v>0</v>
      </c>
      <c r="AH145" s="275">
        <f t="shared" ref="AH145:AH154" si="336">IF(AH$225&lt;=time,H145*$F145,"")</f>
        <v>0</v>
      </c>
      <c r="AI145" s="276">
        <f t="shared" ref="AI145:AI154" si="337">IF(AI$225&lt;=time,I145*$F145,"")</f>
        <v>0</v>
      </c>
      <c r="AJ145" s="276">
        <f t="shared" ref="AJ145:AJ154" si="338">IF(AJ$225&lt;=time,J145*$F145,"")</f>
        <v>0</v>
      </c>
      <c r="AK145" s="276">
        <f t="shared" ref="AK145:AK154" si="339">IF(AK$225&lt;=time,K145*$F145,"")</f>
        <v>0</v>
      </c>
      <c r="AL145" s="276">
        <f t="shared" ref="AL145:AL154" si="340">IF(AL$225&lt;=time,L145*$F145,"")</f>
        <v>0</v>
      </c>
      <c r="AM145" s="276" t="str">
        <f t="shared" ref="AM145:AM154" si="341">IF(AM$225&lt;=time,M145*$F145,"")</f>
        <v/>
      </c>
      <c r="AN145" s="276" t="str">
        <f t="shared" ref="AN145:AN154" si="342">IF(AN$225&lt;=time,N145*$F145,"")</f>
        <v/>
      </c>
      <c r="AO145" s="276" t="str">
        <f t="shared" ref="AO145:AO154" si="343">IF(AO$225&lt;=time,O145*$F145,"")</f>
        <v/>
      </c>
      <c r="AP145" s="276" t="str">
        <f t="shared" ref="AP145:AP154" si="344">IF(AP$225&lt;=time,P145*$F145,"")</f>
        <v/>
      </c>
      <c r="AQ145" s="276" t="str">
        <f t="shared" ref="AQ145:AQ154" si="345">IF(AQ$225&lt;=time,Q145*$F145,"")</f>
        <v/>
      </c>
      <c r="AR145" s="276" t="str">
        <f t="shared" ref="AR145:AR154" si="346">IF(AR$225&lt;=time,R145*$F145,"")</f>
        <v/>
      </c>
      <c r="AS145" s="276" t="str">
        <f t="shared" ref="AS145:AS154" si="347">IF(AS$225&lt;=time,S145*$F145,"")</f>
        <v/>
      </c>
      <c r="AT145" s="276" t="str">
        <f t="shared" ref="AT145:AT154" si="348">IF(AT$225&lt;=time,T145*$F145,"")</f>
        <v/>
      </c>
      <c r="AU145" s="276" t="str">
        <f t="shared" ref="AU145:AU154" si="349">IF(AU$225&lt;=time,U145*$F145,"")</f>
        <v/>
      </c>
      <c r="AV145" s="276" t="str">
        <f t="shared" ref="AV145:AV154" si="350">IF(AV$225&lt;=time,V145*$F145,"")</f>
        <v/>
      </c>
      <c r="AW145" s="276" t="str">
        <f t="shared" ref="AW145:AW154" si="351">IF(AW$225&lt;=time,W145*$F145,"")</f>
        <v/>
      </c>
      <c r="AX145" s="276" t="str">
        <f t="shared" ref="AX145:AX154" si="352">IF(AX$225&lt;=time,X145*$F145,"")</f>
        <v/>
      </c>
      <c r="AY145" s="276" t="str">
        <f t="shared" ref="AY145:AY154" si="353">IF(AY$225&lt;=time,Y145*$F145,"")</f>
        <v/>
      </c>
      <c r="AZ145" s="276" t="str">
        <f t="shared" ref="AZ145:AZ154" si="354">IF(AZ$225&lt;=time,Z145*$F145,"")</f>
        <v/>
      </c>
      <c r="BA145" s="276" t="str">
        <f t="shared" ref="BA145:BA154" si="355">IF(BA$225&lt;=time,AA145*$F145,"")</f>
        <v/>
      </c>
      <c r="BB145" s="276" t="str">
        <f t="shared" ref="BB145:BB154" si="356">IF(BB$225&lt;=time,AB145*$F145,"")</f>
        <v/>
      </c>
      <c r="BC145" s="276" t="str">
        <f t="shared" ref="BC145:BC154" si="357">IF(BC$225&lt;=time,AC145*$F145,"")</f>
        <v/>
      </c>
      <c r="BD145" s="276" t="str">
        <f t="shared" ref="BD145:BD154" si="358">IF(BD$225&lt;=time,AD145*$F145,"")</f>
        <v/>
      </c>
      <c r="BE145" s="276" t="str">
        <f t="shared" ref="BE145:BE154" si="359">IF(BE$225&lt;=time,AE145*$F145,"")</f>
        <v/>
      </c>
      <c r="BF145" s="277" t="str">
        <f t="shared" ref="BF145:BF154" si="360">IF(BF$225&lt;=time,AF145*$F145,"")</f>
        <v/>
      </c>
      <c r="BG145" s="142">
        <f t="array" ref="BG145">(SUM( IF(ISERROR(AH145:BF145),"", AH145:BF145)))/time</f>
        <v>0</v>
      </c>
      <c r="BH145" s="142">
        <f t="shared" si="334"/>
        <v>0</v>
      </c>
      <c r="BI145" s="142">
        <v>1</v>
      </c>
      <c r="BJ145" s="143">
        <f>IF(BO145&gt;0,BG145+BN145,BG145)</f>
        <v>0</v>
      </c>
      <c r="BL145" s="176" t="e">
        <f t="array" ref="BL145">STDEV(IF(AH145:BF145&lt;&gt;0,AH145:BF145))</f>
        <v>#DIV/0!</v>
      </c>
      <c r="BM145" s="176">
        <v>1.96</v>
      </c>
      <c r="BN145" s="176" t="e">
        <f t="shared" ref="BN145:BN154" si="361">(BM145*BL145)/(time^0.5)</f>
        <v>#DIV/0!</v>
      </c>
      <c r="BO145" s="176">
        <f t="shared" si="335"/>
        <v>0</v>
      </c>
    </row>
    <row r="146" spans="1:67" hidden="1">
      <c r="A146" s="301" t="s">
        <v>205</v>
      </c>
      <c r="B146" s="305"/>
      <c r="C146" s="303"/>
      <c r="D146" s="278"/>
      <c r="E146" s="270"/>
      <c r="F146" s="279">
        <f t="shared" si="332"/>
        <v>0</v>
      </c>
      <c r="G146" s="304"/>
      <c r="H146" s="271"/>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72"/>
      <c r="AE146" s="272"/>
      <c r="AF146" s="273"/>
      <c r="AG146" s="274">
        <f t="shared" si="333"/>
        <v>0</v>
      </c>
      <c r="AH146" s="275">
        <f t="shared" si="336"/>
        <v>0</v>
      </c>
      <c r="AI146" s="276">
        <f t="shared" si="337"/>
        <v>0</v>
      </c>
      <c r="AJ146" s="276">
        <f t="shared" si="338"/>
        <v>0</v>
      </c>
      <c r="AK146" s="276">
        <f t="shared" si="339"/>
        <v>0</v>
      </c>
      <c r="AL146" s="276">
        <f t="shared" si="340"/>
        <v>0</v>
      </c>
      <c r="AM146" s="276" t="str">
        <f t="shared" si="341"/>
        <v/>
      </c>
      <c r="AN146" s="276" t="str">
        <f t="shared" si="342"/>
        <v/>
      </c>
      <c r="AO146" s="276" t="str">
        <f t="shared" si="343"/>
        <v/>
      </c>
      <c r="AP146" s="276" t="str">
        <f t="shared" si="344"/>
        <v/>
      </c>
      <c r="AQ146" s="276" t="str">
        <f t="shared" si="345"/>
        <v/>
      </c>
      <c r="AR146" s="276" t="str">
        <f t="shared" si="346"/>
        <v/>
      </c>
      <c r="AS146" s="276" t="str">
        <f t="shared" si="347"/>
        <v/>
      </c>
      <c r="AT146" s="276" t="str">
        <f t="shared" si="348"/>
        <v/>
      </c>
      <c r="AU146" s="276" t="str">
        <f t="shared" si="349"/>
        <v/>
      </c>
      <c r="AV146" s="276" t="str">
        <f t="shared" si="350"/>
        <v/>
      </c>
      <c r="AW146" s="276" t="str">
        <f t="shared" si="351"/>
        <v/>
      </c>
      <c r="AX146" s="276" t="str">
        <f t="shared" si="352"/>
        <v/>
      </c>
      <c r="AY146" s="276" t="str">
        <f t="shared" si="353"/>
        <v/>
      </c>
      <c r="AZ146" s="276" t="str">
        <f t="shared" si="354"/>
        <v/>
      </c>
      <c r="BA146" s="276" t="str">
        <f t="shared" si="355"/>
        <v/>
      </c>
      <c r="BB146" s="276" t="str">
        <f t="shared" si="356"/>
        <v/>
      </c>
      <c r="BC146" s="276" t="str">
        <f t="shared" si="357"/>
        <v/>
      </c>
      <c r="BD146" s="276" t="str">
        <f t="shared" si="358"/>
        <v/>
      </c>
      <c r="BE146" s="276" t="str">
        <f t="shared" si="359"/>
        <v/>
      </c>
      <c r="BF146" s="277" t="str">
        <f t="shared" si="360"/>
        <v/>
      </c>
      <c r="BG146" s="142">
        <f t="array" ref="BG146">(SUM( IF(ISERROR(AH146:BF146),"", AH146:BF146)))/time</f>
        <v>0</v>
      </c>
      <c r="BH146" s="142">
        <f t="shared" si="334"/>
        <v>0</v>
      </c>
      <c r="BI146" s="142">
        <v>2</v>
      </c>
      <c r="BJ146" s="143">
        <f t="shared" ref="BJ146:BJ154" si="362">IF(BO146&gt;0,BG146+BN146,BG146)</f>
        <v>0</v>
      </c>
      <c r="BL146" s="176" t="e">
        <f t="array" ref="BL146">STDEV(IF(AH146:BF146&lt;&gt;0,AH146:BF146))</f>
        <v>#DIV/0!</v>
      </c>
      <c r="BM146" s="176">
        <v>1.96</v>
      </c>
      <c r="BN146" s="176" t="e">
        <f t="shared" si="361"/>
        <v>#DIV/0!</v>
      </c>
      <c r="BO146" s="176">
        <f t="shared" si="335"/>
        <v>0</v>
      </c>
    </row>
    <row r="147" spans="1:67" hidden="1">
      <c r="A147" s="301" t="s">
        <v>206</v>
      </c>
      <c r="B147" s="305"/>
      <c r="C147" s="303"/>
      <c r="D147" s="278"/>
      <c r="E147" s="270"/>
      <c r="F147" s="279">
        <f t="shared" si="332"/>
        <v>0</v>
      </c>
      <c r="G147" s="304"/>
      <c r="H147" s="271"/>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72"/>
      <c r="AE147" s="272"/>
      <c r="AF147" s="273"/>
      <c r="AG147" s="274">
        <f t="shared" si="333"/>
        <v>0</v>
      </c>
      <c r="AH147" s="275">
        <f t="shared" si="336"/>
        <v>0</v>
      </c>
      <c r="AI147" s="276">
        <f t="shared" si="337"/>
        <v>0</v>
      </c>
      <c r="AJ147" s="276">
        <f t="shared" si="338"/>
        <v>0</v>
      </c>
      <c r="AK147" s="276">
        <f t="shared" si="339"/>
        <v>0</v>
      </c>
      <c r="AL147" s="276">
        <f t="shared" si="340"/>
        <v>0</v>
      </c>
      <c r="AM147" s="276" t="str">
        <f t="shared" si="341"/>
        <v/>
      </c>
      <c r="AN147" s="276" t="str">
        <f t="shared" si="342"/>
        <v/>
      </c>
      <c r="AO147" s="276" t="str">
        <f t="shared" si="343"/>
        <v/>
      </c>
      <c r="AP147" s="276" t="str">
        <f t="shared" si="344"/>
        <v/>
      </c>
      <c r="AQ147" s="276" t="str">
        <f t="shared" si="345"/>
        <v/>
      </c>
      <c r="AR147" s="276" t="str">
        <f t="shared" si="346"/>
        <v/>
      </c>
      <c r="AS147" s="276" t="str">
        <f t="shared" si="347"/>
        <v/>
      </c>
      <c r="AT147" s="276" t="str">
        <f t="shared" si="348"/>
        <v/>
      </c>
      <c r="AU147" s="276" t="str">
        <f t="shared" si="349"/>
        <v/>
      </c>
      <c r="AV147" s="276" t="str">
        <f t="shared" si="350"/>
        <v/>
      </c>
      <c r="AW147" s="276" t="str">
        <f t="shared" si="351"/>
        <v/>
      </c>
      <c r="AX147" s="276" t="str">
        <f t="shared" si="352"/>
        <v/>
      </c>
      <c r="AY147" s="276" t="str">
        <f t="shared" si="353"/>
        <v/>
      </c>
      <c r="AZ147" s="276" t="str">
        <f t="shared" si="354"/>
        <v/>
      </c>
      <c r="BA147" s="276" t="str">
        <f t="shared" si="355"/>
        <v/>
      </c>
      <c r="BB147" s="276" t="str">
        <f t="shared" si="356"/>
        <v/>
      </c>
      <c r="BC147" s="276" t="str">
        <f t="shared" si="357"/>
        <v/>
      </c>
      <c r="BD147" s="276" t="str">
        <f t="shared" si="358"/>
        <v/>
      </c>
      <c r="BE147" s="276" t="str">
        <f t="shared" si="359"/>
        <v/>
      </c>
      <c r="BF147" s="277" t="str">
        <f t="shared" si="360"/>
        <v/>
      </c>
      <c r="BG147" s="142">
        <f t="array" ref="BG147">(SUM( IF(ISERROR(AH147:BF147),"", AH147:BF147)))/time</f>
        <v>0</v>
      </c>
      <c r="BH147" s="142">
        <f t="shared" si="334"/>
        <v>0</v>
      </c>
      <c r="BI147" s="142">
        <v>3</v>
      </c>
      <c r="BJ147" s="143">
        <f t="shared" si="362"/>
        <v>0</v>
      </c>
      <c r="BL147" s="176" t="e">
        <f t="array" ref="BL147">STDEV(IF(AH147:BF147&lt;&gt;0,AH147:BF147))</f>
        <v>#DIV/0!</v>
      </c>
      <c r="BM147" s="176">
        <v>1.96</v>
      </c>
      <c r="BN147" s="176" t="e">
        <f t="shared" si="361"/>
        <v>#DIV/0!</v>
      </c>
      <c r="BO147" s="176">
        <f t="shared" si="335"/>
        <v>0</v>
      </c>
    </row>
    <row r="148" spans="1:67" hidden="1">
      <c r="A148" s="301" t="s">
        <v>207</v>
      </c>
      <c r="B148" s="305"/>
      <c r="C148" s="303"/>
      <c r="D148" s="278"/>
      <c r="E148" s="270"/>
      <c r="F148" s="279">
        <f t="shared" si="332"/>
        <v>0</v>
      </c>
      <c r="G148" s="304"/>
      <c r="H148" s="271"/>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72"/>
      <c r="AE148" s="272"/>
      <c r="AF148" s="273"/>
      <c r="AG148" s="274">
        <f t="shared" si="333"/>
        <v>0</v>
      </c>
      <c r="AH148" s="275">
        <f t="shared" si="336"/>
        <v>0</v>
      </c>
      <c r="AI148" s="276">
        <f t="shared" si="337"/>
        <v>0</v>
      </c>
      <c r="AJ148" s="276">
        <f t="shared" si="338"/>
        <v>0</v>
      </c>
      <c r="AK148" s="276">
        <f t="shared" si="339"/>
        <v>0</v>
      </c>
      <c r="AL148" s="276">
        <f t="shared" si="340"/>
        <v>0</v>
      </c>
      <c r="AM148" s="276" t="str">
        <f t="shared" si="341"/>
        <v/>
      </c>
      <c r="AN148" s="276" t="str">
        <f t="shared" si="342"/>
        <v/>
      </c>
      <c r="AO148" s="276" t="str">
        <f t="shared" si="343"/>
        <v/>
      </c>
      <c r="AP148" s="276" t="str">
        <f t="shared" si="344"/>
        <v/>
      </c>
      <c r="AQ148" s="276" t="str">
        <f t="shared" si="345"/>
        <v/>
      </c>
      <c r="AR148" s="276" t="str">
        <f t="shared" si="346"/>
        <v/>
      </c>
      <c r="AS148" s="276" t="str">
        <f t="shared" si="347"/>
        <v/>
      </c>
      <c r="AT148" s="276" t="str">
        <f t="shared" si="348"/>
        <v/>
      </c>
      <c r="AU148" s="276" t="str">
        <f t="shared" si="349"/>
        <v/>
      </c>
      <c r="AV148" s="276" t="str">
        <f t="shared" si="350"/>
        <v/>
      </c>
      <c r="AW148" s="276" t="str">
        <f t="shared" si="351"/>
        <v/>
      </c>
      <c r="AX148" s="276" t="str">
        <f t="shared" si="352"/>
        <v/>
      </c>
      <c r="AY148" s="276" t="str">
        <f t="shared" si="353"/>
        <v/>
      </c>
      <c r="AZ148" s="276" t="str">
        <f t="shared" si="354"/>
        <v/>
      </c>
      <c r="BA148" s="276" t="str">
        <f t="shared" si="355"/>
        <v/>
      </c>
      <c r="BB148" s="276" t="str">
        <f t="shared" si="356"/>
        <v/>
      </c>
      <c r="BC148" s="276" t="str">
        <f t="shared" si="357"/>
        <v/>
      </c>
      <c r="BD148" s="276" t="str">
        <f t="shared" si="358"/>
        <v/>
      </c>
      <c r="BE148" s="276" t="str">
        <f t="shared" si="359"/>
        <v/>
      </c>
      <c r="BF148" s="277" t="str">
        <f t="shared" si="360"/>
        <v/>
      </c>
      <c r="BG148" s="142">
        <f t="array" ref="BG148">(SUM( IF(ISERROR(AH148:BF148),"", AH148:BF148)))/time</f>
        <v>0</v>
      </c>
      <c r="BH148" s="142">
        <f t="shared" si="334"/>
        <v>0</v>
      </c>
      <c r="BI148" s="142">
        <v>4</v>
      </c>
      <c r="BJ148" s="143">
        <f t="shared" si="362"/>
        <v>0</v>
      </c>
      <c r="BL148" s="176" t="e">
        <f t="array" ref="BL148">STDEV(IF(AH148:BF148&lt;&gt;0,AH148:BF148))</f>
        <v>#DIV/0!</v>
      </c>
      <c r="BM148" s="176">
        <v>1.96</v>
      </c>
      <c r="BN148" s="176" t="e">
        <f t="shared" si="361"/>
        <v>#DIV/0!</v>
      </c>
      <c r="BO148" s="176">
        <f t="shared" si="335"/>
        <v>0</v>
      </c>
    </row>
    <row r="149" spans="1:67" hidden="1">
      <c r="A149" s="301" t="s">
        <v>208</v>
      </c>
      <c r="B149" s="305"/>
      <c r="C149" s="303"/>
      <c r="D149" s="278"/>
      <c r="E149" s="270"/>
      <c r="F149" s="279">
        <f t="shared" si="332"/>
        <v>0</v>
      </c>
      <c r="G149" s="304"/>
      <c r="H149" s="271"/>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272"/>
      <c r="AF149" s="273"/>
      <c r="AG149" s="274">
        <f t="shared" si="333"/>
        <v>0</v>
      </c>
      <c r="AH149" s="275">
        <f t="shared" si="336"/>
        <v>0</v>
      </c>
      <c r="AI149" s="276">
        <f t="shared" si="337"/>
        <v>0</v>
      </c>
      <c r="AJ149" s="276">
        <f t="shared" si="338"/>
        <v>0</v>
      </c>
      <c r="AK149" s="276">
        <f t="shared" si="339"/>
        <v>0</v>
      </c>
      <c r="AL149" s="276">
        <f t="shared" si="340"/>
        <v>0</v>
      </c>
      <c r="AM149" s="276" t="str">
        <f t="shared" si="341"/>
        <v/>
      </c>
      <c r="AN149" s="276" t="str">
        <f t="shared" si="342"/>
        <v/>
      </c>
      <c r="AO149" s="276" t="str">
        <f t="shared" si="343"/>
        <v/>
      </c>
      <c r="AP149" s="276" t="str">
        <f t="shared" si="344"/>
        <v/>
      </c>
      <c r="AQ149" s="276" t="str">
        <f t="shared" si="345"/>
        <v/>
      </c>
      <c r="AR149" s="276" t="str">
        <f t="shared" si="346"/>
        <v/>
      </c>
      <c r="AS149" s="276" t="str">
        <f t="shared" si="347"/>
        <v/>
      </c>
      <c r="AT149" s="276" t="str">
        <f t="shared" si="348"/>
        <v/>
      </c>
      <c r="AU149" s="276" t="str">
        <f t="shared" si="349"/>
        <v/>
      </c>
      <c r="AV149" s="276" t="str">
        <f t="shared" si="350"/>
        <v/>
      </c>
      <c r="AW149" s="276" t="str">
        <f t="shared" si="351"/>
        <v/>
      </c>
      <c r="AX149" s="276" t="str">
        <f t="shared" si="352"/>
        <v/>
      </c>
      <c r="AY149" s="276" t="str">
        <f t="shared" si="353"/>
        <v/>
      </c>
      <c r="AZ149" s="276" t="str">
        <f t="shared" si="354"/>
        <v/>
      </c>
      <c r="BA149" s="276" t="str">
        <f t="shared" si="355"/>
        <v/>
      </c>
      <c r="BB149" s="276" t="str">
        <f t="shared" si="356"/>
        <v/>
      </c>
      <c r="BC149" s="276" t="str">
        <f t="shared" si="357"/>
        <v/>
      </c>
      <c r="BD149" s="276" t="str">
        <f t="shared" si="358"/>
        <v/>
      </c>
      <c r="BE149" s="276" t="str">
        <f t="shared" si="359"/>
        <v/>
      </c>
      <c r="BF149" s="277" t="str">
        <f t="shared" si="360"/>
        <v/>
      </c>
      <c r="BG149" s="142">
        <f t="array" ref="BG149">(SUM( IF(ISERROR(AH149:BF149),"", AH149:BF149)))/time</f>
        <v>0</v>
      </c>
      <c r="BH149" s="142">
        <f t="shared" si="334"/>
        <v>0</v>
      </c>
      <c r="BI149" s="142">
        <v>5</v>
      </c>
      <c r="BJ149" s="143">
        <f t="shared" si="362"/>
        <v>0</v>
      </c>
      <c r="BL149" s="176" t="e">
        <f t="array" ref="BL149">STDEV(IF(AH149:BF149&lt;&gt;0,AH149:BF149))</f>
        <v>#DIV/0!</v>
      </c>
      <c r="BM149" s="176">
        <v>1.96</v>
      </c>
      <c r="BN149" s="176" t="e">
        <f t="shared" si="361"/>
        <v>#DIV/0!</v>
      </c>
      <c r="BO149" s="176">
        <f t="shared" si="335"/>
        <v>0</v>
      </c>
    </row>
    <row r="150" spans="1:67" hidden="1">
      <c r="A150" s="301" t="s">
        <v>209</v>
      </c>
      <c r="B150" s="305"/>
      <c r="C150" s="303"/>
      <c r="D150" s="278"/>
      <c r="E150" s="270"/>
      <c r="F150" s="279">
        <f t="shared" si="332"/>
        <v>0</v>
      </c>
      <c r="G150" s="304"/>
      <c r="H150" s="271"/>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272"/>
      <c r="AF150" s="273"/>
      <c r="AG150" s="274">
        <f t="shared" si="333"/>
        <v>0</v>
      </c>
      <c r="AH150" s="275">
        <f t="shared" si="336"/>
        <v>0</v>
      </c>
      <c r="AI150" s="276">
        <f t="shared" si="337"/>
        <v>0</v>
      </c>
      <c r="AJ150" s="276">
        <f t="shared" si="338"/>
        <v>0</v>
      </c>
      <c r="AK150" s="276">
        <f t="shared" si="339"/>
        <v>0</v>
      </c>
      <c r="AL150" s="276">
        <f t="shared" si="340"/>
        <v>0</v>
      </c>
      <c r="AM150" s="276" t="str">
        <f t="shared" si="341"/>
        <v/>
      </c>
      <c r="AN150" s="276" t="str">
        <f t="shared" si="342"/>
        <v/>
      </c>
      <c r="AO150" s="276" t="str">
        <f t="shared" si="343"/>
        <v/>
      </c>
      <c r="AP150" s="276" t="str">
        <f t="shared" si="344"/>
        <v/>
      </c>
      <c r="AQ150" s="276" t="str">
        <f t="shared" si="345"/>
        <v/>
      </c>
      <c r="AR150" s="276" t="str">
        <f t="shared" si="346"/>
        <v/>
      </c>
      <c r="AS150" s="276" t="str">
        <f t="shared" si="347"/>
        <v/>
      </c>
      <c r="AT150" s="276" t="str">
        <f t="shared" si="348"/>
        <v/>
      </c>
      <c r="AU150" s="276" t="str">
        <f t="shared" si="349"/>
        <v/>
      </c>
      <c r="AV150" s="276" t="str">
        <f t="shared" si="350"/>
        <v/>
      </c>
      <c r="AW150" s="276" t="str">
        <f t="shared" si="351"/>
        <v/>
      </c>
      <c r="AX150" s="276" t="str">
        <f t="shared" si="352"/>
        <v/>
      </c>
      <c r="AY150" s="276" t="str">
        <f t="shared" si="353"/>
        <v/>
      </c>
      <c r="AZ150" s="276" t="str">
        <f t="shared" si="354"/>
        <v/>
      </c>
      <c r="BA150" s="276" t="str">
        <f t="shared" si="355"/>
        <v/>
      </c>
      <c r="BB150" s="276" t="str">
        <f t="shared" si="356"/>
        <v/>
      </c>
      <c r="BC150" s="276" t="str">
        <f t="shared" si="357"/>
        <v/>
      </c>
      <c r="BD150" s="276" t="str">
        <f t="shared" si="358"/>
        <v/>
      </c>
      <c r="BE150" s="276" t="str">
        <f t="shared" si="359"/>
        <v/>
      </c>
      <c r="BF150" s="277" t="str">
        <f t="shared" si="360"/>
        <v/>
      </c>
      <c r="BG150" s="142">
        <f t="array" ref="BG150">(SUM( IF(ISERROR(AH150:BF150),"", AH150:BF150)))/time</f>
        <v>0</v>
      </c>
      <c r="BH150" s="142">
        <f t="shared" si="334"/>
        <v>0</v>
      </c>
      <c r="BI150" s="142">
        <v>6</v>
      </c>
      <c r="BJ150" s="143">
        <f t="shared" si="362"/>
        <v>0</v>
      </c>
      <c r="BL150" s="176" t="e">
        <f t="array" ref="BL150">STDEV(IF(AH150:BF150&lt;&gt;0,AH150:BF150))</f>
        <v>#DIV/0!</v>
      </c>
      <c r="BM150" s="176">
        <v>1.96</v>
      </c>
      <c r="BN150" s="176" t="e">
        <f t="shared" si="361"/>
        <v>#DIV/0!</v>
      </c>
      <c r="BO150" s="176">
        <f t="shared" si="335"/>
        <v>0</v>
      </c>
    </row>
    <row r="151" spans="1:67" hidden="1">
      <c r="A151" s="301" t="s">
        <v>210</v>
      </c>
      <c r="B151" s="305"/>
      <c r="C151" s="303"/>
      <c r="D151" s="278"/>
      <c r="E151" s="270"/>
      <c r="F151" s="279">
        <f t="shared" si="332"/>
        <v>0</v>
      </c>
      <c r="G151" s="304"/>
      <c r="H151" s="271"/>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c r="AE151" s="272"/>
      <c r="AF151" s="273"/>
      <c r="AG151" s="274">
        <f t="shared" si="333"/>
        <v>0</v>
      </c>
      <c r="AH151" s="275">
        <f t="shared" si="336"/>
        <v>0</v>
      </c>
      <c r="AI151" s="276">
        <f t="shared" si="337"/>
        <v>0</v>
      </c>
      <c r="AJ151" s="276">
        <f t="shared" si="338"/>
        <v>0</v>
      </c>
      <c r="AK151" s="276">
        <f t="shared" si="339"/>
        <v>0</v>
      </c>
      <c r="AL151" s="276">
        <f t="shared" si="340"/>
        <v>0</v>
      </c>
      <c r="AM151" s="276" t="str">
        <f t="shared" si="341"/>
        <v/>
      </c>
      <c r="AN151" s="276" t="str">
        <f t="shared" si="342"/>
        <v/>
      </c>
      <c r="AO151" s="276" t="str">
        <f t="shared" si="343"/>
        <v/>
      </c>
      <c r="AP151" s="276" t="str">
        <f t="shared" si="344"/>
        <v/>
      </c>
      <c r="AQ151" s="276" t="str">
        <f t="shared" si="345"/>
        <v/>
      </c>
      <c r="AR151" s="276" t="str">
        <f t="shared" si="346"/>
        <v/>
      </c>
      <c r="AS151" s="276" t="str">
        <f t="shared" si="347"/>
        <v/>
      </c>
      <c r="AT151" s="276" t="str">
        <f t="shared" si="348"/>
        <v/>
      </c>
      <c r="AU151" s="276" t="str">
        <f t="shared" si="349"/>
        <v/>
      </c>
      <c r="AV151" s="276" t="str">
        <f t="shared" si="350"/>
        <v/>
      </c>
      <c r="AW151" s="276" t="str">
        <f t="shared" si="351"/>
        <v/>
      </c>
      <c r="AX151" s="276" t="str">
        <f t="shared" si="352"/>
        <v/>
      </c>
      <c r="AY151" s="276" t="str">
        <f t="shared" si="353"/>
        <v/>
      </c>
      <c r="AZ151" s="276" t="str">
        <f t="shared" si="354"/>
        <v/>
      </c>
      <c r="BA151" s="276" t="str">
        <f t="shared" si="355"/>
        <v/>
      </c>
      <c r="BB151" s="276" t="str">
        <f t="shared" si="356"/>
        <v/>
      </c>
      <c r="BC151" s="276" t="str">
        <f t="shared" si="357"/>
        <v/>
      </c>
      <c r="BD151" s="276" t="str">
        <f t="shared" si="358"/>
        <v/>
      </c>
      <c r="BE151" s="276" t="str">
        <f t="shared" si="359"/>
        <v/>
      </c>
      <c r="BF151" s="277" t="str">
        <f t="shared" si="360"/>
        <v/>
      </c>
      <c r="BG151" s="142">
        <f t="array" ref="BG151">(SUM( IF(ISERROR(AH151:BF151),"", AH151:BF151)))/time</f>
        <v>0</v>
      </c>
      <c r="BH151" s="142">
        <f t="shared" si="334"/>
        <v>0</v>
      </c>
      <c r="BI151" s="142">
        <v>7</v>
      </c>
      <c r="BJ151" s="143">
        <f t="shared" si="362"/>
        <v>0</v>
      </c>
      <c r="BL151" s="176" t="e">
        <f t="array" ref="BL151">STDEV(IF(AH151:BF151&lt;&gt;0,AH151:BF151))</f>
        <v>#DIV/0!</v>
      </c>
      <c r="BM151" s="176">
        <v>1.96</v>
      </c>
      <c r="BN151" s="176" t="e">
        <f t="shared" si="361"/>
        <v>#DIV/0!</v>
      </c>
      <c r="BO151" s="176">
        <f t="shared" si="335"/>
        <v>0</v>
      </c>
    </row>
    <row r="152" spans="1:67" hidden="1">
      <c r="A152" s="301" t="s">
        <v>211</v>
      </c>
      <c r="B152" s="305"/>
      <c r="C152" s="303"/>
      <c r="D152" s="278"/>
      <c r="E152" s="270"/>
      <c r="F152" s="279">
        <f t="shared" si="332"/>
        <v>0</v>
      </c>
      <c r="G152" s="304"/>
      <c r="H152" s="271"/>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272"/>
      <c r="AF152" s="273"/>
      <c r="AG152" s="274">
        <f t="shared" si="333"/>
        <v>0</v>
      </c>
      <c r="AH152" s="275">
        <f t="shared" si="336"/>
        <v>0</v>
      </c>
      <c r="AI152" s="276">
        <f t="shared" si="337"/>
        <v>0</v>
      </c>
      <c r="AJ152" s="276">
        <f t="shared" si="338"/>
        <v>0</v>
      </c>
      <c r="AK152" s="276">
        <f t="shared" si="339"/>
        <v>0</v>
      </c>
      <c r="AL152" s="276">
        <f t="shared" si="340"/>
        <v>0</v>
      </c>
      <c r="AM152" s="276" t="str">
        <f t="shared" si="341"/>
        <v/>
      </c>
      <c r="AN152" s="276" t="str">
        <f t="shared" si="342"/>
        <v/>
      </c>
      <c r="AO152" s="276" t="str">
        <f t="shared" si="343"/>
        <v/>
      </c>
      <c r="AP152" s="276" t="str">
        <f t="shared" si="344"/>
        <v/>
      </c>
      <c r="AQ152" s="276" t="str">
        <f t="shared" si="345"/>
        <v/>
      </c>
      <c r="AR152" s="276" t="str">
        <f t="shared" si="346"/>
        <v/>
      </c>
      <c r="AS152" s="276" t="str">
        <f t="shared" si="347"/>
        <v/>
      </c>
      <c r="AT152" s="276" t="str">
        <f t="shared" si="348"/>
        <v/>
      </c>
      <c r="AU152" s="276" t="str">
        <f t="shared" si="349"/>
        <v/>
      </c>
      <c r="AV152" s="276" t="str">
        <f t="shared" si="350"/>
        <v/>
      </c>
      <c r="AW152" s="276" t="str">
        <f t="shared" si="351"/>
        <v/>
      </c>
      <c r="AX152" s="276" t="str">
        <f t="shared" si="352"/>
        <v/>
      </c>
      <c r="AY152" s="276" t="str">
        <f t="shared" si="353"/>
        <v/>
      </c>
      <c r="AZ152" s="276" t="str">
        <f t="shared" si="354"/>
        <v/>
      </c>
      <c r="BA152" s="276" t="str">
        <f t="shared" si="355"/>
        <v/>
      </c>
      <c r="BB152" s="276" t="str">
        <f t="shared" si="356"/>
        <v/>
      </c>
      <c r="BC152" s="276" t="str">
        <f t="shared" si="357"/>
        <v/>
      </c>
      <c r="BD152" s="276" t="str">
        <f t="shared" si="358"/>
        <v/>
      </c>
      <c r="BE152" s="276" t="str">
        <f t="shared" si="359"/>
        <v/>
      </c>
      <c r="BF152" s="277" t="str">
        <f t="shared" si="360"/>
        <v/>
      </c>
      <c r="BG152" s="142">
        <f t="array" ref="BG152">(SUM( IF(ISERROR(AH152:BF152),"", AH152:BF152)))/time</f>
        <v>0</v>
      </c>
      <c r="BH152" s="142">
        <f t="shared" si="334"/>
        <v>0</v>
      </c>
      <c r="BI152" s="142">
        <v>8</v>
      </c>
      <c r="BJ152" s="143">
        <f t="shared" si="362"/>
        <v>0</v>
      </c>
      <c r="BL152" s="176" t="e">
        <f t="array" ref="BL152">STDEV(IF(AH152:BF152&lt;&gt;0,AH152:BF152))</f>
        <v>#DIV/0!</v>
      </c>
      <c r="BM152" s="176">
        <v>1.96</v>
      </c>
      <c r="BN152" s="176" t="e">
        <f t="shared" si="361"/>
        <v>#DIV/0!</v>
      </c>
      <c r="BO152" s="176">
        <f t="shared" si="335"/>
        <v>0</v>
      </c>
    </row>
    <row r="153" spans="1:67" hidden="1">
      <c r="A153" s="301" t="s">
        <v>212</v>
      </c>
      <c r="B153" s="305"/>
      <c r="C153" s="303"/>
      <c r="D153" s="278"/>
      <c r="E153" s="270"/>
      <c r="F153" s="279">
        <f t="shared" si="332"/>
        <v>0</v>
      </c>
      <c r="G153" s="304"/>
      <c r="H153" s="271"/>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c r="AE153" s="272"/>
      <c r="AF153" s="273"/>
      <c r="AG153" s="274">
        <f t="shared" si="333"/>
        <v>0</v>
      </c>
      <c r="AH153" s="275">
        <f t="shared" si="336"/>
        <v>0</v>
      </c>
      <c r="AI153" s="276">
        <f t="shared" si="337"/>
        <v>0</v>
      </c>
      <c r="AJ153" s="276">
        <f t="shared" si="338"/>
        <v>0</v>
      </c>
      <c r="AK153" s="276">
        <f t="shared" si="339"/>
        <v>0</v>
      </c>
      <c r="AL153" s="276">
        <f t="shared" si="340"/>
        <v>0</v>
      </c>
      <c r="AM153" s="276" t="str">
        <f t="shared" si="341"/>
        <v/>
      </c>
      <c r="AN153" s="276" t="str">
        <f t="shared" si="342"/>
        <v/>
      </c>
      <c r="AO153" s="276" t="str">
        <f t="shared" si="343"/>
        <v/>
      </c>
      <c r="AP153" s="276" t="str">
        <f t="shared" si="344"/>
        <v/>
      </c>
      <c r="AQ153" s="276" t="str">
        <f t="shared" si="345"/>
        <v/>
      </c>
      <c r="AR153" s="276" t="str">
        <f t="shared" si="346"/>
        <v/>
      </c>
      <c r="AS153" s="276" t="str">
        <f t="shared" si="347"/>
        <v/>
      </c>
      <c r="AT153" s="276" t="str">
        <f t="shared" si="348"/>
        <v/>
      </c>
      <c r="AU153" s="276" t="str">
        <f t="shared" si="349"/>
        <v/>
      </c>
      <c r="AV153" s="276" t="str">
        <f t="shared" si="350"/>
        <v/>
      </c>
      <c r="AW153" s="276" t="str">
        <f t="shared" si="351"/>
        <v/>
      </c>
      <c r="AX153" s="276" t="str">
        <f t="shared" si="352"/>
        <v/>
      </c>
      <c r="AY153" s="276" t="str">
        <f t="shared" si="353"/>
        <v/>
      </c>
      <c r="AZ153" s="276" t="str">
        <f t="shared" si="354"/>
        <v/>
      </c>
      <c r="BA153" s="276" t="str">
        <f t="shared" si="355"/>
        <v/>
      </c>
      <c r="BB153" s="276" t="str">
        <f t="shared" si="356"/>
        <v/>
      </c>
      <c r="BC153" s="276" t="str">
        <f t="shared" si="357"/>
        <v/>
      </c>
      <c r="BD153" s="276" t="str">
        <f t="shared" si="358"/>
        <v/>
      </c>
      <c r="BE153" s="276" t="str">
        <f t="shared" si="359"/>
        <v/>
      </c>
      <c r="BF153" s="277" t="str">
        <f t="shared" si="360"/>
        <v/>
      </c>
      <c r="BG153" s="142">
        <f t="array" ref="BG153">(SUM( IF(ISERROR(AH153:BF153),"", AH153:BF153)))/time</f>
        <v>0</v>
      </c>
      <c r="BH153" s="142">
        <f t="shared" si="334"/>
        <v>0</v>
      </c>
      <c r="BI153" s="142">
        <v>9</v>
      </c>
      <c r="BJ153" s="143">
        <f t="shared" si="362"/>
        <v>0</v>
      </c>
      <c r="BL153" s="176" t="e">
        <f t="array" ref="BL153">STDEV(IF(AH153:BF153&lt;&gt;0,AH153:BF153))</f>
        <v>#DIV/0!</v>
      </c>
      <c r="BM153" s="176">
        <v>1.96</v>
      </c>
      <c r="BN153" s="176" t="e">
        <f t="shared" si="361"/>
        <v>#DIV/0!</v>
      </c>
      <c r="BO153" s="176">
        <f t="shared" si="335"/>
        <v>0</v>
      </c>
    </row>
    <row r="154" spans="1:67" hidden="1">
      <c r="A154" s="301" t="s">
        <v>213</v>
      </c>
      <c r="B154" s="305"/>
      <c r="C154" s="303"/>
      <c r="D154" s="278"/>
      <c r="E154" s="270"/>
      <c r="F154" s="279">
        <f t="shared" si="332"/>
        <v>0</v>
      </c>
      <c r="G154" s="304"/>
      <c r="H154" s="271"/>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s="273"/>
      <c r="AG154" s="274">
        <f t="shared" si="333"/>
        <v>0</v>
      </c>
      <c r="AH154" s="275">
        <f t="shared" si="336"/>
        <v>0</v>
      </c>
      <c r="AI154" s="276">
        <f t="shared" si="337"/>
        <v>0</v>
      </c>
      <c r="AJ154" s="276">
        <f t="shared" si="338"/>
        <v>0</v>
      </c>
      <c r="AK154" s="276">
        <f t="shared" si="339"/>
        <v>0</v>
      </c>
      <c r="AL154" s="276">
        <f t="shared" si="340"/>
        <v>0</v>
      </c>
      <c r="AM154" s="276" t="str">
        <f t="shared" si="341"/>
        <v/>
      </c>
      <c r="AN154" s="276" t="str">
        <f t="shared" si="342"/>
        <v/>
      </c>
      <c r="AO154" s="276" t="str">
        <f t="shared" si="343"/>
        <v/>
      </c>
      <c r="AP154" s="276" t="str">
        <f t="shared" si="344"/>
        <v/>
      </c>
      <c r="AQ154" s="276" t="str">
        <f t="shared" si="345"/>
        <v/>
      </c>
      <c r="AR154" s="276" t="str">
        <f t="shared" si="346"/>
        <v/>
      </c>
      <c r="AS154" s="276" t="str">
        <f t="shared" si="347"/>
        <v/>
      </c>
      <c r="AT154" s="276" t="str">
        <f t="shared" si="348"/>
        <v/>
      </c>
      <c r="AU154" s="276" t="str">
        <f t="shared" si="349"/>
        <v/>
      </c>
      <c r="AV154" s="276" t="str">
        <f t="shared" si="350"/>
        <v/>
      </c>
      <c r="AW154" s="276" t="str">
        <f t="shared" si="351"/>
        <v/>
      </c>
      <c r="AX154" s="276" t="str">
        <f t="shared" si="352"/>
        <v/>
      </c>
      <c r="AY154" s="276" t="str">
        <f t="shared" si="353"/>
        <v/>
      </c>
      <c r="AZ154" s="276" t="str">
        <f t="shared" si="354"/>
        <v/>
      </c>
      <c r="BA154" s="276" t="str">
        <f t="shared" si="355"/>
        <v/>
      </c>
      <c r="BB154" s="276" t="str">
        <f t="shared" si="356"/>
        <v/>
      </c>
      <c r="BC154" s="276" t="str">
        <f t="shared" si="357"/>
        <v/>
      </c>
      <c r="BD154" s="276" t="str">
        <f t="shared" si="358"/>
        <v/>
      </c>
      <c r="BE154" s="276" t="str">
        <f t="shared" si="359"/>
        <v/>
      </c>
      <c r="BF154" s="277" t="str">
        <f t="shared" si="360"/>
        <v/>
      </c>
      <c r="BG154" s="142">
        <f t="array" ref="BG154">(SUM( IF(ISERROR(AH154:BF154),"", AH154:BF154)))/time</f>
        <v>0</v>
      </c>
      <c r="BH154" s="142">
        <f t="shared" si="334"/>
        <v>0</v>
      </c>
      <c r="BI154" s="142">
        <v>10</v>
      </c>
      <c r="BJ154" s="143">
        <f t="shared" si="362"/>
        <v>0</v>
      </c>
      <c r="BL154" s="176" t="e">
        <f t="array" ref="BL154">STDEV(IF(AH154:BF154&lt;&gt;0,AH154:BF154))</f>
        <v>#DIV/0!</v>
      </c>
      <c r="BM154" s="176">
        <v>1.96</v>
      </c>
      <c r="BN154" s="176" t="e">
        <f t="shared" si="361"/>
        <v>#DIV/0!</v>
      </c>
      <c r="BO154" s="176">
        <f t="shared" si="335"/>
        <v>0</v>
      </c>
    </row>
    <row r="155" spans="1:67" s="196" customFormat="1">
      <c r="A155" s="290" t="s">
        <v>17</v>
      </c>
      <c r="F155" s="203"/>
      <c r="H155" s="202"/>
      <c r="AG155" s="291"/>
      <c r="AH155" s="202"/>
      <c r="BJ155" s="203"/>
    </row>
    <row r="156" spans="1:67" s="196" customFormat="1">
      <c r="A156" s="302" t="s">
        <v>181</v>
      </c>
      <c r="F156" s="203"/>
      <c r="H156" s="202"/>
      <c r="AG156" s="291"/>
      <c r="AH156" s="202"/>
      <c r="BJ156" s="203"/>
    </row>
    <row r="157" spans="1:67">
      <c r="A157" s="848" t="s">
        <v>182</v>
      </c>
      <c r="B157" s="852"/>
      <c r="C157" s="851"/>
      <c r="D157" s="845"/>
      <c r="E157" s="847"/>
      <c r="F157" s="846">
        <f t="shared" si="332"/>
        <v>0</v>
      </c>
      <c r="G157" s="304"/>
      <c r="H157" s="842"/>
      <c r="I157" s="843"/>
      <c r="J157" s="843"/>
      <c r="K157" s="843"/>
      <c r="L157" s="843"/>
      <c r="M157" s="272"/>
      <c r="N157" s="272"/>
      <c r="O157" s="272"/>
      <c r="P157" s="272"/>
      <c r="Q157" s="272"/>
      <c r="R157" s="272"/>
      <c r="S157" s="272"/>
      <c r="T157" s="272"/>
      <c r="U157" s="272"/>
      <c r="V157" s="272"/>
      <c r="W157" s="272"/>
      <c r="X157" s="272"/>
      <c r="Y157" s="272"/>
      <c r="Z157" s="272"/>
      <c r="AA157" s="272"/>
      <c r="AB157" s="272"/>
      <c r="AC157" s="272"/>
      <c r="AD157" s="272"/>
      <c r="AE157" s="272"/>
      <c r="AF157" s="273"/>
      <c r="AG157" s="274">
        <f t="shared" si="333"/>
        <v>0</v>
      </c>
      <c r="AH157" s="275">
        <f t="shared" ref="AH157:AH166" si="363">IF(AH$225&lt;=time,H157*$F157,"")</f>
        <v>0</v>
      </c>
      <c r="AI157" s="276">
        <f t="shared" ref="AI157:AI166" si="364">IF(AI$225&lt;=time,I157*$F157,"")</f>
        <v>0</v>
      </c>
      <c r="AJ157" s="276">
        <f t="shared" ref="AJ157:AJ166" si="365">IF(AJ$225&lt;=time,J157*$F157,"")</f>
        <v>0</v>
      </c>
      <c r="AK157" s="276">
        <f t="shared" ref="AK157:AK166" si="366">IF(AK$225&lt;=time,K157*$F157,"")</f>
        <v>0</v>
      </c>
      <c r="AL157" s="276">
        <f t="shared" ref="AL157:AL166" si="367">IF(AL$225&lt;=time,L157*$F157,"")</f>
        <v>0</v>
      </c>
      <c r="AM157" s="276" t="str">
        <f t="shared" ref="AM157:AM166" si="368">IF(AM$225&lt;=time,M157*$F157,"")</f>
        <v/>
      </c>
      <c r="AN157" s="276" t="str">
        <f t="shared" ref="AN157:AN166" si="369">IF(AN$225&lt;=time,N157*$F157,"")</f>
        <v/>
      </c>
      <c r="AO157" s="276" t="str">
        <f t="shared" ref="AO157:AO166" si="370">IF(AO$225&lt;=time,O157*$F157,"")</f>
        <v/>
      </c>
      <c r="AP157" s="276" t="str">
        <f t="shared" ref="AP157:AP166" si="371">IF(AP$225&lt;=time,P157*$F157,"")</f>
        <v/>
      </c>
      <c r="AQ157" s="276" t="str">
        <f t="shared" ref="AQ157:AQ166" si="372">IF(AQ$225&lt;=time,Q157*$F157,"")</f>
        <v/>
      </c>
      <c r="AR157" s="276" t="str">
        <f t="shared" ref="AR157:AR166" si="373">IF(AR$225&lt;=time,R157*$F157,"")</f>
        <v/>
      </c>
      <c r="AS157" s="276" t="str">
        <f t="shared" ref="AS157:AS166" si="374">IF(AS$225&lt;=time,S157*$F157,"")</f>
        <v/>
      </c>
      <c r="AT157" s="276" t="str">
        <f t="shared" ref="AT157:AT166" si="375">IF(AT$225&lt;=time,T157*$F157,"")</f>
        <v/>
      </c>
      <c r="AU157" s="276" t="str">
        <f t="shared" ref="AU157:AU166" si="376">IF(AU$225&lt;=time,U157*$F157,"")</f>
        <v/>
      </c>
      <c r="AV157" s="276" t="str">
        <f t="shared" ref="AV157:AV166" si="377">IF(AV$225&lt;=time,V157*$F157,"")</f>
        <v/>
      </c>
      <c r="AW157" s="276" t="str">
        <f t="shared" ref="AW157:AW166" si="378">IF(AW$225&lt;=time,W157*$F157,"")</f>
        <v/>
      </c>
      <c r="AX157" s="276" t="str">
        <f t="shared" ref="AX157:AX166" si="379">IF(AX$225&lt;=time,X157*$F157,"")</f>
        <v/>
      </c>
      <c r="AY157" s="276" t="str">
        <f t="shared" ref="AY157:AY166" si="380">IF(AY$225&lt;=time,Y157*$F157,"")</f>
        <v/>
      </c>
      <c r="AZ157" s="276" t="str">
        <f t="shared" ref="AZ157:AZ166" si="381">IF(AZ$225&lt;=time,Z157*$F157,"")</f>
        <v/>
      </c>
      <c r="BA157" s="276" t="str">
        <f t="shared" ref="BA157:BA166" si="382">IF(BA$225&lt;=time,AA157*$F157,"")</f>
        <v/>
      </c>
      <c r="BB157" s="276" t="str">
        <f t="shared" ref="BB157:BB166" si="383">IF(BB$225&lt;=time,AB157*$F157,"")</f>
        <v/>
      </c>
      <c r="BC157" s="276" t="str">
        <f t="shared" ref="BC157:BC166" si="384">IF(BC$225&lt;=time,AC157*$F157,"")</f>
        <v/>
      </c>
      <c r="BD157" s="276" t="str">
        <f t="shared" ref="BD157:BD166" si="385">IF(BD$225&lt;=time,AD157*$F157,"")</f>
        <v/>
      </c>
      <c r="BE157" s="276" t="str">
        <f t="shared" ref="BE157:BE166" si="386">IF(BE$225&lt;=time,AE157*$F157,"")</f>
        <v/>
      </c>
      <c r="BF157" s="277" t="str">
        <f t="shared" ref="BF157:BF166" si="387">IF(BF$225&lt;=time,AF157*$F157,"")</f>
        <v/>
      </c>
      <c r="BG157" s="142">
        <f t="array" ref="BG157">(SUM( IF(ISERROR(AH157:BF157),"", AH157:BF157)))/time</f>
        <v>0</v>
      </c>
      <c r="BH157" s="142">
        <f t="shared" si="334"/>
        <v>0</v>
      </c>
      <c r="BI157" s="142">
        <v>1</v>
      </c>
      <c r="BJ157" s="143">
        <f>IF(BO157&gt;0,BG157+BN157,BG157)</f>
        <v>0</v>
      </c>
      <c r="BL157" s="176" t="e">
        <f t="array" ref="BL157">STDEV(IF(AH157:BF157&lt;&gt;0,AH157:BF157))</f>
        <v>#DIV/0!</v>
      </c>
      <c r="BM157" s="176">
        <v>1.96</v>
      </c>
      <c r="BN157" s="176" t="e">
        <f t="shared" ref="BN157:BN166" si="388">(BM157*BL157)/(time^0.5)</f>
        <v>#DIV/0!</v>
      </c>
      <c r="BO157" s="176">
        <f t="shared" si="335"/>
        <v>0</v>
      </c>
    </row>
    <row r="158" spans="1:67" hidden="1">
      <c r="A158" s="301" t="s">
        <v>183</v>
      </c>
      <c r="B158" s="305"/>
      <c r="C158" s="303"/>
      <c r="D158" s="278"/>
      <c r="E158" s="270"/>
      <c r="F158" s="279">
        <f t="shared" si="332"/>
        <v>0</v>
      </c>
      <c r="G158" s="304"/>
      <c r="H158" s="271"/>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272"/>
      <c r="AF158" s="273"/>
      <c r="AG158" s="274">
        <f t="shared" si="333"/>
        <v>0</v>
      </c>
      <c r="AH158" s="275">
        <f t="shared" si="363"/>
        <v>0</v>
      </c>
      <c r="AI158" s="276">
        <f t="shared" si="364"/>
        <v>0</v>
      </c>
      <c r="AJ158" s="276">
        <f t="shared" si="365"/>
        <v>0</v>
      </c>
      <c r="AK158" s="276">
        <f t="shared" si="366"/>
        <v>0</v>
      </c>
      <c r="AL158" s="276">
        <f t="shared" si="367"/>
        <v>0</v>
      </c>
      <c r="AM158" s="276" t="str">
        <f t="shared" si="368"/>
        <v/>
      </c>
      <c r="AN158" s="276" t="str">
        <f t="shared" si="369"/>
        <v/>
      </c>
      <c r="AO158" s="276" t="str">
        <f t="shared" si="370"/>
        <v/>
      </c>
      <c r="AP158" s="276" t="str">
        <f t="shared" si="371"/>
        <v/>
      </c>
      <c r="AQ158" s="276" t="str">
        <f t="shared" si="372"/>
        <v/>
      </c>
      <c r="AR158" s="276" t="str">
        <f t="shared" si="373"/>
        <v/>
      </c>
      <c r="AS158" s="276" t="str">
        <f t="shared" si="374"/>
        <v/>
      </c>
      <c r="AT158" s="276" t="str">
        <f t="shared" si="375"/>
        <v/>
      </c>
      <c r="AU158" s="276" t="str">
        <f t="shared" si="376"/>
        <v/>
      </c>
      <c r="AV158" s="276" t="str">
        <f t="shared" si="377"/>
        <v/>
      </c>
      <c r="AW158" s="276" t="str">
        <f t="shared" si="378"/>
        <v/>
      </c>
      <c r="AX158" s="276" t="str">
        <f t="shared" si="379"/>
        <v/>
      </c>
      <c r="AY158" s="276" t="str">
        <f t="shared" si="380"/>
        <v/>
      </c>
      <c r="AZ158" s="276" t="str">
        <f t="shared" si="381"/>
        <v/>
      </c>
      <c r="BA158" s="276" t="str">
        <f t="shared" si="382"/>
        <v/>
      </c>
      <c r="BB158" s="276" t="str">
        <f t="shared" si="383"/>
        <v/>
      </c>
      <c r="BC158" s="276" t="str">
        <f t="shared" si="384"/>
        <v/>
      </c>
      <c r="BD158" s="276" t="str">
        <f t="shared" si="385"/>
        <v/>
      </c>
      <c r="BE158" s="276" t="str">
        <f t="shared" si="386"/>
        <v/>
      </c>
      <c r="BF158" s="277" t="str">
        <f t="shared" si="387"/>
        <v/>
      </c>
      <c r="BG158" s="142">
        <f t="array" ref="BG158">(SUM( IF(ISERROR(AH158:BF158),"", AH158:BF158)))/time</f>
        <v>0</v>
      </c>
      <c r="BH158" s="142">
        <f t="shared" si="334"/>
        <v>0</v>
      </c>
      <c r="BI158" s="142">
        <v>2</v>
      </c>
      <c r="BJ158" s="143">
        <f t="shared" ref="BJ158:BJ166" si="389">IF(BO158&gt;0,BG158+BN158,BG158)</f>
        <v>0</v>
      </c>
      <c r="BL158" s="176" t="e">
        <f t="array" ref="BL158">STDEV(IF(AH158:BF158&lt;&gt;0,AH158:BF158))</f>
        <v>#DIV/0!</v>
      </c>
      <c r="BM158" s="176">
        <v>1.96</v>
      </c>
      <c r="BN158" s="176" t="e">
        <f t="shared" si="388"/>
        <v>#DIV/0!</v>
      </c>
      <c r="BO158" s="176">
        <f t="shared" si="335"/>
        <v>0</v>
      </c>
    </row>
    <row r="159" spans="1:67" hidden="1">
      <c r="A159" s="301" t="s">
        <v>184</v>
      </c>
      <c r="B159" s="305"/>
      <c r="C159" s="303"/>
      <c r="D159" s="278"/>
      <c r="E159" s="270"/>
      <c r="F159" s="279">
        <f t="shared" si="332"/>
        <v>0</v>
      </c>
      <c r="G159" s="304"/>
      <c r="H159" s="271"/>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c r="AE159" s="272"/>
      <c r="AF159" s="273"/>
      <c r="AG159" s="274">
        <f t="shared" si="333"/>
        <v>0</v>
      </c>
      <c r="AH159" s="275">
        <f t="shared" si="363"/>
        <v>0</v>
      </c>
      <c r="AI159" s="276">
        <f t="shared" si="364"/>
        <v>0</v>
      </c>
      <c r="AJ159" s="276">
        <f t="shared" si="365"/>
        <v>0</v>
      </c>
      <c r="AK159" s="276">
        <f t="shared" si="366"/>
        <v>0</v>
      </c>
      <c r="AL159" s="276">
        <f t="shared" si="367"/>
        <v>0</v>
      </c>
      <c r="AM159" s="276" t="str">
        <f t="shared" si="368"/>
        <v/>
      </c>
      <c r="AN159" s="276" t="str">
        <f t="shared" si="369"/>
        <v/>
      </c>
      <c r="AO159" s="276" t="str">
        <f t="shared" si="370"/>
        <v/>
      </c>
      <c r="AP159" s="276" t="str">
        <f t="shared" si="371"/>
        <v/>
      </c>
      <c r="AQ159" s="276" t="str">
        <f t="shared" si="372"/>
        <v/>
      </c>
      <c r="AR159" s="276" t="str">
        <f t="shared" si="373"/>
        <v/>
      </c>
      <c r="AS159" s="276" t="str">
        <f t="shared" si="374"/>
        <v/>
      </c>
      <c r="AT159" s="276" t="str">
        <f t="shared" si="375"/>
        <v/>
      </c>
      <c r="AU159" s="276" t="str">
        <f t="shared" si="376"/>
        <v/>
      </c>
      <c r="AV159" s="276" t="str">
        <f t="shared" si="377"/>
        <v/>
      </c>
      <c r="AW159" s="276" t="str">
        <f t="shared" si="378"/>
        <v/>
      </c>
      <c r="AX159" s="276" t="str">
        <f t="shared" si="379"/>
        <v/>
      </c>
      <c r="AY159" s="276" t="str">
        <f t="shared" si="380"/>
        <v/>
      </c>
      <c r="AZ159" s="276" t="str">
        <f t="shared" si="381"/>
        <v/>
      </c>
      <c r="BA159" s="276" t="str">
        <f t="shared" si="382"/>
        <v/>
      </c>
      <c r="BB159" s="276" t="str">
        <f t="shared" si="383"/>
        <v/>
      </c>
      <c r="BC159" s="276" t="str">
        <f t="shared" si="384"/>
        <v/>
      </c>
      <c r="BD159" s="276" t="str">
        <f t="shared" si="385"/>
        <v/>
      </c>
      <c r="BE159" s="276" t="str">
        <f t="shared" si="386"/>
        <v/>
      </c>
      <c r="BF159" s="277" t="str">
        <f t="shared" si="387"/>
        <v/>
      </c>
      <c r="BG159" s="142">
        <f t="array" ref="BG159">(SUM( IF(ISERROR(AH159:BF159),"", AH159:BF159)))/time</f>
        <v>0</v>
      </c>
      <c r="BH159" s="142">
        <f t="shared" si="334"/>
        <v>0</v>
      </c>
      <c r="BI159" s="142">
        <v>3</v>
      </c>
      <c r="BJ159" s="143">
        <f t="shared" si="389"/>
        <v>0</v>
      </c>
      <c r="BL159" s="176" t="e">
        <f t="array" ref="BL159">STDEV(IF(AH159:BF159&lt;&gt;0,AH159:BF159))</f>
        <v>#DIV/0!</v>
      </c>
      <c r="BM159" s="176">
        <v>1.96</v>
      </c>
      <c r="BN159" s="176" t="e">
        <f t="shared" si="388"/>
        <v>#DIV/0!</v>
      </c>
      <c r="BO159" s="176">
        <f t="shared" si="335"/>
        <v>0</v>
      </c>
    </row>
    <row r="160" spans="1:67" hidden="1">
      <c r="A160" s="301" t="s">
        <v>185</v>
      </c>
      <c r="B160" s="305"/>
      <c r="C160" s="303"/>
      <c r="D160" s="278"/>
      <c r="E160" s="270"/>
      <c r="F160" s="279">
        <f t="shared" si="332"/>
        <v>0</v>
      </c>
      <c r="G160" s="304"/>
      <c r="H160" s="271"/>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c r="AE160" s="272"/>
      <c r="AF160" s="273"/>
      <c r="AG160" s="274">
        <f t="shared" si="333"/>
        <v>0</v>
      </c>
      <c r="AH160" s="275">
        <f t="shared" si="363"/>
        <v>0</v>
      </c>
      <c r="AI160" s="276">
        <f t="shared" si="364"/>
        <v>0</v>
      </c>
      <c r="AJ160" s="276">
        <f t="shared" si="365"/>
        <v>0</v>
      </c>
      <c r="AK160" s="276">
        <f t="shared" si="366"/>
        <v>0</v>
      </c>
      <c r="AL160" s="276">
        <f t="shared" si="367"/>
        <v>0</v>
      </c>
      <c r="AM160" s="276" t="str">
        <f t="shared" si="368"/>
        <v/>
      </c>
      <c r="AN160" s="276" t="str">
        <f t="shared" si="369"/>
        <v/>
      </c>
      <c r="AO160" s="276" t="str">
        <f t="shared" si="370"/>
        <v/>
      </c>
      <c r="AP160" s="276" t="str">
        <f t="shared" si="371"/>
        <v/>
      </c>
      <c r="AQ160" s="276" t="str">
        <f t="shared" si="372"/>
        <v/>
      </c>
      <c r="AR160" s="276" t="str">
        <f t="shared" si="373"/>
        <v/>
      </c>
      <c r="AS160" s="276" t="str">
        <f t="shared" si="374"/>
        <v/>
      </c>
      <c r="AT160" s="276" t="str">
        <f t="shared" si="375"/>
        <v/>
      </c>
      <c r="AU160" s="276" t="str">
        <f t="shared" si="376"/>
        <v/>
      </c>
      <c r="AV160" s="276" t="str">
        <f t="shared" si="377"/>
        <v/>
      </c>
      <c r="AW160" s="276" t="str">
        <f t="shared" si="378"/>
        <v/>
      </c>
      <c r="AX160" s="276" t="str">
        <f t="shared" si="379"/>
        <v/>
      </c>
      <c r="AY160" s="276" t="str">
        <f t="shared" si="380"/>
        <v/>
      </c>
      <c r="AZ160" s="276" t="str">
        <f t="shared" si="381"/>
        <v/>
      </c>
      <c r="BA160" s="276" t="str">
        <f t="shared" si="382"/>
        <v/>
      </c>
      <c r="BB160" s="276" t="str">
        <f t="shared" si="383"/>
        <v/>
      </c>
      <c r="BC160" s="276" t="str">
        <f t="shared" si="384"/>
        <v/>
      </c>
      <c r="BD160" s="276" t="str">
        <f t="shared" si="385"/>
        <v/>
      </c>
      <c r="BE160" s="276" t="str">
        <f t="shared" si="386"/>
        <v/>
      </c>
      <c r="BF160" s="277" t="str">
        <f t="shared" si="387"/>
        <v/>
      </c>
      <c r="BG160" s="142">
        <f t="array" ref="BG160">(SUM( IF(ISERROR(AH160:BF160),"", AH160:BF160)))/time</f>
        <v>0</v>
      </c>
      <c r="BH160" s="142">
        <f t="shared" si="334"/>
        <v>0</v>
      </c>
      <c r="BI160" s="142">
        <v>4</v>
      </c>
      <c r="BJ160" s="143">
        <f t="shared" si="389"/>
        <v>0</v>
      </c>
      <c r="BL160" s="176" t="e">
        <f t="array" ref="BL160">STDEV(IF(AH160:BF160&lt;&gt;0,AH160:BF160))</f>
        <v>#DIV/0!</v>
      </c>
      <c r="BM160" s="176">
        <v>1.96</v>
      </c>
      <c r="BN160" s="176" t="e">
        <f t="shared" si="388"/>
        <v>#DIV/0!</v>
      </c>
      <c r="BO160" s="176">
        <f t="shared" si="335"/>
        <v>0</v>
      </c>
    </row>
    <row r="161" spans="1:67" hidden="1">
      <c r="A161" s="301" t="s">
        <v>186</v>
      </c>
      <c r="B161" s="305"/>
      <c r="C161" s="303"/>
      <c r="D161" s="278"/>
      <c r="E161" s="270"/>
      <c r="F161" s="279">
        <f t="shared" si="332"/>
        <v>0</v>
      </c>
      <c r="G161" s="304"/>
      <c r="H161" s="271"/>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c r="AE161" s="272"/>
      <c r="AF161" s="273"/>
      <c r="AG161" s="274">
        <f t="shared" si="333"/>
        <v>0</v>
      </c>
      <c r="AH161" s="275">
        <f t="shared" si="363"/>
        <v>0</v>
      </c>
      <c r="AI161" s="276">
        <f t="shared" si="364"/>
        <v>0</v>
      </c>
      <c r="AJ161" s="276">
        <f t="shared" si="365"/>
        <v>0</v>
      </c>
      <c r="AK161" s="276">
        <f t="shared" si="366"/>
        <v>0</v>
      </c>
      <c r="AL161" s="276">
        <f t="shared" si="367"/>
        <v>0</v>
      </c>
      <c r="AM161" s="276" t="str">
        <f t="shared" si="368"/>
        <v/>
      </c>
      <c r="AN161" s="276" t="str">
        <f t="shared" si="369"/>
        <v/>
      </c>
      <c r="AO161" s="276" t="str">
        <f t="shared" si="370"/>
        <v/>
      </c>
      <c r="AP161" s="276" t="str">
        <f t="shared" si="371"/>
        <v/>
      </c>
      <c r="AQ161" s="276" t="str">
        <f t="shared" si="372"/>
        <v/>
      </c>
      <c r="AR161" s="276" t="str">
        <f t="shared" si="373"/>
        <v/>
      </c>
      <c r="AS161" s="276" t="str">
        <f t="shared" si="374"/>
        <v/>
      </c>
      <c r="AT161" s="276" t="str">
        <f t="shared" si="375"/>
        <v/>
      </c>
      <c r="AU161" s="276" t="str">
        <f t="shared" si="376"/>
        <v/>
      </c>
      <c r="AV161" s="276" t="str">
        <f t="shared" si="377"/>
        <v/>
      </c>
      <c r="AW161" s="276" t="str">
        <f t="shared" si="378"/>
        <v/>
      </c>
      <c r="AX161" s="276" t="str">
        <f t="shared" si="379"/>
        <v/>
      </c>
      <c r="AY161" s="276" t="str">
        <f t="shared" si="380"/>
        <v/>
      </c>
      <c r="AZ161" s="276" t="str">
        <f t="shared" si="381"/>
        <v/>
      </c>
      <c r="BA161" s="276" t="str">
        <f t="shared" si="382"/>
        <v/>
      </c>
      <c r="BB161" s="276" t="str">
        <f t="shared" si="383"/>
        <v/>
      </c>
      <c r="BC161" s="276" t="str">
        <f t="shared" si="384"/>
        <v/>
      </c>
      <c r="BD161" s="276" t="str">
        <f t="shared" si="385"/>
        <v/>
      </c>
      <c r="BE161" s="276" t="str">
        <f t="shared" si="386"/>
        <v/>
      </c>
      <c r="BF161" s="277" t="str">
        <f t="shared" si="387"/>
        <v/>
      </c>
      <c r="BG161" s="142">
        <f t="array" ref="BG161">(SUM( IF(ISERROR(AH161:BF161),"", AH161:BF161)))/time</f>
        <v>0</v>
      </c>
      <c r="BH161" s="142">
        <f t="shared" si="334"/>
        <v>0</v>
      </c>
      <c r="BI161" s="142">
        <v>5</v>
      </c>
      <c r="BJ161" s="143">
        <f t="shared" si="389"/>
        <v>0</v>
      </c>
      <c r="BL161" s="176" t="e">
        <f t="array" ref="BL161">STDEV(IF(AH161:BF161&lt;&gt;0,AH161:BF161))</f>
        <v>#DIV/0!</v>
      </c>
      <c r="BM161" s="176">
        <v>1.96</v>
      </c>
      <c r="BN161" s="176" t="e">
        <f t="shared" si="388"/>
        <v>#DIV/0!</v>
      </c>
      <c r="BO161" s="176">
        <f t="shared" si="335"/>
        <v>0</v>
      </c>
    </row>
    <row r="162" spans="1:67" hidden="1">
      <c r="A162" s="301" t="s">
        <v>187</v>
      </c>
      <c r="B162" s="305"/>
      <c r="C162" s="303"/>
      <c r="D162" s="278"/>
      <c r="E162" s="270"/>
      <c r="F162" s="279">
        <f t="shared" si="332"/>
        <v>0</v>
      </c>
      <c r="G162" s="304"/>
      <c r="H162" s="271"/>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s="273"/>
      <c r="AG162" s="274">
        <f t="shared" si="333"/>
        <v>0</v>
      </c>
      <c r="AH162" s="275">
        <f t="shared" si="363"/>
        <v>0</v>
      </c>
      <c r="AI162" s="276">
        <f t="shared" si="364"/>
        <v>0</v>
      </c>
      <c r="AJ162" s="276">
        <f t="shared" si="365"/>
        <v>0</v>
      </c>
      <c r="AK162" s="276">
        <f t="shared" si="366"/>
        <v>0</v>
      </c>
      <c r="AL162" s="276">
        <f t="shared" si="367"/>
        <v>0</v>
      </c>
      <c r="AM162" s="276" t="str">
        <f t="shared" si="368"/>
        <v/>
      </c>
      <c r="AN162" s="276" t="str">
        <f t="shared" si="369"/>
        <v/>
      </c>
      <c r="AO162" s="276" t="str">
        <f t="shared" si="370"/>
        <v/>
      </c>
      <c r="AP162" s="276" t="str">
        <f t="shared" si="371"/>
        <v/>
      </c>
      <c r="AQ162" s="276" t="str">
        <f t="shared" si="372"/>
        <v/>
      </c>
      <c r="AR162" s="276" t="str">
        <f t="shared" si="373"/>
        <v/>
      </c>
      <c r="AS162" s="276" t="str">
        <f t="shared" si="374"/>
        <v/>
      </c>
      <c r="AT162" s="276" t="str">
        <f t="shared" si="375"/>
        <v/>
      </c>
      <c r="AU162" s="276" t="str">
        <f t="shared" si="376"/>
        <v/>
      </c>
      <c r="AV162" s="276" t="str">
        <f t="shared" si="377"/>
        <v/>
      </c>
      <c r="AW162" s="276" t="str">
        <f t="shared" si="378"/>
        <v/>
      </c>
      <c r="AX162" s="276" t="str">
        <f t="shared" si="379"/>
        <v/>
      </c>
      <c r="AY162" s="276" t="str">
        <f t="shared" si="380"/>
        <v/>
      </c>
      <c r="AZ162" s="276" t="str">
        <f t="shared" si="381"/>
        <v/>
      </c>
      <c r="BA162" s="276" t="str">
        <f t="shared" si="382"/>
        <v/>
      </c>
      <c r="BB162" s="276" t="str">
        <f t="shared" si="383"/>
        <v/>
      </c>
      <c r="BC162" s="276" t="str">
        <f t="shared" si="384"/>
        <v/>
      </c>
      <c r="BD162" s="276" t="str">
        <f t="shared" si="385"/>
        <v/>
      </c>
      <c r="BE162" s="276" t="str">
        <f t="shared" si="386"/>
        <v/>
      </c>
      <c r="BF162" s="277" t="str">
        <f t="shared" si="387"/>
        <v/>
      </c>
      <c r="BG162" s="142">
        <f t="array" ref="BG162">(SUM( IF(ISERROR(AH162:BF162),"", AH162:BF162)))/time</f>
        <v>0</v>
      </c>
      <c r="BH162" s="142">
        <f t="shared" si="334"/>
        <v>0</v>
      </c>
      <c r="BI162" s="142">
        <v>6</v>
      </c>
      <c r="BJ162" s="143">
        <f t="shared" si="389"/>
        <v>0</v>
      </c>
      <c r="BL162" s="176" t="e">
        <f t="array" ref="BL162">STDEV(IF(AH162:BF162&lt;&gt;0,AH162:BF162))</f>
        <v>#DIV/0!</v>
      </c>
      <c r="BM162" s="176">
        <v>1.96</v>
      </c>
      <c r="BN162" s="176" t="e">
        <f t="shared" si="388"/>
        <v>#DIV/0!</v>
      </c>
      <c r="BO162" s="176">
        <f t="shared" si="335"/>
        <v>0</v>
      </c>
    </row>
    <row r="163" spans="1:67" hidden="1">
      <c r="A163" s="301" t="s">
        <v>188</v>
      </c>
      <c r="B163" s="305"/>
      <c r="C163" s="303"/>
      <c r="D163" s="278"/>
      <c r="E163" s="270"/>
      <c r="F163" s="279">
        <f t="shared" si="332"/>
        <v>0</v>
      </c>
      <c r="G163" s="304"/>
      <c r="H163" s="271"/>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c r="AE163" s="272"/>
      <c r="AF163" s="273"/>
      <c r="AG163" s="274">
        <f t="shared" si="333"/>
        <v>0</v>
      </c>
      <c r="AH163" s="275">
        <f t="shared" si="363"/>
        <v>0</v>
      </c>
      <c r="AI163" s="276">
        <f t="shared" si="364"/>
        <v>0</v>
      </c>
      <c r="AJ163" s="276">
        <f t="shared" si="365"/>
        <v>0</v>
      </c>
      <c r="AK163" s="276">
        <f t="shared" si="366"/>
        <v>0</v>
      </c>
      <c r="AL163" s="276">
        <f t="shared" si="367"/>
        <v>0</v>
      </c>
      <c r="AM163" s="276" t="str">
        <f t="shared" si="368"/>
        <v/>
      </c>
      <c r="AN163" s="276" t="str">
        <f t="shared" si="369"/>
        <v/>
      </c>
      <c r="AO163" s="276" t="str">
        <f t="shared" si="370"/>
        <v/>
      </c>
      <c r="AP163" s="276" t="str">
        <f t="shared" si="371"/>
        <v/>
      </c>
      <c r="AQ163" s="276" t="str">
        <f t="shared" si="372"/>
        <v/>
      </c>
      <c r="AR163" s="276" t="str">
        <f t="shared" si="373"/>
        <v/>
      </c>
      <c r="AS163" s="276" t="str">
        <f t="shared" si="374"/>
        <v/>
      </c>
      <c r="AT163" s="276" t="str">
        <f t="shared" si="375"/>
        <v/>
      </c>
      <c r="AU163" s="276" t="str">
        <f t="shared" si="376"/>
        <v/>
      </c>
      <c r="AV163" s="276" t="str">
        <f t="shared" si="377"/>
        <v/>
      </c>
      <c r="AW163" s="276" t="str">
        <f t="shared" si="378"/>
        <v/>
      </c>
      <c r="AX163" s="276" t="str">
        <f t="shared" si="379"/>
        <v/>
      </c>
      <c r="AY163" s="276" t="str">
        <f t="shared" si="380"/>
        <v/>
      </c>
      <c r="AZ163" s="276" t="str">
        <f t="shared" si="381"/>
        <v/>
      </c>
      <c r="BA163" s="276" t="str">
        <f t="shared" si="382"/>
        <v/>
      </c>
      <c r="BB163" s="276" t="str">
        <f t="shared" si="383"/>
        <v/>
      </c>
      <c r="BC163" s="276" t="str">
        <f t="shared" si="384"/>
        <v/>
      </c>
      <c r="BD163" s="276" t="str">
        <f t="shared" si="385"/>
        <v/>
      </c>
      <c r="BE163" s="276" t="str">
        <f t="shared" si="386"/>
        <v/>
      </c>
      <c r="BF163" s="277" t="str">
        <f t="shared" si="387"/>
        <v/>
      </c>
      <c r="BG163" s="142">
        <f t="array" ref="BG163">(SUM( IF(ISERROR(AH163:BF163),"", AH163:BF163)))/time</f>
        <v>0</v>
      </c>
      <c r="BH163" s="142">
        <f t="shared" si="334"/>
        <v>0</v>
      </c>
      <c r="BI163" s="142">
        <v>7</v>
      </c>
      <c r="BJ163" s="143">
        <f t="shared" si="389"/>
        <v>0</v>
      </c>
      <c r="BL163" s="176" t="e">
        <f t="array" ref="BL163">STDEV(IF(AH163:BF163&lt;&gt;0,AH163:BF163))</f>
        <v>#DIV/0!</v>
      </c>
      <c r="BM163" s="176">
        <v>1.96</v>
      </c>
      <c r="BN163" s="176" t="e">
        <f t="shared" si="388"/>
        <v>#DIV/0!</v>
      </c>
      <c r="BO163" s="176">
        <f t="shared" si="335"/>
        <v>0</v>
      </c>
    </row>
    <row r="164" spans="1:67" hidden="1">
      <c r="A164" s="301" t="s">
        <v>189</v>
      </c>
      <c r="B164" s="305"/>
      <c r="C164" s="303"/>
      <c r="D164" s="278"/>
      <c r="E164" s="270"/>
      <c r="F164" s="279">
        <f t="shared" si="332"/>
        <v>0</v>
      </c>
      <c r="G164" s="304"/>
      <c r="H164" s="271"/>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c r="AE164" s="272"/>
      <c r="AF164" s="273"/>
      <c r="AG164" s="274">
        <f t="shared" si="333"/>
        <v>0</v>
      </c>
      <c r="AH164" s="275">
        <f t="shared" si="363"/>
        <v>0</v>
      </c>
      <c r="AI164" s="276">
        <f t="shared" si="364"/>
        <v>0</v>
      </c>
      <c r="AJ164" s="276">
        <f t="shared" si="365"/>
        <v>0</v>
      </c>
      <c r="AK164" s="276">
        <f t="shared" si="366"/>
        <v>0</v>
      </c>
      <c r="AL164" s="276">
        <f t="shared" si="367"/>
        <v>0</v>
      </c>
      <c r="AM164" s="276" t="str">
        <f t="shared" si="368"/>
        <v/>
      </c>
      <c r="AN164" s="276" t="str">
        <f t="shared" si="369"/>
        <v/>
      </c>
      <c r="AO164" s="276" t="str">
        <f t="shared" si="370"/>
        <v/>
      </c>
      <c r="AP164" s="276" t="str">
        <f t="shared" si="371"/>
        <v/>
      </c>
      <c r="AQ164" s="276" t="str">
        <f t="shared" si="372"/>
        <v/>
      </c>
      <c r="AR164" s="276" t="str">
        <f t="shared" si="373"/>
        <v/>
      </c>
      <c r="AS164" s="276" t="str">
        <f t="shared" si="374"/>
        <v/>
      </c>
      <c r="AT164" s="276" t="str">
        <f t="shared" si="375"/>
        <v/>
      </c>
      <c r="AU164" s="276" t="str">
        <f t="shared" si="376"/>
        <v/>
      </c>
      <c r="AV164" s="276" t="str">
        <f t="shared" si="377"/>
        <v/>
      </c>
      <c r="AW164" s="276" t="str">
        <f t="shared" si="378"/>
        <v/>
      </c>
      <c r="AX164" s="276" t="str">
        <f t="shared" si="379"/>
        <v/>
      </c>
      <c r="AY164" s="276" t="str">
        <f t="shared" si="380"/>
        <v/>
      </c>
      <c r="AZ164" s="276" t="str">
        <f t="shared" si="381"/>
        <v/>
      </c>
      <c r="BA164" s="276" t="str">
        <f t="shared" si="382"/>
        <v/>
      </c>
      <c r="BB164" s="276" t="str">
        <f t="shared" si="383"/>
        <v/>
      </c>
      <c r="BC164" s="276" t="str">
        <f t="shared" si="384"/>
        <v/>
      </c>
      <c r="BD164" s="276" t="str">
        <f t="shared" si="385"/>
        <v/>
      </c>
      <c r="BE164" s="276" t="str">
        <f t="shared" si="386"/>
        <v/>
      </c>
      <c r="BF164" s="277" t="str">
        <f t="shared" si="387"/>
        <v/>
      </c>
      <c r="BG164" s="142">
        <f t="array" ref="BG164">(SUM( IF(ISERROR(AH164:BF164),"", AH164:BF164)))/time</f>
        <v>0</v>
      </c>
      <c r="BH164" s="142">
        <f t="shared" si="334"/>
        <v>0</v>
      </c>
      <c r="BI164" s="142">
        <v>8</v>
      </c>
      <c r="BJ164" s="143">
        <f t="shared" si="389"/>
        <v>0</v>
      </c>
      <c r="BL164" s="176" t="e">
        <f t="array" ref="BL164">STDEV(IF(AH164:BF164&lt;&gt;0,AH164:BF164))</f>
        <v>#DIV/0!</v>
      </c>
      <c r="BM164" s="176">
        <v>1.96</v>
      </c>
      <c r="BN164" s="176" t="e">
        <f t="shared" si="388"/>
        <v>#DIV/0!</v>
      </c>
      <c r="BO164" s="176">
        <f t="shared" si="335"/>
        <v>0</v>
      </c>
    </row>
    <row r="165" spans="1:67" hidden="1">
      <c r="A165" s="301" t="s">
        <v>190</v>
      </c>
      <c r="B165" s="305"/>
      <c r="C165" s="303"/>
      <c r="D165" s="278"/>
      <c r="E165" s="270"/>
      <c r="F165" s="279">
        <f t="shared" si="332"/>
        <v>0</v>
      </c>
      <c r="G165" s="304"/>
      <c r="H165" s="271"/>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c r="AF165" s="273"/>
      <c r="AG165" s="274">
        <f t="shared" si="333"/>
        <v>0</v>
      </c>
      <c r="AH165" s="275">
        <f t="shared" si="363"/>
        <v>0</v>
      </c>
      <c r="AI165" s="276">
        <f t="shared" si="364"/>
        <v>0</v>
      </c>
      <c r="AJ165" s="276">
        <f t="shared" si="365"/>
        <v>0</v>
      </c>
      <c r="AK165" s="276">
        <f t="shared" si="366"/>
        <v>0</v>
      </c>
      <c r="AL165" s="276">
        <f t="shared" si="367"/>
        <v>0</v>
      </c>
      <c r="AM165" s="276" t="str">
        <f t="shared" si="368"/>
        <v/>
      </c>
      <c r="AN165" s="276" t="str">
        <f t="shared" si="369"/>
        <v/>
      </c>
      <c r="AO165" s="276" t="str">
        <f t="shared" si="370"/>
        <v/>
      </c>
      <c r="AP165" s="276" t="str">
        <f t="shared" si="371"/>
        <v/>
      </c>
      <c r="AQ165" s="276" t="str">
        <f t="shared" si="372"/>
        <v/>
      </c>
      <c r="AR165" s="276" t="str">
        <f t="shared" si="373"/>
        <v/>
      </c>
      <c r="AS165" s="276" t="str">
        <f t="shared" si="374"/>
        <v/>
      </c>
      <c r="AT165" s="276" t="str">
        <f t="shared" si="375"/>
        <v/>
      </c>
      <c r="AU165" s="276" t="str">
        <f t="shared" si="376"/>
        <v/>
      </c>
      <c r="AV165" s="276" t="str">
        <f t="shared" si="377"/>
        <v/>
      </c>
      <c r="AW165" s="276" t="str">
        <f t="shared" si="378"/>
        <v/>
      </c>
      <c r="AX165" s="276" t="str">
        <f t="shared" si="379"/>
        <v/>
      </c>
      <c r="AY165" s="276" t="str">
        <f t="shared" si="380"/>
        <v/>
      </c>
      <c r="AZ165" s="276" t="str">
        <f t="shared" si="381"/>
        <v/>
      </c>
      <c r="BA165" s="276" t="str">
        <f t="shared" si="382"/>
        <v/>
      </c>
      <c r="BB165" s="276" t="str">
        <f t="shared" si="383"/>
        <v/>
      </c>
      <c r="BC165" s="276" t="str">
        <f t="shared" si="384"/>
        <v/>
      </c>
      <c r="BD165" s="276" t="str">
        <f t="shared" si="385"/>
        <v/>
      </c>
      <c r="BE165" s="276" t="str">
        <f t="shared" si="386"/>
        <v/>
      </c>
      <c r="BF165" s="277" t="str">
        <f t="shared" si="387"/>
        <v/>
      </c>
      <c r="BG165" s="142">
        <f t="array" ref="BG165">(SUM( IF(ISERROR(AH165:BF165),"", AH165:BF165)))/time</f>
        <v>0</v>
      </c>
      <c r="BH165" s="142">
        <f t="shared" si="334"/>
        <v>0</v>
      </c>
      <c r="BI165" s="142">
        <v>9</v>
      </c>
      <c r="BJ165" s="143">
        <f t="shared" si="389"/>
        <v>0</v>
      </c>
      <c r="BL165" s="176" t="e">
        <f t="array" ref="BL165">STDEV(IF(AH165:BF165&lt;&gt;0,AH165:BF165))</f>
        <v>#DIV/0!</v>
      </c>
      <c r="BM165" s="176">
        <v>1.96</v>
      </c>
      <c r="BN165" s="176" t="e">
        <f t="shared" si="388"/>
        <v>#DIV/0!</v>
      </c>
      <c r="BO165" s="176">
        <f t="shared" si="335"/>
        <v>0</v>
      </c>
    </row>
    <row r="166" spans="1:67" hidden="1">
      <c r="A166" s="301" t="s">
        <v>191</v>
      </c>
      <c r="B166" s="305"/>
      <c r="C166" s="303"/>
      <c r="D166" s="278"/>
      <c r="E166" s="270"/>
      <c r="F166" s="279">
        <f t="shared" si="332"/>
        <v>0</v>
      </c>
      <c r="G166" s="304"/>
      <c r="H166" s="271"/>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72"/>
      <c r="AE166" s="272"/>
      <c r="AF166" s="273"/>
      <c r="AG166" s="274">
        <f t="shared" si="333"/>
        <v>0</v>
      </c>
      <c r="AH166" s="275">
        <f t="shared" si="363"/>
        <v>0</v>
      </c>
      <c r="AI166" s="276">
        <f t="shared" si="364"/>
        <v>0</v>
      </c>
      <c r="AJ166" s="276">
        <f t="shared" si="365"/>
        <v>0</v>
      </c>
      <c r="AK166" s="276">
        <f t="shared" si="366"/>
        <v>0</v>
      </c>
      <c r="AL166" s="276">
        <f t="shared" si="367"/>
        <v>0</v>
      </c>
      <c r="AM166" s="276" t="str">
        <f t="shared" si="368"/>
        <v/>
      </c>
      <c r="AN166" s="276" t="str">
        <f t="shared" si="369"/>
        <v/>
      </c>
      <c r="AO166" s="276" t="str">
        <f t="shared" si="370"/>
        <v/>
      </c>
      <c r="AP166" s="276" t="str">
        <f t="shared" si="371"/>
        <v/>
      </c>
      <c r="AQ166" s="276" t="str">
        <f t="shared" si="372"/>
        <v/>
      </c>
      <c r="AR166" s="276" t="str">
        <f t="shared" si="373"/>
        <v/>
      </c>
      <c r="AS166" s="276" t="str">
        <f t="shared" si="374"/>
        <v/>
      </c>
      <c r="AT166" s="276" t="str">
        <f t="shared" si="375"/>
        <v/>
      </c>
      <c r="AU166" s="276" t="str">
        <f t="shared" si="376"/>
        <v/>
      </c>
      <c r="AV166" s="276" t="str">
        <f t="shared" si="377"/>
        <v/>
      </c>
      <c r="AW166" s="276" t="str">
        <f t="shared" si="378"/>
        <v/>
      </c>
      <c r="AX166" s="276" t="str">
        <f t="shared" si="379"/>
        <v/>
      </c>
      <c r="AY166" s="276" t="str">
        <f t="shared" si="380"/>
        <v/>
      </c>
      <c r="AZ166" s="276" t="str">
        <f t="shared" si="381"/>
        <v/>
      </c>
      <c r="BA166" s="276" t="str">
        <f t="shared" si="382"/>
        <v/>
      </c>
      <c r="BB166" s="276" t="str">
        <f t="shared" si="383"/>
        <v/>
      </c>
      <c r="BC166" s="276" t="str">
        <f t="shared" si="384"/>
        <v/>
      </c>
      <c r="BD166" s="276" t="str">
        <f t="shared" si="385"/>
        <v/>
      </c>
      <c r="BE166" s="276" t="str">
        <f t="shared" si="386"/>
        <v/>
      </c>
      <c r="BF166" s="277" t="str">
        <f t="shared" si="387"/>
        <v/>
      </c>
      <c r="BG166" s="142">
        <f t="array" ref="BG166">(SUM( IF(ISERROR(AH166:BF166),"", AH166:BF166)))/time</f>
        <v>0</v>
      </c>
      <c r="BH166" s="142">
        <f t="shared" si="334"/>
        <v>0</v>
      </c>
      <c r="BI166" s="142">
        <v>10</v>
      </c>
      <c r="BJ166" s="143">
        <f t="shared" si="389"/>
        <v>0</v>
      </c>
      <c r="BL166" s="176" t="e">
        <f t="array" ref="BL166">STDEV(IF(AH166:BF166&lt;&gt;0,AH166:BF166))</f>
        <v>#DIV/0!</v>
      </c>
      <c r="BM166" s="176">
        <v>1.96</v>
      </c>
      <c r="BN166" s="176" t="e">
        <f t="shared" si="388"/>
        <v>#DIV/0!</v>
      </c>
      <c r="BO166" s="176">
        <f t="shared" si="335"/>
        <v>0</v>
      </c>
    </row>
    <row r="167" spans="1:67" s="196" customFormat="1">
      <c r="A167" s="302" t="s">
        <v>18</v>
      </c>
      <c r="F167" s="203"/>
      <c r="H167" s="202"/>
      <c r="AG167" s="288"/>
      <c r="AH167" s="202"/>
      <c r="BJ167" s="203"/>
    </row>
    <row r="168" spans="1:67">
      <c r="A168" s="848" t="s">
        <v>48</v>
      </c>
      <c r="B168" s="852"/>
      <c r="C168" s="851"/>
      <c r="D168" s="845"/>
      <c r="E168" s="847"/>
      <c r="F168" s="846">
        <f t="shared" si="332"/>
        <v>0</v>
      </c>
      <c r="G168" s="304"/>
      <c r="H168" s="842"/>
      <c r="I168" s="843"/>
      <c r="J168" s="843"/>
      <c r="K168" s="843"/>
      <c r="L168" s="843"/>
      <c r="M168" s="272"/>
      <c r="N168" s="272"/>
      <c r="O168" s="272"/>
      <c r="P168" s="272"/>
      <c r="Q168" s="272"/>
      <c r="R168" s="272"/>
      <c r="S168" s="272"/>
      <c r="T168" s="272"/>
      <c r="U168" s="272"/>
      <c r="V168" s="272"/>
      <c r="W168" s="272"/>
      <c r="X168" s="272"/>
      <c r="Y168" s="272"/>
      <c r="Z168" s="272"/>
      <c r="AA168" s="272"/>
      <c r="AB168" s="272"/>
      <c r="AC168" s="272"/>
      <c r="AD168" s="272"/>
      <c r="AE168" s="272"/>
      <c r="AF168" s="273"/>
      <c r="AG168" s="274">
        <f t="shared" si="333"/>
        <v>0</v>
      </c>
      <c r="AH168" s="275">
        <f t="shared" ref="AH168:AH177" si="390">IF(AH$225&lt;=time,H168*$F168,"")</f>
        <v>0</v>
      </c>
      <c r="AI168" s="276">
        <f t="shared" ref="AI168:AI177" si="391">IF(AI$225&lt;=time,I168*$F168,"")</f>
        <v>0</v>
      </c>
      <c r="AJ168" s="276">
        <f t="shared" ref="AJ168:AJ177" si="392">IF(AJ$225&lt;=time,J168*$F168,"")</f>
        <v>0</v>
      </c>
      <c r="AK168" s="276">
        <f t="shared" ref="AK168:AK177" si="393">IF(AK$225&lt;=time,K168*$F168,"")</f>
        <v>0</v>
      </c>
      <c r="AL168" s="276">
        <f t="shared" ref="AL168:AL177" si="394">IF(AL$225&lt;=time,L168*$F168,"")</f>
        <v>0</v>
      </c>
      <c r="AM168" s="276" t="str">
        <f t="shared" ref="AM168:AM177" si="395">IF(AM$225&lt;=time,M168*$F168,"")</f>
        <v/>
      </c>
      <c r="AN168" s="276" t="str">
        <f t="shared" ref="AN168:AN177" si="396">IF(AN$225&lt;=time,N168*$F168,"")</f>
        <v/>
      </c>
      <c r="AO168" s="276" t="str">
        <f t="shared" ref="AO168:AO177" si="397">IF(AO$225&lt;=time,O168*$F168,"")</f>
        <v/>
      </c>
      <c r="AP168" s="276" t="str">
        <f t="shared" ref="AP168:AP177" si="398">IF(AP$225&lt;=time,P168*$F168,"")</f>
        <v/>
      </c>
      <c r="AQ168" s="276" t="str">
        <f t="shared" ref="AQ168:AQ177" si="399">IF(AQ$225&lt;=time,Q168*$F168,"")</f>
        <v/>
      </c>
      <c r="AR168" s="276" t="str">
        <f t="shared" ref="AR168:AR177" si="400">IF(AR$225&lt;=time,R168*$F168,"")</f>
        <v/>
      </c>
      <c r="AS168" s="276" t="str">
        <f t="shared" ref="AS168:AS177" si="401">IF(AS$225&lt;=time,S168*$F168,"")</f>
        <v/>
      </c>
      <c r="AT168" s="276" t="str">
        <f t="shared" ref="AT168:AT177" si="402">IF(AT$225&lt;=time,T168*$F168,"")</f>
        <v/>
      </c>
      <c r="AU168" s="276" t="str">
        <f t="shared" ref="AU168:AU177" si="403">IF(AU$225&lt;=time,U168*$F168,"")</f>
        <v/>
      </c>
      <c r="AV168" s="276" t="str">
        <f t="shared" ref="AV168:AV177" si="404">IF(AV$225&lt;=time,V168*$F168,"")</f>
        <v/>
      </c>
      <c r="AW168" s="276" t="str">
        <f t="shared" ref="AW168:AW177" si="405">IF(AW$225&lt;=time,W168*$F168,"")</f>
        <v/>
      </c>
      <c r="AX168" s="276" t="str">
        <f t="shared" ref="AX168:AX177" si="406">IF(AX$225&lt;=time,X168*$F168,"")</f>
        <v/>
      </c>
      <c r="AY168" s="276" t="str">
        <f t="shared" ref="AY168:AY177" si="407">IF(AY$225&lt;=time,Y168*$F168,"")</f>
        <v/>
      </c>
      <c r="AZ168" s="276" t="str">
        <f t="shared" ref="AZ168:AZ177" si="408">IF(AZ$225&lt;=time,Z168*$F168,"")</f>
        <v/>
      </c>
      <c r="BA168" s="276" t="str">
        <f t="shared" ref="BA168:BA177" si="409">IF(BA$225&lt;=time,AA168*$F168,"")</f>
        <v/>
      </c>
      <c r="BB168" s="276" t="str">
        <f t="shared" ref="BB168:BB177" si="410">IF(BB$225&lt;=time,AB168*$F168,"")</f>
        <v/>
      </c>
      <c r="BC168" s="276" t="str">
        <f t="shared" ref="BC168:BC177" si="411">IF(BC$225&lt;=time,AC168*$F168,"")</f>
        <v/>
      </c>
      <c r="BD168" s="276" t="str">
        <f t="shared" ref="BD168:BD177" si="412">IF(BD$225&lt;=time,AD168*$F168,"")</f>
        <v/>
      </c>
      <c r="BE168" s="276" t="str">
        <f t="shared" ref="BE168:BE177" si="413">IF(BE$225&lt;=time,AE168*$F168,"")</f>
        <v/>
      </c>
      <c r="BF168" s="277" t="str">
        <f t="shared" ref="BF168:BF177" si="414">IF(BF$225&lt;=time,AF168*$F168,"")</f>
        <v/>
      </c>
      <c r="BG168" s="142">
        <f t="array" ref="BG168">(SUM( IF(ISERROR(AH168:BF168),"", AH168:BF168)))/time</f>
        <v>0</v>
      </c>
      <c r="BH168" s="142">
        <f t="shared" si="334"/>
        <v>0</v>
      </c>
      <c r="BI168" s="142">
        <v>1</v>
      </c>
      <c r="BJ168" s="143">
        <f>IF(BO168&gt;0,BG168+BN168,BG168)</f>
        <v>0</v>
      </c>
      <c r="BL168" s="176" t="e">
        <f t="array" ref="BL168">STDEV(IF(AH168:BF168&lt;&gt;0,AH168:BF168))</f>
        <v>#DIV/0!</v>
      </c>
      <c r="BM168" s="176">
        <v>1.96</v>
      </c>
      <c r="BN168" s="176" t="e">
        <f t="shared" ref="BN168:BN177" si="415">(BM168*BL168)/(time^0.5)</f>
        <v>#DIV/0!</v>
      </c>
      <c r="BO168" s="176">
        <f t="shared" si="335"/>
        <v>0</v>
      </c>
    </row>
    <row r="169" spans="1:67" hidden="1">
      <c r="A169" s="301" t="s">
        <v>49</v>
      </c>
      <c r="B169" s="305"/>
      <c r="C169" s="303"/>
      <c r="D169" s="278"/>
      <c r="E169" s="270"/>
      <c r="F169" s="279">
        <f t="shared" si="332"/>
        <v>0</v>
      </c>
      <c r="G169" s="304"/>
      <c r="H169" s="271"/>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72"/>
      <c r="AE169" s="272"/>
      <c r="AF169" s="273"/>
      <c r="AG169" s="274">
        <f t="shared" si="333"/>
        <v>0</v>
      </c>
      <c r="AH169" s="275">
        <f t="shared" si="390"/>
        <v>0</v>
      </c>
      <c r="AI169" s="276">
        <f t="shared" si="391"/>
        <v>0</v>
      </c>
      <c r="AJ169" s="276">
        <f t="shared" si="392"/>
        <v>0</v>
      </c>
      <c r="AK169" s="276">
        <f t="shared" si="393"/>
        <v>0</v>
      </c>
      <c r="AL169" s="276">
        <f t="shared" si="394"/>
        <v>0</v>
      </c>
      <c r="AM169" s="276" t="str">
        <f t="shared" si="395"/>
        <v/>
      </c>
      <c r="AN169" s="276" t="str">
        <f t="shared" si="396"/>
        <v/>
      </c>
      <c r="AO169" s="276" t="str">
        <f t="shared" si="397"/>
        <v/>
      </c>
      <c r="AP169" s="276" t="str">
        <f t="shared" si="398"/>
        <v/>
      </c>
      <c r="AQ169" s="276" t="str">
        <f t="shared" si="399"/>
        <v/>
      </c>
      <c r="AR169" s="276" t="str">
        <f t="shared" si="400"/>
        <v/>
      </c>
      <c r="AS169" s="276" t="str">
        <f t="shared" si="401"/>
        <v/>
      </c>
      <c r="AT169" s="276" t="str">
        <f t="shared" si="402"/>
        <v/>
      </c>
      <c r="AU169" s="276" t="str">
        <f t="shared" si="403"/>
        <v/>
      </c>
      <c r="AV169" s="276" t="str">
        <f t="shared" si="404"/>
        <v/>
      </c>
      <c r="AW169" s="276" t="str">
        <f t="shared" si="405"/>
        <v/>
      </c>
      <c r="AX169" s="276" t="str">
        <f t="shared" si="406"/>
        <v/>
      </c>
      <c r="AY169" s="276" t="str">
        <f t="shared" si="407"/>
        <v/>
      </c>
      <c r="AZ169" s="276" t="str">
        <f t="shared" si="408"/>
        <v/>
      </c>
      <c r="BA169" s="276" t="str">
        <f t="shared" si="409"/>
        <v/>
      </c>
      <c r="BB169" s="276" t="str">
        <f t="shared" si="410"/>
        <v/>
      </c>
      <c r="BC169" s="276" t="str">
        <f t="shared" si="411"/>
        <v/>
      </c>
      <c r="BD169" s="276" t="str">
        <f t="shared" si="412"/>
        <v/>
      </c>
      <c r="BE169" s="276" t="str">
        <f t="shared" si="413"/>
        <v/>
      </c>
      <c r="BF169" s="277" t="str">
        <f t="shared" si="414"/>
        <v/>
      </c>
      <c r="BG169" s="142">
        <f t="array" ref="BG169">(SUM( IF(ISERROR(AH169:BF169),"", AH169:BF169)))/time</f>
        <v>0</v>
      </c>
      <c r="BH169" s="142">
        <f t="shared" si="334"/>
        <v>0</v>
      </c>
      <c r="BI169" s="142">
        <v>2</v>
      </c>
      <c r="BJ169" s="143">
        <f t="shared" ref="BJ169:BJ177" si="416">IF(BO169&gt;0,BG169+BN169,BG169)</f>
        <v>0</v>
      </c>
      <c r="BL169" s="176" t="e">
        <f t="array" ref="BL169">STDEV(IF(AH169:BF169&lt;&gt;0,AH169:BF169))</f>
        <v>#DIV/0!</v>
      </c>
      <c r="BM169" s="176">
        <v>1.96</v>
      </c>
      <c r="BN169" s="176" t="e">
        <f t="shared" si="415"/>
        <v>#DIV/0!</v>
      </c>
      <c r="BO169" s="176">
        <f t="shared" si="335"/>
        <v>0</v>
      </c>
    </row>
    <row r="170" spans="1:67" hidden="1">
      <c r="A170" s="301" t="s">
        <v>50</v>
      </c>
      <c r="B170" s="305"/>
      <c r="C170" s="303"/>
      <c r="D170" s="278"/>
      <c r="E170" s="270"/>
      <c r="F170" s="279">
        <f t="shared" si="332"/>
        <v>0</v>
      </c>
      <c r="G170" s="304"/>
      <c r="H170" s="271"/>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72"/>
      <c r="AE170" s="272"/>
      <c r="AF170" s="273"/>
      <c r="AG170" s="274">
        <f t="shared" si="333"/>
        <v>0</v>
      </c>
      <c r="AH170" s="275">
        <f t="shared" si="390"/>
        <v>0</v>
      </c>
      <c r="AI170" s="276">
        <f t="shared" si="391"/>
        <v>0</v>
      </c>
      <c r="AJ170" s="276">
        <f t="shared" si="392"/>
        <v>0</v>
      </c>
      <c r="AK170" s="276">
        <f t="shared" si="393"/>
        <v>0</v>
      </c>
      <c r="AL170" s="276">
        <f t="shared" si="394"/>
        <v>0</v>
      </c>
      <c r="AM170" s="276" t="str">
        <f t="shared" si="395"/>
        <v/>
      </c>
      <c r="AN170" s="276" t="str">
        <f t="shared" si="396"/>
        <v/>
      </c>
      <c r="AO170" s="276" t="str">
        <f t="shared" si="397"/>
        <v/>
      </c>
      <c r="AP170" s="276" t="str">
        <f t="shared" si="398"/>
        <v/>
      </c>
      <c r="AQ170" s="276" t="str">
        <f t="shared" si="399"/>
        <v/>
      </c>
      <c r="AR170" s="276" t="str">
        <f t="shared" si="400"/>
        <v/>
      </c>
      <c r="AS170" s="276" t="str">
        <f t="shared" si="401"/>
        <v/>
      </c>
      <c r="AT170" s="276" t="str">
        <f t="shared" si="402"/>
        <v/>
      </c>
      <c r="AU170" s="276" t="str">
        <f t="shared" si="403"/>
        <v/>
      </c>
      <c r="AV170" s="276" t="str">
        <f t="shared" si="404"/>
        <v/>
      </c>
      <c r="AW170" s="276" t="str">
        <f t="shared" si="405"/>
        <v/>
      </c>
      <c r="AX170" s="276" t="str">
        <f t="shared" si="406"/>
        <v/>
      </c>
      <c r="AY170" s="276" t="str">
        <f t="shared" si="407"/>
        <v/>
      </c>
      <c r="AZ170" s="276" t="str">
        <f t="shared" si="408"/>
        <v/>
      </c>
      <c r="BA170" s="276" t="str">
        <f t="shared" si="409"/>
        <v/>
      </c>
      <c r="BB170" s="276" t="str">
        <f t="shared" si="410"/>
        <v/>
      </c>
      <c r="BC170" s="276" t="str">
        <f t="shared" si="411"/>
        <v/>
      </c>
      <c r="BD170" s="276" t="str">
        <f t="shared" si="412"/>
        <v/>
      </c>
      <c r="BE170" s="276" t="str">
        <f t="shared" si="413"/>
        <v/>
      </c>
      <c r="BF170" s="277" t="str">
        <f t="shared" si="414"/>
        <v/>
      </c>
      <c r="BG170" s="142">
        <f t="array" ref="BG170">(SUM( IF(ISERROR(AH170:BF170),"", AH170:BF170)))/time</f>
        <v>0</v>
      </c>
      <c r="BH170" s="142">
        <f t="shared" si="334"/>
        <v>0</v>
      </c>
      <c r="BI170" s="142">
        <v>3</v>
      </c>
      <c r="BJ170" s="143">
        <f t="shared" si="416"/>
        <v>0</v>
      </c>
      <c r="BL170" s="176" t="e">
        <f t="array" ref="BL170">STDEV(IF(AH170:BF170&lt;&gt;0,AH170:BF170))</f>
        <v>#DIV/0!</v>
      </c>
      <c r="BM170" s="176">
        <v>1.96</v>
      </c>
      <c r="BN170" s="176" t="e">
        <f t="shared" si="415"/>
        <v>#DIV/0!</v>
      </c>
      <c r="BO170" s="176">
        <f t="shared" si="335"/>
        <v>0</v>
      </c>
    </row>
    <row r="171" spans="1:67" hidden="1">
      <c r="A171" s="301" t="s">
        <v>51</v>
      </c>
      <c r="B171" s="305"/>
      <c r="C171" s="303"/>
      <c r="D171" s="278"/>
      <c r="E171" s="270"/>
      <c r="F171" s="279">
        <f t="shared" si="332"/>
        <v>0</v>
      </c>
      <c r="G171" s="304"/>
      <c r="H171" s="271"/>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72"/>
      <c r="AE171" s="272"/>
      <c r="AF171" s="273"/>
      <c r="AG171" s="274">
        <f t="shared" si="333"/>
        <v>0</v>
      </c>
      <c r="AH171" s="275">
        <f t="shared" si="390"/>
        <v>0</v>
      </c>
      <c r="AI171" s="276">
        <f t="shared" si="391"/>
        <v>0</v>
      </c>
      <c r="AJ171" s="276">
        <f t="shared" si="392"/>
        <v>0</v>
      </c>
      <c r="AK171" s="276">
        <f t="shared" si="393"/>
        <v>0</v>
      </c>
      <c r="AL171" s="276">
        <f t="shared" si="394"/>
        <v>0</v>
      </c>
      <c r="AM171" s="276" t="str">
        <f t="shared" si="395"/>
        <v/>
      </c>
      <c r="AN171" s="276" t="str">
        <f t="shared" si="396"/>
        <v/>
      </c>
      <c r="AO171" s="276" t="str">
        <f t="shared" si="397"/>
        <v/>
      </c>
      <c r="AP171" s="276" t="str">
        <f t="shared" si="398"/>
        <v/>
      </c>
      <c r="AQ171" s="276" t="str">
        <f t="shared" si="399"/>
        <v/>
      </c>
      <c r="AR171" s="276" t="str">
        <f t="shared" si="400"/>
        <v/>
      </c>
      <c r="AS171" s="276" t="str">
        <f t="shared" si="401"/>
        <v/>
      </c>
      <c r="AT171" s="276" t="str">
        <f t="shared" si="402"/>
        <v/>
      </c>
      <c r="AU171" s="276" t="str">
        <f t="shared" si="403"/>
        <v/>
      </c>
      <c r="AV171" s="276" t="str">
        <f t="shared" si="404"/>
        <v/>
      </c>
      <c r="AW171" s="276" t="str">
        <f t="shared" si="405"/>
        <v/>
      </c>
      <c r="AX171" s="276" t="str">
        <f t="shared" si="406"/>
        <v/>
      </c>
      <c r="AY171" s="276" t="str">
        <f t="shared" si="407"/>
        <v/>
      </c>
      <c r="AZ171" s="276" t="str">
        <f t="shared" si="408"/>
        <v/>
      </c>
      <c r="BA171" s="276" t="str">
        <f t="shared" si="409"/>
        <v/>
      </c>
      <c r="BB171" s="276" t="str">
        <f t="shared" si="410"/>
        <v/>
      </c>
      <c r="BC171" s="276" t="str">
        <f t="shared" si="411"/>
        <v/>
      </c>
      <c r="BD171" s="276" t="str">
        <f t="shared" si="412"/>
        <v/>
      </c>
      <c r="BE171" s="276" t="str">
        <f t="shared" si="413"/>
        <v/>
      </c>
      <c r="BF171" s="277" t="str">
        <f t="shared" si="414"/>
        <v/>
      </c>
      <c r="BG171" s="142">
        <f t="array" ref="BG171">(SUM( IF(ISERROR(AH171:BF171),"", AH171:BF171)))/time</f>
        <v>0</v>
      </c>
      <c r="BH171" s="142">
        <f t="shared" si="334"/>
        <v>0</v>
      </c>
      <c r="BI171" s="142">
        <v>4</v>
      </c>
      <c r="BJ171" s="143">
        <f t="shared" si="416"/>
        <v>0</v>
      </c>
      <c r="BL171" s="176" t="e">
        <f t="array" ref="BL171">STDEV(IF(AH171:BF171&lt;&gt;0,AH171:BF171))</f>
        <v>#DIV/0!</v>
      </c>
      <c r="BM171" s="176">
        <v>1.96</v>
      </c>
      <c r="BN171" s="176" t="e">
        <f t="shared" si="415"/>
        <v>#DIV/0!</v>
      </c>
      <c r="BO171" s="176">
        <f t="shared" si="335"/>
        <v>0</v>
      </c>
    </row>
    <row r="172" spans="1:67" hidden="1">
      <c r="A172" s="301" t="s">
        <v>52</v>
      </c>
      <c r="B172" s="305"/>
      <c r="C172" s="303"/>
      <c r="D172" s="278"/>
      <c r="E172" s="270"/>
      <c r="F172" s="279">
        <f t="shared" si="332"/>
        <v>0</v>
      </c>
      <c r="G172" s="304"/>
      <c r="H172" s="271"/>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c r="AE172" s="272"/>
      <c r="AF172" s="273"/>
      <c r="AG172" s="274">
        <f t="shared" si="333"/>
        <v>0</v>
      </c>
      <c r="AH172" s="275">
        <f t="shared" si="390"/>
        <v>0</v>
      </c>
      <c r="AI172" s="276">
        <f t="shared" si="391"/>
        <v>0</v>
      </c>
      <c r="AJ172" s="276">
        <f t="shared" si="392"/>
        <v>0</v>
      </c>
      <c r="AK172" s="276">
        <f t="shared" si="393"/>
        <v>0</v>
      </c>
      <c r="AL172" s="276">
        <f t="shared" si="394"/>
        <v>0</v>
      </c>
      <c r="AM172" s="276" t="str">
        <f t="shared" si="395"/>
        <v/>
      </c>
      <c r="AN172" s="276" t="str">
        <f t="shared" si="396"/>
        <v/>
      </c>
      <c r="AO172" s="276" t="str">
        <f t="shared" si="397"/>
        <v/>
      </c>
      <c r="AP172" s="276" t="str">
        <f t="shared" si="398"/>
        <v/>
      </c>
      <c r="AQ172" s="276" t="str">
        <f t="shared" si="399"/>
        <v/>
      </c>
      <c r="AR172" s="276" t="str">
        <f t="shared" si="400"/>
        <v/>
      </c>
      <c r="AS172" s="276" t="str">
        <f t="shared" si="401"/>
        <v/>
      </c>
      <c r="AT172" s="276" t="str">
        <f t="shared" si="402"/>
        <v/>
      </c>
      <c r="AU172" s="276" t="str">
        <f t="shared" si="403"/>
        <v/>
      </c>
      <c r="AV172" s="276" t="str">
        <f t="shared" si="404"/>
        <v/>
      </c>
      <c r="AW172" s="276" t="str">
        <f t="shared" si="405"/>
        <v/>
      </c>
      <c r="AX172" s="276" t="str">
        <f t="shared" si="406"/>
        <v/>
      </c>
      <c r="AY172" s="276" t="str">
        <f t="shared" si="407"/>
        <v/>
      </c>
      <c r="AZ172" s="276" t="str">
        <f t="shared" si="408"/>
        <v/>
      </c>
      <c r="BA172" s="276" t="str">
        <f t="shared" si="409"/>
        <v/>
      </c>
      <c r="BB172" s="276" t="str">
        <f t="shared" si="410"/>
        <v/>
      </c>
      <c r="BC172" s="276" t="str">
        <f t="shared" si="411"/>
        <v/>
      </c>
      <c r="BD172" s="276" t="str">
        <f t="shared" si="412"/>
        <v/>
      </c>
      <c r="BE172" s="276" t="str">
        <f t="shared" si="413"/>
        <v/>
      </c>
      <c r="BF172" s="277" t="str">
        <f t="shared" si="414"/>
        <v/>
      </c>
      <c r="BG172" s="142">
        <f t="array" ref="BG172">(SUM( IF(ISERROR(AH172:BF172),"", AH172:BF172)))/time</f>
        <v>0</v>
      </c>
      <c r="BH172" s="142">
        <f t="shared" si="334"/>
        <v>0</v>
      </c>
      <c r="BI172" s="142">
        <v>5</v>
      </c>
      <c r="BJ172" s="143">
        <f t="shared" si="416"/>
        <v>0</v>
      </c>
      <c r="BL172" s="176" t="e">
        <f t="array" ref="BL172">STDEV(IF(AH172:BF172&lt;&gt;0,AH172:BF172))</f>
        <v>#DIV/0!</v>
      </c>
      <c r="BM172" s="176">
        <v>1.96</v>
      </c>
      <c r="BN172" s="176" t="e">
        <f t="shared" si="415"/>
        <v>#DIV/0!</v>
      </c>
      <c r="BO172" s="176">
        <f t="shared" si="335"/>
        <v>0</v>
      </c>
    </row>
    <row r="173" spans="1:67" hidden="1">
      <c r="A173" s="301" t="s">
        <v>53</v>
      </c>
      <c r="B173" s="305"/>
      <c r="C173" s="303"/>
      <c r="D173" s="278"/>
      <c r="E173" s="270"/>
      <c r="F173" s="279">
        <f t="shared" si="332"/>
        <v>0</v>
      </c>
      <c r="G173" s="304"/>
      <c r="H173" s="271"/>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72"/>
      <c r="AE173" s="272"/>
      <c r="AF173" s="273"/>
      <c r="AG173" s="274">
        <f t="shared" si="333"/>
        <v>0</v>
      </c>
      <c r="AH173" s="275">
        <f t="shared" si="390"/>
        <v>0</v>
      </c>
      <c r="AI173" s="276">
        <f t="shared" si="391"/>
        <v>0</v>
      </c>
      <c r="AJ173" s="276">
        <f t="shared" si="392"/>
        <v>0</v>
      </c>
      <c r="AK173" s="276">
        <f t="shared" si="393"/>
        <v>0</v>
      </c>
      <c r="AL173" s="276">
        <f t="shared" si="394"/>
        <v>0</v>
      </c>
      <c r="AM173" s="276" t="str">
        <f t="shared" si="395"/>
        <v/>
      </c>
      <c r="AN173" s="276" t="str">
        <f t="shared" si="396"/>
        <v/>
      </c>
      <c r="AO173" s="276" t="str">
        <f t="shared" si="397"/>
        <v/>
      </c>
      <c r="AP173" s="276" t="str">
        <f t="shared" si="398"/>
        <v/>
      </c>
      <c r="AQ173" s="276" t="str">
        <f t="shared" si="399"/>
        <v/>
      </c>
      <c r="AR173" s="276" t="str">
        <f t="shared" si="400"/>
        <v/>
      </c>
      <c r="AS173" s="276" t="str">
        <f t="shared" si="401"/>
        <v/>
      </c>
      <c r="AT173" s="276" t="str">
        <f t="shared" si="402"/>
        <v/>
      </c>
      <c r="AU173" s="276" t="str">
        <f t="shared" si="403"/>
        <v/>
      </c>
      <c r="AV173" s="276" t="str">
        <f t="shared" si="404"/>
        <v/>
      </c>
      <c r="AW173" s="276" t="str">
        <f t="shared" si="405"/>
        <v/>
      </c>
      <c r="AX173" s="276" t="str">
        <f t="shared" si="406"/>
        <v/>
      </c>
      <c r="AY173" s="276" t="str">
        <f t="shared" si="407"/>
        <v/>
      </c>
      <c r="AZ173" s="276" t="str">
        <f t="shared" si="408"/>
        <v/>
      </c>
      <c r="BA173" s="276" t="str">
        <f t="shared" si="409"/>
        <v/>
      </c>
      <c r="BB173" s="276" t="str">
        <f t="shared" si="410"/>
        <v/>
      </c>
      <c r="BC173" s="276" t="str">
        <f t="shared" si="411"/>
        <v/>
      </c>
      <c r="BD173" s="276" t="str">
        <f t="shared" si="412"/>
        <v/>
      </c>
      <c r="BE173" s="276" t="str">
        <f t="shared" si="413"/>
        <v/>
      </c>
      <c r="BF173" s="277" t="str">
        <f t="shared" si="414"/>
        <v/>
      </c>
      <c r="BG173" s="142">
        <f t="array" ref="BG173">(SUM( IF(ISERROR(AH173:BF173),"", AH173:BF173)))/time</f>
        <v>0</v>
      </c>
      <c r="BH173" s="142">
        <f t="shared" si="334"/>
        <v>0</v>
      </c>
      <c r="BI173" s="142">
        <v>6</v>
      </c>
      <c r="BJ173" s="143">
        <f t="shared" si="416"/>
        <v>0</v>
      </c>
      <c r="BL173" s="176" t="e">
        <f t="array" ref="BL173">STDEV(IF(AH173:BF173&lt;&gt;0,AH173:BF173))</f>
        <v>#DIV/0!</v>
      </c>
      <c r="BM173" s="176">
        <v>1.96</v>
      </c>
      <c r="BN173" s="176" t="e">
        <f t="shared" si="415"/>
        <v>#DIV/0!</v>
      </c>
      <c r="BO173" s="176">
        <f t="shared" si="335"/>
        <v>0</v>
      </c>
    </row>
    <row r="174" spans="1:67" hidden="1">
      <c r="A174" s="301" t="s">
        <v>54</v>
      </c>
      <c r="B174" s="305"/>
      <c r="C174" s="303"/>
      <c r="D174" s="278"/>
      <c r="E174" s="270"/>
      <c r="F174" s="279">
        <f t="shared" si="332"/>
        <v>0</v>
      </c>
      <c r="G174" s="304"/>
      <c r="H174" s="271"/>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72"/>
      <c r="AE174" s="272"/>
      <c r="AF174" s="273"/>
      <c r="AG174" s="274">
        <f t="shared" si="333"/>
        <v>0</v>
      </c>
      <c r="AH174" s="275">
        <f t="shared" si="390"/>
        <v>0</v>
      </c>
      <c r="AI174" s="276">
        <f t="shared" si="391"/>
        <v>0</v>
      </c>
      <c r="AJ174" s="276">
        <f t="shared" si="392"/>
        <v>0</v>
      </c>
      <c r="AK174" s="276">
        <f t="shared" si="393"/>
        <v>0</v>
      </c>
      <c r="AL174" s="276">
        <f t="shared" si="394"/>
        <v>0</v>
      </c>
      <c r="AM174" s="276" t="str">
        <f t="shared" si="395"/>
        <v/>
      </c>
      <c r="AN174" s="276" t="str">
        <f t="shared" si="396"/>
        <v/>
      </c>
      <c r="AO174" s="276" t="str">
        <f t="shared" si="397"/>
        <v/>
      </c>
      <c r="AP174" s="276" t="str">
        <f t="shared" si="398"/>
        <v/>
      </c>
      <c r="AQ174" s="276" t="str">
        <f t="shared" si="399"/>
        <v/>
      </c>
      <c r="AR174" s="276" t="str">
        <f t="shared" si="400"/>
        <v/>
      </c>
      <c r="AS174" s="276" t="str">
        <f t="shared" si="401"/>
        <v/>
      </c>
      <c r="AT174" s="276" t="str">
        <f t="shared" si="402"/>
        <v/>
      </c>
      <c r="AU174" s="276" t="str">
        <f t="shared" si="403"/>
        <v/>
      </c>
      <c r="AV174" s="276" t="str">
        <f t="shared" si="404"/>
        <v/>
      </c>
      <c r="AW174" s="276" t="str">
        <f t="shared" si="405"/>
        <v/>
      </c>
      <c r="AX174" s="276" t="str">
        <f t="shared" si="406"/>
        <v/>
      </c>
      <c r="AY174" s="276" t="str">
        <f t="shared" si="407"/>
        <v/>
      </c>
      <c r="AZ174" s="276" t="str">
        <f t="shared" si="408"/>
        <v/>
      </c>
      <c r="BA174" s="276" t="str">
        <f t="shared" si="409"/>
        <v/>
      </c>
      <c r="BB174" s="276" t="str">
        <f t="shared" si="410"/>
        <v/>
      </c>
      <c r="BC174" s="276" t="str">
        <f t="shared" si="411"/>
        <v/>
      </c>
      <c r="BD174" s="276" t="str">
        <f t="shared" si="412"/>
        <v/>
      </c>
      <c r="BE174" s="276" t="str">
        <f t="shared" si="413"/>
        <v/>
      </c>
      <c r="BF174" s="277" t="str">
        <f t="shared" si="414"/>
        <v/>
      </c>
      <c r="BG174" s="142">
        <f t="array" ref="BG174">(SUM( IF(ISERROR(AH174:BF174),"", AH174:BF174)))/time</f>
        <v>0</v>
      </c>
      <c r="BH174" s="142">
        <f t="shared" si="334"/>
        <v>0</v>
      </c>
      <c r="BI174" s="142">
        <v>7</v>
      </c>
      <c r="BJ174" s="143">
        <f t="shared" si="416"/>
        <v>0</v>
      </c>
      <c r="BL174" s="176" t="e">
        <f t="array" ref="BL174">STDEV(IF(AH174:BF174&lt;&gt;0,AH174:BF174))</f>
        <v>#DIV/0!</v>
      </c>
      <c r="BM174" s="176">
        <v>1.96</v>
      </c>
      <c r="BN174" s="176" t="e">
        <f t="shared" si="415"/>
        <v>#DIV/0!</v>
      </c>
      <c r="BO174" s="176">
        <f t="shared" si="335"/>
        <v>0</v>
      </c>
    </row>
    <row r="175" spans="1:67" hidden="1">
      <c r="A175" s="301" t="s">
        <v>55</v>
      </c>
      <c r="B175" s="305"/>
      <c r="C175" s="303"/>
      <c r="D175" s="278"/>
      <c r="E175" s="270"/>
      <c r="F175" s="279">
        <f t="shared" si="332"/>
        <v>0</v>
      </c>
      <c r="G175" s="304"/>
      <c r="H175" s="271"/>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c r="AE175" s="272"/>
      <c r="AF175" s="273"/>
      <c r="AG175" s="274">
        <f t="shared" si="333"/>
        <v>0</v>
      </c>
      <c r="AH175" s="275">
        <f t="shared" si="390"/>
        <v>0</v>
      </c>
      <c r="AI175" s="276">
        <f t="shared" si="391"/>
        <v>0</v>
      </c>
      <c r="AJ175" s="276">
        <f t="shared" si="392"/>
        <v>0</v>
      </c>
      <c r="AK175" s="276">
        <f t="shared" si="393"/>
        <v>0</v>
      </c>
      <c r="AL175" s="276">
        <f t="shared" si="394"/>
        <v>0</v>
      </c>
      <c r="AM175" s="276" t="str">
        <f t="shared" si="395"/>
        <v/>
      </c>
      <c r="AN175" s="276" t="str">
        <f t="shared" si="396"/>
        <v/>
      </c>
      <c r="AO175" s="276" t="str">
        <f t="shared" si="397"/>
        <v/>
      </c>
      <c r="AP175" s="276" t="str">
        <f t="shared" si="398"/>
        <v/>
      </c>
      <c r="AQ175" s="276" t="str">
        <f t="shared" si="399"/>
        <v/>
      </c>
      <c r="AR175" s="276" t="str">
        <f t="shared" si="400"/>
        <v/>
      </c>
      <c r="AS175" s="276" t="str">
        <f t="shared" si="401"/>
        <v/>
      </c>
      <c r="AT175" s="276" t="str">
        <f t="shared" si="402"/>
        <v/>
      </c>
      <c r="AU175" s="276" t="str">
        <f t="shared" si="403"/>
        <v/>
      </c>
      <c r="AV175" s="276" t="str">
        <f t="shared" si="404"/>
        <v/>
      </c>
      <c r="AW175" s="276" t="str">
        <f t="shared" si="405"/>
        <v/>
      </c>
      <c r="AX175" s="276" t="str">
        <f t="shared" si="406"/>
        <v/>
      </c>
      <c r="AY175" s="276" t="str">
        <f t="shared" si="407"/>
        <v/>
      </c>
      <c r="AZ175" s="276" t="str">
        <f t="shared" si="408"/>
        <v/>
      </c>
      <c r="BA175" s="276" t="str">
        <f t="shared" si="409"/>
        <v/>
      </c>
      <c r="BB175" s="276" t="str">
        <f t="shared" si="410"/>
        <v/>
      </c>
      <c r="BC175" s="276" t="str">
        <f t="shared" si="411"/>
        <v/>
      </c>
      <c r="BD175" s="276" t="str">
        <f t="shared" si="412"/>
        <v/>
      </c>
      <c r="BE175" s="276" t="str">
        <f t="shared" si="413"/>
        <v/>
      </c>
      <c r="BF175" s="277" t="str">
        <f t="shared" si="414"/>
        <v/>
      </c>
      <c r="BG175" s="142">
        <f t="array" ref="BG175">(SUM( IF(ISERROR(AH175:BF175),"", AH175:BF175)))/time</f>
        <v>0</v>
      </c>
      <c r="BH175" s="142">
        <f t="shared" si="334"/>
        <v>0</v>
      </c>
      <c r="BI175" s="142">
        <v>8</v>
      </c>
      <c r="BJ175" s="143">
        <f t="shared" si="416"/>
        <v>0</v>
      </c>
      <c r="BL175" s="176" t="e">
        <f t="array" ref="BL175">STDEV(IF(AH175:BF175&lt;&gt;0,AH175:BF175))</f>
        <v>#DIV/0!</v>
      </c>
      <c r="BM175" s="176">
        <v>1.96</v>
      </c>
      <c r="BN175" s="176" t="e">
        <f t="shared" si="415"/>
        <v>#DIV/0!</v>
      </c>
      <c r="BO175" s="176">
        <f t="shared" si="335"/>
        <v>0</v>
      </c>
    </row>
    <row r="176" spans="1:67" hidden="1">
      <c r="A176" s="301" t="s">
        <v>56</v>
      </c>
      <c r="B176" s="305"/>
      <c r="C176" s="303"/>
      <c r="D176" s="278"/>
      <c r="E176" s="270"/>
      <c r="F176" s="279">
        <f t="shared" si="332"/>
        <v>0</v>
      </c>
      <c r="G176" s="304"/>
      <c r="H176" s="271"/>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3"/>
      <c r="AG176" s="274">
        <f t="shared" si="333"/>
        <v>0</v>
      </c>
      <c r="AH176" s="275">
        <f t="shared" si="390"/>
        <v>0</v>
      </c>
      <c r="AI176" s="276">
        <f t="shared" si="391"/>
        <v>0</v>
      </c>
      <c r="AJ176" s="276">
        <f t="shared" si="392"/>
        <v>0</v>
      </c>
      <c r="AK176" s="276">
        <f t="shared" si="393"/>
        <v>0</v>
      </c>
      <c r="AL176" s="276">
        <f t="shared" si="394"/>
        <v>0</v>
      </c>
      <c r="AM176" s="276" t="str">
        <f t="shared" si="395"/>
        <v/>
      </c>
      <c r="AN176" s="276" t="str">
        <f t="shared" si="396"/>
        <v/>
      </c>
      <c r="AO176" s="276" t="str">
        <f t="shared" si="397"/>
        <v/>
      </c>
      <c r="AP176" s="276" t="str">
        <f t="shared" si="398"/>
        <v/>
      </c>
      <c r="AQ176" s="276" t="str">
        <f t="shared" si="399"/>
        <v/>
      </c>
      <c r="AR176" s="276" t="str">
        <f t="shared" si="400"/>
        <v/>
      </c>
      <c r="AS176" s="276" t="str">
        <f t="shared" si="401"/>
        <v/>
      </c>
      <c r="AT176" s="276" t="str">
        <f t="shared" si="402"/>
        <v/>
      </c>
      <c r="AU176" s="276" t="str">
        <f t="shared" si="403"/>
        <v/>
      </c>
      <c r="AV176" s="276" t="str">
        <f t="shared" si="404"/>
        <v/>
      </c>
      <c r="AW176" s="276" t="str">
        <f t="shared" si="405"/>
        <v/>
      </c>
      <c r="AX176" s="276" t="str">
        <f t="shared" si="406"/>
        <v/>
      </c>
      <c r="AY176" s="276" t="str">
        <f t="shared" si="407"/>
        <v/>
      </c>
      <c r="AZ176" s="276" t="str">
        <f t="shared" si="408"/>
        <v/>
      </c>
      <c r="BA176" s="276" t="str">
        <f t="shared" si="409"/>
        <v/>
      </c>
      <c r="BB176" s="276" t="str">
        <f t="shared" si="410"/>
        <v/>
      </c>
      <c r="BC176" s="276" t="str">
        <f t="shared" si="411"/>
        <v/>
      </c>
      <c r="BD176" s="276" t="str">
        <f t="shared" si="412"/>
        <v/>
      </c>
      <c r="BE176" s="276" t="str">
        <f t="shared" si="413"/>
        <v/>
      </c>
      <c r="BF176" s="277" t="str">
        <f t="shared" si="414"/>
        <v/>
      </c>
      <c r="BG176" s="142">
        <f t="array" ref="BG176">(SUM( IF(ISERROR(AH176:BF176),"", AH176:BF176)))/time</f>
        <v>0</v>
      </c>
      <c r="BH176" s="142">
        <f t="shared" si="334"/>
        <v>0</v>
      </c>
      <c r="BI176" s="142">
        <v>9</v>
      </c>
      <c r="BJ176" s="143">
        <f t="shared" si="416"/>
        <v>0</v>
      </c>
      <c r="BL176" s="176" t="e">
        <f t="array" ref="BL176">STDEV(IF(AH176:BF176&lt;&gt;0,AH176:BF176))</f>
        <v>#DIV/0!</v>
      </c>
      <c r="BM176" s="176">
        <v>1.96</v>
      </c>
      <c r="BN176" s="176" t="e">
        <f t="shared" si="415"/>
        <v>#DIV/0!</v>
      </c>
      <c r="BO176" s="176">
        <f t="shared" si="335"/>
        <v>0</v>
      </c>
    </row>
    <row r="177" spans="1:67" hidden="1">
      <c r="A177" s="301" t="s">
        <v>57</v>
      </c>
      <c r="B177" s="305"/>
      <c r="C177" s="303"/>
      <c r="D177" s="278"/>
      <c r="E177" s="270"/>
      <c r="F177" s="279">
        <f t="shared" si="332"/>
        <v>0</v>
      </c>
      <c r="G177" s="304"/>
      <c r="H177" s="271"/>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272"/>
      <c r="AF177" s="273"/>
      <c r="AG177" s="274">
        <f t="shared" si="333"/>
        <v>0</v>
      </c>
      <c r="AH177" s="275">
        <f t="shared" si="390"/>
        <v>0</v>
      </c>
      <c r="AI177" s="276">
        <f t="shared" si="391"/>
        <v>0</v>
      </c>
      <c r="AJ177" s="276">
        <f t="shared" si="392"/>
        <v>0</v>
      </c>
      <c r="AK177" s="276">
        <f t="shared" si="393"/>
        <v>0</v>
      </c>
      <c r="AL177" s="276">
        <f t="shared" si="394"/>
        <v>0</v>
      </c>
      <c r="AM177" s="276" t="str">
        <f t="shared" si="395"/>
        <v/>
      </c>
      <c r="AN177" s="276" t="str">
        <f t="shared" si="396"/>
        <v/>
      </c>
      <c r="AO177" s="276" t="str">
        <f t="shared" si="397"/>
        <v/>
      </c>
      <c r="AP177" s="276" t="str">
        <f t="shared" si="398"/>
        <v/>
      </c>
      <c r="AQ177" s="276" t="str">
        <f t="shared" si="399"/>
        <v/>
      </c>
      <c r="AR177" s="276" t="str">
        <f t="shared" si="400"/>
        <v/>
      </c>
      <c r="AS177" s="276" t="str">
        <f t="shared" si="401"/>
        <v/>
      </c>
      <c r="AT177" s="276" t="str">
        <f t="shared" si="402"/>
        <v/>
      </c>
      <c r="AU177" s="276" t="str">
        <f t="shared" si="403"/>
        <v/>
      </c>
      <c r="AV177" s="276" t="str">
        <f t="shared" si="404"/>
        <v/>
      </c>
      <c r="AW177" s="276" t="str">
        <f t="shared" si="405"/>
        <v/>
      </c>
      <c r="AX177" s="276" t="str">
        <f t="shared" si="406"/>
        <v/>
      </c>
      <c r="AY177" s="276" t="str">
        <f t="shared" si="407"/>
        <v/>
      </c>
      <c r="AZ177" s="276" t="str">
        <f t="shared" si="408"/>
        <v/>
      </c>
      <c r="BA177" s="276" t="str">
        <f t="shared" si="409"/>
        <v/>
      </c>
      <c r="BB177" s="276" t="str">
        <f t="shared" si="410"/>
        <v/>
      </c>
      <c r="BC177" s="276" t="str">
        <f t="shared" si="411"/>
        <v/>
      </c>
      <c r="BD177" s="276" t="str">
        <f t="shared" si="412"/>
        <v/>
      </c>
      <c r="BE177" s="276" t="str">
        <f t="shared" si="413"/>
        <v/>
      </c>
      <c r="BF177" s="277" t="str">
        <f t="shared" si="414"/>
        <v/>
      </c>
      <c r="BG177" s="142">
        <f t="array" ref="BG177">(SUM( IF(ISERROR(AH177:BF177),"", AH177:BF177)))/time</f>
        <v>0</v>
      </c>
      <c r="BH177" s="142">
        <f t="shared" si="334"/>
        <v>0</v>
      </c>
      <c r="BI177" s="142">
        <v>10</v>
      </c>
      <c r="BJ177" s="143">
        <f t="shared" si="416"/>
        <v>0</v>
      </c>
      <c r="BL177" s="176" t="e">
        <f t="array" ref="BL177">STDEV(IF(AH177:BF177&lt;&gt;0,AH177:BF177))</f>
        <v>#DIV/0!</v>
      </c>
      <c r="BM177" s="176">
        <v>1.96</v>
      </c>
      <c r="BN177" s="176" t="e">
        <f t="shared" si="415"/>
        <v>#DIV/0!</v>
      </c>
      <c r="BO177" s="176">
        <f t="shared" si="335"/>
        <v>0</v>
      </c>
    </row>
    <row r="178" spans="1:67" s="196" customFormat="1">
      <c r="A178" s="290" t="s">
        <v>9</v>
      </c>
      <c r="F178" s="203"/>
      <c r="H178" s="202"/>
      <c r="AG178" s="288"/>
      <c r="AH178" s="202"/>
      <c r="BJ178" s="203"/>
    </row>
    <row r="179" spans="1:67">
      <c r="A179" s="848" t="s">
        <v>125</v>
      </c>
      <c r="B179" s="852"/>
      <c r="C179" s="851"/>
      <c r="D179" s="845"/>
      <c r="E179" s="847"/>
      <c r="F179" s="846">
        <f t="shared" si="332"/>
        <v>0</v>
      </c>
      <c r="G179" s="304"/>
      <c r="H179" s="842"/>
      <c r="I179" s="843"/>
      <c r="J179" s="843"/>
      <c r="K179" s="843"/>
      <c r="L179" s="843"/>
      <c r="M179" s="272"/>
      <c r="N179" s="272"/>
      <c r="O179" s="272"/>
      <c r="P179" s="272"/>
      <c r="Q179" s="272"/>
      <c r="R179" s="272"/>
      <c r="S179" s="272"/>
      <c r="T179" s="272"/>
      <c r="U179" s="272"/>
      <c r="V179" s="272"/>
      <c r="W179" s="272"/>
      <c r="X179" s="272"/>
      <c r="Y179" s="272"/>
      <c r="Z179" s="272"/>
      <c r="AA179" s="272"/>
      <c r="AB179" s="272"/>
      <c r="AC179" s="272"/>
      <c r="AD179" s="272"/>
      <c r="AE179" s="272"/>
      <c r="AF179" s="273"/>
      <c r="AG179" s="274">
        <f t="shared" si="333"/>
        <v>0</v>
      </c>
      <c r="AH179" s="275">
        <f t="shared" ref="AH179:AH188" si="417">IF(AH$225&lt;=time,H179*$F179,"")</f>
        <v>0</v>
      </c>
      <c r="AI179" s="276">
        <f t="shared" ref="AI179:AI188" si="418">IF(AI$225&lt;=time,I179*$F179,"")</f>
        <v>0</v>
      </c>
      <c r="AJ179" s="276">
        <f t="shared" ref="AJ179:AJ188" si="419">IF(AJ$225&lt;=time,J179*$F179,"")</f>
        <v>0</v>
      </c>
      <c r="AK179" s="276">
        <f t="shared" ref="AK179:AK188" si="420">IF(AK$225&lt;=time,K179*$F179,"")</f>
        <v>0</v>
      </c>
      <c r="AL179" s="276">
        <f t="shared" ref="AL179:AL188" si="421">IF(AL$225&lt;=time,L179*$F179,"")</f>
        <v>0</v>
      </c>
      <c r="AM179" s="276" t="str">
        <f t="shared" ref="AM179:AM188" si="422">IF(AM$225&lt;=time,M179*$F179,"")</f>
        <v/>
      </c>
      <c r="AN179" s="276" t="str">
        <f t="shared" ref="AN179:AN188" si="423">IF(AN$225&lt;=time,N179*$F179,"")</f>
        <v/>
      </c>
      <c r="AO179" s="276" t="str">
        <f t="shared" ref="AO179:AO188" si="424">IF(AO$225&lt;=time,O179*$F179,"")</f>
        <v/>
      </c>
      <c r="AP179" s="276" t="str">
        <f t="shared" ref="AP179:AP188" si="425">IF(AP$225&lt;=time,P179*$F179,"")</f>
        <v/>
      </c>
      <c r="AQ179" s="276" t="str">
        <f t="shared" ref="AQ179:AQ188" si="426">IF(AQ$225&lt;=time,Q179*$F179,"")</f>
        <v/>
      </c>
      <c r="AR179" s="276" t="str">
        <f t="shared" ref="AR179:AR188" si="427">IF(AR$225&lt;=time,R179*$F179,"")</f>
        <v/>
      </c>
      <c r="AS179" s="276" t="str">
        <f t="shared" ref="AS179:AS188" si="428">IF(AS$225&lt;=time,S179*$F179,"")</f>
        <v/>
      </c>
      <c r="AT179" s="276" t="str">
        <f t="shared" ref="AT179:AT188" si="429">IF(AT$225&lt;=time,T179*$F179,"")</f>
        <v/>
      </c>
      <c r="AU179" s="276" t="str">
        <f t="shared" ref="AU179:AU188" si="430">IF(AU$225&lt;=time,U179*$F179,"")</f>
        <v/>
      </c>
      <c r="AV179" s="276" t="str">
        <f t="shared" ref="AV179:AV188" si="431">IF(AV$225&lt;=time,V179*$F179,"")</f>
        <v/>
      </c>
      <c r="AW179" s="276" t="str">
        <f t="shared" ref="AW179:AW188" si="432">IF(AW$225&lt;=time,W179*$F179,"")</f>
        <v/>
      </c>
      <c r="AX179" s="276" t="str">
        <f t="shared" ref="AX179:AX188" si="433">IF(AX$225&lt;=time,X179*$F179,"")</f>
        <v/>
      </c>
      <c r="AY179" s="276" t="str">
        <f t="shared" ref="AY179:AY188" si="434">IF(AY$225&lt;=time,Y179*$F179,"")</f>
        <v/>
      </c>
      <c r="AZ179" s="276" t="str">
        <f t="shared" ref="AZ179:AZ188" si="435">IF(AZ$225&lt;=time,Z179*$F179,"")</f>
        <v/>
      </c>
      <c r="BA179" s="276" t="str">
        <f t="shared" ref="BA179:BA188" si="436">IF(BA$225&lt;=time,AA179*$F179,"")</f>
        <v/>
      </c>
      <c r="BB179" s="276" t="str">
        <f t="shared" ref="BB179:BB188" si="437">IF(BB$225&lt;=time,AB179*$F179,"")</f>
        <v/>
      </c>
      <c r="BC179" s="276" t="str">
        <f t="shared" ref="BC179:BC188" si="438">IF(BC$225&lt;=time,AC179*$F179,"")</f>
        <v/>
      </c>
      <c r="BD179" s="276" t="str">
        <f t="shared" ref="BD179:BD188" si="439">IF(BD$225&lt;=time,AD179*$F179,"")</f>
        <v/>
      </c>
      <c r="BE179" s="276" t="str">
        <f t="shared" ref="BE179:BE188" si="440">IF(BE$225&lt;=time,AE179*$F179,"")</f>
        <v/>
      </c>
      <c r="BF179" s="277" t="str">
        <f t="shared" ref="BF179:BF188" si="441">IF(BF$225&lt;=time,AF179*$F179,"")</f>
        <v/>
      </c>
      <c r="BG179" s="142">
        <f t="array" ref="BG179">(SUM( IF(ISERROR(AH179:BF179),"", AH179:BF179)))/time</f>
        <v>0</v>
      </c>
      <c r="BH179" s="142">
        <f t="shared" si="334"/>
        <v>0</v>
      </c>
      <c r="BI179" s="142">
        <v>1</v>
      </c>
      <c r="BJ179" s="143">
        <f>IF(BO179&gt;0,BG179+BN179,BG179)</f>
        <v>0</v>
      </c>
      <c r="BL179" s="176" t="e">
        <f t="array" ref="BL179">STDEV(IF(AH179:BF179&lt;&gt;0,AH179:BF179))</f>
        <v>#DIV/0!</v>
      </c>
      <c r="BM179" s="176">
        <v>1.96</v>
      </c>
      <c r="BN179" s="176" t="e">
        <f t="shared" ref="BN179:BN188" si="442">(BM179*BL179)/(time^0.5)</f>
        <v>#DIV/0!</v>
      </c>
      <c r="BO179" s="176">
        <f t="shared" si="335"/>
        <v>0</v>
      </c>
    </row>
    <row r="180" spans="1:67" hidden="1">
      <c r="A180" s="301" t="s">
        <v>127</v>
      </c>
      <c r="B180" s="305"/>
      <c r="C180" s="303"/>
      <c r="D180" s="278"/>
      <c r="E180" s="270"/>
      <c r="F180" s="279">
        <f t="shared" si="332"/>
        <v>0</v>
      </c>
      <c r="G180" s="304"/>
      <c r="H180" s="271"/>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c r="AE180" s="272"/>
      <c r="AF180" s="273"/>
      <c r="AG180" s="274">
        <f t="shared" si="333"/>
        <v>0</v>
      </c>
      <c r="AH180" s="275">
        <f t="shared" si="417"/>
        <v>0</v>
      </c>
      <c r="AI180" s="276">
        <f t="shared" si="418"/>
        <v>0</v>
      </c>
      <c r="AJ180" s="276">
        <f t="shared" si="419"/>
        <v>0</v>
      </c>
      <c r="AK180" s="276">
        <f t="shared" si="420"/>
        <v>0</v>
      </c>
      <c r="AL180" s="276">
        <f t="shared" si="421"/>
        <v>0</v>
      </c>
      <c r="AM180" s="276" t="str">
        <f t="shared" si="422"/>
        <v/>
      </c>
      <c r="AN180" s="276" t="str">
        <f t="shared" si="423"/>
        <v/>
      </c>
      <c r="AO180" s="276" t="str">
        <f t="shared" si="424"/>
        <v/>
      </c>
      <c r="AP180" s="276" t="str">
        <f t="shared" si="425"/>
        <v/>
      </c>
      <c r="AQ180" s="276" t="str">
        <f t="shared" si="426"/>
        <v/>
      </c>
      <c r="AR180" s="276" t="str">
        <f t="shared" si="427"/>
        <v/>
      </c>
      <c r="AS180" s="276" t="str">
        <f t="shared" si="428"/>
        <v/>
      </c>
      <c r="AT180" s="276" t="str">
        <f t="shared" si="429"/>
        <v/>
      </c>
      <c r="AU180" s="276" t="str">
        <f t="shared" si="430"/>
        <v/>
      </c>
      <c r="AV180" s="276" t="str">
        <f t="shared" si="431"/>
        <v/>
      </c>
      <c r="AW180" s="276" t="str">
        <f t="shared" si="432"/>
        <v/>
      </c>
      <c r="AX180" s="276" t="str">
        <f t="shared" si="433"/>
        <v/>
      </c>
      <c r="AY180" s="276" t="str">
        <f t="shared" si="434"/>
        <v/>
      </c>
      <c r="AZ180" s="276" t="str">
        <f t="shared" si="435"/>
        <v/>
      </c>
      <c r="BA180" s="276" t="str">
        <f t="shared" si="436"/>
        <v/>
      </c>
      <c r="BB180" s="276" t="str">
        <f t="shared" si="437"/>
        <v/>
      </c>
      <c r="BC180" s="276" t="str">
        <f t="shared" si="438"/>
        <v/>
      </c>
      <c r="BD180" s="276" t="str">
        <f t="shared" si="439"/>
        <v/>
      </c>
      <c r="BE180" s="276" t="str">
        <f t="shared" si="440"/>
        <v/>
      </c>
      <c r="BF180" s="277" t="str">
        <f t="shared" si="441"/>
        <v/>
      </c>
      <c r="BG180" s="142">
        <f t="array" ref="BG180">(SUM( IF(ISERROR(AH180:BF180),"", AH180:BF180)))/time</f>
        <v>0</v>
      </c>
      <c r="BH180" s="142">
        <f t="shared" si="334"/>
        <v>0</v>
      </c>
      <c r="BI180" s="142">
        <v>2</v>
      </c>
      <c r="BJ180" s="143">
        <f t="shared" ref="BJ180:BJ188" si="443">IF(BO180&gt;0,BG180+BN180,BG180)</f>
        <v>0</v>
      </c>
      <c r="BL180" s="176" t="e">
        <f t="array" ref="BL180">STDEV(IF(AH180:BF180&lt;&gt;0,AH180:BF180))</f>
        <v>#DIV/0!</v>
      </c>
      <c r="BM180" s="176">
        <v>1.96</v>
      </c>
      <c r="BN180" s="176" t="e">
        <f t="shared" si="442"/>
        <v>#DIV/0!</v>
      </c>
      <c r="BO180" s="176">
        <f t="shared" si="335"/>
        <v>0</v>
      </c>
    </row>
    <row r="181" spans="1:67" hidden="1">
      <c r="A181" s="301" t="s">
        <v>128</v>
      </c>
      <c r="B181" s="305"/>
      <c r="C181" s="303"/>
      <c r="D181" s="278"/>
      <c r="E181" s="270"/>
      <c r="F181" s="279">
        <f t="shared" si="332"/>
        <v>0</v>
      </c>
      <c r="G181" s="304"/>
      <c r="H181" s="271"/>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c r="AE181" s="272"/>
      <c r="AF181" s="273"/>
      <c r="AG181" s="274">
        <f t="shared" si="333"/>
        <v>0</v>
      </c>
      <c r="AH181" s="275">
        <f t="shared" si="417"/>
        <v>0</v>
      </c>
      <c r="AI181" s="276">
        <f t="shared" si="418"/>
        <v>0</v>
      </c>
      <c r="AJ181" s="276">
        <f t="shared" si="419"/>
        <v>0</v>
      </c>
      <c r="AK181" s="276">
        <f t="shared" si="420"/>
        <v>0</v>
      </c>
      <c r="AL181" s="276">
        <f t="shared" si="421"/>
        <v>0</v>
      </c>
      <c r="AM181" s="276" t="str">
        <f t="shared" si="422"/>
        <v/>
      </c>
      <c r="AN181" s="276" t="str">
        <f t="shared" si="423"/>
        <v/>
      </c>
      <c r="AO181" s="276" t="str">
        <f t="shared" si="424"/>
        <v/>
      </c>
      <c r="AP181" s="276" t="str">
        <f t="shared" si="425"/>
        <v/>
      </c>
      <c r="AQ181" s="276" t="str">
        <f t="shared" si="426"/>
        <v/>
      </c>
      <c r="AR181" s="276" t="str">
        <f t="shared" si="427"/>
        <v/>
      </c>
      <c r="AS181" s="276" t="str">
        <f t="shared" si="428"/>
        <v/>
      </c>
      <c r="AT181" s="276" t="str">
        <f t="shared" si="429"/>
        <v/>
      </c>
      <c r="AU181" s="276" t="str">
        <f t="shared" si="430"/>
        <v/>
      </c>
      <c r="AV181" s="276" t="str">
        <f t="shared" si="431"/>
        <v/>
      </c>
      <c r="AW181" s="276" t="str">
        <f t="shared" si="432"/>
        <v/>
      </c>
      <c r="AX181" s="276" t="str">
        <f t="shared" si="433"/>
        <v/>
      </c>
      <c r="AY181" s="276" t="str">
        <f t="shared" si="434"/>
        <v/>
      </c>
      <c r="AZ181" s="276" t="str">
        <f t="shared" si="435"/>
        <v/>
      </c>
      <c r="BA181" s="276" t="str">
        <f t="shared" si="436"/>
        <v/>
      </c>
      <c r="BB181" s="276" t="str">
        <f t="shared" si="437"/>
        <v/>
      </c>
      <c r="BC181" s="276" t="str">
        <f t="shared" si="438"/>
        <v/>
      </c>
      <c r="BD181" s="276" t="str">
        <f t="shared" si="439"/>
        <v/>
      </c>
      <c r="BE181" s="276" t="str">
        <f t="shared" si="440"/>
        <v/>
      </c>
      <c r="BF181" s="277" t="str">
        <f t="shared" si="441"/>
        <v/>
      </c>
      <c r="BG181" s="142">
        <f t="array" ref="BG181">(SUM( IF(ISERROR(AH181:BF181),"", AH181:BF181)))/time</f>
        <v>0</v>
      </c>
      <c r="BH181" s="142">
        <f t="shared" si="334"/>
        <v>0</v>
      </c>
      <c r="BI181" s="142">
        <v>3</v>
      </c>
      <c r="BJ181" s="143">
        <f t="shared" si="443"/>
        <v>0</v>
      </c>
      <c r="BL181" s="176" t="e">
        <f t="array" ref="BL181">STDEV(IF(AH181:BF181&lt;&gt;0,AH181:BF181))</f>
        <v>#DIV/0!</v>
      </c>
      <c r="BM181" s="176">
        <v>1.96</v>
      </c>
      <c r="BN181" s="176" t="e">
        <f t="shared" si="442"/>
        <v>#DIV/0!</v>
      </c>
      <c r="BO181" s="176">
        <f t="shared" si="335"/>
        <v>0</v>
      </c>
    </row>
    <row r="182" spans="1:67" hidden="1">
      <c r="A182" s="301" t="s">
        <v>129</v>
      </c>
      <c r="B182" s="305"/>
      <c r="C182" s="303"/>
      <c r="D182" s="278"/>
      <c r="E182" s="270"/>
      <c r="F182" s="279">
        <f t="shared" si="332"/>
        <v>0</v>
      </c>
      <c r="G182" s="304"/>
      <c r="H182" s="271"/>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c r="AE182" s="272"/>
      <c r="AF182" s="273"/>
      <c r="AG182" s="274">
        <f t="shared" si="333"/>
        <v>0</v>
      </c>
      <c r="AH182" s="275">
        <f t="shared" si="417"/>
        <v>0</v>
      </c>
      <c r="AI182" s="276">
        <f t="shared" si="418"/>
        <v>0</v>
      </c>
      <c r="AJ182" s="276">
        <f t="shared" si="419"/>
        <v>0</v>
      </c>
      <c r="AK182" s="276">
        <f t="shared" si="420"/>
        <v>0</v>
      </c>
      <c r="AL182" s="276">
        <f t="shared" si="421"/>
        <v>0</v>
      </c>
      <c r="AM182" s="276" t="str">
        <f t="shared" si="422"/>
        <v/>
      </c>
      <c r="AN182" s="276" t="str">
        <f t="shared" si="423"/>
        <v/>
      </c>
      <c r="AO182" s="276" t="str">
        <f t="shared" si="424"/>
        <v/>
      </c>
      <c r="AP182" s="276" t="str">
        <f t="shared" si="425"/>
        <v/>
      </c>
      <c r="AQ182" s="276" t="str">
        <f t="shared" si="426"/>
        <v/>
      </c>
      <c r="AR182" s="276" t="str">
        <f t="shared" si="427"/>
        <v/>
      </c>
      <c r="AS182" s="276" t="str">
        <f t="shared" si="428"/>
        <v/>
      </c>
      <c r="AT182" s="276" t="str">
        <f t="shared" si="429"/>
        <v/>
      </c>
      <c r="AU182" s="276" t="str">
        <f t="shared" si="430"/>
        <v/>
      </c>
      <c r="AV182" s="276" t="str">
        <f t="shared" si="431"/>
        <v/>
      </c>
      <c r="AW182" s="276" t="str">
        <f t="shared" si="432"/>
        <v/>
      </c>
      <c r="AX182" s="276" t="str">
        <f t="shared" si="433"/>
        <v/>
      </c>
      <c r="AY182" s="276" t="str">
        <f t="shared" si="434"/>
        <v/>
      </c>
      <c r="AZ182" s="276" t="str">
        <f t="shared" si="435"/>
        <v/>
      </c>
      <c r="BA182" s="276" t="str">
        <f t="shared" si="436"/>
        <v/>
      </c>
      <c r="BB182" s="276" t="str">
        <f t="shared" si="437"/>
        <v/>
      </c>
      <c r="BC182" s="276" t="str">
        <f t="shared" si="438"/>
        <v/>
      </c>
      <c r="BD182" s="276" t="str">
        <f t="shared" si="439"/>
        <v/>
      </c>
      <c r="BE182" s="276" t="str">
        <f t="shared" si="440"/>
        <v/>
      </c>
      <c r="BF182" s="277" t="str">
        <f t="shared" si="441"/>
        <v/>
      </c>
      <c r="BG182" s="142">
        <f t="array" ref="BG182">(SUM( IF(ISERROR(AH182:BF182),"", AH182:BF182)))/time</f>
        <v>0</v>
      </c>
      <c r="BH182" s="142">
        <f t="shared" si="334"/>
        <v>0</v>
      </c>
      <c r="BI182" s="142">
        <v>4</v>
      </c>
      <c r="BJ182" s="143">
        <f t="shared" si="443"/>
        <v>0</v>
      </c>
      <c r="BL182" s="176" t="e">
        <f t="array" ref="BL182">STDEV(IF(AH182:BF182&lt;&gt;0,AH182:BF182))</f>
        <v>#DIV/0!</v>
      </c>
      <c r="BM182" s="176">
        <v>1.96</v>
      </c>
      <c r="BN182" s="176" t="e">
        <f t="shared" si="442"/>
        <v>#DIV/0!</v>
      </c>
      <c r="BO182" s="176">
        <f t="shared" si="335"/>
        <v>0</v>
      </c>
    </row>
    <row r="183" spans="1:67" hidden="1">
      <c r="A183" s="301" t="s">
        <v>130</v>
      </c>
      <c r="B183" s="305"/>
      <c r="C183" s="303"/>
      <c r="D183" s="278"/>
      <c r="E183" s="270"/>
      <c r="F183" s="279">
        <f t="shared" si="332"/>
        <v>0</v>
      </c>
      <c r="G183" s="304"/>
      <c r="H183" s="271"/>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c r="AE183" s="272"/>
      <c r="AF183" s="273"/>
      <c r="AG183" s="274">
        <f t="shared" si="333"/>
        <v>0</v>
      </c>
      <c r="AH183" s="275">
        <f t="shared" si="417"/>
        <v>0</v>
      </c>
      <c r="AI183" s="276">
        <f t="shared" si="418"/>
        <v>0</v>
      </c>
      <c r="AJ183" s="276">
        <f t="shared" si="419"/>
        <v>0</v>
      </c>
      <c r="AK183" s="276">
        <f t="shared" si="420"/>
        <v>0</v>
      </c>
      <c r="AL183" s="276">
        <f t="shared" si="421"/>
        <v>0</v>
      </c>
      <c r="AM183" s="276" t="str">
        <f t="shared" si="422"/>
        <v/>
      </c>
      <c r="AN183" s="276" t="str">
        <f t="shared" si="423"/>
        <v/>
      </c>
      <c r="AO183" s="276" t="str">
        <f t="shared" si="424"/>
        <v/>
      </c>
      <c r="AP183" s="276" t="str">
        <f t="shared" si="425"/>
        <v/>
      </c>
      <c r="AQ183" s="276" t="str">
        <f t="shared" si="426"/>
        <v/>
      </c>
      <c r="AR183" s="276" t="str">
        <f t="shared" si="427"/>
        <v/>
      </c>
      <c r="AS183" s="276" t="str">
        <f t="shared" si="428"/>
        <v/>
      </c>
      <c r="AT183" s="276" t="str">
        <f t="shared" si="429"/>
        <v/>
      </c>
      <c r="AU183" s="276" t="str">
        <f t="shared" si="430"/>
        <v/>
      </c>
      <c r="AV183" s="276" t="str">
        <f t="shared" si="431"/>
        <v/>
      </c>
      <c r="AW183" s="276" t="str">
        <f t="shared" si="432"/>
        <v/>
      </c>
      <c r="AX183" s="276" t="str">
        <f t="shared" si="433"/>
        <v/>
      </c>
      <c r="AY183" s="276" t="str">
        <f t="shared" si="434"/>
        <v/>
      </c>
      <c r="AZ183" s="276" t="str">
        <f t="shared" si="435"/>
        <v/>
      </c>
      <c r="BA183" s="276" t="str">
        <f t="shared" si="436"/>
        <v/>
      </c>
      <c r="BB183" s="276" t="str">
        <f t="shared" si="437"/>
        <v/>
      </c>
      <c r="BC183" s="276" t="str">
        <f t="shared" si="438"/>
        <v/>
      </c>
      <c r="BD183" s="276" t="str">
        <f t="shared" si="439"/>
        <v/>
      </c>
      <c r="BE183" s="276" t="str">
        <f t="shared" si="440"/>
        <v/>
      </c>
      <c r="BF183" s="277" t="str">
        <f t="shared" si="441"/>
        <v/>
      </c>
      <c r="BG183" s="142">
        <f t="array" ref="BG183">(SUM( IF(ISERROR(AH183:BF183),"", AH183:BF183)))/time</f>
        <v>0</v>
      </c>
      <c r="BH183" s="142">
        <f t="shared" si="334"/>
        <v>0</v>
      </c>
      <c r="BI183" s="142">
        <v>5</v>
      </c>
      <c r="BJ183" s="143">
        <f t="shared" si="443"/>
        <v>0</v>
      </c>
      <c r="BL183" s="176" t="e">
        <f t="array" ref="BL183">STDEV(IF(AH183:BF183&lt;&gt;0,AH183:BF183))</f>
        <v>#DIV/0!</v>
      </c>
      <c r="BM183" s="176">
        <v>1.96</v>
      </c>
      <c r="BN183" s="176" t="e">
        <f t="shared" si="442"/>
        <v>#DIV/0!</v>
      </c>
      <c r="BO183" s="176">
        <f t="shared" si="335"/>
        <v>0</v>
      </c>
    </row>
    <row r="184" spans="1:67" hidden="1">
      <c r="A184" s="301" t="s">
        <v>131</v>
      </c>
      <c r="B184" s="305"/>
      <c r="C184" s="303"/>
      <c r="D184" s="278"/>
      <c r="E184" s="270"/>
      <c r="F184" s="279">
        <f t="shared" si="332"/>
        <v>0</v>
      </c>
      <c r="G184" s="304"/>
      <c r="H184" s="271"/>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c r="AE184" s="272"/>
      <c r="AF184" s="273"/>
      <c r="AG184" s="274">
        <f t="shared" si="333"/>
        <v>0</v>
      </c>
      <c r="AH184" s="275">
        <f t="shared" si="417"/>
        <v>0</v>
      </c>
      <c r="AI184" s="276">
        <f t="shared" si="418"/>
        <v>0</v>
      </c>
      <c r="AJ184" s="276">
        <f t="shared" si="419"/>
        <v>0</v>
      </c>
      <c r="AK184" s="276">
        <f t="shared" si="420"/>
        <v>0</v>
      </c>
      <c r="AL184" s="276">
        <f t="shared" si="421"/>
        <v>0</v>
      </c>
      <c r="AM184" s="276" t="str">
        <f t="shared" si="422"/>
        <v/>
      </c>
      <c r="AN184" s="276" t="str">
        <f t="shared" si="423"/>
        <v/>
      </c>
      <c r="AO184" s="276" t="str">
        <f t="shared" si="424"/>
        <v/>
      </c>
      <c r="AP184" s="276" t="str">
        <f t="shared" si="425"/>
        <v/>
      </c>
      <c r="AQ184" s="276" t="str">
        <f t="shared" si="426"/>
        <v/>
      </c>
      <c r="AR184" s="276" t="str">
        <f t="shared" si="427"/>
        <v/>
      </c>
      <c r="AS184" s="276" t="str">
        <f t="shared" si="428"/>
        <v/>
      </c>
      <c r="AT184" s="276" t="str">
        <f t="shared" si="429"/>
        <v/>
      </c>
      <c r="AU184" s="276" t="str">
        <f t="shared" si="430"/>
        <v/>
      </c>
      <c r="AV184" s="276" t="str">
        <f t="shared" si="431"/>
        <v/>
      </c>
      <c r="AW184" s="276" t="str">
        <f t="shared" si="432"/>
        <v/>
      </c>
      <c r="AX184" s="276" t="str">
        <f t="shared" si="433"/>
        <v/>
      </c>
      <c r="AY184" s="276" t="str">
        <f t="shared" si="434"/>
        <v/>
      </c>
      <c r="AZ184" s="276" t="str">
        <f t="shared" si="435"/>
        <v/>
      </c>
      <c r="BA184" s="276" t="str">
        <f t="shared" si="436"/>
        <v/>
      </c>
      <c r="BB184" s="276" t="str">
        <f t="shared" si="437"/>
        <v/>
      </c>
      <c r="BC184" s="276" t="str">
        <f t="shared" si="438"/>
        <v/>
      </c>
      <c r="BD184" s="276" t="str">
        <f t="shared" si="439"/>
        <v/>
      </c>
      <c r="BE184" s="276" t="str">
        <f t="shared" si="440"/>
        <v/>
      </c>
      <c r="BF184" s="277" t="str">
        <f t="shared" si="441"/>
        <v/>
      </c>
      <c r="BG184" s="142">
        <f t="array" ref="BG184">(SUM( IF(ISERROR(AH184:BF184),"", AH184:BF184)))/time</f>
        <v>0</v>
      </c>
      <c r="BH184" s="142">
        <f t="shared" si="334"/>
        <v>0</v>
      </c>
      <c r="BI184" s="142">
        <v>6</v>
      </c>
      <c r="BJ184" s="143">
        <f t="shared" si="443"/>
        <v>0</v>
      </c>
      <c r="BL184" s="176" t="e">
        <f t="array" ref="BL184">STDEV(IF(AH184:BF184&lt;&gt;0,AH184:BF184))</f>
        <v>#DIV/0!</v>
      </c>
      <c r="BM184" s="176">
        <v>1.96</v>
      </c>
      <c r="BN184" s="176" t="e">
        <f t="shared" si="442"/>
        <v>#DIV/0!</v>
      </c>
      <c r="BO184" s="176">
        <f t="shared" si="335"/>
        <v>0</v>
      </c>
    </row>
    <row r="185" spans="1:67" hidden="1">
      <c r="A185" s="301" t="s">
        <v>132</v>
      </c>
      <c r="B185" s="305"/>
      <c r="C185" s="303"/>
      <c r="D185" s="278"/>
      <c r="E185" s="270"/>
      <c r="F185" s="279">
        <f t="shared" si="332"/>
        <v>0</v>
      </c>
      <c r="G185" s="304"/>
      <c r="H185" s="271"/>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s="273"/>
      <c r="AG185" s="274">
        <f t="shared" si="333"/>
        <v>0</v>
      </c>
      <c r="AH185" s="275">
        <f t="shared" si="417"/>
        <v>0</v>
      </c>
      <c r="AI185" s="276">
        <f t="shared" si="418"/>
        <v>0</v>
      </c>
      <c r="AJ185" s="276">
        <f t="shared" si="419"/>
        <v>0</v>
      </c>
      <c r="AK185" s="276">
        <f t="shared" si="420"/>
        <v>0</v>
      </c>
      <c r="AL185" s="276">
        <f t="shared" si="421"/>
        <v>0</v>
      </c>
      <c r="AM185" s="276" t="str">
        <f t="shared" si="422"/>
        <v/>
      </c>
      <c r="AN185" s="276" t="str">
        <f t="shared" si="423"/>
        <v/>
      </c>
      <c r="AO185" s="276" t="str">
        <f t="shared" si="424"/>
        <v/>
      </c>
      <c r="AP185" s="276" t="str">
        <f t="shared" si="425"/>
        <v/>
      </c>
      <c r="AQ185" s="276" t="str">
        <f t="shared" si="426"/>
        <v/>
      </c>
      <c r="AR185" s="276" t="str">
        <f t="shared" si="427"/>
        <v/>
      </c>
      <c r="AS185" s="276" t="str">
        <f t="shared" si="428"/>
        <v/>
      </c>
      <c r="AT185" s="276" t="str">
        <f t="shared" si="429"/>
        <v/>
      </c>
      <c r="AU185" s="276" t="str">
        <f t="shared" si="430"/>
        <v/>
      </c>
      <c r="AV185" s="276" t="str">
        <f t="shared" si="431"/>
        <v/>
      </c>
      <c r="AW185" s="276" t="str">
        <f t="shared" si="432"/>
        <v/>
      </c>
      <c r="AX185" s="276" t="str">
        <f t="shared" si="433"/>
        <v/>
      </c>
      <c r="AY185" s="276" t="str">
        <f t="shared" si="434"/>
        <v/>
      </c>
      <c r="AZ185" s="276" t="str">
        <f t="shared" si="435"/>
        <v/>
      </c>
      <c r="BA185" s="276" t="str">
        <f t="shared" si="436"/>
        <v/>
      </c>
      <c r="BB185" s="276" t="str">
        <f t="shared" si="437"/>
        <v/>
      </c>
      <c r="BC185" s="276" t="str">
        <f t="shared" si="438"/>
        <v/>
      </c>
      <c r="BD185" s="276" t="str">
        <f t="shared" si="439"/>
        <v/>
      </c>
      <c r="BE185" s="276" t="str">
        <f t="shared" si="440"/>
        <v/>
      </c>
      <c r="BF185" s="277" t="str">
        <f t="shared" si="441"/>
        <v/>
      </c>
      <c r="BG185" s="142">
        <f t="array" ref="BG185">(SUM( IF(ISERROR(AH185:BF185),"", AH185:BF185)))/time</f>
        <v>0</v>
      </c>
      <c r="BH185" s="142">
        <f t="shared" si="334"/>
        <v>0</v>
      </c>
      <c r="BI185" s="142">
        <v>7</v>
      </c>
      <c r="BJ185" s="143">
        <f t="shared" si="443"/>
        <v>0</v>
      </c>
      <c r="BL185" s="176" t="e">
        <f t="array" ref="BL185">STDEV(IF(AH185:BF185&lt;&gt;0,AH185:BF185))</f>
        <v>#DIV/0!</v>
      </c>
      <c r="BM185" s="176">
        <v>1.96</v>
      </c>
      <c r="BN185" s="176" t="e">
        <f t="shared" si="442"/>
        <v>#DIV/0!</v>
      </c>
      <c r="BO185" s="176">
        <f t="shared" si="335"/>
        <v>0</v>
      </c>
    </row>
    <row r="186" spans="1:67" hidden="1">
      <c r="A186" s="301" t="s">
        <v>133</v>
      </c>
      <c r="B186" s="305"/>
      <c r="C186" s="303"/>
      <c r="D186" s="278"/>
      <c r="E186" s="270"/>
      <c r="F186" s="279">
        <f t="shared" si="332"/>
        <v>0</v>
      </c>
      <c r="G186" s="304"/>
      <c r="H186" s="271"/>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272"/>
      <c r="AF186" s="273"/>
      <c r="AG186" s="274">
        <f t="shared" si="333"/>
        <v>0</v>
      </c>
      <c r="AH186" s="275">
        <f t="shared" si="417"/>
        <v>0</v>
      </c>
      <c r="AI186" s="276">
        <f t="shared" si="418"/>
        <v>0</v>
      </c>
      <c r="AJ186" s="276">
        <f t="shared" si="419"/>
        <v>0</v>
      </c>
      <c r="AK186" s="276">
        <f t="shared" si="420"/>
        <v>0</v>
      </c>
      <c r="AL186" s="276">
        <f t="shared" si="421"/>
        <v>0</v>
      </c>
      <c r="AM186" s="276" t="str">
        <f t="shared" si="422"/>
        <v/>
      </c>
      <c r="AN186" s="276" t="str">
        <f t="shared" si="423"/>
        <v/>
      </c>
      <c r="AO186" s="276" t="str">
        <f t="shared" si="424"/>
        <v/>
      </c>
      <c r="AP186" s="276" t="str">
        <f t="shared" si="425"/>
        <v/>
      </c>
      <c r="AQ186" s="276" t="str">
        <f t="shared" si="426"/>
        <v/>
      </c>
      <c r="AR186" s="276" t="str">
        <f t="shared" si="427"/>
        <v/>
      </c>
      <c r="AS186" s="276" t="str">
        <f t="shared" si="428"/>
        <v/>
      </c>
      <c r="AT186" s="276" t="str">
        <f t="shared" si="429"/>
        <v/>
      </c>
      <c r="AU186" s="276" t="str">
        <f t="shared" si="430"/>
        <v/>
      </c>
      <c r="AV186" s="276" t="str">
        <f t="shared" si="431"/>
        <v/>
      </c>
      <c r="AW186" s="276" t="str">
        <f t="shared" si="432"/>
        <v/>
      </c>
      <c r="AX186" s="276" t="str">
        <f t="shared" si="433"/>
        <v/>
      </c>
      <c r="AY186" s="276" t="str">
        <f t="shared" si="434"/>
        <v/>
      </c>
      <c r="AZ186" s="276" t="str">
        <f t="shared" si="435"/>
        <v/>
      </c>
      <c r="BA186" s="276" t="str">
        <f t="shared" si="436"/>
        <v/>
      </c>
      <c r="BB186" s="276" t="str">
        <f t="shared" si="437"/>
        <v/>
      </c>
      <c r="BC186" s="276" t="str">
        <f t="shared" si="438"/>
        <v/>
      </c>
      <c r="BD186" s="276" t="str">
        <f t="shared" si="439"/>
        <v/>
      </c>
      <c r="BE186" s="276" t="str">
        <f t="shared" si="440"/>
        <v/>
      </c>
      <c r="BF186" s="277" t="str">
        <f t="shared" si="441"/>
        <v/>
      </c>
      <c r="BG186" s="142">
        <f t="array" ref="BG186">(SUM( IF(ISERROR(AH186:BF186),"", AH186:BF186)))/time</f>
        <v>0</v>
      </c>
      <c r="BH186" s="142">
        <f t="shared" si="334"/>
        <v>0</v>
      </c>
      <c r="BI186" s="142">
        <v>8</v>
      </c>
      <c r="BJ186" s="143">
        <f t="shared" si="443"/>
        <v>0</v>
      </c>
      <c r="BL186" s="176" t="e">
        <f t="array" ref="BL186">STDEV(IF(AH186:BF186&lt;&gt;0,AH186:BF186))</f>
        <v>#DIV/0!</v>
      </c>
      <c r="BM186" s="176">
        <v>1.96</v>
      </c>
      <c r="BN186" s="176" t="e">
        <f t="shared" si="442"/>
        <v>#DIV/0!</v>
      </c>
      <c r="BO186" s="176">
        <f t="shared" si="335"/>
        <v>0</v>
      </c>
    </row>
    <row r="187" spans="1:67" hidden="1">
      <c r="A187" s="301" t="s">
        <v>134</v>
      </c>
      <c r="B187" s="305"/>
      <c r="C187" s="303"/>
      <c r="D187" s="278"/>
      <c r="E187" s="270"/>
      <c r="F187" s="279">
        <f t="shared" si="332"/>
        <v>0</v>
      </c>
      <c r="G187" s="304"/>
      <c r="H187" s="271"/>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272"/>
      <c r="AF187" s="273"/>
      <c r="AG187" s="274">
        <f t="shared" si="333"/>
        <v>0</v>
      </c>
      <c r="AH187" s="275">
        <f t="shared" si="417"/>
        <v>0</v>
      </c>
      <c r="AI187" s="276">
        <f t="shared" si="418"/>
        <v>0</v>
      </c>
      <c r="AJ187" s="276">
        <f t="shared" si="419"/>
        <v>0</v>
      </c>
      <c r="AK187" s="276">
        <f t="shared" si="420"/>
        <v>0</v>
      </c>
      <c r="AL187" s="276">
        <f t="shared" si="421"/>
        <v>0</v>
      </c>
      <c r="AM187" s="276" t="str">
        <f t="shared" si="422"/>
        <v/>
      </c>
      <c r="AN187" s="276" t="str">
        <f t="shared" si="423"/>
        <v/>
      </c>
      <c r="AO187" s="276" t="str">
        <f t="shared" si="424"/>
        <v/>
      </c>
      <c r="AP187" s="276" t="str">
        <f t="shared" si="425"/>
        <v/>
      </c>
      <c r="AQ187" s="276" t="str">
        <f t="shared" si="426"/>
        <v/>
      </c>
      <c r="AR187" s="276" t="str">
        <f t="shared" si="427"/>
        <v/>
      </c>
      <c r="AS187" s="276" t="str">
        <f t="shared" si="428"/>
        <v/>
      </c>
      <c r="AT187" s="276" t="str">
        <f t="shared" si="429"/>
        <v/>
      </c>
      <c r="AU187" s="276" t="str">
        <f t="shared" si="430"/>
        <v/>
      </c>
      <c r="AV187" s="276" t="str">
        <f t="shared" si="431"/>
        <v/>
      </c>
      <c r="AW187" s="276" t="str">
        <f t="shared" si="432"/>
        <v/>
      </c>
      <c r="AX187" s="276" t="str">
        <f t="shared" si="433"/>
        <v/>
      </c>
      <c r="AY187" s="276" t="str">
        <f t="shared" si="434"/>
        <v/>
      </c>
      <c r="AZ187" s="276" t="str">
        <f t="shared" si="435"/>
        <v/>
      </c>
      <c r="BA187" s="276" t="str">
        <f t="shared" si="436"/>
        <v/>
      </c>
      <c r="BB187" s="276" t="str">
        <f t="shared" si="437"/>
        <v/>
      </c>
      <c r="BC187" s="276" t="str">
        <f t="shared" si="438"/>
        <v/>
      </c>
      <c r="BD187" s="276" t="str">
        <f t="shared" si="439"/>
        <v/>
      </c>
      <c r="BE187" s="276" t="str">
        <f t="shared" si="440"/>
        <v/>
      </c>
      <c r="BF187" s="277" t="str">
        <f t="shared" si="441"/>
        <v/>
      </c>
      <c r="BG187" s="142">
        <f t="array" ref="BG187">(SUM( IF(ISERROR(AH187:BF187),"", AH187:BF187)))/time</f>
        <v>0</v>
      </c>
      <c r="BH187" s="142">
        <f t="shared" si="334"/>
        <v>0</v>
      </c>
      <c r="BI187" s="142">
        <v>9</v>
      </c>
      <c r="BJ187" s="143">
        <f t="shared" si="443"/>
        <v>0</v>
      </c>
      <c r="BL187" s="176" t="e">
        <f t="array" ref="BL187">STDEV(IF(AH187:BF187&lt;&gt;0,AH187:BF187))</f>
        <v>#DIV/0!</v>
      </c>
      <c r="BM187" s="176">
        <v>1.96</v>
      </c>
      <c r="BN187" s="176" t="e">
        <f t="shared" si="442"/>
        <v>#DIV/0!</v>
      </c>
      <c r="BO187" s="176">
        <f t="shared" si="335"/>
        <v>0</v>
      </c>
    </row>
    <row r="188" spans="1:67" hidden="1">
      <c r="A188" s="301" t="s">
        <v>126</v>
      </c>
      <c r="B188" s="305"/>
      <c r="C188" s="303"/>
      <c r="D188" s="278"/>
      <c r="E188" s="270"/>
      <c r="F188" s="279">
        <f t="shared" si="332"/>
        <v>0</v>
      </c>
      <c r="G188" s="304"/>
      <c r="H188" s="271"/>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c r="AE188" s="272"/>
      <c r="AF188" s="273"/>
      <c r="AG188" s="274">
        <f t="shared" si="333"/>
        <v>0</v>
      </c>
      <c r="AH188" s="275">
        <f t="shared" si="417"/>
        <v>0</v>
      </c>
      <c r="AI188" s="276">
        <f t="shared" si="418"/>
        <v>0</v>
      </c>
      <c r="AJ188" s="276">
        <f t="shared" si="419"/>
        <v>0</v>
      </c>
      <c r="AK188" s="276">
        <f t="shared" si="420"/>
        <v>0</v>
      </c>
      <c r="AL188" s="276">
        <f t="shared" si="421"/>
        <v>0</v>
      </c>
      <c r="AM188" s="276" t="str">
        <f t="shared" si="422"/>
        <v/>
      </c>
      <c r="AN188" s="276" t="str">
        <f t="shared" si="423"/>
        <v/>
      </c>
      <c r="AO188" s="276" t="str">
        <f t="shared" si="424"/>
        <v/>
      </c>
      <c r="AP188" s="276" t="str">
        <f t="shared" si="425"/>
        <v/>
      </c>
      <c r="AQ188" s="276" t="str">
        <f t="shared" si="426"/>
        <v/>
      </c>
      <c r="AR188" s="276" t="str">
        <f t="shared" si="427"/>
        <v/>
      </c>
      <c r="AS188" s="276" t="str">
        <f t="shared" si="428"/>
        <v/>
      </c>
      <c r="AT188" s="276" t="str">
        <f t="shared" si="429"/>
        <v/>
      </c>
      <c r="AU188" s="276" t="str">
        <f t="shared" si="430"/>
        <v/>
      </c>
      <c r="AV188" s="276" t="str">
        <f t="shared" si="431"/>
        <v/>
      </c>
      <c r="AW188" s="276" t="str">
        <f t="shared" si="432"/>
        <v/>
      </c>
      <c r="AX188" s="276" t="str">
        <f t="shared" si="433"/>
        <v/>
      </c>
      <c r="AY188" s="276" t="str">
        <f t="shared" si="434"/>
        <v/>
      </c>
      <c r="AZ188" s="276" t="str">
        <f t="shared" si="435"/>
        <v/>
      </c>
      <c r="BA188" s="276" t="str">
        <f t="shared" si="436"/>
        <v/>
      </c>
      <c r="BB188" s="276" t="str">
        <f t="shared" si="437"/>
        <v/>
      </c>
      <c r="BC188" s="276" t="str">
        <f t="shared" si="438"/>
        <v/>
      </c>
      <c r="BD188" s="276" t="str">
        <f t="shared" si="439"/>
        <v/>
      </c>
      <c r="BE188" s="276" t="str">
        <f t="shared" si="440"/>
        <v/>
      </c>
      <c r="BF188" s="277" t="str">
        <f t="shared" si="441"/>
        <v/>
      </c>
      <c r="BG188" s="142">
        <f t="array" ref="BG188">(SUM( IF(ISERROR(AH188:BF188),"", AH188:BF188)))/time</f>
        <v>0</v>
      </c>
      <c r="BH188" s="142">
        <f t="shared" si="334"/>
        <v>0</v>
      </c>
      <c r="BI188" s="142">
        <v>10</v>
      </c>
      <c r="BJ188" s="143">
        <f t="shared" si="443"/>
        <v>0</v>
      </c>
      <c r="BL188" s="176" t="e">
        <f t="array" ref="BL188">STDEV(IF(AH188:BF188&lt;&gt;0,AH188:BF188))</f>
        <v>#DIV/0!</v>
      </c>
      <c r="BM188" s="176">
        <v>1.96</v>
      </c>
      <c r="BN188" s="176" t="e">
        <f t="shared" si="442"/>
        <v>#DIV/0!</v>
      </c>
      <c r="BO188" s="176">
        <f t="shared" si="335"/>
        <v>0</v>
      </c>
    </row>
    <row r="189" spans="1:67" s="196" customFormat="1">
      <c r="A189" s="290" t="s">
        <v>10</v>
      </c>
      <c r="F189" s="203"/>
      <c r="H189" s="202"/>
      <c r="AG189" s="288"/>
      <c r="AH189" s="202"/>
      <c r="BJ189" s="203"/>
    </row>
    <row r="190" spans="1:67">
      <c r="A190" s="848" t="s">
        <v>115</v>
      </c>
      <c r="B190" s="852"/>
      <c r="C190" s="851"/>
      <c r="D190" s="845"/>
      <c r="E190" s="847"/>
      <c r="F190" s="846">
        <f t="shared" si="332"/>
        <v>0</v>
      </c>
      <c r="G190" s="304"/>
      <c r="H190" s="842"/>
      <c r="I190" s="843"/>
      <c r="J190" s="843"/>
      <c r="K190" s="843"/>
      <c r="L190" s="843"/>
      <c r="M190" s="272"/>
      <c r="N190" s="272"/>
      <c r="O190" s="272"/>
      <c r="P190" s="272"/>
      <c r="Q190" s="272"/>
      <c r="R190" s="272"/>
      <c r="S190" s="272"/>
      <c r="T190" s="272"/>
      <c r="U190" s="272"/>
      <c r="V190" s="272"/>
      <c r="W190" s="272"/>
      <c r="X190" s="272"/>
      <c r="Y190" s="272"/>
      <c r="Z190" s="272"/>
      <c r="AA190" s="272"/>
      <c r="AB190" s="272"/>
      <c r="AC190" s="272"/>
      <c r="AD190" s="272"/>
      <c r="AE190" s="272"/>
      <c r="AF190" s="273"/>
      <c r="AG190" s="274">
        <f t="shared" si="333"/>
        <v>0</v>
      </c>
      <c r="AH190" s="275">
        <f t="shared" ref="AH190:AH199" si="444">IF(AH$225&lt;=time,H190*$F190,"")</f>
        <v>0</v>
      </c>
      <c r="AI190" s="276">
        <f t="shared" ref="AI190:AI199" si="445">IF(AI$225&lt;=time,I190*$F190,"")</f>
        <v>0</v>
      </c>
      <c r="AJ190" s="276">
        <f t="shared" ref="AJ190:AJ199" si="446">IF(AJ$225&lt;=time,J190*$F190,"")</f>
        <v>0</v>
      </c>
      <c r="AK190" s="276">
        <f t="shared" ref="AK190:AK199" si="447">IF(AK$225&lt;=time,K190*$F190,"")</f>
        <v>0</v>
      </c>
      <c r="AL190" s="276">
        <f t="shared" ref="AL190:AL199" si="448">IF(AL$225&lt;=time,L190*$F190,"")</f>
        <v>0</v>
      </c>
      <c r="AM190" s="276" t="str">
        <f t="shared" ref="AM190:AM199" si="449">IF(AM$225&lt;=time,M190*$F190,"")</f>
        <v/>
      </c>
      <c r="AN190" s="276" t="str">
        <f t="shared" ref="AN190:AN199" si="450">IF(AN$225&lt;=time,N190*$F190,"")</f>
        <v/>
      </c>
      <c r="AO190" s="276" t="str">
        <f t="shared" ref="AO190:AO199" si="451">IF(AO$225&lt;=time,O190*$F190,"")</f>
        <v/>
      </c>
      <c r="AP190" s="276" t="str">
        <f t="shared" ref="AP190:AP199" si="452">IF(AP$225&lt;=time,P190*$F190,"")</f>
        <v/>
      </c>
      <c r="AQ190" s="276" t="str">
        <f t="shared" ref="AQ190:AQ199" si="453">IF(AQ$225&lt;=time,Q190*$F190,"")</f>
        <v/>
      </c>
      <c r="AR190" s="276" t="str">
        <f t="shared" ref="AR190:AR199" si="454">IF(AR$225&lt;=time,R190*$F190,"")</f>
        <v/>
      </c>
      <c r="AS190" s="276" t="str">
        <f t="shared" ref="AS190:AS199" si="455">IF(AS$225&lt;=time,S190*$F190,"")</f>
        <v/>
      </c>
      <c r="AT190" s="276" t="str">
        <f t="shared" ref="AT190:AT199" si="456">IF(AT$225&lt;=time,T190*$F190,"")</f>
        <v/>
      </c>
      <c r="AU190" s="276" t="str">
        <f t="shared" ref="AU190:AU199" si="457">IF(AU$225&lt;=time,U190*$F190,"")</f>
        <v/>
      </c>
      <c r="AV190" s="276" t="str">
        <f t="shared" ref="AV190:AV199" si="458">IF(AV$225&lt;=time,V190*$F190,"")</f>
        <v/>
      </c>
      <c r="AW190" s="276" t="str">
        <f t="shared" ref="AW190:AW199" si="459">IF(AW$225&lt;=time,W190*$F190,"")</f>
        <v/>
      </c>
      <c r="AX190" s="276" t="str">
        <f t="shared" ref="AX190:AX199" si="460">IF(AX$225&lt;=time,X190*$F190,"")</f>
        <v/>
      </c>
      <c r="AY190" s="276" t="str">
        <f t="shared" ref="AY190:AY199" si="461">IF(AY$225&lt;=time,Y190*$F190,"")</f>
        <v/>
      </c>
      <c r="AZ190" s="276" t="str">
        <f t="shared" ref="AZ190:AZ199" si="462">IF(AZ$225&lt;=time,Z190*$F190,"")</f>
        <v/>
      </c>
      <c r="BA190" s="276" t="str">
        <f t="shared" ref="BA190:BA199" si="463">IF(BA$225&lt;=time,AA190*$F190,"")</f>
        <v/>
      </c>
      <c r="BB190" s="276" t="str">
        <f t="shared" ref="BB190:BB199" si="464">IF(BB$225&lt;=time,AB190*$F190,"")</f>
        <v/>
      </c>
      <c r="BC190" s="276" t="str">
        <f t="shared" ref="BC190:BC199" si="465">IF(BC$225&lt;=time,AC190*$F190,"")</f>
        <v/>
      </c>
      <c r="BD190" s="276" t="str">
        <f t="shared" ref="BD190:BD199" si="466">IF(BD$225&lt;=time,AD190*$F190,"")</f>
        <v/>
      </c>
      <c r="BE190" s="276" t="str">
        <f t="shared" ref="BE190:BE199" si="467">IF(BE$225&lt;=time,AE190*$F190,"")</f>
        <v/>
      </c>
      <c r="BF190" s="277" t="str">
        <f t="shared" ref="BF190:BF199" si="468">IF(BF$225&lt;=time,AF190*$F190,"")</f>
        <v/>
      </c>
      <c r="BG190" s="142">
        <f t="array" ref="BG190">(SUM( IF(ISERROR(AH190:BF190),"", AH190:BF190)))/time</f>
        <v>0</v>
      </c>
      <c r="BH190" s="142">
        <f t="shared" si="334"/>
        <v>0</v>
      </c>
      <c r="BI190" s="142">
        <v>1</v>
      </c>
      <c r="BJ190" s="143">
        <f>IF(BO190&gt;0,BG190+BN190,BG190)</f>
        <v>0</v>
      </c>
      <c r="BL190" s="176" t="e">
        <f t="array" ref="BL190">STDEV(IF(AH190:BF190&lt;&gt;0,AH190:BF190))</f>
        <v>#DIV/0!</v>
      </c>
      <c r="BM190" s="176">
        <v>1.96</v>
      </c>
      <c r="BN190" s="176" t="e">
        <f t="shared" ref="BN190:BN199" si="469">(BM190*BL190)/(time^0.5)</f>
        <v>#DIV/0!</v>
      </c>
      <c r="BO190" s="176">
        <f t="shared" si="335"/>
        <v>0</v>
      </c>
    </row>
    <row r="191" spans="1:67" hidden="1">
      <c r="A191" s="301" t="s">
        <v>116</v>
      </c>
      <c r="B191" s="305"/>
      <c r="C191" s="303"/>
      <c r="D191" s="278"/>
      <c r="E191" s="270"/>
      <c r="F191" s="279">
        <f t="shared" si="332"/>
        <v>0</v>
      </c>
      <c r="G191" s="304"/>
      <c r="H191" s="271"/>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c r="AE191" s="272"/>
      <c r="AF191" s="273"/>
      <c r="AG191" s="274">
        <f t="shared" si="333"/>
        <v>0</v>
      </c>
      <c r="AH191" s="275">
        <f t="shared" si="444"/>
        <v>0</v>
      </c>
      <c r="AI191" s="276">
        <f t="shared" si="445"/>
        <v>0</v>
      </c>
      <c r="AJ191" s="276">
        <f t="shared" si="446"/>
        <v>0</v>
      </c>
      <c r="AK191" s="276">
        <f t="shared" si="447"/>
        <v>0</v>
      </c>
      <c r="AL191" s="276">
        <f t="shared" si="448"/>
        <v>0</v>
      </c>
      <c r="AM191" s="276" t="str">
        <f t="shared" si="449"/>
        <v/>
      </c>
      <c r="AN191" s="276" t="str">
        <f t="shared" si="450"/>
        <v/>
      </c>
      <c r="AO191" s="276" t="str">
        <f t="shared" si="451"/>
        <v/>
      </c>
      <c r="AP191" s="276" t="str">
        <f t="shared" si="452"/>
        <v/>
      </c>
      <c r="AQ191" s="276" t="str">
        <f t="shared" si="453"/>
        <v/>
      </c>
      <c r="AR191" s="276" t="str">
        <f t="shared" si="454"/>
        <v/>
      </c>
      <c r="AS191" s="276" t="str">
        <f t="shared" si="455"/>
        <v/>
      </c>
      <c r="AT191" s="276" t="str">
        <f t="shared" si="456"/>
        <v/>
      </c>
      <c r="AU191" s="276" t="str">
        <f t="shared" si="457"/>
        <v/>
      </c>
      <c r="AV191" s="276" t="str">
        <f t="shared" si="458"/>
        <v/>
      </c>
      <c r="AW191" s="276" t="str">
        <f t="shared" si="459"/>
        <v/>
      </c>
      <c r="AX191" s="276" t="str">
        <f t="shared" si="460"/>
        <v/>
      </c>
      <c r="AY191" s="276" t="str">
        <f t="shared" si="461"/>
        <v/>
      </c>
      <c r="AZ191" s="276" t="str">
        <f t="shared" si="462"/>
        <v/>
      </c>
      <c r="BA191" s="276" t="str">
        <f t="shared" si="463"/>
        <v/>
      </c>
      <c r="BB191" s="276" t="str">
        <f t="shared" si="464"/>
        <v/>
      </c>
      <c r="BC191" s="276" t="str">
        <f t="shared" si="465"/>
        <v/>
      </c>
      <c r="BD191" s="276" t="str">
        <f t="shared" si="466"/>
        <v/>
      </c>
      <c r="BE191" s="276" t="str">
        <f t="shared" si="467"/>
        <v/>
      </c>
      <c r="BF191" s="277" t="str">
        <f t="shared" si="468"/>
        <v/>
      </c>
      <c r="BG191" s="142">
        <f t="array" ref="BG191">(SUM( IF(ISERROR(AH191:BF191),"", AH191:BF191)))/time</f>
        <v>0</v>
      </c>
      <c r="BH191" s="142">
        <f t="shared" si="334"/>
        <v>0</v>
      </c>
      <c r="BI191" s="142">
        <v>2</v>
      </c>
      <c r="BJ191" s="143">
        <f t="shared" ref="BJ191:BJ199" si="470">IF(BO191&gt;0,BG191+BN191,BG191)</f>
        <v>0</v>
      </c>
      <c r="BL191" s="176" t="e">
        <f t="array" ref="BL191">STDEV(IF(AH191:BF191&lt;&gt;0,AH191:BF191))</f>
        <v>#DIV/0!</v>
      </c>
      <c r="BM191" s="176">
        <v>1.96</v>
      </c>
      <c r="BN191" s="176" t="e">
        <f t="shared" si="469"/>
        <v>#DIV/0!</v>
      </c>
      <c r="BO191" s="176">
        <f t="shared" si="335"/>
        <v>0</v>
      </c>
    </row>
    <row r="192" spans="1:67" hidden="1">
      <c r="A192" s="301" t="s">
        <v>117</v>
      </c>
      <c r="B192" s="305"/>
      <c r="C192" s="303"/>
      <c r="D192" s="278"/>
      <c r="E192" s="270"/>
      <c r="F192" s="279">
        <f t="shared" si="332"/>
        <v>0</v>
      </c>
      <c r="G192" s="304"/>
      <c r="H192" s="271"/>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72"/>
      <c r="AE192" s="272"/>
      <c r="AF192" s="273"/>
      <c r="AG192" s="274">
        <f t="shared" si="333"/>
        <v>0</v>
      </c>
      <c r="AH192" s="275">
        <f t="shared" si="444"/>
        <v>0</v>
      </c>
      <c r="AI192" s="276">
        <f t="shared" si="445"/>
        <v>0</v>
      </c>
      <c r="AJ192" s="276">
        <f t="shared" si="446"/>
        <v>0</v>
      </c>
      <c r="AK192" s="276">
        <f t="shared" si="447"/>
        <v>0</v>
      </c>
      <c r="AL192" s="276">
        <f t="shared" si="448"/>
        <v>0</v>
      </c>
      <c r="AM192" s="276" t="str">
        <f t="shared" si="449"/>
        <v/>
      </c>
      <c r="AN192" s="276" t="str">
        <f t="shared" si="450"/>
        <v/>
      </c>
      <c r="AO192" s="276" t="str">
        <f t="shared" si="451"/>
        <v/>
      </c>
      <c r="AP192" s="276" t="str">
        <f t="shared" si="452"/>
        <v/>
      </c>
      <c r="AQ192" s="276" t="str">
        <f t="shared" si="453"/>
        <v/>
      </c>
      <c r="AR192" s="276" t="str">
        <f t="shared" si="454"/>
        <v/>
      </c>
      <c r="AS192" s="276" t="str">
        <f t="shared" si="455"/>
        <v/>
      </c>
      <c r="AT192" s="276" t="str">
        <f t="shared" si="456"/>
        <v/>
      </c>
      <c r="AU192" s="276" t="str">
        <f t="shared" si="457"/>
        <v/>
      </c>
      <c r="AV192" s="276" t="str">
        <f t="shared" si="458"/>
        <v/>
      </c>
      <c r="AW192" s="276" t="str">
        <f t="shared" si="459"/>
        <v/>
      </c>
      <c r="AX192" s="276" t="str">
        <f t="shared" si="460"/>
        <v/>
      </c>
      <c r="AY192" s="276" t="str">
        <f t="shared" si="461"/>
        <v/>
      </c>
      <c r="AZ192" s="276" t="str">
        <f t="shared" si="462"/>
        <v/>
      </c>
      <c r="BA192" s="276" t="str">
        <f t="shared" si="463"/>
        <v/>
      </c>
      <c r="BB192" s="276" t="str">
        <f t="shared" si="464"/>
        <v/>
      </c>
      <c r="BC192" s="276" t="str">
        <f t="shared" si="465"/>
        <v/>
      </c>
      <c r="BD192" s="276" t="str">
        <f t="shared" si="466"/>
        <v/>
      </c>
      <c r="BE192" s="276" t="str">
        <f t="shared" si="467"/>
        <v/>
      </c>
      <c r="BF192" s="277" t="str">
        <f t="shared" si="468"/>
        <v/>
      </c>
      <c r="BG192" s="142">
        <f t="array" ref="BG192">(SUM( IF(ISERROR(AH192:BF192),"", AH192:BF192)))/time</f>
        <v>0</v>
      </c>
      <c r="BH192" s="142">
        <f t="shared" si="334"/>
        <v>0</v>
      </c>
      <c r="BI192" s="142">
        <v>3</v>
      </c>
      <c r="BJ192" s="143">
        <f t="shared" si="470"/>
        <v>0</v>
      </c>
      <c r="BL192" s="176" t="e">
        <f t="array" ref="BL192">STDEV(IF(AH192:BF192&lt;&gt;0,AH192:BF192))</f>
        <v>#DIV/0!</v>
      </c>
      <c r="BM192" s="176">
        <v>1.96</v>
      </c>
      <c r="BN192" s="176" t="e">
        <f t="shared" si="469"/>
        <v>#DIV/0!</v>
      </c>
      <c r="BO192" s="176">
        <f t="shared" si="335"/>
        <v>0</v>
      </c>
    </row>
    <row r="193" spans="1:67" hidden="1">
      <c r="A193" s="301" t="s">
        <v>118</v>
      </c>
      <c r="B193" s="305"/>
      <c r="C193" s="303"/>
      <c r="D193" s="278"/>
      <c r="E193" s="270"/>
      <c r="F193" s="279">
        <f t="shared" si="332"/>
        <v>0</v>
      </c>
      <c r="G193" s="304"/>
      <c r="H193" s="271"/>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c r="AE193" s="272"/>
      <c r="AF193" s="273"/>
      <c r="AG193" s="274">
        <f t="shared" si="333"/>
        <v>0</v>
      </c>
      <c r="AH193" s="275">
        <f t="shared" si="444"/>
        <v>0</v>
      </c>
      <c r="AI193" s="276">
        <f t="shared" si="445"/>
        <v>0</v>
      </c>
      <c r="AJ193" s="276">
        <f t="shared" si="446"/>
        <v>0</v>
      </c>
      <c r="AK193" s="276">
        <f t="shared" si="447"/>
        <v>0</v>
      </c>
      <c r="AL193" s="276">
        <f t="shared" si="448"/>
        <v>0</v>
      </c>
      <c r="AM193" s="276" t="str">
        <f t="shared" si="449"/>
        <v/>
      </c>
      <c r="AN193" s="276" t="str">
        <f t="shared" si="450"/>
        <v/>
      </c>
      <c r="AO193" s="276" t="str">
        <f t="shared" si="451"/>
        <v/>
      </c>
      <c r="AP193" s="276" t="str">
        <f t="shared" si="452"/>
        <v/>
      </c>
      <c r="AQ193" s="276" t="str">
        <f t="shared" si="453"/>
        <v/>
      </c>
      <c r="AR193" s="276" t="str">
        <f t="shared" si="454"/>
        <v/>
      </c>
      <c r="AS193" s="276" t="str">
        <f t="shared" si="455"/>
        <v/>
      </c>
      <c r="AT193" s="276" t="str">
        <f t="shared" si="456"/>
        <v/>
      </c>
      <c r="AU193" s="276" t="str">
        <f t="shared" si="457"/>
        <v/>
      </c>
      <c r="AV193" s="276" t="str">
        <f t="shared" si="458"/>
        <v/>
      </c>
      <c r="AW193" s="276" t="str">
        <f t="shared" si="459"/>
        <v/>
      </c>
      <c r="AX193" s="276" t="str">
        <f t="shared" si="460"/>
        <v/>
      </c>
      <c r="AY193" s="276" t="str">
        <f t="shared" si="461"/>
        <v/>
      </c>
      <c r="AZ193" s="276" t="str">
        <f t="shared" si="462"/>
        <v/>
      </c>
      <c r="BA193" s="276" t="str">
        <f t="shared" si="463"/>
        <v/>
      </c>
      <c r="BB193" s="276" t="str">
        <f t="shared" si="464"/>
        <v/>
      </c>
      <c r="BC193" s="276" t="str">
        <f t="shared" si="465"/>
        <v/>
      </c>
      <c r="BD193" s="276" t="str">
        <f t="shared" si="466"/>
        <v/>
      </c>
      <c r="BE193" s="276" t="str">
        <f t="shared" si="467"/>
        <v/>
      </c>
      <c r="BF193" s="277" t="str">
        <f t="shared" si="468"/>
        <v/>
      </c>
      <c r="BG193" s="142">
        <f t="array" ref="BG193">(SUM( IF(ISERROR(AH193:BF193),"", AH193:BF193)))/time</f>
        <v>0</v>
      </c>
      <c r="BH193" s="142">
        <f t="shared" si="334"/>
        <v>0</v>
      </c>
      <c r="BI193" s="142">
        <v>4</v>
      </c>
      <c r="BJ193" s="143">
        <f t="shared" si="470"/>
        <v>0</v>
      </c>
      <c r="BL193" s="176" t="e">
        <f t="array" ref="BL193">STDEV(IF(AH193:BF193&lt;&gt;0,AH193:BF193))</f>
        <v>#DIV/0!</v>
      </c>
      <c r="BM193" s="176">
        <v>1.96</v>
      </c>
      <c r="BN193" s="176" t="e">
        <f t="shared" si="469"/>
        <v>#DIV/0!</v>
      </c>
      <c r="BO193" s="176">
        <f t="shared" si="335"/>
        <v>0</v>
      </c>
    </row>
    <row r="194" spans="1:67" hidden="1">
      <c r="A194" s="301" t="s">
        <v>119</v>
      </c>
      <c r="B194" s="305"/>
      <c r="C194" s="303"/>
      <c r="D194" s="278"/>
      <c r="E194" s="270"/>
      <c r="F194" s="279">
        <f t="shared" si="332"/>
        <v>0</v>
      </c>
      <c r="G194" s="304"/>
      <c r="H194" s="271"/>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c r="AE194" s="272"/>
      <c r="AF194" s="273"/>
      <c r="AG194" s="274">
        <f t="shared" si="333"/>
        <v>0</v>
      </c>
      <c r="AH194" s="275">
        <f t="shared" si="444"/>
        <v>0</v>
      </c>
      <c r="AI194" s="276">
        <f t="shared" si="445"/>
        <v>0</v>
      </c>
      <c r="AJ194" s="276">
        <f t="shared" si="446"/>
        <v>0</v>
      </c>
      <c r="AK194" s="276">
        <f t="shared" si="447"/>
        <v>0</v>
      </c>
      <c r="AL194" s="276">
        <f t="shared" si="448"/>
        <v>0</v>
      </c>
      <c r="AM194" s="276" t="str">
        <f t="shared" si="449"/>
        <v/>
      </c>
      <c r="AN194" s="276" t="str">
        <f t="shared" si="450"/>
        <v/>
      </c>
      <c r="AO194" s="276" t="str">
        <f t="shared" si="451"/>
        <v/>
      </c>
      <c r="AP194" s="276" t="str">
        <f t="shared" si="452"/>
        <v/>
      </c>
      <c r="AQ194" s="276" t="str">
        <f t="shared" si="453"/>
        <v/>
      </c>
      <c r="AR194" s="276" t="str">
        <f t="shared" si="454"/>
        <v/>
      </c>
      <c r="AS194" s="276" t="str">
        <f t="shared" si="455"/>
        <v/>
      </c>
      <c r="AT194" s="276" t="str">
        <f t="shared" si="456"/>
        <v/>
      </c>
      <c r="AU194" s="276" t="str">
        <f t="shared" si="457"/>
        <v/>
      </c>
      <c r="AV194" s="276" t="str">
        <f t="shared" si="458"/>
        <v/>
      </c>
      <c r="AW194" s="276" t="str">
        <f t="shared" si="459"/>
        <v/>
      </c>
      <c r="AX194" s="276" t="str">
        <f t="shared" si="460"/>
        <v/>
      </c>
      <c r="AY194" s="276" t="str">
        <f t="shared" si="461"/>
        <v/>
      </c>
      <c r="AZ194" s="276" t="str">
        <f t="shared" si="462"/>
        <v/>
      </c>
      <c r="BA194" s="276" t="str">
        <f t="shared" si="463"/>
        <v/>
      </c>
      <c r="BB194" s="276" t="str">
        <f t="shared" si="464"/>
        <v/>
      </c>
      <c r="BC194" s="276" t="str">
        <f t="shared" si="465"/>
        <v/>
      </c>
      <c r="BD194" s="276" t="str">
        <f t="shared" si="466"/>
        <v/>
      </c>
      <c r="BE194" s="276" t="str">
        <f t="shared" si="467"/>
        <v/>
      </c>
      <c r="BF194" s="277" t="str">
        <f t="shared" si="468"/>
        <v/>
      </c>
      <c r="BG194" s="142">
        <f t="array" ref="BG194">(SUM( IF(ISERROR(AH194:BF194),"", AH194:BF194)))/time</f>
        <v>0</v>
      </c>
      <c r="BH194" s="142">
        <f t="shared" si="334"/>
        <v>0</v>
      </c>
      <c r="BI194" s="142">
        <v>5</v>
      </c>
      <c r="BJ194" s="143">
        <f t="shared" si="470"/>
        <v>0</v>
      </c>
      <c r="BL194" s="176" t="e">
        <f t="array" ref="BL194">STDEV(IF(AH194:BF194&lt;&gt;0,AH194:BF194))</f>
        <v>#DIV/0!</v>
      </c>
      <c r="BM194" s="176">
        <v>1.96</v>
      </c>
      <c r="BN194" s="176" t="e">
        <f t="shared" si="469"/>
        <v>#DIV/0!</v>
      </c>
      <c r="BO194" s="176">
        <f t="shared" si="335"/>
        <v>0</v>
      </c>
    </row>
    <row r="195" spans="1:67" hidden="1">
      <c r="A195" s="301" t="s">
        <v>120</v>
      </c>
      <c r="B195" s="305"/>
      <c r="C195" s="303"/>
      <c r="D195" s="278"/>
      <c r="E195" s="270"/>
      <c r="F195" s="279">
        <f t="shared" si="332"/>
        <v>0</v>
      </c>
      <c r="G195" s="304"/>
      <c r="H195" s="271"/>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c r="AF195" s="273"/>
      <c r="AG195" s="274">
        <f t="shared" si="333"/>
        <v>0</v>
      </c>
      <c r="AH195" s="275">
        <f t="shared" si="444"/>
        <v>0</v>
      </c>
      <c r="AI195" s="276">
        <f t="shared" si="445"/>
        <v>0</v>
      </c>
      <c r="AJ195" s="276">
        <f t="shared" si="446"/>
        <v>0</v>
      </c>
      <c r="AK195" s="276">
        <f t="shared" si="447"/>
        <v>0</v>
      </c>
      <c r="AL195" s="276">
        <f t="shared" si="448"/>
        <v>0</v>
      </c>
      <c r="AM195" s="276" t="str">
        <f t="shared" si="449"/>
        <v/>
      </c>
      <c r="AN195" s="276" t="str">
        <f t="shared" si="450"/>
        <v/>
      </c>
      <c r="AO195" s="276" t="str">
        <f t="shared" si="451"/>
        <v/>
      </c>
      <c r="AP195" s="276" t="str">
        <f t="shared" si="452"/>
        <v/>
      </c>
      <c r="AQ195" s="276" t="str">
        <f t="shared" si="453"/>
        <v/>
      </c>
      <c r="AR195" s="276" t="str">
        <f t="shared" si="454"/>
        <v/>
      </c>
      <c r="AS195" s="276" t="str">
        <f t="shared" si="455"/>
        <v/>
      </c>
      <c r="AT195" s="276" t="str">
        <f t="shared" si="456"/>
        <v/>
      </c>
      <c r="AU195" s="276" t="str">
        <f t="shared" si="457"/>
        <v/>
      </c>
      <c r="AV195" s="276" t="str">
        <f t="shared" si="458"/>
        <v/>
      </c>
      <c r="AW195" s="276" t="str">
        <f t="shared" si="459"/>
        <v/>
      </c>
      <c r="AX195" s="276" t="str">
        <f t="shared" si="460"/>
        <v/>
      </c>
      <c r="AY195" s="276" t="str">
        <f t="shared" si="461"/>
        <v/>
      </c>
      <c r="AZ195" s="276" t="str">
        <f t="shared" si="462"/>
        <v/>
      </c>
      <c r="BA195" s="276" t="str">
        <f t="shared" si="463"/>
        <v/>
      </c>
      <c r="BB195" s="276" t="str">
        <f t="shared" si="464"/>
        <v/>
      </c>
      <c r="BC195" s="276" t="str">
        <f t="shared" si="465"/>
        <v/>
      </c>
      <c r="BD195" s="276" t="str">
        <f t="shared" si="466"/>
        <v/>
      </c>
      <c r="BE195" s="276" t="str">
        <f t="shared" si="467"/>
        <v/>
      </c>
      <c r="BF195" s="277" t="str">
        <f t="shared" si="468"/>
        <v/>
      </c>
      <c r="BG195" s="142">
        <f t="array" ref="BG195">(SUM( IF(ISERROR(AH195:BF195),"", AH195:BF195)))/time</f>
        <v>0</v>
      </c>
      <c r="BH195" s="142">
        <f t="shared" si="334"/>
        <v>0</v>
      </c>
      <c r="BI195" s="142">
        <v>6</v>
      </c>
      <c r="BJ195" s="143">
        <f t="shared" si="470"/>
        <v>0</v>
      </c>
      <c r="BL195" s="176" t="e">
        <f t="array" ref="BL195">STDEV(IF(AH195:BF195&lt;&gt;0,AH195:BF195))</f>
        <v>#DIV/0!</v>
      </c>
      <c r="BM195" s="176">
        <v>1.96</v>
      </c>
      <c r="BN195" s="176" t="e">
        <f t="shared" si="469"/>
        <v>#DIV/0!</v>
      </c>
      <c r="BO195" s="176">
        <f t="shared" si="335"/>
        <v>0</v>
      </c>
    </row>
    <row r="196" spans="1:67" hidden="1">
      <c r="A196" s="301" t="s">
        <v>121</v>
      </c>
      <c r="B196" s="305"/>
      <c r="C196" s="303"/>
      <c r="D196" s="278"/>
      <c r="E196" s="270"/>
      <c r="F196" s="279">
        <f t="shared" si="332"/>
        <v>0</v>
      </c>
      <c r="G196" s="304"/>
      <c r="H196" s="271"/>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3"/>
      <c r="AG196" s="274">
        <f t="shared" si="333"/>
        <v>0</v>
      </c>
      <c r="AH196" s="275">
        <f t="shared" si="444"/>
        <v>0</v>
      </c>
      <c r="AI196" s="276">
        <f t="shared" si="445"/>
        <v>0</v>
      </c>
      <c r="AJ196" s="276">
        <f t="shared" si="446"/>
        <v>0</v>
      </c>
      <c r="AK196" s="276">
        <f t="shared" si="447"/>
        <v>0</v>
      </c>
      <c r="AL196" s="276">
        <f t="shared" si="448"/>
        <v>0</v>
      </c>
      <c r="AM196" s="276" t="str">
        <f t="shared" si="449"/>
        <v/>
      </c>
      <c r="AN196" s="276" t="str">
        <f t="shared" si="450"/>
        <v/>
      </c>
      <c r="AO196" s="276" t="str">
        <f t="shared" si="451"/>
        <v/>
      </c>
      <c r="AP196" s="276" t="str">
        <f t="shared" si="452"/>
        <v/>
      </c>
      <c r="AQ196" s="276" t="str">
        <f t="shared" si="453"/>
        <v/>
      </c>
      <c r="AR196" s="276" t="str">
        <f t="shared" si="454"/>
        <v/>
      </c>
      <c r="AS196" s="276" t="str">
        <f t="shared" si="455"/>
        <v/>
      </c>
      <c r="AT196" s="276" t="str">
        <f t="shared" si="456"/>
        <v/>
      </c>
      <c r="AU196" s="276" t="str">
        <f t="shared" si="457"/>
        <v/>
      </c>
      <c r="AV196" s="276" t="str">
        <f t="shared" si="458"/>
        <v/>
      </c>
      <c r="AW196" s="276" t="str">
        <f t="shared" si="459"/>
        <v/>
      </c>
      <c r="AX196" s="276" t="str">
        <f t="shared" si="460"/>
        <v/>
      </c>
      <c r="AY196" s="276" t="str">
        <f t="shared" si="461"/>
        <v/>
      </c>
      <c r="AZ196" s="276" t="str">
        <f t="shared" si="462"/>
        <v/>
      </c>
      <c r="BA196" s="276" t="str">
        <f t="shared" si="463"/>
        <v/>
      </c>
      <c r="BB196" s="276" t="str">
        <f t="shared" si="464"/>
        <v/>
      </c>
      <c r="BC196" s="276" t="str">
        <f t="shared" si="465"/>
        <v/>
      </c>
      <c r="BD196" s="276" t="str">
        <f t="shared" si="466"/>
        <v/>
      </c>
      <c r="BE196" s="276" t="str">
        <f t="shared" si="467"/>
        <v/>
      </c>
      <c r="BF196" s="277" t="str">
        <f t="shared" si="468"/>
        <v/>
      </c>
      <c r="BG196" s="142">
        <f t="array" ref="BG196">(SUM( IF(ISERROR(AH196:BF196),"", AH196:BF196)))/time</f>
        <v>0</v>
      </c>
      <c r="BH196" s="142">
        <f t="shared" si="334"/>
        <v>0</v>
      </c>
      <c r="BI196" s="142">
        <v>7</v>
      </c>
      <c r="BJ196" s="143">
        <f t="shared" si="470"/>
        <v>0</v>
      </c>
      <c r="BL196" s="176" t="e">
        <f t="array" ref="BL196">STDEV(IF(AH196:BF196&lt;&gt;0,AH196:BF196))</f>
        <v>#DIV/0!</v>
      </c>
      <c r="BM196" s="176">
        <v>1.96</v>
      </c>
      <c r="BN196" s="176" t="e">
        <f t="shared" si="469"/>
        <v>#DIV/0!</v>
      </c>
      <c r="BO196" s="176">
        <f t="shared" si="335"/>
        <v>0</v>
      </c>
    </row>
    <row r="197" spans="1:67" hidden="1">
      <c r="A197" s="301" t="s">
        <v>122</v>
      </c>
      <c r="B197" s="305"/>
      <c r="C197" s="303"/>
      <c r="D197" s="278"/>
      <c r="E197" s="270"/>
      <c r="F197" s="279">
        <f t="shared" si="332"/>
        <v>0</v>
      </c>
      <c r="G197" s="304"/>
      <c r="H197" s="271"/>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c r="AE197" s="272"/>
      <c r="AF197" s="273"/>
      <c r="AG197" s="274">
        <f t="shared" si="333"/>
        <v>0</v>
      </c>
      <c r="AH197" s="275">
        <f t="shared" si="444"/>
        <v>0</v>
      </c>
      <c r="AI197" s="276">
        <f t="shared" si="445"/>
        <v>0</v>
      </c>
      <c r="AJ197" s="276">
        <f t="shared" si="446"/>
        <v>0</v>
      </c>
      <c r="AK197" s="276">
        <f t="shared" si="447"/>
        <v>0</v>
      </c>
      <c r="AL197" s="276">
        <f t="shared" si="448"/>
        <v>0</v>
      </c>
      <c r="AM197" s="276" t="str">
        <f t="shared" si="449"/>
        <v/>
      </c>
      <c r="AN197" s="276" t="str">
        <f t="shared" si="450"/>
        <v/>
      </c>
      <c r="AO197" s="276" t="str">
        <f t="shared" si="451"/>
        <v/>
      </c>
      <c r="AP197" s="276" t="str">
        <f t="shared" si="452"/>
        <v/>
      </c>
      <c r="AQ197" s="276" t="str">
        <f t="shared" si="453"/>
        <v/>
      </c>
      <c r="AR197" s="276" t="str">
        <f t="shared" si="454"/>
        <v/>
      </c>
      <c r="AS197" s="276" t="str">
        <f t="shared" si="455"/>
        <v/>
      </c>
      <c r="AT197" s="276" t="str">
        <f t="shared" si="456"/>
        <v/>
      </c>
      <c r="AU197" s="276" t="str">
        <f t="shared" si="457"/>
        <v/>
      </c>
      <c r="AV197" s="276" t="str">
        <f t="shared" si="458"/>
        <v/>
      </c>
      <c r="AW197" s="276" t="str">
        <f t="shared" si="459"/>
        <v/>
      </c>
      <c r="AX197" s="276" t="str">
        <f t="shared" si="460"/>
        <v/>
      </c>
      <c r="AY197" s="276" t="str">
        <f t="shared" si="461"/>
        <v/>
      </c>
      <c r="AZ197" s="276" t="str">
        <f t="shared" si="462"/>
        <v/>
      </c>
      <c r="BA197" s="276" t="str">
        <f t="shared" si="463"/>
        <v/>
      </c>
      <c r="BB197" s="276" t="str">
        <f t="shared" si="464"/>
        <v/>
      </c>
      <c r="BC197" s="276" t="str">
        <f t="shared" si="465"/>
        <v/>
      </c>
      <c r="BD197" s="276" t="str">
        <f t="shared" si="466"/>
        <v/>
      </c>
      <c r="BE197" s="276" t="str">
        <f t="shared" si="467"/>
        <v/>
      </c>
      <c r="BF197" s="277" t="str">
        <f t="shared" si="468"/>
        <v/>
      </c>
      <c r="BG197" s="142">
        <f t="array" ref="BG197">(SUM( IF(ISERROR(AH197:BF197),"", AH197:BF197)))/time</f>
        <v>0</v>
      </c>
      <c r="BH197" s="142">
        <f t="shared" si="334"/>
        <v>0</v>
      </c>
      <c r="BI197" s="142">
        <v>8</v>
      </c>
      <c r="BJ197" s="143">
        <f t="shared" si="470"/>
        <v>0</v>
      </c>
      <c r="BL197" s="176" t="e">
        <f t="array" ref="BL197">STDEV(IF(AH197:BF197&lt;&gt;0,AH197:BF197))</f>
        <v>#DIV/0!</v>
      </c>
      <c r="BM197" s="176">
        <v>1.96</v>
      </c>
      <c r="BN197" s="176" t="e">
        <f t="shared" si="469"/>
        <v>#DIV/0!</v>
      </c>
      <c r="BO197" s="176">
        <f t="shared" si="335"/>
        <v>0</v>
      </c>
    </row>
    <row r="198" spans="1:67" hidden="1">
      <c r="A198" s="301" t="s">
        <v>123</v>
      </c>
      <c r="B198" s="305"/>
      <c r="C198" s="303"/>
      <c r="D198" s="278"/>
      <c r="E198" s="270"/>
      <c r="F198" s="279">
        <f t="shared" si="332"/>
        <v>0</v>
      </c>
      <c r="G198" s="304"/>
      <c r="H198" s="271"/>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c r="AE198" s="272"/>
      <c r="AF198" s="273"/>
      <c r="AG198" s="274">
        <f t="shared" si="333"/>
        <v>0</v>
      </c>
      <c r="AH198" s="275">
        <f t="shared" si="444"/>
        <v>0</v>
      </c>
      <c r="AI198" s="276">
        <f t="shared" si="445"/>
        <v>0</v>
      </c>
      <c r="AJ198" s="276">
        <f t="shared" si="446"/>
        <v>0</v>
      </c>
      <c r="AK198" s="276">
        <f t="shared" si="447"/>
        <v>0</v>
      </c>
      <c r="AL198" s="276">
        <f t="shared" si="448"/>
        <v>0</v>
      </c>
      <c r="AM198" s="276" t="str">
        <f t="shared" si="449"/>
        <v/>
      </c>
      <c r="AN198" s="276" t="str">
        <f t="shared" si="450"/>
        <v/>
      </c>
      <c r="AO198" s="276" t="str">
        <f t="shared" si="451"/>
        <v/>
      </c>
      <c r="AP198" s="276" t="str">
        <f t="shared" si="452"/>
        <v/>
      </c>
      <c r="AQ198" s="276" t="str">
        <f t="shared" si="453"/>
        <v/>
      </c>
      <c r="AR198" s="276" t="str">
        <f t="shared" si="454"/>
        <v/>
      </c>
      <c r="AS198" s="276" t="str">
        <f t="shared" si="455"/>
        <v/>
      </c>
      <c r="AT198" s="276" t="str">
        <f t="shared" si="456"/>
        <v/>
      </c>
      <c r="AU198" s="276" t="str">
        <f t="shared" si="457"/>
        <v/>
      </c>
      <c r="AV198" s="276" t="str">
        <f t="shared" si="458"/>
        <v/>
      </c>
      <c r="AW198" s="276" t="str">
        <f t="shared" si="459"/>
        <v/>
      </c>
      <c r="AX198" s="276" t="str">
        <f t="shared" si="460"/>
        <v/>
      </c>
      <c r="AY198" s="276" t="str">
        <f t="shared" si="461"/>
        <v/>
      </c>
      <c r="AZ198" s="276" t="str">
        <f t="shared" si="462"/>
        <v/>
      </c>
      <c r="BA198" s="276" t="str">
        <f t="shared" si="463"/>
        <v/>
      </c>
      <c r="BB198" s="276" t="str">
        <f t="shared" si="464"/>
        <v/>
      </c>
      <c r="BC198" s="276" t="str">
        <f t="shared" si="465"/>
        <v/>
      </c>
      <c r="BD198" s="276" t="str">
        <f t="shared" si="466"/>
        <v/>
      </c>
      <c r="BE198" s="276" t="str">
        <f t="shared" si="467"/>
        <v/>
      </c>
      <c r="BF198" s="277" t="str">
        <f t="shared" si="468"/>
        <v/>
      </c>
      <c r="BG198" s="142">
        <f t="array" ref="BG198">(SUM( IF(ISERROR(AH198:BF198),"", AH198:BF198)))/time</f>
        <v>0</v>
      </c>
      <c r="BH198" s="142">
        <f t="shared" si="334"/>
        <v>0</v>
      </c>
      <c r="BI198" s="142">
        <v>9</v>
      </c>
      <c r="BJ198" s="143">
        <f t="shared" si="470"/>
        <v>0</v>
      </c>
      <c r="BL198" s="176" t="e">
        <f t="array" ref="BL198">STDEV(IF(AH198:BF198&lt;&gt;0,AH198:BF198))</f>
        <v>#DIV/0!</v>
      </c>
      <c r="BM198" s="176">
        <v>1.96</v>
      </c>
      <c r="BN198" s="176" t="e">
        <f t="shared" si="469"/>
        <v>#DIV/0!</v>
      </c>
      <c r="BO198" s="176">
        <f t="shared" si="335"/>
        <v>0</v>
      </c>
    </row>
    <row r="199" spans="1:67" hidden="1">
      <c r="A199" s="301" t="s">
        <v>124</v>
      </c>
      <c r="B199" s="305"/>
      <c r="C199" s="303"/>
      <c r="D199" s="278"/>
      <c r="E199" s="270"/>
      <c r="F199" s="279">
        <f t="shared" si="332"/>
        <v>0</v>
      </c>
      <c r="G199" s="304"/>
      <c r="H199" s="271"/>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72"/>
      <c r="AE199" s="272"/>
      <c r="AF199" s="273"/>
      <c r="AG199" s="274">
        <f t="shared" si="333"/>
        <v>0</v>
      </c>
      <c r="AH199" s="275">
        <f t="shared" si="444"/>
        <v>0</v>
      </c>
      <c r="AI199" s="276">
        <f t="shared" si="445"/>
        <v>0</v>
      </c>
      <c r="AJ199" s="276">
        <f t="shared" si="446"/>
        <v>0</v>
      </c>
      <c r="AK199" s="276">
        <f t="shared" si="447"/>
        <v>0</v>
      </c>
      <c r="AL199" s="276">
        <f t="shared" si="448"/>
        <v>0</v>
      </c>
      <c r="AM199" s="276" t="str">
        <f t="shared" si="449"/>
        <v/>
      </c>
      <c r="AN199" s="276" t="str">
        <f t="shared" si="450"/>
        <v/>
      </c>
      <c r="AO199" s="276" t="str">
        <f t="shared" si="451"/>
        <v/>
      </c>
      <c r="AP199" s="276" t="str">
        <f t="shared" si="452"/>
        <v/>
      </c>
      <c r="AQ199" s="276" t="str">
        <f t="shared" si="453"/>
        <v/>
      </c>
      <c r="AR199" s="276" t="str">
        <f t="shared" si="454"/>
        <v/>
      </c>
      <c r="AS199" s="276" t="str">
        <f t="shared" si="455"/>
        <v/>
      </c>
      <c r="AT199" s="276" t="str">
        <f t="shared" si="456"/>
        <v/>
      </c>
      <c r="AU199" s="276" t="str">
        <f t="shared" si="457"/>
        <v/>
      </c>
      <c r="AV199" s="276" t="str">
        <f t="shared" si="458"/>
        <v/>
      </c>
      <c r="AW199" s="276" t="str">
        <f t="shared" si="459"/>
        <v/>
      </c>
      <c r="AX199" s="276" t="str">
        <f t="shared" si="460"/>
        <v/>
      </c>
      <c r="AY199" s="276" t="str">
        <f t="shared" si="461"/>
        <v/>
      </c>
      <c r="AZ199" s="276" t="str">
        <f t="shared" si="462"/>
        <v/>
      </c>
      <c r="BA199" s="276" t="str">
        <f t="shared" si="463"/>
        <v/>
      </c>
      <c r="BB199" s="276" t="str">
        <f t="shared" si="464"/>
        <v/>
      </c>
      <c r="BC199" s="276" t="str">
        <f t="shared" si="465"/>
        <v/>
      </c>
      <c r="BD199" s="276" t="str">
        <f t="shared" si="466"/>
        <v/>
      </c>
      <c r="BE199" s="276" t="str">
        <f t="shared" si="467"/>
        <v/>
      </c>
      <c r="BF199" s="277" t="str">
        <f t="shared" si="468"/>
        <v/>
      </c>
      <c r="BG199" s="142">
        <f t="array" ref="BG199">(SUM( IF(ISERROR(AH199:BF199),"", AH199:BF199)))/time</f>
        <v>0</v>
      </c>
      <c r="BH199" s="142">
        <f t="shared" si="334"/>
        <v>0</v>
      </c>
      <c r="BI199" s="142">
        <v>10</v>
      </c>
      <c r="BJ199" s="143">
        <f t="shared" si="470"/>
        <v>0</v>
      </c>
      <c r="BL199" s="176" t="e">
        <f t="array" ref="BL199">STDEV(IF(AH199:BF199&lt;&gt;0,AH199:BF199))</f>
        <v>#DIV/0!</v>
      </c>
      <c r="BM199" s="176">
        <v>1.96</v>
      </c>
      <c r="BN199" s="176" t="e">
        <f t="shared" si="469"/>
        <v>#DIV/0!</v>
      </c>
      <c r="BO199" s="176">
        <f t="shared" si="335"/>
        <v>0</v>
      </c>
    </row>
    <row r="200" spans="1:67" s="196" customFormat="1">
      <c r="A200" s="293"/>
      <c r="B200" s="294"/>
      <c r="C200" s="294"/>
      <c r="D200" s="294"/>
      <c r="E200" s="294"/>
      <c r="F200" s="295"/>
      <c r="H200" s="293"/>
      <c r="I200" s="294"/>
      <c r="J200" s="294"/>
      <c r="K200" s="294"/>
      <c r="L200" s="294"/>
      <c r="M200" s="294"/>
      <c r="N200" s="294"/>
      <c r="O200" s="294"/>
      <c r="P200" s="294"/>
      <c r="Q200" s="294"/>
      <c r="R200" s="294"/>
      <c r="S200" s="294"/>
      <c r="T200" s="294"/>
      <c r="U200" s="294"/>
      <c r="V200" s="294"/>
      <c r="W200" s="294"/>
      <c r="X200" s="294"/>
      <c r="Y200" s="294"/>
      <c r="Z200" s="294"/>
      <c r="AA200" s="294"/>
      <c r="AB200" s="294"/>
      <c r="AC200" s="294"/>
      <c r="AD200" s="294"/>
      <c r="AE200" s="294"/>
      <c r="AF200" s="294"/>
      <c r="AG200" s="296"/>
      <c r="AH200" s="293"/>
      <c r="AI200" s="294"/>
      <c r="AJ200" s="294"/>
      <c r="AK200" s="294"/>
      <c r="AL200" s="294"/>
      <c r="AM200" s="294"/>
      <c r="AN200" s="294"/>
      <c r="AO200" s="294"/>
      <c r="AP200" s="294"/>
      <c r="AQ200" s="294"/>
      <c r="AR200" s="294"/>
      <c r="AS200" s="294"/>
      <c r="AT200" s="294"/>
      <c r="AU200" s="294"/>
      <c r="AV200" s="294"/>
      <c r="AW200" s="294"/>
      <c r="AX200" s="294"/>
      <c r="AY200" s="294"/>
      <c r="AZ200" s="294"/>
      <c r="BA200" s="294"/>
      <c r="BB200" s="294"/>
      <c r="BC200" s="294"/>
      <c r="BD200" s="294"/>
      <c r="BE200" s="294"/>
      <c r="BF200" s="294"/>
      <c r="BG200" s="294"/>
      <c r="BH200" s="294"/>
      <c r="BI200" s="294"/>
      <c r="BJ200" s="295"/>
    </row>
    <row r="201" spans="1:67" s="196" customFormat="1">
      <c r="A201" s="297"/>
      <c r="B201" s="298"/>
      <c r="C201" s="298"/>
      <c r="D201" s="298"/>
      <c r="E201" s="298"/>
      <c r="F201" s="299"/>
      <c r="H201" s="297"/>
      <c r="I201" s="298"/>
      <c r="J201" s="298"/>
      <c r="K201" s="298"/>
      <c r="L201" s="298"/>
      <c r="M201" s="298"/>
      <c r="N201" s="298"/>
      <c r="O201" s="298"/>
      <c r="P201" s="298"/>
      <c r="Q201" s="298"/>
      <c r="R201" s="298"/>
      <c r="S201" s="298"/>
      <c r="T201" s="298"/>
      <c r="U201" s="298"/>
      <c r="V201" s="298"/>
      <c r="W201" s="298"/>
      <c r="X201" s="298"/>
      <c r="Y201" s="298"/>
      <c r="Z201" s="298"/>
      <c r="AA201" s="298"/>
      <c r="AB201" s="298"/>
      <c r="AC201" s="298"/>
      <c r="AD201" s="298"/>
      <c r="AE201" s="298"/>
      <c r="AF201" s="298"/>
      <c r="AG201" s="300"/>
      <c r="AH201" s="297"/>
      <c r="AI201" s="298"/>
      <c r="AJ201" s="298"/>
      <c r="AK201" s="298"/>
      <c r="AL201" s="298"/>
      <c r="AM201" s="298"/>
      <c r="AN201" s="298"/>
      <c r="AO201" s="298"/>
      <c r="AP201" s="298"/>
      <c r="AQ201" s="298"/>
      <c r="AR201" s="298"/>
      <c r="AS201" s="298"/>
      <c r="AT201" s="298"/>
      <c r="AU201" s="298"/>
      <c r="AV201" s="298"/>
      <c r="AW201" s="298"/>
      <c r="AX201" s="298"/>
      <c r="AY201" s="298"/>
      <c r="AZ201" s="298"/>
      <c r="BA201" s="298"/>
      <c r="BB201" s="298"/>
      <c r="BC201" s="298"/>
      <c r="BD201" s="298"/>
      <c r="BE201" s="298"/>
      <c r="BF201" s="298"/>
      <c r="BG201" s="298"/>
      <c r="BH201" s="298"/>
      <c r="BI201" s="298"/>
      <c r="BJ201" s="299"/>
    </row>
    <row r="202" spans="1:67" s="196" customFormat="1">
      <c r="A202" s="293" t="s">
        <v>218</v>
      </c>
      <c r="F202" s="203"/>
      <c r="H202" s="202"/>
      <c r="AG202" s="291"/>
      <c r="AH202" s="202"/>
      <c r="BJ202" s="203"/>
    </row>
    <row r="203" spans="1:67">
      <c r="A203" s="848" t="s">
        <v>220</v>
      </c>
      <c r="B203" s="852"/>
      <c r="C203" s="851"/>
      <c r="D203" s="845"/>
      <c r="E203" s="847"/>
      <c r="F203" s="846">
        <f t="shared" ref="F203:F223" si="471">B203*(1+E203)</f>
        <v>0</v>
      </c>
      <c r="G203" s="304"/>
      <c r="H203" s="842"/>
      <c r="I203" s="843"/>
      <c r="J203" s="843"/>
      <c r="K203" s="843"/>
      <c r="L203" s="843"/>
      <c r="M203" s="272"/>
      <c r="N203" s="272"/>
      <c r="O203" s="272"/>
      <c r="P203" s="272"/>
      <c r="Q203" s="272"/>
      <c r="R203" s="272"/>
      <c r="S203" s="272"/>
      <c r="T203" s="272"/>
      <c r="U203" s="272"/>
      <c r="V203" s="272"/>
      <c r="W203" s="272"/>
      <c r="X203" s="272"/>
      <c r="Y203" s="272"/>
      <c r="Z203" s="272"/>
      <c r="AA203" s="272"/>
      <c r="AB203" s="272"/>
      <c r="AC203" s="272"/>
      <c r="AD203" s="272"/>
      <c r="AE203" s="272"/>
      <c r="AF203" s="273"/>
      <c r="AG203" s="274">
        <f t="shared" ref="AG203:AG223" si="472">SUM(H203:AF203)</f>
        <v>0</v>
      </c>
      <c r="AH203" s="275">
        <f t="shared" ref="AH203:AH212" si="473">IF(AH$225&lt;=time,H203*$F203,"")</f>
        <v>0</v>
      </c>
      <c r="AI203" s="276">
        <f t="shared" ref="AI203:AI212" si="474">IF(AI$225&lt;=time,I203*$F203,"")</f>
        <v>0</v>
      </c>
      <c r="AJ203" s="276">
        <f t="shared" ref="AJ203:AJ212" si="475">IF(AJ$225&lt;=time,J203*$F203,"")</f>
        <v>0</v>
      </c>
      <c r="AK203" s="276">
        <f t="shared" ref="AK203:AK212" si="476">IF(AK$225&lt;=time,K203*$F203,"")</f>
        <v>0</v>
      </c>
      <c r="AL203" s="276">
        <f t="shared" ref="AL203:AL212" si="477">IF(AL$225&lt;=time,L203*$F203,"")</f>
        <v>0</v>
      </c>
      <c r="AM203" s="276" t="str">
        <f t="shared" ref="AM203:AM212" si="478">IF(AM$225&lt;=time,M203*$F203,"")</f>
        <v/>
      </c>
      <c r="AN203" s="276" t="str">
        <f t="shared" ref="AN203:AN212" si="479">IF(AN$225&lt;=time,N203*$F203,"")</f>
        <v/>
      </c>
      <c r="AO203" s="276" t="str">
        <f t="shared" ref="AO203:AO212" si="480">IF(AO$225&lt;=time,O203*$F203,"")</f>
        <v/>
      </c>
      <c r="AP203" s="276" t="str">
        <f t="shared" ref="AP203:AP212" si="481">IF(AP$225&lt;=time,P203*$F203,"")</f>
        <v/>
      </c>
      <c r="AQ203" s="276" t="str">
        <f t="shared" ref="AQ203:AQ212" si="482">IF(AQ$225&lt;=time,Q203*$F203,"")</f>
        <v/>
      </c>
      <c r="AR203" s="276" t="str">
        <f t="shared" ref="AR203:AR212" si="483">IF(AR$225&lt;=time,R203*$F203,"")</f>
        <v/>
      </c>
      <c r="AS203" s="276" t="str">
        <f t="shared" ref="AS203:AS212" si="484">IF(AS$225&lt;=time,S203*$F203,"")</f>
        <v/>
      </c>
      <c r="AT203" s="276" t="str">
        <f t="shared" ref="AT203:AT212" si="485">IF(AT$225&lt;=time,T203*$F203,"")</f>
        <v/>
      </c>
      <c r="AU203" s="276" t="str">
        <f t="shared" ref="AU203:AU212" si="486">IF(AU$225&lt;=time,U203*$F203,"")</f>
        <v/>
      </c>
      <c r="AV203" s="276" t="str">
        <f t="shared" ref="AV203:AV212" si="487">IF(AV$225&lt;=time,V203*$F203,"")</f>
        <v/>
      </c>
      <c r="AW203" s="276" t="str">
        <f t="shared" ref="AW203:AW212" si="488">IF(AW$225&lt;=time,W203*$F203,"")</f>
        <v/>
      </c>
      <c r="AX203" s="276" t="str">
        <f t="shared" ref="AX203:AX212" si="489">IF(AX$225&lt;=time,X203*$F203,"")</f>
        <v/>
      </c>
      <c r="AY203" s="276" t="str">
        <f t="shared" ref="AY203:AY212" si="490">IF(AY$225&lt;=time,Y203*$F203,"")</f>
        <v/>
      </c>
      <c r="AZ203" s="276" t="str">
        <f t="shared" ref="AZ203:AZ212" si="491">IF(AZ$225&lt;=time,Z203*$F203,"")</f>
        <v/>
      </c>
      <c r="BA203" s="276" t="str">
        <f t="shared" ref="BA203:BA212" si="492">IF(BA$225&lt;=time,AA203*$F203,"")</f>
        <v/>
      </c>
      <c r="BB203" s="276" t="str">
        <f t="shared" ref="BB203:BB212" si="493">IF(BB$225&lt;=time,AB203*$F203,"")</f>
        <v/>
      </c>
      <c r="BC203" s="276" t="str">
        <f t="shared" ref="BC203:BC212" si="494">IF(BC$225&lt;=time,AC203*$F203,"")</f>
        <v/>
      </c>
      <c r="BD203" s="276" t="str">
        <f t="shared" ref="BD203:BD212" si="495">IF(BD$225&lt;=time,AD203*$F203,"")</f>
        <v/>
      </c>
      <c r="BE203" s="276" t="str">
        <f t="shared" ref="BE203:BE212" si="496">IF(BE$225&lt;=time,AE203*$F203,"")</f>
        <v/>
      </c>
      <c r="BF203" s="277" t="str">
        <f t="shared" ref="BF203:BF212" si="497">IF(BF$225&lt;=time,AF203*$F203,"")</f>
        <v/>
      </c>
      <c r="BG203" s="142">
        <f t="array" ref="BG203">(SUM( IF(ISERROR(AH203:BF203),"", AH203:BF203)))/time</f>
        <v>0</v>
      </c>
      <c r="BH203" s="142">
        <f t="shared" ref="BH203:BH223" si="498">IF(BO203&gt;0,IF(BG203-BN203&gt;0, BG203-BN203, 0),BG203)</f>
        <v>0</v>
      </c>
      <c r="BI203" s="142">
        <v>1</v>
      </c>
      <c r="BJ203" s="143">
        <f>IF(BO203&gt;0,BG203+BN203,BG203)</f>
        <v>0</v>
      </c>
      <c r="BL203" s="176" t="e">
        <f t="array" ref="BL203">STDEV(IF(AH203:BF203&lt;&gt;0,AH203:BF203))</f>
        <v>#DIV/0!</v>
      </c>
      <c r="BM203" s="176">
        <v>1.96</v>
      </c>
      <c r="BN203" s="176" t="e">
        <f t="shared" ref="BN203:BN212" si="499">(BM203*BL203)/(time^0.5)</f>
        <v>#DIV/0!</v>
      </c>
      <c r="BO203" s="176">
        <f t="shared" ref="BO203:BO223" si="500">IFERROR(BL203,0)</f>
        <v>0</v>
      </c>
    </row>
    <row r="204" spans="1:67" hidden="1">
      <c r="A204" s="301" t="s">
        <v>221</v>
      </c>
      <c r="B204" s="305"/>
      <c r="C204" s="303"/>
      <c r="D204" s="278"/>
      <c r="E204" s="270"/>
      <c r="F204" s="279">
        <f t="shared" si="471"/>
        <v>0</v>
      </c>
      <c r="G204" s="304"/>
      <c r="H204" s="271"/>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72"/>
      <c r="AE204" s="272"/>
      <c r="AF204" s="273"/>
      <c r="AG204" s="274">
        <f t="shared" si="472"/>
        <v>0</v>
      </c>
      <c r="AH204" s="275">
        <f t="shared" si="473"/>
        <v>0</v>
      </c>
      <c r="AI204" s="276">
        <f t="shared" si="474"/>
        <v>0</v>
      </c>
      <c r="AJ204" s="276">
        <f t="shared" si="475"/>
        <v>0</v>
      </c>
      <c r="AK204" s="276">
        <f t="shared" si="476"/>
        <v>0</v>
      </c>
      <c r="AL204" s="276">
        <f t="shared" si="477"/>
        <v>0</v>
      </c>
      <c r="AM204" s="276" t="str">
        <f t="shared" si="478"/>
        <v/>
      </c>
      <c r="AN204" s="276" t="str">
        <f t="shared" si="479"/>
        <v/>
      </c>
      <c r="AO204" s="276" t="str">
        <f t="shared" si="480"/>
        <v/>
      </c>
      <c r="AP204" s="276" t="str">
        <f t="shared" si="481"/>
        <v/>
      </c>
      <c r="AQ204" s="276" t="str">
        <f t="shared" si="482"/>
        <v/>
      </c>
      <c r="AR204" s="276" t="str">
        <f t="shared" si="483"/>
        <v/>
      </c>
      <c r="AS204" s="276" t="str">
        <f t="shared" si="484"/>
        <v/>
      </c>
      <c r="AT204" s="276" t="str">
        <f t="shared" si="485"/>
        <v/>
      </c>
      <c r="AU204" s="276" t="str">
        <f t="shared" si="486"/>
        <v/>
      </c>
      <c r="AV204" s="276" t="str">
        <f t="shared" si="487"/>
        <v/>
      </c>
      <c r="AW204" s="276" t="str">
        <f t="shared" si="488"/>
        <v/>
      </c>
      <c r="AX204" s="276" t="str">
        <f t="shared" si="489"/>
        <v/>
      </c>
      <c r="AY204" s="276" t="str">
        <f t="shared" si="490"/>
        <v/>
      </c>
      <c r="AZ204" s="276" t="str">
        <f t="shared" si="491"/>
        <v/>
      </c>
      <c r="BA204" s="276" t="str">
        <f t="shared" si="492"/>
        <v/>
      </c>
      <c r="BB204" s="276" t="str">
        <f t="shared" si="493"/>
        <v/>
      </c>
      <c r="BC204" s="276" t="str">
        <f t="shared" si="494"/>
        <v/>
      </c>
      <c r="BD204" s="276" t="str">
        <f t="shared" si="495"/>
        <v/>
      </c>
      <c r="BE204" s="276" t="str">
        <f t="shared" si="496"/>
        <v/>
      </c>
      <c r="BF204" s="277" t="str">
        <f t="shared" si="497"/>
        <v/>
      </c>
      <c r="BG204" s="142">
        <f t="array" ref="BG204">(SUM( IF(ISERROR(AH204:BF204),"", AH204:BF204)))/time</f>
        <v>0</v>
      </c>
      <c r="BH204" s="142">
        <f t="shared" si="498"/>
        <v>0</v>
      </c>
      <c r="BI204" s="142">
        <v>2</v>
      </c>
      <c r="BJ204" s="143">
        <f t="shared" ref="BJ204:BJ212" si="501">IF(BO204&gt;0,BG204+BN204,BG204)</f>
        <v>0</v>
      </c>
      <c r="BL204" s="176" t="e">
        <f t="array" ref="BL204">STDEV(IF(AH204:BF204&lt;&gt;0,AH204:BF204))</f>
        <v>#DIV/0!</v>
      </c>
      <c r="BM204" s="176">
        <v>1.96</v>
      </c>
      <c r="BN204" s="176" t="e">
        <f t="shared" si="499"/>
        <v>#DIV/0!</v>
      </c>
      <c r="BO204" s="176">
        <f t="shared" si="500"/>
        <v>0</v>
      </c>
    </row>
    <row r="205" spans="1:67" hidden="1">
      <c r="A205" s="301" t="s">
        <v>222</v>
      </c>
      <c r="B205" s="305"/>
      <c r="C205" s="303"/>
      <c r="D205" s="278"/>
      <c r="E205" s="270"/>
      <c r="F205" s="279">
        <f t="shared" si="471"/>
        <v>0</v>
      </c>
      <c r="G205" s="304"/>
      <c r="H205" s="271"/>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272"/>
      <c r="AF205" s="273"/>
      <c r="AG205" s="274">
        <f t="shared" si="472"/>
        <v>0</v>
      </c>
      <c r="AH205" s="275">
        <f t="shared" si="473"/>
        <v>0</v>
      </c>
      <c r="AI205" s="276">
        <f t="shared" si="474"/>
        <v>0</v>
      </c>
      <c r="AJ205" s="276">
        <f t="shared" si="475"/>
        <v>0</v>
      </c>
      <c r="AK205" s="276">
        <f t="shared" si="476"/>
        <v>0</v>
      </c>
      <c r="AL205" s="276">
        <f t="shared" si="477"/>
        <v>0</v>
      </c>
      <c r="AM205" s="276" t="str">
        <f t="shared" si="478"/>
        <v/>
      </c>
      <c r="AN205" s="276" t="str">
        <f t="shared" si="479"/>
        <v/>
      </c>
      <c r="AO205" s="276" t="str">
        <f t="shared" si="480"/>
        <v/>
      </c>
      <c r="AP205" s="276" t="str">
        <f t="shared" si="481"/>
        <v/>
      </c>
      <c r="AQ205" s="276" t="str">
        <f t="shared" si="482"/>
        <v/>
      </c>
      <c r="AR205" s="276" t="str">
        <f t="shared" si="483"/>
        <v/>
      </c>
      <c r="AS205" s="276" t="str">
        <f t="shared" si="484"/>
        <v/>
      </c>
      <c r="AT205" s="276" t="str">
        <f t="shared" si="485"/>
        <v/>
      </c>
      <c r="AU205" s="276" t="str">
        <f t="shared" si="486"/>
        <v/>
      </c>
      <c r="AV205" s="276" t="str">
        <f t="shared" si="487"/>
        <v/>
      </c>
      <c r="AW205" s="276" t="str">
        <f t="shared" si="488"/>
        <v/>
      </c>
      <c r="AX205" s="276" t="str">
        <f t="shared" si="489"/>
        <v/>
      </c>
      <c r="AY205" s="276" t="str">
        <f t="shared" si="490"/>
        <v/>
      </c>
      <c r="AZ205" s="276" t="str">
        <f t="shared" si="491"/>
        <v/>
      </c>
      <c r="BA205" s="276" t="str">
        <f t="shared" si="492"/>
        <v/>
      </c>
      <c r="BB205" s="276" t="str">
        <f t="shared" si="493"/>
        <v/>
      </c>
      <c r="BC205" s="276" t="str">
        <f t="shared" si="494"/>
        <v/>
      </c>
      <c r="BD205" s="276" t="str">
        <f t="shared" si="495"/>
        <v/>
      </c>
      <c r="BE205" s="276" t="str">
        <f t="shared" si="496"/>
        <v/>
      </c>
      <c r="BF205" s="277" t="str">
        <f t="shared" si="497"/>
        <v/>
      </c>
      <c r="BG205" s="142">
        <f t="array" ref="BG205">(SUM( IF(ISERROR(AH205:BF205),"", AH205:BF205)))/time</f>
        <v>0</v>
      </c>
      <c r="BH205" s="142">
        <f t="shared" si="498"/>
        <v>0</v>
      </c>
      <c r="BI205" s="142">
        <v>3</v>
      </c>
      <c r="BJ205" s="143">
        <f t="shared" si="501"/>
        <v>0</v>
      </c>
      <c r="BL205" s="176" t="e">
        <f t="array" ref="BL205">STDEV(IF(AH205:BF205&lt;&gt;0,AH205:BF205))</f>
        <v>#DIV/0!</v>
      </c>
      <c r="BM205" s="176">
        <v>1.96</v>
      </c>
      <c r="BN205" s="176" t="e">
        <f t="shared" si="499"/>
        <v>#DIV/0!</v>
      </c>
      <c r="BO205" s="176">
        <f t="shared" si="500"/>
        <v>0</v>
      </c>
    </row>
    <row r="206" spans="1:67" hidden="1">
      <c r="A206" s="301" t="s">
        <v>223</v>
      </c>
      <c r="B206" s="305"/>
      <c r="C206" s="303"/>
      <c r="D206" s="278"/>
      <c r="E206" s="270"/>
      <c r="F206" s="279">
        <f t="shared" si="471"/>
        <v>0</v>
      </c>
      <c r="G206" s="304"/>
      <c r="H206" s="271"/>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72"/>
      <c r="AE206" s="272"/>
      <c r="AF206" s="273"/>
      <c r="AG206" s="274">
        <f t="shared" si="472"/>
        <v>0</v>
      </c>
      <c r="AH206" s="275">
        <f t="shared" si="473"/>
        <v>0</v>
      </c>
      <c r="AI206" s="276">
        <f t="shared" si="474"/>
        <v>0</v>
      </c>
      <c r="AJ206" s="276">
        <f t="shared" si="475"/>
        <v>0</v>
      </c>
      <c r="AK206" s="276">
        <f t="shared" si="476"/>
        <v>0</v>
      </c>
      <c r="AL206" s="276">
        <f t="shared" si="477"/>
        <v>0</v>
      </c>
      <c r="AM206" s="276" t="str">
        <f t="shared" si="478"/>
        <v/>
      </c>
      <c r="AN206" s="276" t="str">
        <f t="shared" si="479"/>
        <v/>
      </c>
      <c r="AO206" s="276" t="str">
        <f t="shared" si="480"/>
        <v/>
      </c>
      <c r="AP206" s="276" t="str">
        <f t="shared" si="481"/>
        <v/>
      </c>
      <c r="AQ206" s="276" t="str">
        <f t="shared" si="482"/>
        <v/>
      </c>
      <c r="AR206" s="276" t="str">
        <f t="shared" si="483"/>
        <v/>
      </c>
      <c r="AS206" s="276" t="str">
        <f t="shared" si="484"/>
        <v/>
      </c>
      <c r="AT206" s="276" t="str">
        <f t="shared" si="485"/>
        <v/>
      </c>
      <c r="AU206" s="276" t="str">
        <f t="shared" si="486"/>
        <v/>
      </c>
      <c r="AV206" s="276" t="str">
        <f t="shared" si="487"/>
        <v/>
      </c>
      <c r="AW206" s="276" t="str">
        <f t="shared" si="488"/>
        <v/>
      </c>
      <c r="AX206" s="276" t="str">
        <f t="shared" si="489"/>
        <v/>
      </c>
      <c r="AY206" s="276" t="str">
        <f t="shared" si="490"/>
        <v/>
      </c>
      <c r="AZ206" s="276" t="str">
        <f t="shared" si="491"/>
        <v/>
      </c>
      <c r="BA206" s="276" t="str">
        <f t="shared" si="492"/>
        <v/>
      </c>
      <c r="BB206" s="276" t="str">
        <f t="shared" si="493"/>
        <v/>
      </c>
      <c r="BC206" s="276" t="str">
        <f t="shared" si="494"/>
        <v/>
      </c>
      <c r="BD206" s="276" t="str">
        <f t="shared" si="495"/>
        <v/>
      </c>
      <c r="BE206" s="276" t="str">
        <f t="shared" si="496"/>
        <v/>
      </c>
      <c r="BF206" s="277" t="str">
        <f t="shared" si="497"/>
        <v/>
      </c>
      <c r="BG206" s="142">
        <f t="array" ref="BG206">(SUM( IF(ISERROR(AH206:BF206),"", AH206:BF206)))/time</f>
        <v>0</v>
      </c>
      <c r="BH206" s="142">
        <f t="shared" si="498"/>
        <v>0</v>
      </c>
      <c r="BI206" s="142">
        <v>4</v>
      </c>
      <c r="BJ206" s="143">
        <f t="shared" si="501"/>
        <v>0</v>
      </c>
      <c r="BL206" s="176" t="e">
        <f t="array" ref="BL206">STDEV(IF(AH206:BF206&lt;&gt;0,AH206:BF206))</f>
        <v>#DIV/0!</v>
      </c>
      <c r="BM206" s="176">
        <v>1.96</v>
      </c>
      <c r="BN206" s="176" t="e">
        <f t="shared" si="499"/>
        <v>#DIV/0!</v>
      </c>
      <c r="BO206" s="176">
        <f t="shared" si="500"/>
        <v>0</v>
      </c>
    </row>
    <row r="207" spans="1:67" hidden="1">
      <c r="A207" s="301" t="s">
        <v>224</v>
      </c>
      <c r="B207" s="305"/>
      <c r="C207" s="303"/>
      <c r="D207" s="278"/>
      <c r="E207" s="270"/>
      <c r="F207" s="279">
        <f t="shared" si="471"/>
        <v>0</v>
      </c>
      <c r="G207" s="304"/>
      <c r="H207" s="271"/>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72"/>
      <c r="AE207" s="272"/>
      <c r="AF207" s="273"/>
      <c r="AG207" s="274">
        <f t="shared" si="472"/>
        <v>0</v>
      </c>
      <c r="AH207" s="275">
        <f t="shared" si="473"/>
        <v>0</v>
      </c>
      <c r="AI207" s="276">
        <f t="shared" si="474"/>
        <v>0</v>
      </c>
      <c r="AJ207" s="276">
        <f t="shared" si="475"/>
        <v>0</v>
      </c>
      <c r="AK207" s="276">
        <f t="shared" si="476"/>
        <v>0</v>
      </c>
      <c r="AL207" s="276">
        <f t="shared" si="477"/>
        <v>0</v>
      </c>
      <c r="AM207" s="276" t="str">
        <f t="shared" si="478"/>
        <v/>
      </c>
      <c r="AN207" s="276" t="str">
        <f t="shared" si="479"/>
        <v/>
      </c>
      <c r="AO207" s="276" t="str">
        <f t="shared" si="480"/>
        <v/>
      </c>
      <c r="AP207" s="276" t="str">
        <f t="shared" si="481"/>
        <v/>
      </c>
      <c r="AQ207" s="276" t="str">
        <f t="shared" si="482"/>
        <v/>
      </c>
      <c r="AR207" s="276" t="str">
        <f t="shared" si="483"/>
        <v/>
      </c>
      <c r="AS207" s="276" t="str">
        <f t="shared" si="484"/>
        <v/>
      </c>
      <c r="AT207" s="276" t="str">
        <f t="shared" si="485"/>
        <v/>
      </c>
      <c r="AU207" s="276" t="str">
        <f t="shared" si="486"/>
        <v/>
      </c>
      <c r="AV207" s="276" t="str">
        <f t="shared" si="487"/>
        <v/>
      </c>
      <c r="AW207" s="276" t="str">
        <f t="shared" si="488"/>
        <v/>
      </c>
      <c r="AX207" s="276" t="str">
        <f t="shared" si="489"/>
        <v/>
      </c>
      <c r="AY207" s="276" t="str">
        <f t="shared" si="490"/>
        <v/>
      </c>
      <c r="AZ207" s="276" t="str">
        <f t="shared" si="491"/>
        <v/>
      </c>
      <c r="BA207" s="276" t="str">
        <f t="shared" si="492"/>
        <v/>
      </c>
      <c r="BB207" s="276" t="str">
        <f t="shared" si="493"/>
        <v/>
      </c>
      <c r="BC207" s="276" t="str">
        <f t="shared" si="494"/>
        <v/>
      </c>
      <c r="BD207" s="276" t="str">
        <f t="shared" si="495"/>
        <v/>
      </c>
      <c r="BE207" s="276" t="str">
        <f t="shared" si="496"/>
        <v/>
      </c>
      <c r="BF207" s="277" t="str">
        <f t="shared" si="497"/>
        <v/>
      </c>
      <c r="BG207" s="142">
        <f t="array" ref="BG207">(SUM( IF(ISERROR(AH207:BF207),"", AH207:BF207)))/time</f>
        <v>0</v>
      </c>
      <c r="BH207" s="142">
        <f t="shared" si="498"/>
        <v>0</v>
      </c>
      <c r="BI207" s="142">
        <v>5</v>
      </c>
      <c r="BJ207" s="143">
        <f t="shared" si="501"/>
        <v>0</v>
      </c>
      <c r="BL207" s="176" t="e">
        <f t="array" ref="BL207">STDEV(IF(AH207:BF207&lt;&gt;0,AH207:BF207))</f>
        <v>#DIV/0!</v>
      </c>
      <c r="BM207" s="176">
        <v>1.96</v>
      </c>
      <c r="BN207" s="176" t="e">
        <f t="shared" si="499"/>
        <v>#DIV/0!</v>
      </c>
      <c r="BO207" s="176">
        <f t="shared" si="500"/>
        <v>0</v>
      </c>
    </row>
    <row r="208" spans="1:67" hidden="1">
      <c r="A208" s="301" t="s">
        <v>225</v>
      </c>
      <c r="B208" s="305"/>
      <c r="C208" s="303"/>
      <c r="D208" s="278"/>
      <c r="E208" s="270"/>
      <c r="F208" s="279">
        <f t="shared" si="471"/>
        <v>0</v>
      </c>
      <c r="G208" s="304"/>
      <c r="H208" s="271"/>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s="273"/>
      <c r="AG208" s="274">
        <f t="shared" si="472"/>
        <v>0</v>
      </c>
      <c r="AH208" s="275">
        <f t="shared" si="473"/>
        <v>0</v>
      </c>
      <c r="AI208" s="276">
        <f t="shared" si="474"/>
        <v>0</v>
      </c>
      <c r="AJ208" s="276">
        <f t="shared" si="475"/>
        <v>0</v>
      </c>
      <c r="AK208" s="276">
        <f t="shared" si="476"/>
        <v>0</v>
      </c>
      <c r="AL208" s="276">
        <f t="shared" si="477"/>
        <v>0</v>
      </c>
      <c r="AM208" s="276" t="str">
        <f t="shared" si="478"/>
        <v/>
      </c>
      <c r="AN208" s="276" t="str">
        <f t="shared" si="479"/>
        <v/>
      </c>
      <c r="AO208" s="276" t="str">
        <f t="shared" si="480"/>
        <v/>
      </c>
      <c r="AP208" s="276" t="str">
        <f t="shared" si="481"/>
        <v/>
      </c>
      <c r="AQ208" s="276" t="str">
        <f t="shared" si="482"/>
        <v/>
      </c>
      <c r="AR208" s="276" t="str">
        <f t="shared" si="483"/>
        <v/>
      </c>
      <c r="AS208" s="276" t="str">
        <f t="shared" si="484"/>
        <v/>
      </c>
      <c r="AT208" s="276" t="str">
        <f t="shared" si="485"/>
        <v/>
      </c>
      <c r="AU208" s="276" t="str">
        <f t="shared" si="486"/>
        <v/>
      </c>
      <c r="AV208" s="276" t="str">
        <f t="shared" si="487"/>
        <v/>
      </c>
      <c r="AW208" s="276" t="str">
        <f t="shared" si="488"/>
        <v/>
      </c>
      <c r="AX208" s="276" t="str">
        <f t="shared" si="489"/>
        <v/>
      </c>
      <c r="AY208" s="276" t="str">
        <f t="shared" si="490"/>
        <v/>
      </c>
      <c r="AZ208" s="276" t="str">
        <f t="shared" si="491"/>
        <v/>
      </c>
      <c r="BA208" s="276" t="str">
        <f t="shared" si="492"/>
        <v/>
      </c>
      <c r="BB208" s="276" t="str">
        <f t="shared" si="493"/>
        <v/>
      </c>
      <c r="BC208" s="276" t="str">
        <f t="shared" si="494"/>
        <v/>
      </c>
      <c r="BD208" s="276" t="str">
        <f t="shared" si="495"/>
        <v/>
      </c>
      <c r="BE208" s="276" t="str">
        <f t="shared" si="496"/>
        <v/>
      </c>
      <c r="BF208" s="277" t="str">
        <f t="shared" si="497"/>
        <v/>
      </c>
      <c r="BG208" s="142">
        <f t="array" ref="BG208">(SUM( IF(ISERROR(AH208:BF208),"", AH208:BF208)))/time</f>
        <v>0</v>
      </c>
      <c r="BH208" s="142">
        <f t="shared" si="498"/>
        <v>0</v>
      </c>
      <c r="BI208" s="142">
        <v>6</v>
      </c>
      <c r="BJ208" s="143">
        <f t="shared" si="501"/>
        <v>0</v>
      </c>
      <c r="BL208" s="176" t="e">
        <f t="array" ref="BL208">STDEV(IF(AH208:BF208&lt;&gt;0,AH208:BF208))</f>
        <v>#DIV/0!</v>
      </c>
      <c r="BM208" s="176">
        <v>1.96</v>
      </c>
      <c r="BN208" s="176" t="e">
        <f t="shared" si="499"/>
        <v>#DIV/0!</v>
      </c>
      <c r="BO208" s="176">
        <f t="shared" si="500"/>
        <v>0</v>
      </c>
    </row>
    <row r="209" spans="1:68" hidden="1">
      <c r="A209" s="301" t="s">
        <v>226</v>
      </c>
      <c r="B209" s="305"/>
      <c r="C209" s="303"/>
      <c r="D209" s="278"/>
      <c r="E209" s="270"/>
      <c r="F209" s="279">
        <f t="shared" si="471"/>
        <v>0</v>
      </c>
      <c r="G209" s="304"/>
      <c r="H209" s="271"/>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72"/>
      <c r="AE209" s="272"/>
      <c r="AF209" s="273"/>
      <c r="AG209" s="274">
        <f t="shared" si="472"/>
        <v>0</v>
      </c>
      <c r="AH209" s="275">
        <f t="shared" si="473"/>
        <v>0</v>
      </c>
      <c r="AI209" s="276">
        <f t="shared" si="474"/>
        <v>0</v>
      </c>
      <c r="AJ209" s="276">
        <f t="shared" si="475"/>
        <v>0</v>
      </c>
      <c r="AK209" s="276">
        <f t="shared" si="476"/>
        <v>0</v>
      </c>
      <c r="AL209" s="276">
        <f t="shared" si="477"/>
        <v>0</v>
      </c>
      <c r="AM209" s="276" t="str">
        <f t="shared" si="478"/>
        <v/>
      </c>
      <c r="AN209" s="276" t="str">
        <f t="shared" si="479"/>
        <v/>
      </c>
      <c r="AO209" s="276" t="str">
        <f t="shared" si="480"/>
        <v/>
      </c>
      <c r="AP209" s="276" t="str">
        <f t="shared" si="481"/>
        <v/>
      </c>
      <c r="AQ209" s="276" t="str">
        <f t="shared" si="482"/>
        <v/>
      </c>
      <c r="AR209" s="276" t="str">
        <f t="shared" si="483"/>
        <v/>
      </c>
      <c r="AS209" s="276" t="str">
        <f t="shared" si="484"/>
        <v/>
      </c>
      <c r="AT209" s="276" t="str">
        <f t="shared" si="485"/>
        <v/>
      </c>
      <c r="AU209" s="276" t="str">
        <f t="shared" si="486"/>
        <v/>
      </c>
      <c r="AV209" s="276" t="str">
        <f t="shared" si="487"/>
        <v/>
      </c>
      <c r="AW209" s="276" t="str">
        <f t="shared" si="488"/>
        <v/>
      </c>
      <c r="AX209" s="276" t="str">
        <f t="shared" si="489"/>
        <v/>
      </c>
      <c r="AY209" s="276" t="str">
        <f t="shared" si="490"/>
        <v/>
      </c>
      <c r="AZ209" s="276" t="str">
        <f t="shared" si="491"/>
        <v/>
      </c>
      <c r="BA209" s="276" t="str">
        <f t="shared" si="492"/>
        <v/>
      </c>
      <c r="BB209" s="276" t="str">
        <f t="shared" si="493"/>
        <v/>
      </c>
      <c r="BC209" s="276" t="str">
        <f t="shared" si="494"/>
        <v/>
      </c>
      <c r="BD209" s="276" t="str">
        <f t="shared" si="495"/>
        <v/>
      </c>
      <c r="BE209" s="276" t="str">
        <f t="shared" si="496"/>
        <v/>
      </c>
      <c r="BF209" s="277" t="str">
        <f t="shared" si="497"/>
        <v/>
      </c>
      <c r="BG209" s="142">
        <f t="array" ref="BG209">(SUM( IF(ISERROR(AH209:BF209),"", AH209:BF209)))/time</f>
        <v>0</v>
      </c>
      <c r="BH209" s="142">
        <f t="shared" si="498"/>
        <v>0</v>
      </c>
      <c r="BI209" s="142">
        <v>7</v>
      </c>
      <c r="BJ209" s="143">
        <f t="shared" si="501"/>
        <v>0</v>
      </c>
      <c r="BL209" s="176" t="e">
        <f t="array" ref="BL209">STDEV(IF(AH209:BF209&lt;&gt;0,AH209:BF209))</f>
        <v>#DIV/0!</v>
      </c>
      <c r="BM209" s="176">
        <v>1.96</v>
      </c>
      <c r="BN209" s="176" t="e">
        <f t="shared" si="499"/>
        <v>#DIV/0!</v>
      </c>
      <c r="BO209" s="176">
        <f t="shared" si="500"/>
        <v>0</v>
      </c>
    </row>
    <row r="210" spans="1:68" hidden="1">
      <c r="A210" s="301" t="s">
        <v>227</v>
      </c>
      <c r="B210" s="305"/>
      <c r="C210" s="303"/>
      <c r="D210" s="278"/>
      <c r="E210" s="270"/>
      <c r="F210" s="279">
        <f t="shared" si="471"/>
        <v>0</v>
      </c>
      <c r="G210" s="304"/>
      <c r="H210" s="271"/>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72"/>
      <c r="AE210" s="272"/>
      <c r="AF210" s="273"/>
      <c r="AG210" s="274">
        <f t="shared" si="472"/>
        <v>0</v>
      </c>
      <c r="AH210" s="275">
        <f t="shared" si="473"/>
        <v>0</v>
      </c>
      <c r="AI210" s="276">
        <f t="shared" si="474"/>
        <v>0</v>
      </c>
      <c r="AJ210" s="276">
        <f t="shared" si="475"/>
        <v>0</v>
      </c>
      <c r="AK210" s="276">
        <f t="shared" si="476"/>
        <v>0</v>
      </c>
      <c r="AL210" s="276">
        <f t="shared" si="477"/>
        <v>0</v>
      </c>
      <c r="AM210" s="276" t="str">
        <f t="shared" si="478"/>
        <v/>
      </c>
      <c r="AN210" s="276" t="str">
        <f t="shared" si="479"/>
        <v/>
      </c>
      <c r="AO210" s="276" t="str">
        <f t="shared" si="480"/>
        <v/>
      </c>
      <c r="AP210" s="276" t="str">
        <f t="shared" si="481"/>
        <v/>
      </c>
      <c r="AQ210" s="276" t="str">
        <f t="shared" si="482"/>
        <v/>
      </c>
      <c r="AR210" s="276" t="str">
        <f t="shared" si="483"/>
        <v/>
      </c>
      <c r="AS210" s="276" t="str">
        <f t="shared" si="484"/>
        <v/>
      </c>
      <c r="AT210" s="276" t="str">
        <f t="shared" si="485"/>
        <v/>
      </c>
      <c r="AU210" s="276" t="str">
        <f t="shared" si="486"/>
        <v/>
      </c>
      <c r="AV210" s="276" t="str">
        <f t="shared" si="487"/>
        <v/>
      </c>
      <c r="AW210" s="276" t="str">
        <f t="shared" si="488"/>
        <v/>
      </c>
      <c r="AX210" s="276" t="str">
        <f t="shared" si="489"/>
        <v/>
      </c>
      <c r="AY210" s="276" t="str">
        <f t="shared" si="490"/>
        <v/>
      </c>
      <c r="AZ210" s="276" t="str">
        <f t="shared" si="491"/>
        <v/>
      </c>
      <c r="BA210" s="276" t="str">
        <f t="shared" si="492"/>
        <v/>
      </c>
      <c r="BB210" s="276" t="str">
        <f t="shared" si="493"/>
        <v/>
      </c>
      <c r="BC210" s="276" t="str">
        <f t="shared" si="494"/>
        <v/>
      </c>
      <c r="BD210" s="276" t="str">
        <f t="shared" si="495"/>
        <v/>
      </c>
      <c r="BE210" s="276" t="str">
        <f t="shared" si="496"/>
        <v/>
      </c>
      <c r="BF210" s="277" t="str">
        <f t="shared" si="497"/>
        <v/>
      </c>
      <c r="BG210" s="142">
        <f t="array" ref="BG210">(SUM( IF(ISERROR(AH210:BF210),"", AH210:BF210)))/time</f>
        <v>0</v>
      </c>
      <c r="BH210" s="142">
        <f t="shared" si="498"/>
        <v>0</v>
      </c>
      <c r="BI210" s="142">
        <v>8</v>
      </c>
      <c r="BJ210" s="143">
        <f t="shared" si="501"/>
        <v>0</v>
      </c>
      <c r="BL210" s="176" t="e">
        <f t="array" ref="BL210">STDEV(IF(AH210:BF210&lt;&gt;0,AH210:BF210))</f>
        <v>#DIV/0!</v>
      </c>
      <c r="BM210" s="176">
        <v>1.96</v>
      </c>
      <c r="BN210" s="176" t="e">
        <f t="shared" si="499"/>
        <v>#DIV/0!</v>
      </c>
      <c r="BO210" s="176">
        <f t="shared" si="500"/>
        <v>0</v>
      </c>
    </row>
    <row r="211" spans="1:68" hidden="1">
      <c r="A211" s="301" t="s">
        <v>228</v>
      </c>
      <c r="B211" s="305"/>
      <c r="C211" s="303"/>
      <c r="D211" s="278"/>
      <c r="E211" s="270"/>
      <c r="F211" s="279">
        <f t="shared" si="471"/>
        <v>0</v>
      </c>
      <c r="G211" s="304"/>
      <c r="H211" s="271"/>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72"/>
      <c r="AE211" s="272"/>
      <c r="AF211" s="273"/>
      <c r="AG211" s="274">
        <f t="shared" si="472"/>
        <v>0</v>
      </c>
      <c r="AH211" s="275">
        <f t="shared" si="473"/>
        <v>0</v>
      </c>
      <c r="AI211" s="276">
        <f t="shared" si="474"/>
        <v>0</v>
      </c>
      <c r="AJ211" s="276">
        <f t="shared" si="475"/>
        <v>0</v>
      </c>
      <c r="AK211" s="276">
        <f t="shared" si="476"/>
        <v>0</v>
      </c>
      <c r="AL211" s="276">
        <f t="shared" si="477"/>
        <v>0</v>
      </c>
      <c r="AM211" s="276" t="str">
        <f t="shared" si="478"/>
        <v/>
      </c>
      <c r="AN211" s="276" t="str">
        <f t="shared" si="479"/>
        <v/>
      </c>
      <c r="AO211" s="276" t="str">
        <f t="shared" si="480"/>
        <v/>
      </c>
      <c r="AP211" s="276" t="str">
        <f t="shared" si="481"/>
        <v/>
      </c>
      <c r="AQ211" s="276" t="str">
        <f t="shared" si="482"/>
        <v/>
      </c>
      <c r="AR211" s="276" t="str">
        <f t="shared" si="483"/>
        <v/>
      </c>
      <c r="AS211" s="276" t="str">
        <f t="shared" si="484"/>
        <v/>
      </c>
      <c r="AT211" s="276" t="str">
        <f t="shared" si="485"/>
        <v/>
      </c>
      <c r="AU211" s="276" t="str">
        <f t="shared" si="486"/>
        <v/>
      </c>
      <c r="AV211" s="276" t="str">
        <f t="shared" si="487"/>
        <v/>
      </c>
      <c r="AW211" s="276" t="str">
        <f t="shared" si="488"/>
        <v/>
      </c>
      <c r="AX211" s="276" t="str">
        <f t="shared" si="489"/>
        <v/>
      </c>
      <c r="AY211" s="276" t="str">
        <f t="shared" si="490"/>
        <v/>
      </c>
      <c r="AZ211" s="276" t="str">
        <f t="shared" si="491"/>
        <v/>
      </c>
      <c r="BA211" s="276" t="str">
        <f t="shared" si="492"/>
        <v/>
      </c>
      <c r="BB211" s="276" t="str">
        <f t="shared" si="493"/>
        <v/>
      </c>
      <c r="BC211" s="276" t="str">
        <f t="shared" si="494"/>
        <v/>
      </c>
      <c r="BD211" s="276" t="str">
        <f t="shared" si="495"/>
        <v/>
      </c>
      <c r="BE211" s="276" t="str">
        <f t="shared" si="496"/>
        <v/>
      </c>
      <c r="BF211" s="277" t="str">
        <f t="shared" si="497"/>
        <v/>
      </c>
      <c r="BG211" s="142">
        <f t="array" ref="BG211">(SUM( IF(ISERROR(AH211:BF211),"", AH211:BF211)))/time</f>
        <v>0</v>
      </c>
      <c r="BH211" s="142">
        <f t="shared" si="498"/>
        <v>0</v>
      </c>
      <c r="BI211" s="142">
        <v>9</v>
      </c>
      <c r="BJ211" s="143">
        <f t="shared" si="501"/>
        <v>0</v>
      </c>
      <c r="BL211" s="176" t="e">
        <f t="array" ref="BL211">STDEV(IF(AH211:BF211&lt;&gt;0,AH211:BF211))</f>
        <v>#DIV/0!</v>
      </c>
      <c r="BM211" s="176">
        <v>1.96</v>
      </c>
      <c r="BN211" s="176" t="e">
        <f t="shared" si="499"/>
        <v>#DIV/0!</v>
      </c>
      <c r="BO211" s="176">
        <f t="shared" si="500"/>
        <v>0</v>
      </c>
    </row>
    <row r="212" spans="1:68" hidden="1">
      <c r="A212" s="301" t="s">
        <v>229</v>
      </c>
      <c r="B212" s="305"/>
      <c r="C212" s="303"/>
      <c r="D212" s="278"/>
      <c r="E212" s="270"/>
      <c r="F212" s="279">
        <f t="shared" si="471"/>
        <v>0</v>
      </c>
      <c r="G212" s="304"/>
      <c r="H212" s="271"/>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72"/>
      <c r="AE212" s="272"/>
      <c r="AF212" s="273"/>
      <c r="AG212" s="274">
        <f t="shared" si="472"/>
        <v>0</v>
      </c>
      <c r="AH212" s="275">
        <f t="shared" si="473"/>
        <v>0</v>
      </c>
      <c r="AI212" s="276">
        <f t="shared" si="474"/>
        <v>0</v>
      </c>
      <c r="AJ212" s="276">
        <f t="shared" si="475"/>
        <v>0</v>
      </c>
      <c r="AK212" s="276">
        <f t="shared" si="476"/>
        <v>0</v>
      </c>
      <c r="AL212" s="276">
        <f t="shared" si="477"/>
        <v>0</v>
      </c>
      <c r="AM212" s="276" t="str">
        <f t="shared" si="478"/>
        <v/>
      </c>
      <c r="AN212" s="276" t="str">
        <f t="shared" si="479"/>
        <v/>
      </c>
      <c r="AO212" s="276" t="str">
        <f t="shared" si="480"/>
        <v/>
      </c>
      <c r="AP212" s="276" t="str">
        <f t="shared" si="481"/>
        <v/>
      </c>
      <c r="AQ212" s="276" t="str">
        <f t="shared" si="482"/>
        <v/>
      </c>
      <c r="AR212" s="276" t="str">
        <f t="shared" si="483"/>
        <v/>
      </c>
      <c r="AS212" s="276" t="str">
        <f t="shared" si="484"/>
        <v/>
      </c>
      <c r="AT212" s="276" t="str">
        <f t="shared" si="485"/>
        <v/>
      </c>
      <c r="AU212" s="276" t="str">
        <f t="shared" si="486"/>
        <v/>
      </c>
      <c r="AV212" s="276" t="str">
        <f t="shared" si="487"/>
        <v/>
      </c>
      <c r="AW212" s="276" t="str">
        <f t="shared" si="488"/>
        <v/>
      </c>
      <c r="AX212" s="276" t="str">
        <f t="shared" si="489"/>
        <v/>
      </c>
      <c r="AY212" s="276" t="str">
        <f t="shared" si="490"/>
        <v/>
      </c>
      <c r="AZ212" s="276" t="str">
        <f t="shared" si="491"/>
        <v/>
      </c>
      <c r="BA212" s="276" t="str">
        <f t="shared" si="492"/>
        <v/>
      </c>
      <c r="BB212" s="276" t="str">
        <f t="shared" si="493"/>
        <v/>
      </c>
      <c r="BC212" s="276" t="str">
        <f t="shared" si="494"/>
        <v/>
      </c>
      <c r="BD212" s="276" t="str">
        <f t="shared" si="495"/>
        <v/>
      </c>
      <c r="BE212" s="276" t="str">
        <f t="shared" si="496"/>
        <v/>
      </c>
      <c r="BF212" s="277" t="str">
        <f t="shared" si="497"/>
        <v/>
      </c>
      <c r="BG212" s="142">
        <f t="array" ref="BG212">(SUM( IF(ISERROR(AH212:BF212),"", AH212:BF212)))/time</f>
        <v>0</v>
      </c>
      <c r="BH212" s="142">
        <f t="shared" si="498"/>
        <v>0</v>
      </c>
      <c r="BI212" s="142">
        <v>10</v>
      </c>
      <c r="BJ212" s="143">
        <f t="shared" si="501"/>
        <v>0</v>
      </c>
      <c r="BL212" s="176" t="e">
        <f t="array" ref="BL212">STDEV(IF(AH212:BF212&lt;&gt;0,AH212:BF212))</f>
        <v>#DIV/0!</v>
      </c>
      <c r="BM212" s="176">
        <v>1.96</v>
      </c>
      <c r="BN212" s="176" t="e">
        <f t="shared" si="499"/>
        <v>#DIV/0!</v>
      </c>
      <c r="BO212" s="176">
        <f t="shared" si="500"/>
        <v>0</v>
      </c>
    </row>
    <row r="213" spans="1:68" s="196" customFormat="1" ht="21.65" customHeight="1">
      <c r="A213" s="293" t="s">
        <v>219</v>
      </c>
      <c r="F213" s="203"/>
      <c r="H213" s="202"/>
      <c r="AG213" s="288"/>
      <c r="AH213" s="202"/>
      <c r="BJ213" s="203"/>
    </row>
    <row r="214" spans="1:68">
      <c r="A214" s="848" t="s">
        <v>230</v>
      </c>
      <c r="B214" s="852"/>
      <c r="C214" s="851"/>
      <c r="D214" s="845"/>
      <c r="E214" s="847"/>
      <c r="F214" s="846">
        <f t="shared" si="471"/>
        <v>0</v>
      </c>
      <c r="G214" s="304"/>
      <c r="H214" s="842"/>
      <c r="I214" s="843"/>
      <c r="J214" s="843"/>
      <c r="K214" s="843"/>
      <c r="L214" s="843"/>
      <c r="M214" s="272"/>
      <c r="N214" s="272"/>
      <c r="O214" s="272"/>
      <c r="P214" s="272"/>
      <c r="Q214" s="272"/>
      <c r="R214" s="272"/>
      <c r="S214" s="272"/>
      <c r="T214" s="272"/>
      <c r="U214" s="272"/>
      <c r="V214" s="272"/>
      <c r="W214" s="272"/>
      <c r="X214" s="272"/>
      <c r="Y214" s="272"/>
      <c r="Z214" s="272"/>
      <c r="AA214" s="272"/>
      <c r="AB214" s="272"/>
      <c r="AC214" s="272"/>
      <c r="AD214" s="272"/>
      <c r="AE214" s="272"/>
      <c r="AF214" s="273"/>
      <c r="AG214" s="274">
        <f t="shared" si="472"/>
        <v>0</v>
      </c>
      <c r="AH214" s="275">
        <f t="shared" ref="AH214:AH223" si="502">IF(AH$225&lt;=time,H214*$F214,"")</f>
        <v>0</v>
      </c>
      <c r="AI214" s="276">
        <f t="shared" ref="AI214:AI223" si="503">IF(AI$225&lt;=time,I214*$F214,"")</f>
        <v>0</v>
      </c>
      <c r="AJ214" s="276">
        <f t="shared" ref="AJ214:AJ223" si="504">IF(AJ$225&lt;=time,J214*$F214,"")</f>
        <v>0</v>
      </c>
      <c r="AK214" s="276">
        <f t="shared" ref="AK214:AK223" si="505">IF(AK$225&lt;=time,K214*$F214,"")</f>
        <v>0</v>
      </c>
      <c r="AL214" s="276">
        <f t="shared" ref="AL214:AL223" si="506">IF(AL$225&lt;=time,L214*$F214,"")</f>
        <v>0</v>
      </c>
      <c r="AM214" s="276" t="str">
        <f t="shared" ref="AM214:AM223" si="507">IF(AM$225&lt;=time,M214*$F214,"")</f>
        <v/>
      </c>
      <c r="AN214" s="276" t="str">
        <f t="shared" ref="AN214:AN223" si="508">IF(AN$225&lt;=time,N214*$F214,"")</f>
        <v/>
      </c>
      <c r="AO214" s="276" t="str">
        <f t="shared" ref="AO214:AO223" si="509">IF(AO$225&lt;=time,O214*$F214,"")</f>
        <v/>
      </c>
      <c r="AP214" s="276" t="str">
        <f t="shared" ref="AP214:AP223" si="510">IF(AP$225&lt;=time,P214*$F214,"")</f>
        <v/>
      </c>
      <c r="AQ214" s="276" t="str">
        <f t="shared" ref="AQ214:AQ223" si="511">IF(AQ$225&lt;=time,Q214*$F214,"")</f>
        <v/>
      </c>
      <c r="AR214" s="276" t="str">
        <f t="shared" ref="AR214:AR223" si="512">IF(AR$225&lt;=time,R214*$F214,"")</f>
        <v/>
      </c>
      <c r="AS214" s="276" t="str">
        <f t="shared" ref="AS214:AS223" si="513">IF(AS$225&lt;=time,S214*$F214,"")</f>
        <v/>
      </c>
      <c r="AT214" s="276" t="str">
        <f t="shared" ref="AT214:AT223" si="514">IF(AT$225&lt;=time,T214*$F214,"")</f>
        <v/>
      </c>
      <c r="AU214" s="276" t="str">
        <f t="shared" ref="AU214:AU223" si="515">IF(AU$225&lt;=time,U214*$F214,"")</f>
        <v/>
      </c>
      <c r="AV214" s="276" t="str">
        <f t="shared" ref="AV214:AV223" si="516">IF(AV$225&lt;=time,V214*$F214,"")</f>
        <v/>
      </c>
      <c r="AW214" s="276" t="str">
        <f t="shared" ref="AW214:AW223" si="517">IF(AW$225&lt;=time,W214*$F214,"")</f>
        <v/>
      </c>
      <c r="AX214" s="276" t="str">
        <f t="shared" ref="AX214:AX223" si="518">IF(AX$225&lt;=time,X214*$F214,"")</f>
        <v/>
      </c>
      <c r="AY214" s="276" t="str">
        <f t="shared" ref="AY214:AY223" si="519">IF(AY$225&lt;=time,Y214*$F214,"")</f>
        <v/>
      </c>
      <c r="AZ214" s="276" t="str">
        <f t="shared" ref="AZ214:AZ223" si="520">IF(AZ$225&lt;=time,Z214*$F214,"")</f>
        <v/>
      </c>
      <c r="BA214" s="276" t="str">
        <f t="shared" ref="BA214:BA223" si="521">IF(BA$225&lt;=time,AA214*$F214,"")</f>
        <v/>
      </c>
      <c r="BB214" s="276" t="str">
        <f t="shared" ref="BB214:BB223" si="522">IF(BB$225&lt;=time,AB214*$F214,"")</f>
        <v/>
      </c>
      <c r="BC214" s="276" t="str">
        <f t="shared" ref="BC214:BC223" si="523">IF(BC$225&lt;=time,AC214*$F214,"")</f>
        <v/>
      </c>
      <c r="BD214" s="276" t="str">
        <f t="shared" ref="BD214:BD223" si="524">IF(BD$225&lt;=time,AD214*$F214,"")</f>
        <v/>
      </c>
      <c r="BE214" s="276" t="str">
        <f t="shared" ref="BE214:BE223" si="525">IF(BE$225&lt;=time,AE214*$F214,"")</f>
        <v/>
      </c>
      <c r="BF214" s="277" t="str">
        <f t="shared" ref="BF214:BF223" si="526">IF(BF$225&lt;=time,AF214*$F214,"")</f>
        <v/>
      </c>
      <c r="BG214" s="142">
        <f t="array" ref="BG214">(SUM( IF(ISERROR(AH214:BF214),"", AH214:BF214)))/time</f>
        <v>0</v>
      </c>
      <c r="BH214" s="142">
        <f t="shared" si="498"/>
        <v>0</v>
      </c>
      <c r="BI214" s="142">
        <v>1</v>
      </c>
      <c r="BJ214" s="143">
        <f>IF(BO214&gt;0,BG214+BN214,BG214)</f>
        <v>0</v>
      </c>
      <c r="BL214" s="176" t="e">
        <f t="array" ref="BL214">STDEV(IF(AH214:BF214&lt;&gt;0,AH214:BF214))</f>
        <v>#DIV/0!</v>
      </c>
      <c r="BM214" s="176">
        <v>1.96</v>
      </c>
      <c r="BN214" s="176" t="e">
        <f t="shared" ref="BN214:BN223" si="527">(BM214*BL214)/(time^0.5)</f>
        <v>#DIV/0!</v>
      </c>
      <c r="BO214" s="176">
        <f t="shared" si="500"/>
        <v>0</v>
      </c>
    </row>
    <row r="215" spans="1:68" hidden="1">
      <c r="A215" s="301" t="s">
        <v>231</v>
      </c>
      <c r="B215" s="305"/>
      <c r="C215" s="303"/>
      <c r="D215" s="278"/>
      <c r="E215" s="270"/>
      <c r="F215" s="279">
        <f t="shared" si="471"/>
        <v>0</v>
      </c>
      <c r="G215" s="304"/>
      <c r="H215" s="271"/>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272"/>
      <c r="AF215" s="273"/>
      <c r="AG215" s="274">
        <f t="shared" si="472"/>
        <v>0</v>
      </c>
      <c r="AH215" s="275">
        <f t="shared" si="502"/>
        <v>0</v>
      </c>
      <c r="AI215" s="276">
        <f t="shared" si="503"/>
        <v>0</v>
      </c>
      <c r="AJ215" s="276">
        <f t="shared" si="504"/>
        <v>0</v>
      </c>
      <c r="AK215" s="276">
        <f t="shared" si="505"/>
        <v>0</v>
      </c>
      <c r="AL215" s="276">
        <f t="shared" si="506"/>
        <v>0</v>
      </c>
      <c r="AM215" s="276" t="str">
        <f t="shared" si="507"/>
        <v/>
      </c>
      <c r="AN215" s="276" t="str">
        <f t="shared" si="508"/>
        <v/>
      </c>
      <c r="AO215" s="276" t="str">
        <f t="shared" si="509"/>
        <v/>
      </c>
      <c r="AP215" s="276" t="str">
        <f t="shared" si="510"/>
        <v/>
      </c>
      <c r="AQ215" s="276" t="str">
        <f t="shared" si="511"/>
        <v/>
      </c>
      <c r="AR215" s="276" t="str">
        <f t="shared" si="512"/>
        <v/>
      </c>
      <c r="AS215" s="276" t="str">
        <f t="shared" si="513"/>
        <v/>
      </c>
      <c r="AT215" s="276" t="str">
        <f t="shared" si="514"/>
        <v/>
      </c>
      <c r="AU215" s="276" t="str">
        <f t="shared" si="515"/>
        <v/>
      </c>
      <c r="AV215" s="276" t="str">
        <f t="shared" si="516"/>
        <v/>
      </c>
      <c r="AW215" s="276" t="str">
        <f t="shared" si="517"/>
        <v/>
      </c>
      <c r="AX215" s="276" t="str">
        <f t="shared" si="518"/>
        <v/>
      </c>
      <c r="AY215" s="276" t="str">
        <f t="shared" si="519"/>
        <v/>
      </c>
      <c r="AZ215" s="276" t="str">
        <f t="shared" si="520"/>
        <v/>
      </c>
      <c r="BA215" s="276" t="str">
        <f t="shared" si="521"/>
        <v/>
      </c>
      <c r="BB215" s="276" t="str">
        <f t="shared" si="522"/>
        <v/>
      </c>
      <c r="BC215" s="276" t="str">
        <f t="shared" si="523"/>
        <v/>
      </c>
      <c r="BD215" s="276" t="str">
        <f t="shared" si="524"/>
        <v/>
      </c>
      <c r="BE215" s="276" t="str">
        <f t="shared" si="525"/>
        <v/>
      </c>
      <c r="BF215" s="277" t="str">
        <f t="shared" si="526"/>
        <v/>
      </c>
      <c r="BG215" s="142">
        <f t="array" ref="BG215">(SUM( IF(ISERROR(AH215:BF215),"", AH215:BF215)))/time</f>
        <v>0</v>
      </c>
      <c r="BH215" s="142">
        <f t="shared" si="498"/>
        <v>0</v>
      </c>
      <c r="BI215" s="142">
        <v>2</v>
      </c>
      <c r="BJ215" s="143">
        <f t="shared" ref="BJ215:BJ223" si="528">IF(BO215&gt;0,BG215+BN215,BG215)</f>
        <v>0</v>
      </c>
      <c r="BL215" s="176" t="e">
        <f t="array" ref="BL215">STDEV(IF(AH215:BF215&lt;&gt;0,AH215:BF215))</f>
        <v>#DIV/0!</v>
      </c>
      <c r="BM215" s="176">
        <v>1.96</v>
      </c>
      <c r="BN215" s="176" t="e">
        <f t="shared" si="527"/>
        <v>#DIV/0!</v>
      </c>
      <c r="BO215" s="176">
        <f t="shared" si="500"/>
        <v>0</v>
      </c>
    </row>
    <row r="216" spans="1:68" hidden="1">
      <c r="A216" s="301" t="s">
        <v>232</v>
      </c>
      <c r="B216" s="305"/>
      <c r="C216" s="303"/>
      <c r="D216" s="278"/>
      <c r="E216" s="270"/>
      <c r="F216" s="279">
        <f t="shared" si="471"/>
        <v>0</v>
      </c>
      <c r="G216" s="304"/>
      <c r="H216" s="271"/>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272"/>
      <c r="AF216" s="273"/>
      <c r="AG216" s="274">
        <f t="shared" si="472"/>
        <v>0</v>
      </c>
      <c r="AH216" s="275">
        <f t="shared" si="502"/>
        <v>0</v>
      </c>
      <c r="AI216" s="276">
        <f t="shared" si="503"/>
        <v>0</v>
      </c>
      <c r="AJ216" s="276">
        <f t="shared" si="504"/>
        <v>0</v>
      </c>
      <c r="AK216" s="276">
        <f t="shared" si="505"/>
        <v>0</v>
      </c>
      <c r="AL216" s="276">
        <f t="shared" si="506"/>
        <v>0</v>
      </c>
      <c r="AM216" s="276" t="str">
        <f t="shared" si="507"/>
        <v/>
      </c>
      <c r="AN216" s="276" t="str">
        <f t="shared" si="508"/>
        <v/>
      </c>
      <c r="AO216" s="276" t="str">
        <f t="shared" si="509"/>
        <v/>
      </c>
      <c r="AP216" s="276" t="str">
        <f t="shared" si="510"/>
        <v/>
      </c>
      <c r="AQ216" s="276" t="str">
        <f t="shared" si="511"/>
        <v/>
      </c>
      <c r="AR216" s="276" t="str">
        <f t="shared" si="512"/>
        <v/>
      </c>
      <c r="AS216" s="276" t="str">
        <f t="shared" si="513"/>
        <v/>
      </c>
      <c r="AT216" s="276" t="str">
        <f t="shared" si="514"/>
        <v/>
      </c>
      <c r="AU216" s="276" t="str">
        <f t="shared" si="515"/>
        <v/>
      </c>
      <c r="AV216" s="276" t="str">
        <f t="shared" si="516"/>
        <v/>
      </c>
      <c r="AW216" s="276" t="str">
        <f t="shared" si="517"/>
        <v/>
      </c>
      <c r="AX216" s="276" t="str">
        <f t="shared" si="518"/>
        <v/>
      </c>
      <c r="AY216" s="276" t="str">
        <f t="shared" si="519"/>
        <v/>
      </c>
      <c r="AZ216" s="276" t="str">
        <f t="shared" si="520"/>
        <v/>
      </c>
      <c r="BA216" s="276" t="str">
        <f t="shared" si="521"/>
        <v/>
      </c>
      <c r="BB216" s="276" t="str">
        <f t="shared" si="522"/>
        <v/>
      </c>
      <c r="BC216" s="276" t="str">
        <f t="shared" si="523"/>
        <v/>
      </c>
      <c r="BD216" s="276" t="str">
        <f t="shared" si="524"/>
        <v/>
      </c>
      <c r="BE216" s="276" t="str">
        <f t="shared" si="525"/>
        <v/>
      </c>
      <c r="BF216" s="277" t="str">
        <f t="shared" si="526"/>
        <v/>
      </c>
      <c r="BG216" s="142">
        <f t="array" ref="BG216">(SUM( IF(ISERROR(AH216:BF216),"", AH216:BF216)))/time</f>
        <v>0</v>
      </c>
      <c r="BH216" s="142">
        <f t="shared" si="498"/>
        <v>0</v>
      </c>
      <c r="BI216" s="142">
        <v>3</v>
      </c>
      <c r="BJ216" s="143">
        <f t="shared" si="528"/>
        <v>0</v>
      </c>
      <c r="BL216" s="176" t="e">
        <f t="array" ref="BL216">STDEV(IF(AH216:BF216&lt;&gt;0,AH216:BF216))</f>
        <v>#DIV/0!</v>
      </c>
      <c r="BM216" s="176">
        <v>1.96</v>
      </c>
      <c r="BN216" s="176" t="e">
        <f t="shared" si="527"/>
        <v>#DIV/0!</v>
      </c>
      <c r="BO216" s="176">
        <f t="shared" si="500"/>
        <v>0</v>
      </c>
    </row>
    <row r="217" spans="1:68" hidden="1">
      <c r="A217" s="301" t="s">
        <v>233</v>
      </c>
      <c r="B217" s="305"/>
      <c r="C217" s="303"/>
      <c r="D217" s="278"/>
      <c r="E217" s="270"/>
      <c r="F217" s="279">
        <f t="shared" si="471"/>
        <v>0</v>
      </c>
      <c r="G217" s="304"/>
      <c r="H217" s="271"/>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272"/>
      <c r="AE217" s="272"/>
      <c r="AF217" s="273"/>
      <c r="AG217" s="274">
        <f t="shared" si="472"/>
        <v>0</v>
      </c>
      <c r="AH217" s="275">
        <f t="shared" si="502"/>
        <v>0</v>
      </c>
      <c r="AI217" s="276">
        <f t="shared" si="503"/>
        <v>0</v>
      </c>
      <c r="AJ217" s="276">
        <f t="shared" si="504"/>
        <v>0</v>
      </c>
      <c r="AK217" s="276">
        <f t="shared" si="505"/>
        <v>0</v>
      </c>
      <c r="AL217" s="276">
        <f t="shared" si="506"/>
        <v>0</v>
      </c>
      <c r="AM217" s="276" t="str">
        <f t="shared" si="507"/>
        <v/>
      </c>
      <c r="AN217" s="276" t="str">
        <f t="shared" si="508"/>
        <v/>
      </c>
      <c r="AO217" s="276" t="str">
        <f t="shared" si="509"/>
        <v/>
      </c>
      <c r="AP217" s="276" t="str">
        <f t="shared" si="510"/>
        <v/>
      </c>
      <c r="AQ217" s="276" t="str">
        <f t="shared" si="511"/>
        <v/>
      </c>
      <c r="AR217" s="276" t="str">
        <f t="shared" si="512"/>
        <v/>
      </c>
      <c r="AS217" s="276" t="str">
        <f t="shared" si="513"/>
        <v/>
      </c>
      <c r="AT217" s="276" t="str">
        <f t="shared" si="514"/>
        <v/>
      </c>
      <c r="AU217" s="276" t="str">
        <f t="shared" si="515"/>
        <v/>
      </c>
      <c r="AV217" s="276" t="str">
        <f t="shared" si="516"/>
        <v/>
      </c>
      <c r="AW217" s="276" t="str">
        <f t="shared" si="517"/>
        <v/>
      </c>
      <c r="AX217" s="276" t="str">
        <f t="shared" si="518"/>
        <v/>
      </c>
      <c r="AY217" s="276" t="str">
        <f t="shared" si="519"/>
        <v/>
      </c>
      <c r="AZ217" s="276" t="str">
        <f t="shared" si="520"/>
        <v/>
      </c>
      <c r="BA217" s="276" t="str">
        <f t="shared" si="521"/>
        <v/>
      </c>
      <c r="BB217" s="276" t="str">
        <f t="shared" si="522"/>
        <v/>
      </c>
      <c r="BC217" s="276" t="str">
        <f t="shared" si="523"/>
        <v/>
      </c>
      <c r="BD217" s="276" t="str">
        <f t="shared" si="524"/>
        <v/>
      </c>
      <c r="BE217" s="276" t="str">
        <f t="shared" si="525"/>
        <v/>
      </c>
      <c r="BF217" s="277" t="str">
        <f t="shared" si="526"/>
        <v/>
      </c>
      <c r="BG217" s="142">
        <f t="array" ref="BG217">(SUM( IF(ISERROR(AH217:BF217),"", AH217:BF217)))/time</f>
        <v>0</v>
      </c>
      <c r="BH217" s="142">
        <f t="shared" si="498"/>
        <v>0</v>
      </c>
      <c r="BI217" s="142">
        <v>4</v>
      </c>
      <c r="BJ217" s="143">
        <f t="shared" si="528"/>
        <v>0</v>
      </c>
      <c r="BL217" s="176" t="e">
        <f t="array" ref="BL217">STDEV(IF(AH217:BF217&lt;&gt;0,AH217:BF217))</f>
        <v>#DIV/0!</v>
      </c>
      <c r="BM217" s="176">
        <v>1.96</v>
      </c>
      <c r="BN217" s="176" t="e">
        <f t="shared" si="527"/>
        <v>#DIV/0!</v>
      </c>
      <c r="BO217" s="176">
        <f t="shared" si="500"/>
        <v>0</v>
      </c>
    </row>
    <row r="218" spans="1:68" hidden="1">
      <c r="A218" s="301" t="s">
        <v>234</v>
      </c>
      <c r="B218" s="305"/>
      <c r="C218" s="303"/>
      <c r="D218" s="278"/>
      <c r="E218" s="270"/>
      <c r="F218" s="279">
        <f t="shared" si="471"/>
        <v>0</v>
      </c>
      <c r="G218" s="304"/>
      <c r="H218" s="271"/>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72"/>
      <c r="AE218" s="272"/>
      <c r="AF218" s="273"/>
      <c r="AG218" s="274">
        <f t="shared" si="472"/>
        <v>0</v>
      </c>
      <c r="AH218" s="275">
        <f t="shared" si="502"/>
        <v>0</v>
      </c>
      <c r="AI218" s="276">
        <f t="shared" si="503"/>
        <v>0</v>
      </c>
      <c r="AJ218" s="276">
        <f t="shared" si="504"/>
        <v>0</v>
      </c>
      <c r="AK218" s="276">
        <f t="shared" si="505"/>
        <v>0</v>
      </c>
      <c r="AL218" s="276">
        <f t="shared" si="506"/>
        <v>0</v>
      </c>
      <c r="AM218" s="276" t="str">
        <f t="shared" si="507"/>
        <v/>
      </c>
      <c r="AN218" s="276" t="str">
        <f t="shared" si="508"/>
        <v/>
      </c>
      <c r="AO218" s="276" t="str">
        <f t="shared" si="509"/>
        <v/>
      </c>
      <c r="AP218" s="276" t="str">
        <f t="shared" si="510"/>
        <v/>
      </c>
      <c r="AQ218" s="276" t="str">
        <f t="shared" si="511"/>
        <v/>
      </c>
      <c r="AR218" s="276" t="str">
        <f t="shared" si="512"/>
        <v/>
      </c>
      <c r="AS218" s="276" t="str">
        <f t="shared" si="513"/>
        <v/>
      </c>
      <c r="AT218" s="276" t="str">
        <f t="shared" si="514"/>
        <v/>
      </c>
      <c r="AU218" s="276" t="str">
        <f t="shared" si="515"/>
        <v/>
      </c>
      <c r="AV218" s="276" t="str">
        <f t="shared" si="516"/>
        <v/>
      </c>
      <c r="AW218" s="276" t="str">
        <f t="shared" si="517"/>
        <v/>
      </c>
      <c r="AX218" s="276" t="str">
        <f t="shared" si="518"/>
        <v/>
      </c>
      <c r="AY218" s="276" t="str">
        <f t="shared" si="519"/>
        <v/>
      </c>
      <c r="AZ218" s="276" t="str">
        <f t="shared" si="520"/>
        <v/>
      </c>
      <c r="BA218" s="276" t="str">
        <f t="shared" si="521"/>
        <v/>
      </c>
      <c r="BB218" s="276" t="str">
        <f t="shared" si="522"/>
        <v/>
      </c>
      <c r="BC218" s="276" t="str">
        <f t="shared" si="523"/>
        <v/>
      </c>
      <c r="BD218" s="276" t="str">
        <f t="shared" si="524"/>
        <v/>
      </c>
      <c r="BE218" s="276" t="str">
        <f t="shared" si="525"/>
        <v/>
      </c>
      <c r="BF218" s="277" t="str">
        <f t="shared" si="526"/>
        <v/>
      </c>
      <c r="BG218" s="142">
        <f t="array" ref="BG218">(SUM( IF(ISERROR(AH218:BF218),"", AH218:BF218)))/time</f>
        <v>0</v>
      </c>
      <c r="BH218" s="142">
        <f t="shared" si="498"/>
        <v>0</v>
      </c>
      <c r="BI218" s="142">
        <v>5</v>
      </c>
      <c r="BJ218" s="143">
        <f t="shared" si="528"/>
        <v>0</v>
      </c>
      <c r="BL218" s="176" t="e">
        <f t="array" ref="BL218">STDEV(IF(AH218:BF218&lt;&gt;0,AH218:BF218))</f>
        <v>#DIV/0!</v>
      </c>
      <c r="BM218" s="176">
        <v>1.96</v>
      </c>
      <c r="BN218" s="176" t="e">
        <f t="shared" si="527"/>
        <v>#DIV/0!</v>
      </c>
      <c r="BO218" s="176">
        <f t="shared" si="500"/>
        <v>0</v>
      </c>
    </row>
    <row r="219" spans="1:68" hidden="1">
      <c r="A219" s="301" t="s">
        <v>235</v>
      </c>
      <c r="B219" s="305"/>
      <c r="C219" s="303"/>
      <c r="D219" s="278"/>
      <c r="E219" s="270"/>
      <c r="F219" s="279">
        <f t="shared" si="471"/>
        <v>0</v>
      </c>
      <c r="G219" s="304"/>
      <c r="H219" s="271"/>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72"/>
      <c r="AE219" s="272"/>
      <c r="AF219" s="273"/>
      <c r="AG219" s="274">
        <f t="shared" si="472"/>
        <v>0</v>
      </c>
      <c r="AH219" s="275">
        <f t="shared" si="502"/>
        <v>0</v>
      </c>
      <c r="AI219" s="276">
        <f t="shared" si="503"/>
        <v>0</v>
      </c>
      <c r="AJ219" s="276">
        <f t="shared" si="504"/>
        <v>0</v>
      </c>
      <c r="AK219" s="276">
        <f t="shared" si="505"/>
        <v>0</v>
      </c>
      <c r="AL219" s="276">
        <f t="shared" si="506"/>
        <v>0</v>
      </c>
      <c r="AM219" s="276" t="str">
        <f t="shared" si="507"/>
        <v/>
      </c>
      <c r="AN219" s="276" t="str">
        <f t="shared" si="508"/>
        <v/>
      </c>
      <c r="AO219" s="276" t="str">
        <f t="shared" si="509"/>
        <v/>
      </c>
      <c r="AP219" s="276" t="str">
        <f t="shared" si="510"/>
        <v/>
      </c>
      <c r="AQ219" s="276" t="str">
        <f t="shared" si="511"/>
        <v/>
      </c>
      <c r="AR219" s="276" t="str">
        <f t="shared" si="512"/>
        <v/>
      </c>
      <c r="AS219" s="276" t="str">
        <f t="shared" si="513"/>
        <v/>
      </c>
      <c r="AT219" s="276" t="str">
        <f t="shared" si="514"/>
        <v/>
      </c>
      <c r="AU219" s="276" t="str">
        <f t="shared" si="515"/>
        <v/>
      </c>
      <c r="AV219" s="276" t="str">
        <f t="shared" si="516"/>
        <v/>
      </c>
      <c r="AW219" s="276" t="str">
        <f t="shared" si="517"/>
        <v/>
      </c>
      <c r="AX219" s="276" t="str">
        <f t="shared" si="518"/>
        <v/>
      </c>
      <c r="AY219" s="276" t="str">
        <f t="shared" si="519"/>
        <v/>
      </c>
      <c r="AZ219" s="276" t="str">
        <f t="shared" si="520"/>
        <v/>
      </c>
      <c r="BA219" s="276" t="str">
        <f t="shared" si="521"/>
        <v/>
      </c>
      <c r="BB219" s="276" t="str">
        <f t="shared" si="522"/>
        <v/>
      </c>
      <c r="BC219" s="276" t="str">
        <f t="shared" si="523"/>
        <v/>
      </c>
      <c r="BD219" s="276" t="str">
        <f t="shared" si="524"/>
        <v/>
      </c>
      <c r="BE219" s="276" t="str">
        <f t="shared" si="525"/>
        <v/>
      </c>
      <c r="BF219" s="277" t="str">
        <f t="shared" si="526"/>
        <v/>
      </c>
      <c r="BG219" s="142">
        <f t="array" ref="BG219">(SUM( IF(ISERROR(AH219:BF219),"", AH219:BF219)))/time</f>
        <v>0</v>
      </c>
      <c r="BH219" s="142">
        <f t="shared" si="498"/>
        <v>0</v>
      </c>
      <c r="BI219" s="142">
        <v>6</v>
      </c>
      <c r="BJ219" s="143">
        <f t="shared" si="528"/>
        <v>0</v>
      </c>
      <c r="BL219" s="176" t="e">
        <f t="array" ref="BL219">STDEV(IF(AH219:BF219&lt;&gt;0,AH219:BF219))</f>
        <v>#DIV/0!</v>
      </c>
      <c r="BM219" s="176">
        <v>1.96</v>
      </c>
      <c r="BN219" s="176" t="e">
        <f t="shared" si="527"/>
        <v>#DIV/0!</v>
      </c>
      <c r="BO219" s="176">
        <f t="shared" si="500"/>
        <v>0</v>
      </c>
    </row>
    <row r="220" spans="1:68" hidden="1">
      <c r="A220" s="301" t="s">
        <v>236</v>
      </c>
      <c r="B220" s="305"/>
      <c r="C220" s="303"/>
      <c r="D220" s="278"/>
      <c r="E220" s="270"/>
      <c r="F220" s="279">
        <f t="shared" si="471"/>
        <v>0</v>
      </c>
      <c r="G220" s="304"/>
      <c r="H220" s="271"/>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s="273"/>
      <c r="AG220" s="274">
        <f t="shared" si="472"/>
        <v>0</v>
      </c>
      <c r="AH220" s="275">
        <f t="shared" si="502"/>
        <v>0</v>
      </c>
      <c r="AI220" s="276">
        <f t="shared" si="503"/>
        <v>0</v>
      </c>
      <c r="AJ220" s="276">
        <f t="shared" si="504"/>
        <v>0</v>
      </c>
      <c r="AK220" s="276">
        <f t="shared" si="505"/>
        <v>0</v>
      </c>
      <c r="AL220" s="276">
        <f t="shared" si="506"/>
        <v>0</v>
      </c>
      <c r="AM220" s="276" t="str">
        <f t="shared" si="507"/>
        <v/>
      </c>
      <c r="AN220" s="276" t="str">
        <f t="shared" si="508"/>
        <v/>
      </c>
      <c r="AO220" s="276" t="str">
        <f t="shared" si="509"/>
        <v/>
      </c>
      <c r="AP220" s="276" t="str">
        <f t="shared" si="510"/>
        <v/>
      </c>
      <c r="AQ220" s="276" t="str">
        <f t="shared" si="511"/>
        <v/>
      </c>
      <c r="AR220" s="276" t="str">
        <f t="shared" si="512"/>
        <v/>
      </c>
      <c r="AS220" s="276" t="str">
        <f t="shared" si="513"/>
        <v/>
      </c>
      <c r="AT220" s="276" t="str">
        <f t="shared" si="514"/>
        <v/>
      </c>
      <c r="AU220" s="276" t="str">
        <f t="shared" si="515"/>
        <v/>
      </c>
      <c r="AV220" s="276" t="str">
        <f t="shared" si="516"/>
        <v/>
      </c>
      <c r="AW220" s="276" t="str">
        <f t="shared" si="517"/>
        <v/>
      </c>
      <c r="AX220" s="276" t="str">
        <f t="shared" si="518"/>
        <v/>
      </c>
      <c r="AY220" s="276" t="str">
        <f t="shared" si="519"/>
        <v/>
      </c>
      <c r="AZ220" s="276" t="str">
        <f t="shared" si="520"/>
        <v/>
      </c>
      <c r="BA220" s="276" t="str">
        <f t="shared" si="521"/>
        <v/>
      </c>
      <c r="BB220" s="276" t="str">
        <f t="shared" si="522"/>
        <v/>
      </c>
      <c r="BC220" s="276" t="str">
        <f t="shared" si="523"/>
        <v/>
      </c>
      <c r="BD220" s="276" t="str">
        <f t="shared" si="524"/>
        <v/>
      </c>
      <c r="BE220" s="276" t="str">
        <f t="shared" si="525"/>
        <v/>
      </c>
      <c r="BF220" s="277" t="str">
        <f t="shared" si="526"/>
        <v/>
      </c>
      <c r="BG220" s="142">
        <f t="array" ref="BG220">(SUM( IF(ISERROR(AH220:BF220),"", AH220:BF220)))/time</f>
        <v>0</v>
      </c>
      <c r="BH220" s="142">
        <f t="shared" si="498"/>
        <v>0</v>
      </c>
      <c r="BI220" s="142">
        <v>7</v>
      </c>
      <c r="BJ220" s="143">
        <f t="shared" si="528"/>
        <v>0</v>
      </c>
      <c r="BL220" s="176" t="e">
        <f t="array" ref="BL220">STDEV(IF(AH220:BF220&lt;&gt;0,AH220:BF220))</f>
        <v>#DIV/0!</v>
      </c>
      <c r="BM220" s="176">
        <v>1.96</v>
      </c>
      <c r="BN220" s="176" t="e">
        <f t="shared" si="527"/>
        <v>#DIV/0!</v>
      </c>
      <c r="BO220" s="176">
        <f t="shared" si="500"/>
        <v>0</v>
      </c>
    </row>
    <row r="221" spans="1:68" hidden="1">
      <c r="A221" s="301" t="s">
        <v>237</v>
      </c>
      <c r="B221" s="305"/>
      <c r="C221" s="303"/>
      <c r="D221" s="278"/>
      <c r="E221" s="270"/>
      <c r="F221" s="279">
        <f t="shared" si="471"/>
        <v>0</v>
      </c>
      <c r="G221" s="304"/>
      <c r="H221" s="271"/>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72"/>
      <c r="AE221" s="272"/>
      <c r="AF221" s="273"/>
      <c r="AG221" s="274">
        <f t="shared" si="472"/>
        <v>0</v>
      </c>
      <c r="AH221" s="275">
        <f t="shared" si="502"/>
        <v>0</v>
      </c>
      <c r="AI221" s="276">
        <f t="shared" si="503"/>
        <v>0</v>
      </c>
      <c r="AJ221" s="276">
        <f t="shared" si="504"/>
        <v>0</v>
      </c>
      <c r="AK221" s="276">
        <f t="shared" si="505"/>
        <v>0</v>
      </c>
      <c r="AL221" s="276">
        <f t="shared" si="506"/>
        <v>0</v>
      </c>
      <c r="AM221" s="276" t="str">
        <f t="shared" si="507"/>
        <v/>
      </c>
      <c r="AN221" s="276" t="str">
        <f t="shared" si="508"/>
        <v/>
      </c>
      <c r="AO221" s="276" t="str">
        <f t="shared" si="509"/>
        <v/>
      </c>
      <c r="AP221" s="276" t="str">
        <f t="shared" si="510"/>
        <v/>
      </c>
      <c r="AQ221" s="276" t="str">
        <f t="shared" si="511"/>
        <v/>
      </c>
      <c r="AR221" s="276" t="str">
        <f t="shared" si="512"/>
        <v/>
      </c>
      <c r="AS221" s="276" t="str">
        <f t="shared" si="513"/>
        <v/>
      </c>
      <c r="AT221" s="276" t="str">
        <f t="shared" si="514"/>
        <v/>
      </c>
      <c r="AU221" s="276" t="str">
        <f t="shared" si="515"/>
        <v/>
      </c>
      <c r="AV221" s="276" t="str">
        <f t="shared" si="516"/>
        <v/>
      </c>
      <c r="AW221" s="276" t="str">
        <f t="shared" si="517"/>
        <v/>
      </c>
      <c r="AX221" s="276" t="str">
        <f t="shared" si="518"/>
        <v/>
      </c>
      <c r="AY221" s="276" t="str">
        <f t="shared" si="519"/>
        <v/>
      </c>
      <c r="AZ221" s="276" t="str">
        <f t="shared" si="520"/>
        <v/>
      </c>
      <c r="BA221" s="276" t="str">
        <f t="shared" si="521"/>
        <v/>
      </c>
      <c r="BB221" s="276" t="str">
        <f t="shared" si="522"/>
        <v/>
      </c>
      <c r="BC221" s="276" t="str">
        <f t="shared" si="523"/>
        <v/>
      </c>
      <c r="BD221" s="276" t="str">
        <f t="shared" si="524"/>
        <v/>
      </c>
      <c r="BE221" s="276" t="str">
        <f t="shared" si="525"/>
        <v/>
      </c>
      <c r="BF221" s="277" t="str">
        <f t="shared" si="526"/>
        <v/>
      </c>
      <c r="BG221" s="142">
        <f t="array" ref="BG221">(SUM( IF(ISERROR(AH221:BF221),"", AH221:BF221)))/time</f>
        <v>0</v>
      </c>
      <c r="BH221" s="142">
        <f t="shared" si="498"/>
        <v>0</v>
      </c>
      <c r="BI221" s="142">
        <v>8</v>
      </c>
      <c r="BJ221" s="143">
        <f t="shared" si="528"/>
        <v>0</v>
      </c>
      <c r="BL221" s="176" t="e">
        <f t="array" ref="BL221">STDEV(IF(AH221:BF221&lt;&gt;0,AH221:BF221))</f>
        <v>#DIV/0!</v>
      </c>
      <c r="BM221" s="176">
        <v>1.96</v>
      </c>
      <c r="BN221" s="176" t="e">
        <f t="shared" si="527"/>
        <v>#DIV/0!</v>
      </c>
      <c r="BO221" s="176">
        <f t="shared" si="500"/>
        <v>0</v>
      </c>
    </row>
    <row r="222" spans="1:68" hidden="1">
      <c r="A222" s="301" t="s">
        <v>238</v>
      </c>
      <c r="B222" s="305"/>
      <c r="C222" s="303"/>
      <c r="D222" s="278"/>
      <c r="E222" s="270"/>
      <c r="F222" s="279">
        <f t="shared" si="471"/>
        <v>0</v>
      </c>
      <c r="G222" s="304"/>
      <c r="H222" s="271"/>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s="273"/>
      <c r="AG222" s="274">
        <f t="shared" si="472"/>
        <v>0</v>
      </c>
      <c r="AH222" s="275">
        <f t="shared" si="502"/>
        <v>0</v>
      </c>
      <c r="AI222" s="276">
        <f t="shared" si="503"/>
        <v>0</v>
      </c>
      <c r="AJ222" s="276">
        <f t="shared" si="504"/>
        <v>0</v>
      </c>
      <c r="AK222" s="276">
        <f t="shared" si="505"/>
        <v>0</v>
      </c>
      <c r="AL222" s="276">
        <f t="shared" si="506"/>
        <v>0</v>
      </c>
      <c r="AM222" s="276" t="str">
        <f t="shared" si="507"/>
        <v/>
      </c>
      <c r="AN222" s="276" t="str">
        <f t="shared" si="508"/>
        <v/>
      </c>
      <c r="AO222" s="276" t="str">
        <f t="shared" si="509"/>
        <v/>
      </c>
      <c r="AP222" s="276" t="str">
        <f t="shared" si="510"/>
        <v/>
      </c>
      <c r="AQ222" s="276" t="str">
        <f t="shared" si="511"/>
        <v/>
      </c>
      <c r="AR222" s="276" t="str">
        <f t="shared" si="512"/>
        <v/>
      </c>
      <c r="AS222" s="276" t="str">
        <f t="shared" si="513"/>
        <v/>
      </c>
      <c r="AT222" s="276" t="str">
        <f t="shared" si="514"/>
        <v/>
      </c>
      <c r="AU222" s="276" t="str">
        <f t="shared" si="515"/>
        <v/>
      </c>
      <c r="AV222" s="276" t="str">
        <f t="shared" si="516"/>
        <v/>
      </c>
      <c r="AW222" s="276" t="str">
        <f t="shared" si="517"/>
        <v/>
      </c>
      <c r="AX222" s="276" t="str">
        <f t="shared" si="518"/>
        <v/>
      </c>
      <c r="AY222" s="276" t="str">
        <f t="shared" si="519"/>
        <v/>
      </c>
      <c r="AZ222" s="276" t="str">
        <f t="shared" si="520"/>
        <v/>
      </c>
      <c r="BA222" s="276" t="str">
        <f t="shared" si="521"/>
        <v/>
      </c>
      <c r="BB222" s="276" t="str">
        <f t="shared" si="522"/>
        <v/>
      </c>
      <c r="BC222" s="276" t="str">
        <f t="shared" si="523"/>
        <v/>
      </c>
      <c r="BD222" s="276" t="str">
        <f t="shared" si="524"/>
        <v/>
      </c>
      <c r="BE222" s="276" t="str">
        <f t="shared" si="525"/>
        <v/>
      </c>
      <c r="BF222" s="277" t="str">
        <f t="shared" si="526"/>
        <v/>
      </c>
      <c r="BG222" s="142">
        <f t="array" ref="BG222">(SUM( IF(ISERROR(AH222:BF222),"", AH222:BF222)))/time</f>
        <v>0</v>
      </c>
      <c r="BH222" s="142">
        <f t="shared" si="498"/>
        <v>0</v>
      </c>
      <c r="BI222" s="142">
        <v>9</v>
      </c>
      <c r="BJ222" s="143">
        <f t="shared" si="528"/>
        <v>0</v>
      </c>
      <c r="BL222" s="176" t="e">
        <f t="array" ref="BL222">STDEV(IF(AH222:BF222&lt;&gt;0,AH222:BF222))</f>
        <v>#DIV/0!</v>
      </c>
      <c r="BM222" s="176">
        <v>1.96</v>
      </c>
      <c r="BN222" s="176" t="e">
        <f t="shared" si="527"/>
        <v>#DIV/0!</v>
      </c>
      <c r="BO222" s="176">
        <f t="shared" si="500"/>
        <v>0</v>
      </c>
    </row>
    <row r="223" spans="1:68" hidden="1">
      <c r="A223" s="301" t="s">
        <v>239</v>
      </c>
      <c r="B223" s="305"/>
      <c r="C223" s="303"/>
      <c r="D223" s="278"/>
      <c r="E223" s="270"/>
      <c r="F223" s="279">
        <f t="shared" si="471"/>
        <v>0</v>
      </c>
      <c r="G223" s="304"/>
      <c r="H223" s="271"/>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s="273"/>
      <c r="AG223" s="274">
        <f t="shared" si="472"/>
        <v>0</v>
      </c>
      <c r="AH223" s="275">
        <f t="shared" si="502"/>
        <v>0</v>
      </c>
      <c r="AI223" s="276">
        <f t="shared" si="503"/>
        <v>0</v>
      </c>
      <c r="AJ223" s="276">
        <f t="shared" si="504"/>
        <v>0</v>
      </c>
      <c r="AK223" s="276">
        <f t="shared" si="505"/>
        <v>0</v>
      </c>
      <c r="AL223" s="276">
        <f t="shared" si="506"/>
        <v>0</v>
      </c>
      <c r="AM223" s="276" t="str">
        <f t="shared" si="507"/>
        <v/>
      </c>
      <c r="AN223" s="276" t="str">
        <f t="shared" si="508"/>
        <v/>
      </c>
      <c r="AO223" s="276" t="str">
        <f t="shared" si="509"/>
        <v/>
      </c>
      <c r="AP223" s="276" t="str">
        <f t="shared" si="510"/>
        <v/>
      </c>
      <c r="AQ223" s="276" t="str">
        <f t="shared" si="511"/>
        <v/>
      </c>
      <c r="AR223" s="276" t="str">
        <f t="shared" si="512"/>
        <v/>
      </c>
      <c r="AS223" s="276" t="str">
        <f t="shared" si="513"/>
        <v/>
      </c>
      <c r="AT223" s="276" t="str">
        <f t="shared" si="514"/>
        <v/>
      </c>
      <c r="AU223" s="276" t="str">
        <f t="shared" si="515"/>
        <v/>
      </c>
      <c r="AV223" s="276" t="str">
        <f t="shared" si="516"/>
        <v/>
      </c>
      <c r="AW223" s="276" t="str">
        <f t="shared" si="517"/>
        <v/>
      </c>
      <c r="AX223" s="276" t="str">
        <f t="shared" si="518"/>
        <v/>
      </c>
      <c r="AY223" s="276" t="str">
        <f t="shared" si="519"/>
        <v/>
      </c>
      <c r="AZ223" s="276" t="str">
        <f t="shared" si="520"/>
        <v/>
      </c>
      <c r="BA223" s="276" t="str">
        <f t="shared" si="521"/>
        <v/>
      </c>
      <c r="BB223" s="276" t="str">
        <f t="shared" si="522"/>
        <v/>
      </c>
      <c r="BC223" s="276" t="str">
        <f t="shared" si="523"/>
        <v/>
      </c>
      <c r="BD223" s="276" t="str">
        <f t="shared" si="524"/>
        <v/>
      </c>
      <c r="BE223" s="276" t="str">
        <f t="shared" si="525"/>
        <v/>
      </c>
      <c r="BF223" s="277" t="str">
        <f t="shared" si="526"/>
        <v/>
      </c>
      <c r="BG223" s="142">
        <f t="array" ref="BG223">(SUM( IF(ISERROR(AH223:BF223),"", AH223:BF223)))/time</f>
        <v>0</v>
      </c>
      <c r="BH223" s="142">
        <f t="shared" si="498"/>
        <v>0</v>
      </c>
      <c r="BI223" s="142">
        <v>10</v>
      </c>
      <c r="BJ223" s="143">
        <f t="shared" si="528"/>
        <v>0</v>
      </c>
      <c r="BL223" s="176" t="e">
        <f t="array" ref="BL223">STDEV(IF(AH223:BF223&lt;&gt;0,AH223:BF223))</f>
        <v>#DIV/0!</v>
      </c>
      <c r="BM223" s="176">
        <v>1.96</v>
      </c>
      <c r="BN223" s="176" t="e">
        <f t="shared" si="527"/>
        <v>#DIV/0!</v>
      </c>
      <c r="BO223" s="176">
        <f t="shared" si="500"/>
        <v>0</v>
      </c>
    </row>
    <row r="224" spans="1:68" ht="18.5" thickBot="1">
      <c r="A224" s="824" t="s">
        <v>11</v>
      </c>
      <c r="B224" s="825"/>
      <c r="C224" s="826"/>
      <c r="D224" s="827"/>
      <c r="E224" s="828"/>
      <c r="F224" s="829"/>
      <c r="G224" s="304"/>
      <c r="H224" s="830"/>
      <c r="I224" s="831"/>
      <c r="J224" s="831"/>
      <c r="K224" s="831"/>
      <c r="L224" s="831"/>
      <c r="M224" s="831"/>
      <c r="N224" s="831"/>
      <c r="O224" s="831"/>
      <c r="P224" s="831"/>
      <c r="Q224" s="831"/>
      <c r="R224" s="831"/>
      <c r="S224" s="831"/>
      <c r="T224" s="831"/>
      <c r="U224" s="831"/>
      <c r="V224" s="831"/>
      <c r="W224" s="831"/>
      <c r="X224" s="831"/>
      <c r="Y224" s="831"/>
      <c r="Z224" s="831"/>
      <c r="AA224" s="831"/>
      <c r="AB224" s="831"/>
      <c r="AC224" s="831"/>
      <c r="AD224" s="831"/>
      <c r="AE224" s="831"/>
      <c r="AF224" s="832"/>
      <c r="AG224" s="833"/>
      <c r="AH224" s="834">
        <f t="shared" ref="AH224:BH224" si="529">IF(AH$225&lt;=time,SUM(AH8:AH223),"")</f>
        <v>284.73002251534706</v>
      </c>
      <c r="AI224" s="835">
        <f t="shared" si="529"/>
        <v>0</v>
      </c>
      <c r="AJ224" s="835">
        <f t="shared" si="529"/>
        <v>0</v>
      </c>
      <c r="AK224" s="835">
        <f t="shared" si="529"/>
        <v>0</v>
      </c>
      <c r="AL224" s="835">
        <f t="shared" si="529"/>
        <v>0</v>
      </c>
      <c r="AM224" s="835" t="str">
        <f t="shared" si="529"/>
        <v/>
      </c>
      <c r="AN224" s="835" t="str">
        <f t="shared" si="529"/>
        <v/>
      </c>
      <c r="AO224" s="835" t="str">
        <f t="shared" si="529"/>
        <v/>
      </c>
      <c r="AP224" s="835" t="str">
        <f t="shared" si="529"/>
        <v/>
      </c>
      <c r="AQ224" s="835" t="str">
        <f t="shared" si="529"/>
        <v/>
      </c>
      <c r="AR224" s="835" t="str">
        <f t="shared" si="529"/>
        <v/>
      </c>
      <c r="AS224" s="835" t="str">
        <f t="shared" si="529"/>
        <v/>
      </c>
      <c r="AT224" s="835" t="str">
        <f t="shared" si="529"/>
        <v/>
      </c>
      <c r="AU224" s="835" t="str">
        <f t="shared" si="529"/>
        <v/>
      </c>
      <c r="AV224" s="835" t="str">
        <f t="shared" si="529"/>
        <v/>
      </c>
      <c r="AW224" s="835" t="str">
        <f t="shared" si="529"/>
        <v/>
      </c>
      <c r="AX224" s="835" t="str">
        <f t="shared" si="529"/>
        <v/>
      </c>
      <c r="AY224" s="835" t="str">
        <f t="shared" si="529"/>
        <v/>
      </c>
      <c r="AZ224" s="835" t="str">
        <f t="shared" si="529"/>
        <v/>
      </c>
      <c r="BA224" s="835" t="str">
        <f t="shared" si="529"/>
        <v/>
      </c>
      <c r="BB224" s="835" t="str">
        <f t="shared" si="529"/>
        <v/>
      </c>
      <c r="BC224" s="835" t="str">
        <f t="shared" si="529"/>
        <v/>
      </c>
      <c r="BD224" s="835" t="str">
        <f t="shared" si="529"/>
        <v/>
      </c>
      <c r="BE224" s="835" t="str">
        <f t="shared" si="529"/>
        <v/>
      </c>
      <c r="BF224" s="836" t="str">
        <f t="shared" si="529"/>
        <v/>
      </c>
      <c r="BG224" s="836">
        <f>IF(BG$225&lt;=time,SUM(BG8:BG223),"")</f>
        <v>56.946004503069418</v>
      </c>
      <c r="BH224" s="836">
        <f t="shared" si="529"/>
        <v>56.946004503069418</v>
      </c>
      <c r="BI224" s="836"/>
      <c r="BJ224" s="837">
        <f>IF(BJ$225&lt;=time,SUM(BJ8:BJ223),"")</f>
        <v>56.946004503069418</v>
      </c>
      <c r="BK224" s="306"/>
      <c r="BL224" s="306"/>
      <c r="BM224" s="306"/>
      <c r="BN224" s="306"/>
      <c r="BO224" s="306"/>
      <c r="BP224" s="306"/>
    </row>
    <row r="225" spans="1:59" ht="18" hidden="1">
      <c r="A225" s="307"/>
      <c r="B225" s="113"/>
      <c r="C225" s="113"/>
      <c r="D225" s="113"/>
      <c r="E225" s="113"/>
      <c r="F225" s="113"/>
      <c r="G225" s="113"/>
      <c r="H225" s="308">
        <v>1</v>
      </c>
      <c r="I225" s="308">
        <v>2</v>
      </c>
      <c r="J225" s="308">
        <v>3</v>
      </c>
      <c r="K225" s="308">
        <v>4</v>
      </c>
      <c r="L225" s="308">
        <v>5</v>
      </c>
      <c r="M225" s="308">
        <v>6</v>
      </c>
      <c r="N225" s="308">
        <v>7</v>
      </c>
      <c r="O225" s="308">
        <v>8</v>
      </c>
      <c r="P225" s="308">
        <v>9</v>
      </c>
      <c r="Q225" s="308">
        <v>10</v>
      </c>
      <c r="R225" s="308">
        <v>11</v>
      </c>
      <c r="S225" s="308">
        <v>12</v>
      </c>
      <c r="T225" s="308">
        <v>13</v>
      </c>
      <c r="U225" s="308">
        <v>14</v>
      </c>
      <c r="V225" s="308">
        <v>15</v>
      </c>
      <c r="W225" s="308">
        <v>16</v>
      </c>
      <c r="X225" s="308">
        <v>17</v>
      </c>
      <c r="Y225" s="308">
        <v>18</v>
      </c>
      <c r="Z225" s="308">
        <v>19</v>
      </c>
      <c r="AA225" s="308">
        <v>20</v>
      </c>
      <c r="AB225" s="308">
        <v>21</v>
      </c>
      <c r="AC225" s="308">
        <v>22</v>
      </c>
      <c r="AD225" s="308">
        <v>23</v>
      </c>
      <c r="AE225" s="308">
        <v>24</v>
      </c>
      <c r="AF225" s="308">
        <v>25</v>
      </c>
      <c r="AH225" s="308">
        <v>1</v>
      </c>
      <c r="AI225" s="308">
        <v>2</v>
      </c>
      <c r="AJ225" s="308">
        <v>3</v>
      </c>
      <c r="AK225" s="308">
        <v>4</v>
      </c>
      <c r="AL225" s="308">
        <v>5</v>
      </c>
      <c r="AM225" s="308">
        <v>6</v>
      </c>
      <c r="AN225" s="308">
        <v>7</v>
      </c>
      <c r="AO225" s="308">
        <v>8</v>
      </c>
      <c r="AP225" s="308">
        <v>9</v>
      </c>
      <c r="AQ225" s="308">
        <v>10</v>
      </c>
      <c r="AR225" s="308">
        <v>11</v>
      </c>
      <c r="AS225" s="308">
        <v>12</v>
      </c>
      <c r="AT225" s="308">
        <v>13</v>
      </c>
      <c r="AU225" s="308">
        <v>14</v>
      </c>
      <c r="AV225" s="308">
        <v>15</v>
      </c>
      <c r="AW225" s="308">
        <v>16</v>
      </c>
      <c r="AX225" s="308">
        <v>17</v>
      </c>
      <c r="AY225" s="308">
        <v>18</v>
      </c>
      <c r="AZ225" s="308">
        <v>19</v>
      </c>
      <c r="BA225" s="308">
        <v>20</v>
      </c>
      <c r="BB225" s="308">
        <v>21</v>
      </c>
      <c r="BC225" s="308">
        <v>22</v>
      </c>
      <c r="BD225" s="308">
        <v>23</v>
      </c>
      <c r="BE225" s="308">
        <v>24</v>
      </c>
      <c r="BF225" s="308">
        <v>25</v>
      </c>
      <c r="BG225" s="113"/>
    </row>
    <row r="226" spans="1:59" ht="18">
      <c r="A226" s="307"/>
      <c r="B226" s="113"/>
      <c r="C226" s="113"/>
      <c r="D226" s="113"/>
      <c r="E226" s="113"/>
      <c r="F226" s="113"/>
      <c r="G226" s="113"/>
      <c r="H226" s="113"/>
      <c r="I226" s="113"/>
      <c r="J226" s="113"/>
      <c r="K226" s="309"/>
      <c r="L226" s="113"/>
      <c r="M226" s="113"/>
      <c r="N226" s="113"/>
      <c r="O226" s="113"/>
      <c r="P226" s="113"/>
      <c r="Q226" s="113"/>
      <c r="R226" s="113"/>
      <c r="S226" s="113"/>
      <c r="T226" s="113"/>
      <c r="U226" s="113"/>
      <c r="V226" s="113"/>
      <c r="W226" s="113"/>
      <c r="X226" s="113"/>
      <c r="Y226" s="113"/>
      <c r="Z226" s="113"/>
      <c r="AA226" s="113"/>
      <c r="AB226" s="113"/>
      <c r="AC226" s="113"/>
      <c r="AD226" s="113"/>
      <c r="AE226" s="113"/>
    </row>
    <row r="227" spans="1:59">
      <c r="B227" s="113"/>
      <c r="C227" s="113"/>
      <c r="D227" s="113"/>
      <c r="E227" s="113"/>
      <c r="F227" s="113"/>
      <c r="G227" s="113"/>
      <c r="H227" s="113"/>
      <c r="I227" s="113"/>
      <c r="J227" s="113"/>
      <c r="K227" s="309"/>
      <c r="L227" s="113"/>
      <c r="M227" s="113"/>
      <c r="N227" s="113"/>
      <c r="O227" s="113"/>
      <c r="P227" s="113"/>
      <c r="Q227" s="113"/>
      <c r="R227" s="113"/>
      <c r="S227" s="113"/>
      <c r="T227" s="113"/>
      <c r="U227" s="113"/>
      <c r="V227" s="113"/>
      <c r="W227" s="113"/>
      <c r="X227" s="113"/>
      <c r="Y227" s="113"/>
      <c r="Z227" s="113"/>
      <c r="AA227" s="113"/>
      <c r="AB227" s="113"/>
      <c r="AC227" s="113"/>
      <c r="AD227" s="113"/>
      <c r="AE227" s="113"/>
    </row>
    <row r="228" spans="1:59">
      <c r="B228" s="113"/>
      <c r="C228" s="113"/>
      <c r="D228" s="113"/>
      <c r="E228" s="113"/>
      <c r="F228" s="113"/>
      <c r="G228" s="113"/>
      <c r="H228" s="113"/>
      <c r="I228" s="113"/>
      <c r="J228" s="113"/>
      <c r="K228" s="309"/>
      <c r="L228" s="113"/>
      <c r="M228" s="113"/>
      <c r="N228" s="113"/>
      <c r="O228" s="113"/>
      <c r="P228" s="113"/>
      <c r="Q228" s="113"/>
      <c r="R228" s="113"/>
      <c r="S228" s="113"/>
      <c r="T228" s="113"/>
      <c r="U228" s="113"/>
      <c r="V228" s="113"/>
      <c r="W228" s="113"/>
      <c r="X228" s="113"/>
      <c r="Y228" s="113"/>
      <c r="Z228" s="113"/>
      <c r="AA228" s="113"/>
      <c r="AB228" s="113"/>
      <c r="AC228" s="113"/>
      <c r="AD228" s="113"/>
      <c r="AE228" s="113"/>
    </row>
    <row r="229" spans="1:59">
      <c r="B229" s="113"/>
      <c r="C229" s="113"/>
      <c r="D229" s="113"/>
      <c r="E229" s="113"/>
      <c r="F229" s="113"/>
      <c r="G229" s="113"/>
      <c r="H229" s="113"/>
      <c r="I229" s="113"/>
      <c r="J229" s="113"/>
      <c r="K229" s="309"/>
      <c r="L229" s="113"/>
      <c r="M229" s="113"/>
      <c r="N229" s="113"/>
      <c r="O229" s="113"/>
      <c r="P229" s="113"/>
      <c r="Q229" s="113"/>
      <c r="R229" s="113"/>
      <c r="S229" s="113"/>
      <c r="T229" s="113"/>
      <c r="U229" s="113"/>
      <c r="V229" s="113"/>
      <c r="W229" s="113"/>
      <c r="X229" s="113"/>
      <c r="Y229" s="113"/>
      <c r="Z229" s="113"/>
      <c r="AA229" s="113"/>
      <c r="AB229" s="113"/>
      <c r="AC229" s="113"/>
      <c r="AD229" s="113"/>
      <c r="AE229" s="113"/>
    </row>
    <row r="230" spans="1:59">
      <c r="B230" s="113"/>
      <c r="C230" s="113"/>
      <c r="D230" s="113"/>
      <c r="E230" s="113"/>
      <c r="F230" s="113"/>
      <c r="G230" s="113"/>
      <c r="H230" s="113"/>
      <c r="I230" s="113"/>
      <c r="J230" s="113"/>
      <c r="K230" s="309"/>
      <c r="L230" s="113"/>
      <c r="M230" s="113"/>
      <c r="N230" s="113"/>
      <c r="O230" s="113"/>
      <c r="P230" s="113"/>
      <c r="Q230" s="113"/>
      <c r="R230" s="113"/>
      <c r="S230" s="113"/>
      <c r="T230" s="113"/>
      <c r="U230" s="113"/>
      <c r="V230" s="113"/>
      <c r="W230" s="113"/>
      <c r="X230" s="113"/>
      <c r="Y230" s="113"/>
      <c r="Z230" s="113"/>
      <c r="AA230" s="113"/>
      <c r="AB230" s="113"/>
      <c r="AC230" s="113"/>
      <c r="AD230" s="113"/>
      <c r="AE230" s="113"/>
      <c r="AF230" s="309"/>
    </row>
    <row r="231" spans="1:59">
      <c r="B231" s="113"/>
      <c r="C231" s="113"/>
      <c r="D231" s="113"/>
      <c r="E231" s="113"/>
      <c r="F231" s="309"/>
      <c r="G231" s="113"/>
      <c r="H231" s="113"/>
      <c r="I231" s="113"/>
      <c r="J231" s="113"/>
      <c r="K231" s="309"/>
      <c r="L231" s="113"/>
      <c r="M231" s="113"/>
      <c r="N231" s="113"/>
      <c r="O231" s="113"/>
      <c r="P231" s="113"/>
      <c r="Q231" s="113"/>
      <c r="R231" s="113"/>
      <c r="S231" s="113"/>
      <c r="T231" s="113"/>
      <c r="U231" s="113"/>
      <c r="V231" s="113"/>
      <c r="W231" s="113"/>
      <c r="X231" s="113"/>
      <c r="Y231" s="113"/>
      <c r="Z231" s="113"/>
      <c r="AA231" s="113"/>
      <c r="AB231" s="113"/>
      <c r="AC231" s="113"/>
      <c r="AD231" s="113"/>
      <c r="AE231" s="113"/>
      <c r="AF231" s="309"/>
      <c r="AH231" s="310"/>
      <c r="AI231" s="310"/>
      <c r="AJ231" s="310"/>
      <c r="AK231" s="310"/>
      <c r="AL231" s="310"/>
      <c r="AM231" s="310"/>
      <c r="AN231" s="310"/>
      <c r="AO231" s="310"/>
      <c r="AP231" s="310"/>
      <c r="AQ231" s="310"/>
      <c r="AR231" s="310"/>
      <c r="AS231" s="310"/>
      <c r="AT231" s="310"/>
      <c r="AU231" s="310"/>
      <c r="AV231" s="310"/>
      <c r="AW231" s="310"/>
      <c r="AX231" s="310"/>
      <c r="AY231" s="310"/>
      <c r="AZ231" s="310"/>
      <c r="BA231" s="310"/>
      <c r="BB231" s="310"/>
      <c r="BC231" s="310"/>
      <c r="BD231" s="310"/>
      <c r="BE231" s="310"/>
      <c r="BF231" s="310"/>
      <c r="BG231" s="310"/>
    </row>
    <row r="232" spans="1:59">
      <c r="B232" s="113"/>
      <c r="C232" s="113"/>
      <c r="D232" s="113"/>
      <c r="E232" s="113"/>
      <c r="F232" s="113"/>
      <c r="G232" s="113"/>
      <c r="H232" s="113"/>
      <c r="I232" s="113"/>
      <c r="J232" s="113"/>
      <c r="K232" s="309"/>
      <c r="L232" s="113"/>
      <c r="M232" s="113"/>
      <c r="N232" s="113"/>
      <c r="O232" s="113"/>
      <c r="P232" s="113"/>
      <c r="Q232" s="113"/>
      <c r="R232" s="113"/>
      <c r="S232" s="113"/>
      <c r="T232" s="113"/>
      <c r="U232" s="113"/>
      <c r="V232" s="113"/>
      <c r="W232" s="113"/>
      <c r="X232" s="113"/>
      <c r="Y232" s="113"/>
      <c r="Z232" s="113"/>
      <c r="AA232" s="113"/>
      <c r="AB232" s="113"/>
      <c r="AC232" s="113"/>
      <c r="AD232" s="113"/>
      <c r="AE232" s="113"/>
      <c r="AF232" s="309"/>
      <c r="AH232" s="310"/>
      <c r="AI232" s="310"/>
      <c r="AJ232" s="310"/>
      <c r="AK232" s="310"/>
      <c r="AL232" s="310"/>
      <c r="AM232" s="310"/>
      <c r="AN232" s="310"/>
      <c r="AO232" s="310"/>
      <c r="AP232" s="310"/>
      <c r="AQ232" s="310"/>
      <c r="AR232" s="310"/>
      <c r="AS232" s="310"/>
      <c r="AT232" s="310"/>
      <c r="AU232" s="310"/>
      <c r="AV232" s="310"/>
      <c r="AW232" s="310"/>
      <c r="AX232" s="310"/>
      <c r="AY232" s="310"/>
      <c r="AZ232" s="310"/>
      <c r="BA232" s="310"/>
      <c r="BB232" s="310"/>
      <c r="BC232" s="310"/>
      <c r="BD232" s="310"/>
      <c r="BE232" s="310"/>
      <c r="BF232" s="310"/>
      <c r="BG232" s="310"/>
    </row>
    <row r="233" spans="1:59">
      <c r="B233" s="113"/>
      <c r="C233" s="113"/>
      <c r="D233" s="113"/>
      <c r="E233" s="113"/>
      <c r="F233" s="113"/>
      <c r="G233" s="113"/>
      <c r="H233" s="113"/>
      <c r="I233" s="113"/>
      <c r="J233" s="113"/>
      <c r="K233" s="309"/>
      <c r="L233" s="113"/>
      <c r="M233" s="113"/>
      <c r="N233" s="113"/>
      <c r="O233" s="113"/>
      <c r="P233" s="113"/>
      <c r="Q233" s="113"/>
      <c r="R233" s="113"/>
      <c r="S233" s="113"/>
      <c r="T233" s="113"/>
      <c r="U233" s="113"/>
      <c r="V233" s="113"/>
      <c r="W233" s="113"/>
      <c r="X233" s="113"/>
      <c r="Y233" s="113"/>
      <c r="Z233" s="113"/>
      <c r="AA233" s="113"/>
      <c r="AB233" s="113"/>
      <c r="AC233" s="113"/>
      <c r="AD233" s="113"/>
      <c r="AE233" s="113"/>
      <c r="AF233" s="309"/>
      <c r="AH233" s="310"/>
      <c r="AI233" s="310"/>
      <c r="AJ233" s="310"/>
      <c r="AK233" s="310"/>
      <c r="AL233" s="310"/>
      <c r="AM233" s="310"/>
      <c r="AN233" s="310"/>
      <c r="AO233" s="310"/>
      <c r="AP233" s="310"/>
      <c r="AQ233" s="310"/>
      <c r="AR233" s="310"/>
      <c r="AS233" s="310"/>
      <c r="AT233" s="310"/>
      <c r="AU233" s="310"/>
      <c r="AV233" s="310"/>
      <c r="AW233" s="310"/>
      <c r="AX233" s="310"/>
      <c r="AY233" s="310"/>
      <c r="AZ233" s="310"/>
      <c r="BA233" s="310"/>
      <c r="BB233" s="310"/>
      <c r="BC233" s="310"/>
      <c r="BD233" s="310"/>
      <c r="BE233" s="310"/>
      <c r="BF233" s="310"/>
      <c r="BG233" s="310"/>
    </row>
    <row r="234" spans="1:59">
      <c r="B234" s="113"/>
      <c r="C234" s="113"/>
      <c r="D234" s="113"/>
      <c r="E234" s="113"/>
      <c r="F234" s="113"/>
      <c r="G234" s="113"/>
      <c r="H234" s="113"/>
      <c r="I234" s="113"/>
      <c r="J234" s="113"/>
      <c r="K234" s="309"/>
      <c r="L234" s="113"/>
      <c r="M234" s="113"/>
      <c r="N234" s="113"/>
      <c r="O234" s="113"/>
      <c r="P234" s="113"/>
      <c r="Q234" s="113"/>
      <c r="R234" s="113"/>
      <c r="S234" s="113"/>
      <c r="T234" s="113"/>
      <c r="U234" s="113"/>
      <c r="V234" s="113"/>
      <c r="W234" s="113"/>
      <c r="X234" s="113"/>
      <c r="Y234" s="113"/>
      <c r="Z234" s="113"/>
      <c r="AA234" s="113"/>
      <c r="AB234" s="113"/>
      <c r="AC234" s="113"/>
      <c r="AD234" s="113"/>
      <c r="AE234" s="113"/>
      <c r="AF234" s="309"/>
      <c r="AH234" s="310"/>
      <c r="AI234" s="310"/>
      <c r="AJ234" s="310"/>
      <c r="AK234" s="310"/>
      <c r="AL234" s="310"/>
      <c r="AM234" s="310"/>
      <c r="AN234" s="310"/>
      <c r="AO234" s="310"/>
      <c r="AP234" s="310"/>
      <c r="AQ234" s="310"/>
      <c r="AR234" s="310"/>
      <c r="AS234" s="310"/>
      <c r="AT234" s="310"/>
      <c r="AU234" s="310"/>
      <c r="AV234" s="310"/>
      <c r="AW234" s="310"/>
      <c r="AX234" s="310"/>
      <c r="AY234" s="310"/>
      <c r="AZ234" s="310"/>
      <c r="BA234" s="310"/>
      <c r="BB234" s="310"/>
      <c r="BC234" s="310"/>
      <c r="BD234" s="310"/>
      <c r="BE234" s="310"/>
      <c r="BF234" s="310"/>
      <c r="BG234" s="310"/>
    </row>
    <row r="235" spans="1:59">
      <c r="B235" s="113"/>
      <c r="C235" s="113"/>
      <c r="D235" s="113"/>
      <c r="E235" s="113"/>
      <c r="F235" s="113"/>
      <c r="G235" s="113"/>
      <c r="H235" s="113"/>
      <c r="I235" s="113"/>
      <c r="J235" s="113"/>
      <c r="K235" s="309"/>
      <c r="L235" s="113"/>
      <c r="M235" s="113"/>
      <c r="N235" s="113"/>
      <c r="O235" s="113"/>
      <c r="P235" s="113"/>
      <c r="Q235" s="113"/>
      <c r="R235" s="113"/>
      <c r="S235" s="113"/>
      <c r="T235" s="113"/>
      <c r="U235" s="113"/>
      <c r="V235" s="113"/>
      <c r="W235" s="113"/>
      <c r="X235" s="113"/>
      <c r="Y235" s="113"/>
      <c r="Z235" s="113"/>
      <c r="AA235" s="113"/>
      <c r="AB235" s="113"/>
      <c r="AC235" s="113"/>
      <c r="AD235" s="113"/>
      <c r="AE235" s="113"/>
      <c r="AF235" s="309"/>
      <c r="AH235" s="310"/>
      <c r="AI235" s="310"/>
      <c r="AJ235" s="310"/>
      <c r="AK235" s="310"/>
      <c r="AL235" s="310"/>
      <c r="AM235" s="310"/>
      <c r="AN235" s="310"/>
      <c r="AO235" s="310"/>
      <c r="AP235" s="310"/>
      <c r="AQ235" s="310"/>
      <c r="AR235" s="310"/>
      <c r="AS235" s="310"/>
      <c r="AT235" s="310"/>
      <c r="AU235" s="310"/>
      <c r="AV235" s="310"/>
      <c r="AW235" s="310"/>
      <c r="AX235" s="310"/>
      <c r="AY235" s="310"/>
      <c r="AZ235" s="310"/>
      <c r="BA235" s="310"/>
      <c r="BB235" s="310"/>
      <c r="BC235" s="310"/>
      <c r="BD235" s="310"/>
      <c r="BE235" s="310"/>
      <c r="BF235" s="310"/>
      <c r="BG235" s="310"/>
    </row>
    <row r="236" spans="1:59">
      <c r="B236" s="113"/>
      <c r="C236" s="113"/>
      <c r="D236" s="113"/>
      <c r="E236" s="113"/>
      <c r="F236" s="113"/>
      <c r="G236" s="113"/>
      <c r="H236" s="113"/>
      <c r="I236" s="113"/>
      <c r="J236" s="113"/>
      <c r="K236" s="309"/>
      <c r="L236" s="113"/>
      <c r="M236" s="113"/>
      <c r="N236" s="113"/>
      <c r="O236" s="113"/>
      <c r="P236" s="113"/>
      <c r="Q236" s="113"/>
      <c r="R236" s="113"/>
      <c r="S236" s="113"/>
      <c r="T236" s="113"/>
      <c r="U236" s="113"/>
      <c r="V236" s="113"/>
      <c r="W236" s="113"/>
      <c r="X236" s="113"/>
      <c r="Y236" s="113"/>
      <c r="Z236" s="113"/>
      <c r="AA236" s="113"/>
      <c r="AB236" s="113"/>
      <c r="AC236" s="113"/>
      <c r="AD236" s="113"/>
      <c r="AE236" s="113"/>
      <c r="AF236" s="309"/>
      <c r="AH236" s="310"/>
      <c r="AI236" s="310"/>
      <c r="AJ236" s="310"/>
      <c r="AK236" s="310"/>
      <c r="AL236" s="310"/>
      <c r="AM236" s="310"/>
      <c r="AN236" s="310"/>
      <c r="AO236" s="310"/>
      <c r="AP236" s="310"/>
      <c r="AQ236" s="310"/>
      <c r="AR236" s="310"/>
      <c r="AS236" s="310"/>
      <c r="AT236" s="310"/>
      <c r="AU236" s="310"/>
      <c r="AV236" s="310"/>
      <c r="AW236" s="310"/>
      <c r="AX236" s="310"/>
      <c r="AY236" s="310"/>
      <c r="AZ236" s="310"/>
      <c r="BA236" s="310"/>
      <c r="BB236" s="310"/>
      <c r="BC236" s="310"/>
      <c r="BD236" s="310"/>
      <c r="BE236" s="310"/>
      <c r="BF236" s="310"/>
      <c r="BG236" s="310"/>
    </row>
  </sheetData>
  <sheetProtection formatColumns="0" formatRows="0"/>
  <mergeCells count="2">
    <mergeCell ref="B3:H3"/>
    <mergeCell ref="AH3:BQ3"/>
  </mergeCells>
  <phoneticPr fontId="41" type="noConversion"/>
  <conditionalFormatting sqref="AG19:AG28">
    <cfRule type="cellIs" dxfId="22" priority="22" operator="lessThan">
      <formula>0.99</formula>
    </cfRule>
  </conditionalFormatting>
  <conditionalFormatting sqref="AG8:AG17">
    <cfRule type="cellIs" dxfId="21" priority="18" operator="lessThan">
      <formula>0.99</formula>
    </cfRule>
  </conditionalFormatting>
  <conditionalFormatting sqref="AG31:AG40">
    <cfRule type="cellIs" dxfId="20" priority="17" operator="lessThan">
      <formula>1</formula>
    </cfRule>
  </conditionalFormatting>
  <conditionalFormatting sqref="AG45:AG54">
    <cfRule type="cellIs" dxfId="19" priority="16" operator="lessThan">
      <formula>1</formula>
    </cfRule>
  </conditionalFormatting>
  <conditionalFormatting sqref="AG56:AG65">
    <cfRule type="cellIs" dxfId="18" priority="15" operator="lessThan">
      <formula>1</formula>
    </cfRule>
  </conditionalFormatting>
  <conditionalFormatting sqref="AG67:AG76">
    <cfRule type="cellIs" dxfId="17" priority="14" operator="lessThan">
      <formula>1</formula>
    </cfRule>
  </conditionalFormatting>
  <conditionalFormatting sqref="AG78:AG87">
    <cfRule type="cellIs" dxfId="16" priority="13" operator="lessThan">
      <formula>1</formula>
    </cfRule>
  </conditionalFormatting>
  <conditionalFormatting sqref="AG89:AG98">
    <cfRule type="cellIs" dxfId="15" priority="12" operator="lessThan">
      <formula>1</formula>
    </cfRule>
  </conditionalFormatting>
  <conditionalFormatting sqref="AG101:AG110">
    <cfRule type="cellIs" dxfId="14" priority="11" operator="lessThan">
      <formula>1</formula>
    </cfRule>
  </conditionalFormatting>
  <conditionalFormatting sqref="AG112:AG121">
    <cfRule type="cellIs" dxfId="13" priority="10" operator="lessThan">
      <formula>1</formula>
    </cfRule>
  </conditionalFormatting>
  <conditionalFormatting sqref="AG123:AG132">
    <cfRule type="cellIs" dxfId="12" priority="9" operator="lessThan">
      <formula>1</formula>
    </cfRule>
  </conditionalFormatting>
  <conditionalFormatting sqref="AG134:AG143">
    <cfRule type="cellIs" dxfId="11" priority="8" operator="lessThan">
      <formula>1</formula>
    </cfRule>
  </conditionalFormatting>
  <conditionalFormatting sqref="AG145:AG154">
    <cfRule type="cellIs" dxfId="10" priority="7" operator="lessThan">
      <formula>1</formula>
    </cfRule>
  </conditionalFormatting>
  <conditionalFormatting sqref="AG157:AG166">
    <cfRule type="cellIs" dxfId="9" priority="6" operator="lessThan">
      <formula>1</formula>
    </cfRule>
  </conditionalFormatting>
  <conditionalFormatting sqref="AG168:AG177">
    <cfRule type="cellIs" dxfId="8" priority="5" operator="lessThan">
      <formula>1</formula>
    </cfRule>
  </conditionalFormatting>
  <conditionalFormatting sqref="AG179:AG188">
    <cfRule type="cellIs" dxfId="7" priority="4" operator="lessThan">
      <formula>1</formula>
    </cfRule>
  </conditionalFormatting>
  <conditionalFormatting sqref="AG190:AG199">
    <cfRule type="cellIs" dxfId="6" priority="3" operator="lessThan">
      <formula>1</formula>
    </cfRule>
  </conditionalFormatting>
  <conditionalFormatting sqref="AG203:AG212">
    <cfRule type="cellIs" dxfId="5" priority="2" operator="lessThan">
      <formula>1</formula>
    </cfRule>
  </conditionalFormatting>
  <conditionalFormatting sqref="AG214:AG223">
    <cfRule type="cellIs" dxfId="4" priority="1" operator="lessThan">
      <formula>1</formula>
    </cfRule>
  </conditionalFormatting>
  <dataValidations xWindow="661" yWindow="818" count="31">
    <dataValidation type="list" allowBlank="1" showInputMessage="1" showErrorMessage="1" sqref="D214:D223 D8:D17 D19:D28 D31:D40 D45:D54 D56:D65 D67:D76 D78:D87 D89:D98 D101:D110 D112:D121 D123:D132 D134:D143 D145:D154 D157:D166 D168:D177 D179:D188 D190:D199 D203:D212" xr:uid="{00000000-0002-0000-1200-000000000000}">
      <formula1>Agencieslist</formula1>
    </dataValidation>
    <dataValidation type="decimal" operator="greaterThanOrEqual" allowBlank="1" showInputMessage="1" showErrorMessage="1" promptTitle="Optimism bias correction" prompt="This should be entered as a percentage and always be positive or zero (see &quot;Confidence Grade - Costs&quot; page for the recommended percentage and an example)." sqref="E8:E17 E19:E28 E31:E40 E45:E54 E56:E65 E67:E76 E78:E87 E89:E98 E101:E110 E112:E121 E123:E132 E134:E143 E145:E154 E157:E166 E168:E177 E179:E188 E190:E199 E203:E212 E214:E223" xr:uid="{00000000-0002-0000-1200-000001000000}">
      <formula1>0</formula1>
    </dataValidation>
    <dataValidation allowBlank="1" showInputMessage="1" showErrorMessage="1" prompt="This cell represents the percentage of the total costs of implementation for year one. For a detailed example refer to Ch 7 of &quot;A Guide to Economic Analysis and Efficiency&quot;." sqref="H8:H17 H19:H28 H31:H40 H214:H223 H56:H65 H67:H76 H78:H87 H89:H98 H101:H110 H112:H121 H123:H132 H134:H143 H145:H154 H157:H166 H168:H177 H179:H188 H190:H199 H203:H212 H45:H54" xr:uid="{00000000-0002-0000-1200-000002000000}"/>
    <dataValidation allowBlank="1" showInputMessage="1" showErrorMessage="1" prompt="This cell represents the percentage of the total costs of implementation for year two. For a detailed example refer to Ch 7 of &quot;A Guide to Economic Analysis and Efficiency&quot;." sqref="I8:I17 I19:I28 I31:I40 I45:I223" xr:uid="{00000000-0002-0000-1200-000003000000}"/>
    <dataValidation allowBlank="1" showInputMessage="1" showErrorMessage="1" prompt="This cell represents the percentage of the total costs of implementation for year three. For a detailed example refer to Ch 7 of &quot;A Guide to Economic Analysis and Efficiency&quot;." sqref="J8:J17 J19:J28 J31:J40 J45:J223 K45:AF48" xr:uid="{00000000-0002-0000-1200-000004000000}"/>
    <dataValidation allowBlank="1" showInputMessage="1" showErrorMessage="1" prompt="This cell represents the percentage of the total costs of implementation for year four. For a detailed example refer to Ch 7 of &quot;A Guide to Economic Analysis and Efficiency&quot;." sqref="K8:K17 K19:K28 K31:K40 K49:K223" xr:uid="{00000000-0002-0000-1200-000005000000}"/>
    <dataValidation allowBlank="1" showInputMessage="1" showErrorMessage="1" prompt="This cell represents the percentage of the total costs of implementation for year five. For a detailed example refer to Ch 7 of &quot;A Guide to Economic Analysis and Efficiency&quot;." sqref="L8:L17 L19:L28 L31:L40 L49:L223" xr:uid="{00000000-0002-0000-1200-000006000000}"/>
    <dataValidation allowBlank="1" showInputMessage="1" showErrorMessage="1" prompt="This cell represents the percentage of the total costs of implementation for year six. For a detailed example refer to Ch 7 of &quot;A Guide to Economic Analysis and Efficiency&quot;." sqref="M8:M17 M19:M28 M31:M40 M49:M223" xr:uid="{00000000-0002-0000-1200-000007000000}"/>
    <dataValidation allowBlank="1" showInputMessage="1" showErrorMessage="1" prompt="This cell represents the percentage of the total costs of implementation for year seven. For a detailed example refer to Ch 7 of &quot;A Guide to Economic Analysis and Efficiency&quot;." sqref="N8:N17 N19:N28 N31:N40 N49:N223" xr:uid="{00000000-0002-0000-1200-000008000000}"/>
    <dataValidation allowBlank="1" showInputMessage="1" showErrorMessage="1" prompt="This cell represents the percentage of the total costs of implementation for year eight. For a detailed example refer to Ch 7 of &quot;A Guide to Economic Analysis and Efficiency&quot;." sqref="O8:O17 O19:O28 O31:O40 O49:O223" xr:uid="{00000000-0002-0000-1200-000009000000}"/>
    <dataValidation allowBlank="1" showInputMessage="1" showErrorMessage="1" prompt="This cell represents the percentage of the total costs of implementation for year nine. For a detailed example refer to Ch 7 of &quot;A Guide to Economic Analysis and Efficiency&quot;." sqref="P8:P17 P19:P28 P31:P40 P49:P223" xr:uid="{00000000-0002-0000-1200-00000A000000}"/>
    <dataValidation allowBlank="1" showInputMessage="1" showErrorMessage="1" prompt="This cell represents the percentage of the total costs of implementation for year ten. For a detailed example refer to Ch 7 of &quot;A Guide to Economic Analysis and Efficiency&quot;." sqref="Q8:Q17 Q19:Q28 Q31:Q40 Q49:Q223" xr:uid="{00000000-0002-0000-1200-00000B000000}"/>
    <dataValidation allowBlank="1" showInputMessage="1" showErrorMessage="1" prompt="This cell represents the percentage of the total costs of implementation for year 11. For a detailed example refer to Ch 7 of &quot;A Guide to Economic Analysis and Efficiency&quot;." sqref="R8:R17 R19:R28 R31:R40 R49:R223" xr:uid="{00000000-0002-0000-1200-00000C000000}"/>
    <dataValidation allowBlank="1" showInputMessage="1" showErrorMessage="1" prompt="This cell represents the percentage of the total costs of implementation for year 12. For a detailed example refer to Ch 7 of &quot;A Guide to Economic Analysis and Efficiency&quot;." sqref="S8:S17 S19:S28 S31:S40 S49:S223" xr:uid="{00000000-0002-0000-1200-00000D000000}"/>
    <dataValidation allowBlank="1" showInputMessage="1" showErrorMessage="1" prompt="This cell represents the percentage of the total costs of implementation for year 13. For a detailed example refer to Ch 7 of &quot;A Guide to Economic Analysis and Efficiency&quot;." sqref="T8:T17 T19:T28 T31:T40 T49:T223" xr:uid="{00000000-0002-0000-1200-00000E000000}"/>
    <dataValidation allowBlank="1" showInputMessage="1" showErrorMessage="1" prompt="This cell represents the percentage of the total costs of implementation for year 14. For a detailed example refer to Ch 7 of &quot;A Guide to Economic Analysis and Efficiency&quot;." sqref="U8:U17 U19:U28 U31:U40 U49:U223" xr:uid="{00000000-0002-0000-1200-00000F000000}"/>
    <dataValidation allowBlank="1" showInputMessage="1" showErrorMessage="1" prompt="This cell represents the percentage of the total costs of implementation for year 15. For a detailed example refer to Ch 7 of &quot;A Guide to Economic Analysis and Efficiency&quot;." sqref="V8:V17 V19:V28 V31:V40 V49:V223" xr:uid="{00000000-0002-0000-1200-000010000000}"/>
    <dataValidation allowBlank="1" showInputMessage="1" showErrorMessage="1" prompt="This cell represents the percentage of the total costs of implementation for year 16. For a detailed example refer to Ch 7 of &quot;A Guide to Economic Analysis and Efficiency&quot;." sqref="W8:W17 W19:W28 W31:W40 W49:W223" xr:uid="{00000000-0002-0000-1200-000011000000}"/>
    <dataValidation allowBlank="1" showInputMessage="1" showErrorMessage="1" prompt="This cell represents the percentage of the total costs of implementation for year 17. For a detailed example refer to Ch 7 of &quot;A Guide to Economic Analysis and Efficiency&quot;." sqref="X8:X17 X19:X28 X31:X40 X49:X223" xr:uid="{00000000-0002-0000-1200-000012000000}"/>
    <dataValidation allowBlank="1" showInputMessage="1" showErrorMessage="1" prompt="This cell represents the percentage of the total costs of implementation for year 18. For a detailed example refer to Ch 7 of &quot;A Guide to Economic Analysis and Efficiency&quot;." sqref="Y8:Y17 Y19:Y28 Y31:Y40 Y49:Y223" xr:uid="{00000000-0002-0000-1200-000013000000}"/>
    <dataValidation allowBlank="1" showInputMessage="1" showErrorMessage="1" prompt="This cell represents the percentage of the total costs of implementation for year 19. For a detailed example refer to Ch 7 of &quot;A Guide to Economic Analysis and Efficiency&quot;." sqref="Z8:Z17 Z19:Z28 Z31:Z40 Z49:Z223" xr:uid="{00000000-0002-0000-1200-000014000000}"/>
    <dataValidation allowBlank="1" showInputMessage="1" showErrorMessage="1" prompt="This cell represents the percentage of the total costs of implementation for year 20. For a detailed example refer to Ch 7 of &quot;A Guide to Economic Analysis and Efficiency&quot;." sqref="AA8:AA17 AA19:AA28 AA31:AA40 AA49:AA223" xr:uid="{00000000-0002-0000-1200-000015000000}"/>
    <dataValidation allowBlank="1" showInputMessage="1" showErrorMessage="1" prompt="This cell represents the percentage of the total costs of implementation for year 21. For a detailed example refer to Ch 7 of &quot;A Guide to Economic Analysis and Efficiency&quot;." sqref="AB8:AB17 AB19:AB28 AB31:AB40 AB49:AB223" xr:uid="{00000000-0002-0000-1200-000016000000}"/>
    <dataValidation allowBlank="1" showInputMessage="1" showErrorMessage="1" prompt="This cell represents the percentage of the total costs of implementation for year 22. For a detailed example refer to Ch 7 of &quot;A Guide to Economic Analysis and Efficiency&quot;." sqref="AC8:AC17 AC19:AC28 AC31:AC40 AC49:AC223" xr:uid="{00000000-0002-0000-1200-000017000000}"/>
    <dataValidation allowBlank="1" showInputMessage="1" showErrorMessage="1" prompt="This cell represents the percentage of the total costs of implementation for year 23. For a detailed example refer to Ch 7 of &quot;A Guide to Economic Analysis and Efficiency&quot;." sqref="AD8:AD17 AD19:AD28 AD31:AD40 AD49:AD223" xr:uid="{00000000-0002-0000-1200-000018000000}"/>
    <dataValidation allowBlank="1" showInputMessage="1" showErrorMessage="1" prompt="This cell represents the percentage of the total costs of implementation for year 24. For a detailed example refer to Ch 7 of &quot;A Guide to Economic Analysis and Efficiency&quot;." sqref="AE8:AE17 AE19:AE28 AE31:AE40 AE49:AE223" xr:uid="{00000000-0002-0000-1200-000019000000}"/>
    <dataValidation allowBlank="1" showInputMessage="1" showErrorMessage="1" prompt="This cell represents the percentage of the total costs of implementation for year 25. For a detailed example refer to Ch 7 of &quot;A Guide to Economic Analysis and Efficiency&quot;." sqref="AF8:AF17 AF19:AF28 AF31:AF40 AG111 AG213 AG200:AG202 AG189 AG178 AG167 AG155:AG156 AG144 AG133 AG122 AG55 AG99:AG100 AG88 AG77 AG66 AF49:AF223" xr:uid="{00000000-0002-0000-1200-00001A000000}"/>
    <dataValidation allowBlank="1" showInputMessage="1" showErrorMessage="1" promptTitle="Costs of Implementation" prompt="This is where you enter cost in pounds sterling (or equivalent) for this cost item - you enter similar for each yellow box in this coloumn (e.g. all capital costs, all operating costs, indirect costs and intangible costs)." sqref="B8 B19 B31 B214 B56 B67 B78 B89 B101 B112 B123 B134 B145 B157 B168 B179 B190 B203 B45:B48" xr:uid="{00000000-0002-0000-1200-00001B000000}"/>
    <dataValidation allowBlank="1" showInputMessage="1" showErrorMessage="1" promptTitle="Best-case estimate" prompt="The best-case estimate represents the lower boundary of the 95% confidence interval.  &quot;1 - the margin of error&quot; refers to annual cost minus the standard deviation." sqref="BH4" xr:uid="{00000000-0002-0000-1200-00001C000000}"/>
    <dataValidation allowBlank="1" showInputMessage="1" showErrorMessage="1" promptTitle="Worst-case estimate" prompt="The worst-case estimate represents the upper boundary of the 95% confidence interval.  &quot;1 + the margin of error&quot; refers to annual cost plus the standard deviation." sqref="BJ4" xr:uid="{00000000-0002-0000-1200-00001D000000}"/>
    <dataValidation allowBlank="1" showInputMessage="1" showErrorMessage="1" prompt="You can enter notes regarding the cost you enter in column B (e.g. &quot;the cost data were generated...&quot;/ &quot;came from...&quot;, etc )" sqref="C45 C8 C19 C31 C56 C67 C78 C89 C101 C112 C123 C134 C145 C157 C168 C179 C190 C203 C214" xr:uid="{00000000-0002-0000-1200-00001E000000}"/>
  </dataValidation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E0EBF5"/>
  </sheetPr>
  <dimension ref="A1:AKX226"/>
  <sheetViews>
    <sheetView workbookViewId="0"/>
  </sheetViews>
  <sheetFormatPr defaultColWidth="8.69140625" defaultRowHeight="15.5"/>
  <cols>
    <col min="1" max="1" width="53.53515625" style="2" customWidth="1"/>
    <col min="2" max="3" width="18.921875" style="2" customWidth="1"/>
    <col min="4" max="4" width="19.4609375" style="2" customWidth="1"/>
    <col min="5" max="6" width="18.23046875" style="2" customWidth="1"/>
    <col min="7" max="26" width="18.23046875" style="2" hidden="1" customWidth="1"/>
    <col min="27" max="27" width="19.4609375" style="2" customWidth="1"/>
    <col min="28" max="28" width="19.921875" style="2" customWidth="1"/>
    <col min="29" max="29" width="19.69140625" style="2" customWidth="1"/>
    <col min="30" max="31" width="18.23046875" style="2" customWidth="1"/>
    <col min="32" max="51" width="18.23046875" style="2" hidden="1" customWidth="1"/>
    <col min="52" max="52" width="9.69140625" style="2" customWidth="1"/>
    <col min="53" max="53" width="13.69140625" style="2" hidden="1" customWidth="1"/>
    <col min="54" max="54" width="15.15234375" style="2" hidden="1" customWidth="1"/>
    <col min="55" max="60" width="8.921875" style="2" hidden="1" customWidth="1"/>
    <col min="61" max="61" width="8.69140625" style="11" customWidth="1"/>
    <col min="62" max="159" width="8.69140625" style="11"/>
    <col min="160" max="16384" width="8.69140625" style="2"/>
  </cols>
  <sheetData>
    <row r="1" spans="1:986" ht="20.5">
      <c r="A1" s="853" t="s">
        <v>0</v>
      </c>
      <c r="B1" s="760" t="s">
        <v>482</v>
      </c>
      <c r="C1" s="854"/>
      <c r="D1" s="774"/>
      <c r="E1" s="774"/>
      <c r="F1" s="774"/>
      <c r="G1" s="774"/>
      <c r="H1" s="774"/>
      <c r="I1" s="774"/>
      <c r="J1" s="774"/>
      <c r="K1" s="774"/>
      <c r="L1" s="774"/>
      <c r="M1" s="774"/>
      <c r="N1" s="774"/>
      <c r="O1" s="774"/>
      <c r="P1" s="774"/>
      <c r="Q1" s="774"/>
      <c r="R1" s="774"/>
      <c r="S1" s="774"/>
      <c r="T1" s="774"/>
      <c r="U1" s="774"/>
      <c r="V1" s="774"/>
      <c r="W1" s="774"/>
      <c r="X1" s="774"/>
      <c r="Y1" s="774"/>
      <c r="Z1" s="774"/>
      <c r="AA1" s="774"/>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row>
    <row r="2" spans="1:986" ht="23">
      <c r="A2" s="223" t="str">
        <f>Title</f>
        <v>Economic evaluation of Restorative Justice</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row>
    <row r="3" spans="1:986" ht="154.65" customHeight="1" thickBot="1">
      <c r="A3" s="10" t="s">
        <v>507</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row>
    <row r="4" spans="1:986" s="87" customFormat="1" ht="78" thickBot="1">
      <c r="A4" s="855" t="s">
        <v>4</v>
      </c>
      <c r="B4" s="856" t="s">
        <v>446</v>
      </c>
      <c r="C4" s="856" t="s">
        <v>447</v>
      </c>
      <c r="D4" s="856" t="s">
        <v>448</v>
      </c>
      <c r="E4" s="856" t="s">
        <v>449</v>
      </c>
      <c r="F4" s="856" t="s">
        <v>450</v>
      </c>
      <c r="G4" s="856" t="s">
        <v>451</v>
      </c>
      <c r="H4" s="856" t="s">
        <v>452</v>
      </c>
      <c r="I4" s="856" t="s">
        <v>453</v>
      </c>
      <c r="J4" s="856" t="s">
        <v>454</v>
      </c>
      <c r="K4" s="856" t="s">
        <v>455</v>
      </c>
      <c r="L4" s="856" t="s">
        <v>456</v>
      </c>
      <c r="M4" s="856" t="s">
        <v>457</v>
      </c>
      <c r="N4" s="856" t="s">
        <v>458</v>
      </c>
      <c r="O4" s="856" t="s">
        <v>459</v>
      </c>
      <c r="P4" s="856" t="s">
        <v>460</v>
      </c>
      <c r="Q4" s="856" t="s">
        <v>461</v>
      </c>
      <c r="R4" s="856" t="s">
        <v>462</v>
      </c>
      <c r="S4" s="856" t="s">
        <v>463</v>
      </c>
      <c r="T4" s="856" t="s">
        <v>464</v>
      </c>
      <c r="U4" s="856" t="s">
        <v>465</v>
      </c>
      <c r="V4" s="856" t="s">
        <v>466</v>
      </c>
      <c r="W4" s="856" t="s">
        <v>467</v>
      </c>
      <c r="X4" s="856" t="s">
        <v>443</v>
      </c>
      <c r="Y4" s="856" t="s">
        <v>444</v>
      </c>
      <c r="Z4" s="856" t="s">
        <v>445</v>
      </c>
      <c r="AA4" s="856" t="str">
        <f>CONCATENATE("Cost that is attributable to the program/intervention in Year 1"," ", "(",'Proposition Summary'!$B76,")")</f>
        <v>Cost that is attributable to the program/intervention in Year 1 (GBP (£))</v>
      </c>
      <c r="AB4" s="856" t="str">
        <f>CONCATENATE("Cost that is attributable to the program/intervention in Year 2"," ", "(",'Proposition Summary'!$B76,")")</f>
        <v>Cost that is attributable to the program/intervention in Year 2 (GBP (£))</v>
      </c>
      <c r="AC4" s="856" t="str">
        <f>CONCATENATE("Cost that is attributable to the program/intervention in Year 3"," ", "(",'Proposition Summary'!$B76,")")</f>
        <v>Cost that is attributable to the program/intervention in Year 3 (GBP (£))</v>
      </c>
      <c r="AD4" s="856" t="str">
        <f>CONCATENATE("Cost that is attributable to the program/intervention in Year 4"," ", "(",'Proposition Summary'!$B76,")")</f>
        <v>Cost that is attributable to the program/intervention in Year 4 (GBP (£))</v>
      </c>
      <c r="AE4" s="856" t="str">
        <f>CONCATENATE("Cost that is attributable to the program/intervention in Year 5"," ", "(",'Proposition Summary'!$B76,")")</f>
        <v>Cost that is attributable to the program/intervention in Year 5 (GBP (£))</v>
      </c>
      <c r="AF4" s="856" t="str">
        <f>CONCATENATE("Cost that is attributable to the program/intervention in Year 6"," ", "(",'Proposition Summary'!$B76,")")</f>
        <v>Cost that is attributable to the program/intervention in Year 6 (GBP (£))</v>
      </c>
      <c r="AG4" s="856" t="str">
        <f>CONCATENATE("Cost that is attributable to the program/intervention in Year 7"," ", "(",'Proposition Summary'!$B76,")")</f>
        <v>Cost that is attributable to the program/intervention in Year 7 (GBP (£))</v>
      </c>
      <c r="AH4" s="856" t="str">
        <f>CONCATENATE("Cost that is attributable to the program/intervention in Year 8"," ", "(",'Proposition Summary'!$B76,")")</f>
        <v>Cost that is attributable to the program/intervention in Year 8 (GBP (£))</v>
      </c>
      <c r="AI4" s="856" t="str">
        <f>CONCATENATE("Cost that is attributable to the program/intervention in Year 9"," ", "(",'Proposition Summary'!$B76,")")</f>
        <v>Cost that is attributable to the program/intervention in Year 9 (GBP (£))</v>
      </c>
      <c r="AJ4" s="856" t="str">
        <f>CONCATENATE("Cost that is attributable to the program/intervention in Year 10"," ", "(",'Proposition Summary'!$B76,")")</f>
        <v>Cost that is attributable to the program/intervention in Year 10 (GBP (£))</v>
      </c>
      <c r="AK4" s="856" t="str">
        <f>CONCATENATE("Cost that is attributable to the program/intervention in Year 11"," ", "(",'Proposition Summary'!$B76,")")</f>
        <v>Cost that is attributable to the program/intervention in Year 11 (GBP (£))</v>
      </c>
      <c r="AL4" s="856" t="str">
        <f>CONCATENATE("Cost that is attributable to the program/intervention in Year 12"," ", "(",'Proposition Summary'!$B76,")")</f>
        <v>Cost that is attributable to the program/intervention in Year 12 (GBP (£))</v>
      </c>
      <c r="AM4" s="856" t="str">
        <f>CONCATENATE("Cost that is attributable to the program/intervention in Year 13"," ", "(",'Proposition Summary'!$B76,")")</f>
        <v>Cost that is attributable to the program/intervention in Year 13 (GBP (£))</v>
      </c>
      <c r="AN4" s="856" t="str">
        <f>CONCATENATE("Cost that is attributable to the program/intervention in Year 14"," ", "(",'Proposition Summary'!$B76,")")</f>
        <v>Cost that is attributable to the program/intervention in Year 14 (GBP (£))</v>
      </c>
      <c r="AO4" s="856" t="str">
        <f>CONCATENATE("Cost that is attributable to the program/intervention in Year 15"," ", "(",'Proposition Summary'!$B76,")")</f>
        <v>Cost that is attributable to the program/intervention in Year 15 (GBP (£))</v>
      </c>
      <c r="AP4" s="856" t="str">
        <f>CONCATENATE("Cost that is attributable to the program/intervention in Year 16"," ", "(",'Proposition Summary'!$B76,")")</f>
        <v>Cost that is attributable to the program/intervention in Year 16 (GBP (£))</v>
      </c>
      <c r="AQ4" s="856" t="str">
        <f>CONCATENATE("Cost that is attributable to the program/intervention in Year 17"," ", "(",'Proposition Summary'!$B76,")")</f>
        <v>Cost that is attributable to the program/intervention in Year 17 (GBP (£))</v>
      </c>
      <c r="AR4" s="856" t="str">
        <f>CONCATENATE("Cost that is attributable to the program/intervention in Year 18"," ", "(",'Proposition Summary'!$B76,")")</f>
        <v>Cost that is attributable to the program/intervention in Year 18 (GBP (£))</v>
      </c>
      <c r="AS4" s="856" t="str">
        <f>CONCATENATE("Cost that is attributable to the program/intervention in Year 19"," ", "(",'Proposition Summary'!$B76,")")</f>
        <v>Cost that is attributable to the program/intervention in Year 19 (GBP (£))</v>
      </c>
      <c r="AT4" s="856" t="str">
        <f>CONCATENATE("Cost that is attributable to the program/intervention in Year 20"," ", "(",'Proposition Summary'!$B76,")")</f>
        <v>Cost that is attributable to the program/intervention in Year 20 (GBP (£))</v>
      </c>
      <c r="AU4" s="856" t="str">
        <f>CONCATENATE("Cost that is attributable to the program/intervention in Year 21"," ", "(",'Proposition Summary'!$B76,")")</f>
        <v>Cost that is attributable to the program/intervention in Year 21 (GBP (£))</v>
      </c>
      <c r="AV4" s="856" t="str">
        <f>CONCATENATE("Cost that is attributable to the program/intervention in Year 22"," ", "(",'Proposition Summary'!$B76,")")</f>
        <v>Cost that is attributable to the program/intervention in Year 22 (GBP (£))</v>
      </c>
      <c r="AW4" s="856" t="str">
        <f>CONCATENATE("Cost that is attributable to the program/intervention in Year 23"," ", "(",'Proposition Summary'!$B76,")")</f>
        <v>Cost that is attributable to the program/intervention in Year 23 (GBP (£))</v>
      </c>
      <c r="AX4" s="856" t="str">
        <f>CONCATENATE("Cost that is attributable to the program/intervention in Year 24"," ", "(",'Proposition Summary'!$B76,")")</f>
        <v>Cost that is attributable to the program/intervention in Year 24 (GBP (£))</v>
      </c>
      <c r="AY4" s="856" t="str">
        <f>CONCATENATE("Cost that is attributable to the program/intervention in Year 25"," ", "(",'Proposition Summary'!$B76,")")</f>
        <v>Cost that is attributable to the program/intervention in Year 25 (GBP (£))</v>
      </c>
      <c r="AZ4" s="857" t="str">
        <f>CONCATENATE("Annual Costs"," ", "(",'Proposition Summary'!$B76,")")</f>
        <v>Annual Costs (GBP (£))</v>
      </c>
      <c r="BA4" s="858" t="s">
        <v>469</v>
      </c>
      <c r="BB4" s="859" t="s">
        <v>470</v>
      </c>
      <c r="BC4" s="12"/>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c r="PP4" s="11"/>
      <c r="PQ4" s="11"/>
      <c r="PR4" s="11"/>
      <c r="PS4" s="11"/>
      <c r="PT4" s="11"/>
      <c r="PU4" s="11"/>
      <c r="PV4" s="11"/>
      <c r="PW4" s="11"/>
      <c r="PX4" s="11"/>
      <c r="PY4" s="11"/>
      <c r="PZ4" s="11"/>
      <c r="QA4" s="11"/>
      <c r="QB4" s="11"/>
      <c r="QC4" s="11"/>
      <c r="QD4" s="11"/>
      <c r="QE4" s="11"/>
      <c r="QF4" s="11"/>
      <c r="QG4" s="11"/>
      <c r="QH4" s="11"/>
      <c r="QI4" s="11"/>
      <c r="QJ4" s="11"/>
      <c r="QK4" s="11"/>
      <c r="QL4" s="11"/>
      <c r="QM4" s="11"/>
      <c r="QN4" s="11"/>
      <c r="QO4" s="11"/>
      <c r="QP4" s="11"/>
      <c r="QQ4" s="11"/>
      <c r="QR4" s="11"/>
      <c r="QS4" s="11"/>
      <c r="QT4" s="11"/>
      <c r="QU4" s="11"/>
      <c r="QV4" s="11"/>
      <c r="QW4" s="11"/>
      <c r="QX4" s="11"/>
      <c r="QY4" s="11"/>
      <c r="QZ4" s="11"/>
      <c r="RA4" s="11"/>
      <c r="RB4" s="11"/>
      <c r="RC4" s="11"/>
      <c r="RD4" s="11"/>
      <c r="RE4" s="11"/>
      <c r="RF4" s="11"/>
      <c r="RG4" s="11"/>
      <c r="RH4" s="11"/>
      <c r="RI4" s="11"/>
      <c r="RJ4" s="11"/>
      <c r="RK4" s="11"/>
      <c r="RL4" s="11"/>
      <c r="RM4" s="11"/>
      <c r="RN4" s="11"/>
      <c r="RO4" s="11"/>
      <c r="RP4" s="11"/>
      <c r="RQ4" s="11"/>
      <c r="RR4" s="11"/>
      <c r="RS4" s="11"/>
      <c r="RT4" s="11"/>
      <c r="RU4" s="11"/>
      <c r="RV4" s="11"/>
      <c r="RW4" s="11"/>
      <c r="RX4" s="11"/>
      <c r="RY4" s="11"/>
      <c r="RZ4" s="11"/>
      <c r="SA4" s="11"/>
      <c r="SB4" s="11"/>
      <c r="SC4" s="11"/>
      <c r="SD4" s="11"/>
      <c r="SE4" s="11"/>
      <c r="SF4" s="11"/>
      <c r="SG4" s="11"/>
      <c r="SH4" s="11"/>
      <c r="SI4" s="11"/>
      <c r="SJ4" s="11"/>
      <c r="SK4" s="11"/>
      <c r="SL4" s="11"/>
      <c r="SM4" s="11"/>
      <c r="SN4" s="11"/>
      <c r="SO4" s="11"/>
      <c r="SP4" s="11"/>
      <c r="SQ4" s="11"/>
      <c r="SR4" s="11"/>
      <c r="SS4" s="11"/>
      <c r="ST4" s="11"/>
      <c r="SU4" s="11"/>
      <c r="SV4" s="11"/>
      <c r="SW4" s="11"/>
      <c r="SX4" s="11"/>
      <c r="SY4" s="11"/>
      <c r="SZ4" s="11"/>
      <c r="TA4" s="11"/>
      <c r="TB4" s="11"/>
      <c r="TC4" s="11"/>
      <c r="TD4" s="11"/>
      <c r="TE4" s="11"/>
      <c r="TF4" s="11"/>
      <c r="TG4" s="11"/>
      <c r="TH4" s="11"/>
      <c r="TI4" s="11"/>
      <c r="TJ4" s="11"/>
      <c r="TK4" s="11"/>
      <c r="TL4" s="11"/>
      <c r="TM4" s="11"/>
      <c r="TN4" s="11"/>
      <c r="TO4" s="11"/>
      <c r="TP4" s="11"/>
      <c r="TQ4" s="11"/>
      <c r="TR4" s="11"/>
      <c r="TS4" s="11"/>
      <c r="TT4" s="11"/>
      <c r="TU4" s="11"/>
      <c r="TV4" s="11"/>
      <c r="TW4" s="11"/>
      <c r="TX4" s="11"/>
      <c r="TY4" s="11"/>
      <c r="TZ4" s="11"/>
      <c r="UA4" s="11"/>
      <c r="UB4" s="11"/>
      <c r="UC4" s="11"/>
      <c r="UD4" s="11"/>
      <c r="UE4" s="11"/>
      <c r="UF4" s="11"/>
      <c r="UG4" s="11"/>
      <c r="UH4" s="11"/>
      <c r="UI4" s="11"/>
      <c r="UJ4" s="11"/>
      <c r="UK4" s="11"/>
      <c r="UL4" s="11"/>
      <c r="UM4" s="11"/>
      <c r="UN4" s="11"/>
      <c r="UO4" s="11"/>
      <c r="UP4" s="11"/>
      <c r="UQ4" s="11"/>
      <c r="UR4" s="11"/>
      <c r="US4" s="11"/>
      <c r="UT4" s="11"/>
      <c r="UU4" s="11"/>
      <c r="UV4" s="11"/>
      <c r="UW4" s="11"/>
      <c r="UX4" s="11"/>
      <c r="UY4" s="11"/>
      <c r="UZ4" s="11"/>
      <c r="VA4" s="11"/>
      <c r="VB4" s="11"/>
      <c r="VC4" s="11"/>
      <c r="VD4" s="11"/>
      <c r="VE4" s="11"/>
      <c r="VF4" s="11"/>
      <c r="VG4" s="11"/>
      <c r="VH4" s="11"/>
      <c r="VI4" s="11"/>
      <c r="VJ4" s="11"/>
      <c r="VK4" s="11"/>
      <c r="VL4" s="11"/>
      <c r="VM4" s="11"/>
      <c r="VN4" s="11"/>
      <c r="VO4" s="11"/>
      <c r="VP4" s="11"/>
      <c r="VQ4" s="11"/>
      <c r="VR4" s="11"/>
      <c r="VS4" s="11"/>
      <c r="VT4" s="11"/>
      <c r="VU4" s="11"/>
      <c r="VV4" s="11"/>
      <c r="VW4" s="11"/>
      <c r="VX4" s="11"/>
      <c r="VY4" s="11"/>
      <c r="VZ4" s="11"/>
      <c r="WA4" s="11"/>
      <c r="WB4" s="11"/>
      <c r="WC4" s="11"/>
      <c r="WD4" s="11"/>
      <c r="WE4" s="11"/>
      <c r="WF4" s="11"/>
      <c r="WG4" s="11"/>
      <c r="WH4" s="11"/>
      <c r="WI4" s="11"/>
      <c r="WJ4" s="11"/>
      <c r="WK4" s="11"/>
      <c r="WL4" s="11"/>
      <c r="WM4" s="11"/>
      <c r="WN4" s="11"/>
      <c r="WO4" s="11"/>
      <c r="WP4" s="11"/>
      <c r="WQ4" s="11"/>
      <c r="WR4" s="11"/>
      <c r="WS4" s="11"/>
      <c r="WT4" s="11"/>
      <c r="WU4" s="11"/>
      <c r="WV4" s="11"/>
      <c r="WW4" s="11"/>
      <c r="WX4" s="11"/>
      <c r="WY4" s="11"/>
      <c r="WZ4" s="11"/>
      <c r="XA4" s="11"/>
      <c r="XB4" s="11"/>
      <c r="XC4" s="11"/>
      <c r="XD4" s="11"/>
      <c r="XE4" s="11"/>
      <c r="XF4" s="11"/>
      <c r="XG4" s="11"/>
      <c r="XH4" s="11"/>
      <c r="XI4" s="11"/>
      <c r="XJ4" s="11"/>
      <c r="XK4" s="11"/>
      <c r="XL4" s="11"/>
      <c r="XM4" s="11"/>
      <c r="XN4" s="11"/>
      <c r="XO4" s="11"/>
      <c r="XP4" s="11"/>
      <c r="XQ4" s="11"/>
      <c r="XR4" s="11"/>
      <c r="XS4" s="11"/>
      <c r="XT4" s="11"/>
      <c r="XU4" s="11"/>
      <c r="XV4" s="11"/>
      <c r="XW4" s="11"/>
      <c r="XX4" s="11"/>
      <c r="XY4" s="11"/>
      <c r="XZ4" s="11"/>
      <c r="YA4" s="11"/>
      <c r="YB4" s="11"/>
      <c r="YC4" s="11"/>
      <c r="YD4" s="11"/>
      <c r="YE4" s="11"/>
      <c r="YF4" s="11"/>
      <c r="YG4" s="11"/>
      <c r="YH4" s="11"/>
      <c r="YI4" s="11"/>
      <c r="YJ4" s="11"/>
      <c r="YK4" s="11"/>
      <c r="YL4" s="11"/>
      <c r="YM4" s="11"/>
      <c r="YN4" s="11"/>
      <c r="YO4" s="11"/>
      <c r="YP4" s="11"/>
      <c r="YQ4" s="11"/>
      <c r="YR4" s="11"/>
      <c r="YS4" s="11"/>
      <c r="YT4" s="11"/>
      <c r="YU4" s="11"/>
      <c r="YV4" s="11"/>
      <c r="YW4" s="11"/>
      <c r="YX4" s="11"/>
      <c r="YY4" s="11"/>
      <c r="YZ4" s="11"/>
      <c r="ZA4" s="11"/>
      <c r="ZB4" s="11"/>
      <c r="ZC4" s="11"/>
      <c r="ZD4" s="11"/>
      <c r="ZE4" s="11"/>
      <c r="ZF4" s="11"/>
      <c r="ZG4" s="11"/>
      <c r="ZH4" s="11"/>
      <c r="ZI4" s="11"/>
      <c r="ZJ4" s="11"/>
      <c r="ZK4" s="11"/>
      <c r="ZL4" s="11"/>
      <c r="ZM4" s="11"/>
      <c r="ZN4" s="11"/>
      <c r="ZO4" s="11"/>
      <c r="ZP4" s="11"/>
      <c r="ZQ4" s="11"/>
      <c r="ZR4" s="11"/>
      <c r="ZS4" s="11"/>
      <c r="ZT4" s="11"/>
      <c r="ZU4" s="11"/>
      <c r="ZV4" s="11"/>
      <c r="ZW4" s="11"/>
      <c r="ZX4" s="11"/>
      <c r="ZY4" s="11"/>
      <c r="ZZ4" s="11"/>
      <c r="AAA4" s="11"/>
      <c r="AAB4" s="11"/>
      <c r="AAC4" s="11"/>
      <c r="AAD4" s="11"/>
      <c r="AAE4" s="11"/>
      <c r="AAF4" s="11"/>
      <c r="AAG4" s="11"/>
      <c r="AAH4" s="11"/>
      <c r="AAI4" s="11"/>
      <c r="AAJ4" s="11"/>
      <c r="AAK4" s="11"/>
      <c r="AAL4" s="11"/>
      <c r="AAM4" s="11"/>
      <c r="AAN4" s="11"/>
      <c r="AAO4" s="11"/>
      <c r="AAP4" s="11"/>
      <c r="AAQ4" s="11"/>
      <c r="AAR4" s="11"/>
      <c r="AAS4" s="11"/>
      <c r="AAT4" s="11"/>
      <c r="AAU4" s="11"/>
      <c r="AAV4" s="11"/>
      <c r="AAW4" s="11"/>
      <c r="AAX4" s="11"/>
      <c r="AAY4" s="11"/>
      <c r="AAZ4" s="11"/>
      <c r="ABA4" s="11"/>
      <c r="ABB4" s="11"/>
      <c r="ABC4" s="11"/>
      <c r="ABD4" s="11"/>
      <c r="ABE4" s="11"/>
      <c r="ABF4" s="11"/>
      <c r="ABG4" s="11"/>
      <c r="ABH4" s="11"/>
      <c r="ABI4" s="11"/>
      <c r="ABJ4" s="11"/>
      <c r="ABK4" s="11"/>
      <c r="ABL4" s="11"/>
      <c r="ABM4" s="11"/>
      <c r="ABN4" s="11"/>
      <c r="ABO4" s="11"/>
      <c r="ABP4" s="11"/>
      <c r="ABQ4" s="11"/>
      <c r="ABR4" s="11"/>
      <c r="ABS4" s="11"/>
      <c r="ABT4" s="11"/>
      <c r="ABU4" s="11"/>
      <c r="ABV4" s="11"/>
      <c r="ABW4" s="11"/>
      <c r="ABX4" s="11"/>
      <c r="ABY4" s="11"/>
      <c r="ABZ4" s="11"/>
      <c r="ACA4" s="11"/>
      <c r="ACB4" s="11"/>
      <c r="ACC4" s="11"/>
      <c r="ACD4" s="11"/>
      <c r="ACE4" s="11"/>
      <c r="ACF4" s="11"/>
      <c r="ACG4" s="11"/>
      <c r="ACH4" s="11"/>
      <c r="ACI4" s="11"/>
      <c r="ACJ4" s="11"/>
      <c r="ACK4" s="11"/>
      <c r="ACL4" s="11"/>
      <c r="ACM4" s="11"/>
      <c r="ACN4" s="11"/>
      <c r="ACO4" s="11"/>
      <c r="ACP4" s="11"/>
      <c r="ACQ4" s="11"/>
      <c r="ACR4" s="11"/>
      <c r="ACS4" s="11"/>
      <c r="ACT4" s="11"/>
      <c r="ACU4" s="11"/>
      <c r="ACV4" s="11"/>
      <c r="ACW4" s="11"/>
      <c r="ACX4" s="11"/>
      <c r="ACY4" s="11"/>
      <c r="ACZ4" s="11"/>
      <c r="ADA4" s="11"/>
      <c r="ADB4" s="11"/>
      <c r="ADC4" s="11"/>
      <c r="ADD4" s="11"/>
      <c r="ADE4" s="11"/>
      <c r="ADF4" s="11"/>
      <c r="ADG4" s="11"/>
      <c r="ADH4" s="11"/>
      <c r="ADI4" s="11"/>
      <c r="ADJ4" s="11"/>
      <c r="ADK4" s="11"/>
      <c r="ADL4" s="11"/>
      <c r="ADM4" s="11"/>
      <c r="ADN4" s="11"/>
      <c r="ADO4" s="11"/>
      <c r="ADP4" s="11"/>
      <c r="ADQ4" s="11"/>
      <c r="ADR4" s="11"/>
      <c r="ADS4" s="11"/>
      <c r="ADT4" s="11"/>
      <c r="ADU4" s="11"/>
      <c r="ADV4" s="11"/>
      <c r="ADW4" s="11"/>
      <c r="ADX4" s="11"/>
      <c r="ADY4" s="11"/>
      <c r="ADZ4" s="11"/>
      <c r="AEA4" s="11"/>
      <c r="AEB4" s="11"/>
      <c r="AEC4" s="11"/>
      <c r="AED4" s="11"/>
      <c r="AEE4" s="11"/>
      <c r="AEF4" s="11"/>
      <c r="AEG4" s="11"/>
      <c r="AEH4" s="11"/>
      <c r="AEI4" s="11"/>
      <c r="AEJ4" s="11"/>
      <c r="AEK4" s="11"/>
      <c r="AEL4" s="11"/>
      <c r="AEM4" s="11"/>
      <c r="AEN4" s="11"/>
      <c r="AEO4" s="11"/>
      <c r="AEP4" s="11"/>
      <c r="AEQ4" s="11"/>
      <c r="AER4" s="11"/>
      <c r="AES4" s="11"/>
      <c r="AET4" s="11"/>
      <c r="AEU4" s="11"/>
      <c r="AEV4" s="11"/>
      <c r="AEW4" s="11"/>
      <c r="AEX4" s="11"/>
      <c r="AEY4" s="11"/>
      <c r="AEZ4" s="11"/>
      <c r="AFA4" s="11"/>
      <c r="AFB4" s="11"/>
      <c r="AFC4" s="11"/>
      <c r="AFD4" s="11"/>
      <c r="AFE4" s="11"/>
      <c r="AFF4" s="11"/>
      <c r="AFG4" s="11"/>
      <c r="AFH4" s="11"/>
      <c r="AFI4" s="11"/>
      <c r="AFJ4" s="11"/>
      <c r="AFK4" s="11"/>
      <c r="AFL4" s="11"/>
      <c r="AFM4" s="11"/>
      <c r="AFN4" s="11"/>
      <c r="AFO4" s="11"/>
      <c r="AFP4" s="11"/>
      <c r="AFQ4" s="11"/>
      <c r="AFR4" s="11"/>
      <c r="AFS4" s="11"/>
      <c r="AFT4" s="11"/>
      <c r="AFU4" s="11"/>
      <c r="AFV4" s="11"/>
      <c r="AFW4" s="11"/>
      <c r="AFX4" s="11"/>
      <c r="AFY4" s="11"/>
      <c r="AFZ4" s="11"/>
      <c r="AGA4" s="11"/>
      <c r="AGB4" s="11"/>
      <c r="AGC4" s="11"/>
      <c r="AGD4" s="11"/>
      <c r="AGE4" s="11"/>
      <c r="AGF4" s="11"/>
      <c r="AGG4" s="11"/>
      <c r="AGH4" s="11"/>
      <c r="AGI4" s="11"/>
      <c r="AGJ4" s="11"/>
      <c r="AGK4" s="11"/>
      <c r="AGL4" s="11"/>
      <c r="AGM4" s="11"/>
      <c r="AGN4" s="11"/>
      <c r="AGO4" s="11"/>
      <c r="AGP4" s="11"/>
      <c r="AGQ4" s="11"/>
      <c r="AGR4" s="11"/>
      <c r="AGS4" s="11"/>
      <c r="AGT4" s="11"/>
      <c r="AGU4" s="11"/>
      <c r="AGV4" s="11"/>
      <c r="AGW4" s="11"/>
      <c r="AGX4" s="11"/>
      <c r="AGY4" s="11"/>
      <c r="AGZ4" s="11"/>
      <c r="AHA4" s="11"/>
      <c r="AHB4" s="11"/>
      <c r="AHC4" s="11"/>
      <c r="AHD4" s="11"/>
      <c r="AHE4" s="11"/>
      <c r="AHF4" s="11"/>
      <c r="AHG4" s="11"/>
      <c r="AHH4" s="11"/>
      <c r="AHI4" s="11"/>
      <c r="AHJ4" s="11"/>
      <c r="AHK4" s="11"/>
      <c r="AHL4" s="11"/>
      <c r="AHM4" s="11"/>
      <c r="AHN4" s="11"/>
      <c r="AHO4" s="11"/>
      <c r="AHP4" s="11"/>
      <c r="AHQ4" s="11"/>
      <c r="AHR4" s="11"/>
      <c r="AHS4" s="11"/>
      <c r="AHT4" s="11"/>
      <c r="AHU4" s="11"/>
      <c r="AHV4" s="11"/>
      <c r="AHW4" s="11"/>
      <c r="AHX4" s="11"/>
      <c r="AHY4" s="11"/>
      <c r="AHZ4" s="11"/>
      <c r="AIA4" s="11"/>
      <c r="AIB4" s="11"/>
      <c r="AIC4" s="11"/>
      <c r="AID4" s="11"/>
      <c r="AIE4" s="11"/>
      <c r="AIF4" s="11"/>
      <c r="AIG4" s="11"/>
      <c r="AIH4" s="11"/>
      <c r="AII4" s="11"/>
      <c r="AIJ4" s="11"/>
      <c r="AIK4" s="11"/>
      <c r="AIL4" s="11"/>
      <c r="AIM4" s="11"/>
      <c r="AIN4" s="11"/>
      <c r="AIO4" s="11"/>
      <c r="AIP4" s="11"/>
      <c r="AIQ4" s="11"/>
      <c r="AIR4" s="11"/>
      <c r="AIS4" s="11"/>
      <c r="AIT4" s="11"/>
      <c r="AIU4" s="11"/>
      <c r="AIV4" s="11"/>
      <c r="AIW4" s="11"/>
      <c r="AIX4" s="11"/>
      <c r="AIY4" s="11"/>
      <c r="AIZ4" s="11"/>
      <c r="AJA4" s="11"/>
      <c r="AJB4" s="11"/>
      <c r="AJC4" s="11"/>
      <c r="AJD4" s="11"/>
      <c r="AJE4" s="11"/>
      <c r="AJF4" s="11"/>
      <c r="AJG4" s="11"/>
      <c r="AJH4" s="11"/>
      <c r="AJI4" s="11"/>
      <c r="AJJ4" s="11"/>
      <c r="AJK4" s="11"/>
      <c r="AJL4" s="11"/>
      <c r="AJM4" s="11"/>
      <c r="AJN4" s="11"/>
      <c r="AJO4" s="11"/>
      <c r="AJP4" s="11"/>
      <c r="AJQ4" s="11"/>
      <c r="AJR4" s="11"/>
      <c r="AJS4" s="11"/>
      <c r="AJT4" s="11"/>
      <c r="AJU4" s="11"/>
      <c r="AJV4" s="11"/>
      <c r="AJW4" s="11"/>
      <c r="AJX4" s="11"/>
      <c r="AJY4" s="11"/>
      <c r="AJZ4" s="11"/>
      <c r="AKA4" s="11"/>
      <c r="AKB4" s="11"/>
      <c r="AKC4" s="11"/>
      <c r="AKD4" s="11"/>
      <c r="AKE4" s="11"/>
      <c r="AKF4" s="11"/>
      <c r="AKG4" s="11"/>
      <c r="AKH4" s="11"/>
      <c r="AKI4" s="11"/>
      <c r="AKJ4" s="11"/>
      <c r="AKK4" s="11"/>
      <c r="AKL4" s="11"/>
      <c r="AKM4" s="11"/>
      <c r="AKN4" s="11"/>
      <c r="AKO4" s="11"/>
      <c r="AKP4" s="11"/>
      <c r="AKQ4" s="11"/>
      <c r="AKR4" s="11"/>
      <c r="AKS4" s="11"/>
      <c r="AKT4" s="11"/>
      <c r="AKU4" s="11"/>
      <c r="AKV4" s="11"/>
      <c r="AKW4" s="11"/>
      <c r="AKX4" s="11"/>
    </row>
    <row r="5" spans="1:986" s="11" customFormat="1" ht="18.5" thickTop="1">
      <c r="A5" s="24" t="s">
        <v>5</v>
      </c>
      <c r="B5" s="25"/>
      <c r="C5" s="25"/>
      <c r="D5" s="25"/>
      <c r="E5" s="25"/>
      <c r="F5" s="25"/>
      <c r="G5" s="25"/>
      <c r="H5" s="25"/>
      <c r="I5" s="25"/>
      <c r="J5" s="25"/>
      <c r="K5" s="25"/>
      <c r="L5" s="25"/>
      <c r="M5" s="25"/>
      <c r="N5" s="25"/>
      <c r="O5" s="25"/>
      <c r="P5" s="25"/>
      <c r="Q5" s="25"/>
      <c r="R5" s="25"/>
      <c r="S5" s="25"/>
      <c r="T5" s="25"/>
      <c r="U5" s="25"/>
      <c r="V5" s="25"/>
      <c r="W5" s="25"/>
      <c r="X5" s="25"/>
      <c r="Y5" s="25"/>
      <c r="Z5" s="26"/>
      <c r="AA5" s="24"/>
      <c r="AB5" s="25"/>
      <c r="AC5" s="25"/>
      <c r="AD5" s="25"/>
      <c r="AE5" s="25"/>
      <c r="AF5" s="25"/>
      <c r="AG5" s="25"/>
      <c r="AH5" s="25"/>
      <c r="AI5" s="25"/>
      <c r="AJ5" s="25"/>
      <c r="AK5" s="25"/>
      <c r="AL5" s="25"/>
      <c r="AM5" s="25"/>
      <c r="AN5" s="25"/>
      <c r="AO5" s="25"/>
      <c r="AP5" s="25"/>
      <c r="AQ5" s="25"/>
      <c r="AR5" s="25"/>
      <c r="AS5" s="25"/>
      <c r="AT5" s="25"/>
      <c r="AU5" s="25"/>
      <c r="AV5" s="25"/>
      <c r="AW5" s="25"/>
      <c r="AX5" s="25"/>
      <c r="AY5" s="25"/>
      <c r="AZ5" s="224"/>
      <c r="BA5" s="14"/>
      <c r="BB5" s="226"/>
      <c r="BC5" s="225"/>
    </row>
    <row r="6" spans="1:986" s="11" customFormat="1" ht="18">
      <c r="A6" s="227" t="s">
        <v>6</v>
      </c>
      <c r="B6" s="228"/>
      <c r="C6" s="228"/>
      <c r="D6" s="228"/>
      <c r="E6" s="228"/>
      <c r="F6" s="228"/>
      <c r="G6" s="228"/>
      <c r="H6" s="228"/>
      <c r="I6" s="228"/>
      <c r="J6" s="228"/>
      <c r="K6" s="228"/>
      <c r="L6" s="228"/>
      <c r="M6" s="228"/>
      <c r="N6" s="228"/>
      <c r="O6" s="228"/>
      <c r="P6" s="228"/>
      <c r="Q6" s="228"/>
      <c r="R6" s="228"/>
      <c r="S6" s="228"/>
      <c r="T6" s="228"/>
      <c r="U6" s="228"/>
      <c r="V6" s="228"/>
      <c r="W6" s="228"/>
      <c r="X6" s="228"/>
      <c r="Y6" s="228"/>
      <c r="Z6" s="311"/>
      <c r="AA6" s="227"/>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BA6" s="228"/>
      <c r="BB6" s="229"/>
    </row>
    <row r="7" spans="1:986" s="11" customFormat="1">
      <c r="A7" s="13" t="s">
        <v>138</v>
      </c>
      <c r="B7" s="15"/>
      <c r="C7" s="15"/>
      <c r="D7" s="15"/>
      <c r="E7" s="15"/>
      <c r="F7" s="15"/>
      <c r="G7" s="15"/>
      <c r="H7" s="15"/>
      <c r="I7" s="15"/>
      <c r="J7" s="15"/>
      <c r="K7" s="15"/>
      <c r="L7" s="15"/>
      <c r="M7" s="15"/>
      <c r="N7" s="15"/>
      <c r="O7" s="15"/>
      <c r="P7" s="15"/>
      <c r="Q7" s="15"/>
      <c r="R7" s="15"/>
      <c r="S7" s="15"/>
      <c r="T7" s="15"/>
      <c r="U7" s="15"/>
      <c r="V7" s="15"/>
      <c r="W7" s="15"/>
      <c r="X7" s="15"/>
      <c r="Y7" s="15"/>
      <c r="Z7" s="27"/>
      <c r="AA7" s="13"/>
      <c r="AB7" s="15"/>
      <c r="AC7" s="15"/>
      <c r="AD7" s="15"/>
      <c r="AE7" s="15"/>
      <c r="AF7" s="15"/>
      <c r="AG7" s="15"/>
      <c r="AH7" s="15"/>
      <c r="AI7" s="15"/>
      <c r="AJ7" s="15"/>
      <c r="AK7" s="15"/>
      <c r="AL7" s="15"/>
      <c r="AM7" s="15"/>
      <c r="AN7" s="15"/>
      <c r="AO7" s="15"/>
      <c r="AP7" s="15"/>
      <c r="AQ7" s="15"/>
      <c r="AR7" s="15"/>
      <c r="AS7" s="15"/>
      <c r="AT7" s="15"/>
      <c r="AU7" s="15"/>
      <c r="AV7" s="15"/>
      <c r="AW7" s="15"/>
      <c r="AX7" s="15"/>
      <c r="AY7" s="15"/>
      <c r="AZ7" s="230"/>
      <c r="BA7" s="15"/>
      <c r="BB7" s="231"/>
      <c r="BC7" s="230"/>
      <c r="BE7" s="11" t="s">
        <v>271</v>
      </c>
      <c r="BF7" s="11" t="s">
        <v>272</v>
      </c>
      <c r="BG7" s="232" t="s">
        <v>273</v>
      </c>
    </row>
    <row r="8" spans="1:986">
      <c r="A8" s="28" t="str">
        <f>Costs!A8</f>
        <v>Purchasing 1</v>
      </c>
      <c r="B8" s="865"/>
      <c r="C8" s="865"/>
      <c r="D8" s="865"/>
      <c r="E8" s="313"/>
      <c r="F8" s="313"/>
      <c r="G8" s="313"/>
      <c r="H8" s="313"/>
      <c r="I8" s="313"/>
      <c r="J8" s="313"/>
      <c r="K8" s="313"/>
      <c r="L8" s="313"/>
      <c r="M8" s="313"/>
      <c r="N8" s="313"/>
      <c r="O8" s="313"/>
      <c r="P8" s="313"/>
      <c r="Q8" s="313"/>
      <c r="R8" s="313"/>
      <c r="S8" s="313"/>
      <c r="T8" s="313"/>
      <c r="U8" s="313"/>
      <c r="V8" s="313"/>
      <c r="W8" s="313"/>
      <c r="X8" s="313"/>
      <c r="Y8" s="313"/>
      <c r="Z8" s="314"/>
      <c r="AA8" s="315">
        <f>IF(AA$225&lt;=time,B8*Costs!AH8,"")</f>
        <v>0</v>
      </c>
      <c r="AB8" s="316">
        <f>IF(AB$225&lt;=time,C8*Costs!AI8,"")</f>
        <v>0</v>
      </c>
      <c r="AC8" s="316">
        <f>IF(AC$225&lt;=time,D8*Costs!AJ8,"")</f>
        <v>0</v>
      </c>
      <c r="AD8" s="316">
        <f>IF(AD$225&lt;=time,E8*Costs!AK8,"")</f>
        <v>0</v>
      </c>
      <c r="AE8" s="316">
        <f>IF(AE$225&lt;=time,F8*Costs!AL8,"")</f>
        <v>0</v>
      </c>
      <c r="AF8" s="316" t="str">
        <f>IF(AF$225&lt;=time,G8*Costs!AM8,"")</f>
        <v/>
      </c>
      <c r="AG8" s="316" t="str">
        <f>IF(AG$225&lt;=time,H8*Costs!AN8,"")</f>
        <v/>
      </c>
      <c r="AH8" s="316" t="str">
        <f>IF(AH$225&lt;=time,I8*Costs!AO8,"")</f>
        <v/>
      </c>
      <c r="AI8" s="316" t="str">
        <f>IF(AI$225&lt;=time,J8*Costs!AP8,"")</f>
        <v/>
      </c>
      <c r="AJ8" s="316" t="str">
        <f>IF(AJ$225&lt;=time,K8*Costs!AQ8,"")</f>
        <v/>
      </c>
      <c r="AK8" s="316" t="str">
        <f>IF(AK$225&lt;=time,L8*Costs!AR8,"")</f>
        <v/>
      </c>
      <c r="AL8" s="316" t="str">
        <f>IF(AL$225&lt;=time,M8*Costs!AS8,"")</f>
        <v/>
      </c>
      <c r="AM8" s="316" t="str">
        <f>IF(AM$225&lt;=time,N8*Costs!AT8,"")</f>
        <v/>
      </c>
      <c r="AN8" s="316" t="str">
        <f>IF(AN$225&lt;=time,O8*Costs!AU8,"")</f>
        <v/>
      </c>
      <c r="AO8" s="316" t="str">
        <f>IF(AO$225&lt;=time,P8*Costs!AV8,"")</f>
        <v/>
      </c>
      <c r="AP8" s="316" t="str">
        <f>IF(AP$225&lt;=time,Q8*Costs!AW8,"")</f>
        <v/>
      </c>
      <c r="AQ8" s="316" t="str">
        <f>IF(AQ$225&lt;=time,R8*Costs!AX8,"")</f>
        <v/>
      </c>
      <c r="AR8" s="316" t="str">
        <f>IF(AR$225&lt;=time,S8*Costs!AY8,"")</f>
        <v/>
      </c>
      <c r="AS8" s="316" t="str">
        <f>IF(AS$225&lt;=time,T8*Costs!AZ8,"")</f>
        <v/>
      </c>
      <c r="AT8" s="316" t="str">
        <f>IF(AT$225&lt;=time,U8*Costs!BA8,"")</f>
        <v/>
      </c>
      <c r="AU8" s="316" t="str">
        <f>IF(AU$225&lt;=time,V8*Costs!BB8,"")</f>
        <v/>
      </c>
      <c r="AV8" s="316" t="str">
        <f>IF(AV$225&lt;=time,W8*Costs!BC8,"")</f>
        <v/>
      </c>
      <c r="AW8" s="316" t="str">
        <f>IF(AW$225&lt;=time,X8*Costs!BD8,"")</f>
        <v/>
      </c>
      <c r="AX8" s="316" t="str">
        <f>IF(AX$225&lt;=time,Y8*Costs!BE8,"")</f>
        <v/>
      </c>
      <c r="AY8" s="316" t="str">
        <f>IF(AY$225&lt;=time,Z8*Costs!BF8,"")</f>
        <v/>
      </c>
      <c r="AZ8" s="317">
        <f t="array" ref="AZ8">(SUM( IF(ISERROR(AA8:AY8),"", AA8:AY8)))/time</f>
        <v>0</v>
      </c>
      <c r="BA8" s="317">
        <f>IF(BH8&gt;0,IF(AZ8-BG8&gt;0,AZ8-BG8,0), AZ8)</f>
        <v>0</v>
      </c>
      <c r="BB8" s="318">
        <f>IF(BH8&gt;0,AZ8+BG8,AZ8)</f>
        <v>0</v>
      </c>
      <c r="BC8" s="319">
        <v>1</v>
      </c>
      <c r="BE8" s="208" t="e">
        <f t="array" ref="BE8">STDEV(IF(AA8:AY8&lt;&gt;0,AA8:AY8))</f>
        <v>#DIV/0!</v>
      </c>
      <c r="BF8" s="208">
        <v>1.96</v>
      </c>
      <c r="BG8" s="208" t="e">
        <f>(BF8*BE8)/(time^0.5)</f>
        <v>#DIV/0!</v>
      </c>
      <c r="BH8" s="208">
        <f>IFERROR(BE8,0)</f>
        <v>0</v>
      </c>
    </row>
    <row r="9" spans="1:986" hidden="1">
      <c r="A9" s="312" t="str">
        <f>Costs!A9</f>
        <v>Purchasing 2</v>
      </c>
      <c r="B9" s="313"/>
      <c r="C9" s="313"/>
      <c r="D9" s="313"/>
      <c r="E9" s="313"/>
      <c r="F9" s="313"/>
      <c r="G9" s="313"/>
      <c r="H9" s="313"/>
      <c r="I9" s="313"/>
      <c r="J9" s="313"/>
      <c r="K9" s="313"/>
      <c r="L9" s="313"/>
      <c r="M9" s="313"/>
      <c r="N9" s="313"/>
      <c r="O9" s="313"/>
      <c r="P9" s="313"/>
      <c r="Q9" s="313"/>
      <c r="R9" s="313"/>
      <c r="S9" s="313"/>
      <c r="T9" s="313"/>
      <c r="U9" s="313"/>
      <c r="V9" s="313"/>
      <c r="W9" s="313"/>
      <c r="X9" s="313"/>
      <c r="Y9" s="313"/>
      <c r="Z9" s="314"/>
      <c r="AA9" s="315">
        <f>IF(AA$225&lt;=time,B9*Costs!AH9,"")</f>
        <v>0</v>
      </c>
      <c r="AB9" s="316">
        <f>IF(AB$225&lt;=time,C9*Costs!AI9,"")</f>
        <v>0</v>
      </c>
      <c r="AC9" s="316">
        <f>IF(AC$225&lt;=time,D9*Costs!AJ9,"")</f>
        <v>0</v>
      </c>
      <c r="AD9" s="316">
        <f>IF(AD$225&lt;=time,E9*Costs!AK9,"")</f>
        <v>0</v>
      </c>
      <c r="AE9" s="316">
        <f>IF(AE$225&lt;=time,F9*Costs!AL9,"")</f>
        <v>0</v>
      </c>
      <c r="AF9" s="316" t="str">
        <f>IF(AF$225&lt;=time,G9*Costs!AM9,"")</f>
        <v/>
      </c>
      <c r="AG9" s="316" t="str">
        <f>IF(AG$225&lt;=time,H9*Costs!AN9,"")</f>
        <v/>
      </c>
      <c r="AH9" s="316" t="str">
        <f>IF(AH$225&lt;=time,I9*Costs!AO9,"")</f>
        <v/>
      </c>
      <c r="AI9" s="316" t="str">
        <f>IF(AI$225&lt;=time,J9*Costs!AP9,"")</f>
        <v/>
      </c>
      <c r="AJ9" s="316" t="str">
        <f>IF(AJ$225&lt;=time,K9*Costs!AQ9,"")</f>
        <v/>
      </c>
      <c r="AK9" s="316" t="str">
        <f>IF(AK$225&lt;=time,L9*Costs!AR9,"")</f>
        <v/>
      </c>
      <c r="AL9" s="316" t="str">
        <f>IF(AL$225&lt;=time,M9*Costs!AS9,"")</f>
        <v/>
      </c>
      <c r="AM9" s="316" t="str">
        <f>IF(AM$225&lt;=time,N9*Costs!AT9,"")</f>
        <v/>
      </c>
      <c r="AN9" s="316" t="str">
        <f>IF(AN$225&lt;=time,O9*Costs!AU9,"")</f>
        <v/>
      </c>
      <c r="AO9" s="316" t="str">
        <f>IF(AO$225&lt;=time,P9*Costs!AV9,"")</f>
        <v/>
      </c>
      <c r="AP9" s="316" t="str">
        <f>IF(AP$225&lt;=time,Q9*Costs!AW9,"")</f>
        <v/>
      </c>
      <c r="AQ9" s="316" t="str">
        <f>IF(AQ$225&lt;=time,R9*Costs!AX9,"")</f>
        <v/>
      </c>
      <c r="AR9" s="316" t="str">
        <f>IF(AR$225&lt;=time,S9*Costs!AY9,"")</f>
        <v/>
      </c>
      <c r="AS9" s="316" t="str">
        <f>IF(AS$225&lt;=time,T9*Costs!AZ9,"")</f>
        <v/>
      </c>
      <c r="AT9" s="316" t="str">
        <f>IF(AT$225&lt;=time,U9*Costs!BA9,"")</f>
        <v/>
      </c>
      <c r="AU9" s="316" t="str">
        <f>IF(AU$225&lt;=time,V9*Costs!BB9,"")</f>
        <v/>
      </c>
      <c r="AV9" s="316" t="str">
        <f>IF(AV$225&lt;=time,W9*Costs!BC9,"")</f>
        <v/>
      </c>
      <c r="AW9" s="316" t="str">
        <f>IF(AW$225&lt;=time,X9*Costs!BD9,"")</f>
        <v/>
      </c>
      <c r="AX9" s="316" t="str">
        <f>IF(AX$225&lt;=time,Y9*Costs!BE9,"")</f>
        <v/>
      </c>
      <c r="AY9" s="316" t="str">
        <f>IF(AY$225&lt;=time,Z9*Costs!BF9,"")</f>
        <v/>
      </c>
      <c r="AZ9" s="317">
        <f t="array" ref="AZ9">(SUM( IF(ISERROR(AA9:AY9),"", AA9:AY9)))/time</f>
        <v>0</v>
      </c>
      <c r="BA9" s="317">
        <f t="shared" ref="BA9:BA72" si="0">IF(BH9&gt;0,IF(AZ9-BG9&gt;0,AZ9-BG9,0), AZ9)</f>
        <v>0</v>
      </c>
      <c r="BB9" s="318">
        <f t="shared" ref="BB9:BB17" si="1">IF(BH9&gt;0,AZ9+BG9,AZ9)</f>
        <v>0</v>
      </c>
      <c r="BC9" s="319">
        <v>2</v>
      </c>
      <c r="BE9" s="208" t="e">
        <f t="array" ref="BE9">STDEV(IF(AA9:AY9&lt;&gt;0,AA9:AY9))</f>
        <v>#DIV/0!</v>
      </c>
      <c r="BF9" s="208">
        <v>1.96</v>
      </c>
      <c r="BG9" s="208" t="e">
        <f t="shared" ref="BG9:BG17" si="2">(BF9*BE9)/(time^0.5)</f>
        <v>#DIV/0!</v>
      </c>
      <c r="BH9" s="208">
        <f t="shared" ref="BH9:BH17" si="3">IFERROR(BE9,0)</f>
        <v>0</v>
      </c>
    </row>
    <row r="10" spans="1:986" hidden="1">
      <c r="A10" s="312" t="str">
        <f>Costs!A10</f>
        <v>Purchasing 3</v>
      </c>
      <c r="B10" s="313"/>
      <c r="C10" s="313"/>
      <c r="D10" s="313"/>
      <c r="E10" s="313"/>
      <c r="F10" s="313"/>
      <c r="G10" s="313"/>
      <c r="H10" s="313"/>
      <c r="I10" s="313"/>
      <c r="J10" s="313"/>
      <c r="K10" s="313"/>
      <c r="L10" s="313"/>
      <c r="M10" s="313"/>
      <c r="N10" s="313"/>
      <c r="O10" s="313"/>
      <c r="P10" s="313"/>
      <c r="Q10" s="313"/>
      <c r="R10" s="313"/>
      <c r="S10" s="313"/>
      <c r="T10" s="313"/>
      <c r="U10" s="313"/>
      <c r="V10" s="313"/>
      <c r="W10" s="313"/>
      <c r="X10" s="313"/>
      <c r="Y10" s="313"/>
      <c r="Z10" s="314"/>
      <c r="AA10" s="315">
        <f>IF(AA$225&lt;=time,B10*Costs!AH10,"")</f>
        <v>0</v>
      </c>
      <c r="AB10" s="316">
        <f>IF(AB$225&lt;=time,C10*Costs!AI10,"")</f>
        <v>0</v>
      </c>
      <c r="AC10" s="316">
        <f>IF(AC$225&lt;=time,D10*Costs!AJ10,"")</f>
        <v>0</v>
      </c>
      <c r="AD10" s="316">
        <f>IF(AD$225&lt;=time,E10*Costs!AK10,"")</f>
        <v>0</v>
      </c>
      <c r="AE10" s="316">
        <f>IF(AE$225&lt;=time,F10*Costs!AL10,"")</f>
        <v>0</v>
      </c>
      <c r="AF10" s="316" t="str">
        <f>IF(AF$225&lt;=time,G10*Costs!AM10,"")</f>
        <v/>
      </c>
      <c r="AG10" s="316" t="str">
        <f>IF(AG$225&lt;=time,H10*Costs!AN10,"")</f>
        <v/>
      </c>
      <c r="AH10" s="316" t="str">
        <f>IF(AH$225&lt;=time,I10*Costs!AO10,"")</f>
        <v/>
      </c>
      <c r="AI10" s="316" t="str">
        <f>IF(AI$225&lt;=time,J10*Costs!AP10,"")</f>
        <v/>
      </c>
      <c r="AJ10" s="316" t="str">
        <f>IF(AJ$225&lt;=time,K10*Costs!AQ10,"")</f>
        <v/>
      </c>
      <c r="AK10" s="316" t="str">
        <f>IF(AK$225&lt;=time,L10*Costs!AR10,"")</f>
        <v/>
      </c>
      <c r="AL10" s="316" t="str">
        <f>IF(AL$225&lt;=time,M10*Costs!AS10,"")</f>
        <v/>
      </c>
      <c r="AM10" s="316" t="str">
        <f>IF(AM$225&lt;=time,N10*Costs!AT10,"")</f>
        <v/>
      </c>
      <c r="AN10" s="316" t="str">
        <f>IF(AN$225&lt;=time,O10*Costs!AU10,"")</f>
        <v/>
      </c>
      <c r="AO10" s="316" t="str">
        <f>IF(AO$225&lt;=time,P10*Costs!AV10,"")</f>
        <v/>
      </c>
      <c r="AP10" s="316" t="str">
        <f>IF(AP$225&lt;=time,Q10*Costs!AW10,"")</f>
        <v/>
      </c>
      <c r="AQ10" s="316" t="str">
        <f>IF(AQ$225&lt;=time,R10*Costs!AX10,"")</f>
        <v/>
      </c>
      <c r="AR10" s="316" t="str">
        <f>IF(AR$225&lt;=time,S10*Costs!AY10,"")</f>
        <v/>
      </c>
      <c r="AS10" s="316" t="str">
        <f>IF(AS$225&lt;=time,T10*Costs!AZ10,"")</f>
        <v/>
      </c>
      <c r="AT10" s="316" t="str">
        <f>IF(AT$225&lt;=time,U10*Costs!BA10,"")</f>
        <v/>
      </c>
      <c r="AU10" s="316" t="str">
        <f>IF(AU$225&lt;=time,V10*Costs!BB10,"")</f>
        <v/>
      </c>
      <c r="AV10" s="316" t="str">
        <f>IF(AV$225&lt;=time,W10*Costs!BC10,"")</f>
        <v/>
      </c>
      <c r="AW10" s="316" t="str">
        <f>IF(AW$225&lt;=time,X10*Costs!BD10,"")</f>
        <v/>
      </c>
      <c r="AX10" s="316" t="str">
        <f>IF(AX$225&lt;=time,Y10*Costs!BE10,"")</f>
        <v/>
      </c>
      <c r="AY10" s="316" t="str">
        <f>IF(AY$225&lt;=time,Z10*Costs!BF10,"")</f>
        <v/>
      </c>
      <c r="AZ10" s="317">
        <f t="array" ref="AZ10">(SUM( IF(ISERROR(AA10:AY10),"", AA10:AY10)))/time</f>
        <v>0</v>
      </c>
      <c r="BA10" s="317">
        <f t="shared" si="0"/>
        <v>0</v>
      </c>
      <c r="BB10" s="318">
        <f t="shared" si="1"/>
        <v>0</v>
      </c>
      <c r="BC10" s="319">
        <v>3</v>
      </c>
      <c r="BE10" s="208" t="e">
        <f t="array" ref="BE10">STDEV(IF(AA10:AY10&lt;&gt;0,AA10:AY10))</f>
        <v>#DIV/0!</v>
      </c>
      <c r="BF10" s="208">
        <v>1.96</v>
      </c>
      <c r="BG10" s="208" t="e">
        <f t="shared" si="2"/>
        <v>#DIV/0!</v>
      </c>
      <c r="BH10" s="208">
        <f t="shared" si="3"/>
        <v>0</v>
      </c>
    </row>
    <row r="11" spans="1:986" hidden="1">
      <c r="A11" s="312" t="str">
        <f>Costs!A11</f>
        <v>Purchasing 4</v>
      </c>
      <c r="B11" s="313"/>
      <c r="C11" s="313"/>
      <c r="D11" s="313"/>
      <c r="E11" s="313"/>
      <c r="F11" s="313"/>
      <c r="G11" s="313"/>
      <c r="H11" s="313"/>
      <c r="I11" s="313"/>
      <c r="J11" s="313"/>
      <c r="K11" s="313"/>
      <c r="L11" s="313"/>
      <c r="M11" s="313"/>
      <c r="N11" s="313"/>
      <c r="O11" s="313"/>
      <c r="P11" s="313"/>
      <c r="Q11" s="313"/>
      <c r="R11" s="313"/>
      <c r="S11" s="313"/>
      <c r="T11" s="313"/>
      <c r="U11" s="313"/>
      <c r="V11" s="313"/>
      <c r="W11" s="313"/>
      <c r="X11" s="313"/>
      <c r="Y11" s="313"/>
      <c r="Z11" s="314"/>
      <c r="AA11" s="315">
        <f>IF(AA$225&lt;=time,B11*Costs!AH11,"")</f>
        <v>0</v>
      </c>
      <c r="AB11" s="316">
        <f>IF(AB$225&lt;=time,C11*Costs!AI11,"")</f>
        <v>0</v>
      </c>
      <c r="AC11" s="316">
        <f>IF(AC$225&lt;=time,D11*Costs!AJ11,"")</f>
        <v>0</v>
      </c>
      <c r="AD11" s="316">
        <f>IF(AD$225&lt;=time,E11*Costs!AK11,"")</f>
        <v>0</v>
      </c>
      <c r="AE11" s="316">
        <f>IF(AE$225&lt;=time,F11*Costs!AL11,"")</f>
        <v>0</v>
      </c>
      <c r="AF11" s="316" t="str">
        <f>IF(AF$225&lt;=time,G11*Costs!AM11,"")</f>
        <v/>
      </c>
      <c r="AG11" s="316" t="str">
        <f>IF(AG$225&lt;=time,H11*Costs!AN11,"")</f>
        <v/>
      </c>
      <c r="AH11" s="316" t="str">
        <f>IF(AH$225&lt;=time,I11*Costs!AO11,"")</f>
        <v/>
      </c>
      <c r="AI11" s="316" t="str">
        <f>IF(AI$225&lt;=time,J11*Costs!AP11,"")</f>
        <v/>
      </c>
      <c r="AJ11" s="316" t="str">
        <f>IF(AJ$225&lt;=time,K11*Costs!AQ11,"")</f>
        <v/>
      </c>
      <c r="AK11" s="316" t="str">
        <f>IF(AK$225&lt;=time,L11*Costs!AR11,"")</f>
        <v/>
      </c>
      <c r="AL11" s="316" t="str">
        <f>IF(AL$225&lt;=time,M11*Costs!AS11,"")</f>
        <v/>
      </c>
      <c r="AM11" s="316" t="str">
        <f>IF(AM$225&lt;=time,N11*Costs!AT11,"")</f>
        <v/>
      </c>
      <c r="AN11" s="316" t="str">
        <f>IF(AN$225&lt;=time,O11*Costs!AU11,"")</f>
        <v/>
      </c>
      <c r="AO11" s="316" t="str">
        <f>IF(AO$225&lt;=time,P11*Costs!AV11,"")</f>
        <v/>
      </c>
      <c r="AP11" s="316" t="str">
        <f>IF(AP$225&lt;=time,Q11*Costs!AW11,"")</f>
        <v/>
      </c>
      <c r="AQ11" s="316" t="str">
        <f>IF(AQ$225&lt;=time,R11*Costs!AX11,"")</f>
        <v/>
      </c>
      <c r="AR11" s="316" t="str">
        <f>IF(AR$225&lt;=time,S11*Costs!AY11,"")</f>
        <v/>
      </c>
      <c r="AS11" s="316" t="str">
        <f>IF(AS$225&lt;=time,T11*Costs!AZ11,"")</f>
        <v/>
      </c>
      <c r="AT11" s="316" t="str">
        <f>IF(AT$225&lt;=time,U11*Costs!BA11,"")</f>
        <v/>
      </c>
      <c r="AU11" s="316" t="str">
        <f>IF(AU$225&lt;=time,V11*Costs!BB11,"")</f>
        <v/>
      </c>
      <c r="AV11" s="316" t="str">
        <f>IF(AV$225&lt;=time,W11*Costs!BC11,"")</f>
        <v/>
      </c>
      <c r="AW11" s="316" t="str">
        <f>IF(AW$225&lt;=time,X11*Costs!BD11,"")</f>
        <v/>
      </c>
      <c r="AX11" s="316" t="str">
        <f>IF(AX$225&lt;=time,Y11*Costs!BE11,"")</f>
        <v/>
      </c>
      <c r="AY11" s="316" t="str">
        <f>IF(AY$225&lt;=time,Z11*Costs!BF11,"")</f>
        <v/>
      </c>
      <c r="AZ11" s="317">
        <f t="array" ref="AZ11">(SUM( IF(ISERROR(AA11:AY11),"", AA11:AY11)))/time</f>
        <v>0</v>
      </c>
      <c r="BA11" s="317">
        <f t="shared" si="0"/>
        <v>0</v>
      </c>
      <c r="BB11" s="318">
        <f t="shared" si="1"/>
        <v>0</v>
      </c>
      <c r="BC11" s="319">
        <v>4</v>
      </c>
      <c r="BE11" s="208" t="e">
        <f t="array" ref="BE11">STDEV(IF(AA11:AY11&lt;&gt;0,AA11:AY11))</f>
        <v>#DIV/0!</v>
      </c>
      <c r="BF11" s="208">
        <v>1.96</v>
      </c>
      <c r="BG11" s="208" t="e">
        <f t="shared" si="2"/>
        <v>#DIV/0!</v>
      </c>
      <c r="BH11" s="208">
        <f t="shared" si="3"/>
        <v>0</v>
      </c>
    </row>
    <row r="12" spans="1:986" hidden="1">
      <c r="A12" s="312" t="str">
        <f>Costs!A12</f>
        <v>Purchasing 5</v>
      </c>
      <c r="B12" s="313"/>
      <c r="C12" s="313"/>
      <c r="D12" s="313"/>
      <c r="E12" s="313"/>
      <c r="F12" s="313"/>
      <c r="G12" s="313"/>
      <c r="H12" s="313"/>
      <c r="I12" s="313"/>
      <c r="J12" s="313"/>
      <c r="K12" s="313"/>
      <c r="L12" s="313"/>
      <c r="M12" s="313"/>
      <c r="N12" s="313"/>
      <c r="O12" s="313"/>
      <c r="P12" s="313"/>
      <c r="Q12" s="313"/>
      <c r="R12" s="313"/>
      <c r="S12" s="313"/>
      <c r="T12" s="313"/>
      <c r="U12" s="313"/>
      <c r="V12" s="313"/>
      <c r="W12" s="313"/>
      <c r="X12" s="313"/>
      <c r="Y12" s="313"/>
      <c r="Z12" s="314"/>
      <c r="AA12" s="315">
        <f>IF(AA$225&lt;=time,B12*Costs!AH12,"")</f>
        <v>0</v>
      </c>
      <c r="AB12" s="316">
        <f>IF(AB$225&lt;=time,C12*Costs!AI12,"")</f>
        <v>0</v>
      </c>
      <c r="AC12" s="316">
        <f>IF(AC$225&lt;=time,D12*Costs!AJ12,"")</f>
        <v>0</v>
      </c>
      <c r="AD12" s="316">
        <f>IF(AD$225&lt;=time,E12*Costs!AK12,"")</f>
        <v>0</v>
      </c>
      <c r="AE12" s="316">
        <f>IF(AE$225&lt;=time,F12*Costs!AL12,"")</f>
        <v>0</v>
      </c>
      <c r="AF12" s="316" t="str">
        <f>IF(AF$225&lt;=time,G12*Costs!AM12,"")</f>
        <v/>
      </c>
      <c r="AG12" s="316" t="str">
        <f>IF(AG$225&lt;=time,H12*Costs!AN12,"")</f>
        <v/>
      </c>
      <c r="AH12" s="316" t="str">
        <f>IF(AH$225&lt;=time,I12*Costs!AO12,"")</f>
        <v/>
      </c>
      <c r="AI12" s="316" t="str">
        <f>IF(AI$225&lt;=time,J12*Costs!AP12,"")</f>
        <v/>
      </c>
      <c r="AJ12" s="316" t="str">
        <f>IF(AJ$225&lt;=time,K12*Costs!AQ12,"")</f>
        <v/>
      </c>
      <c r="AK12" s="316" t="str">
        <f>IF(AK$225&lt;=time,L12*Costs!AR12,"")</f>
        <v/>
      </c>
      <c r="AL12" s="316" t="str">
        <f>IF(AL$225&lt;=time,M12*Costs!AS12,"")</f>
        <v/>
      </c>
      <c r="AM12" s="316" t="str">
        <f>IF(AM$225&lt;=time,N12*Costs!AT12,"")</f>
        <v/>
      </c>
      <c r="AN12" s="316" t="str">
        <f>IF(AN$225&lt;=time,O12*Costs!AU12,"")</f>
        <v/>
      </c>
      <c r="AO12" s="316" t="str">
        <f>IF(AO$225&lt;=time,P12*Costs!AV12,"")</f>
        <v/>
      </c>
      <c r="AP12" s="316" t="str">
        <f>IF(AP$225&lt;=time,Q12*Costs!AW12,"")</f>
        <v/>
      </c>
      <c r="AQ12" s="316" t="str">
        <f>IF(AQ$225&lt;=time,R12*Costs!AX12,"")</f>
        <v/>
      </c>
      <c r="AR12" s="316" t="str">
        <f>IF(AR$225&lt;=time,S12*Costs!AY12,"")</f>
        <v/>
      </c>
      <c r="AS12" s="316" t="str">
        <f>IF(AS$225&lt;=time,T12*Costs!AZ12,"")</f>
        <v/>
      </c>
      <c r="AT12" s="316" t="str">
        <f>IF(AT$225&lt;=time,U12*Costs!BA12,"")</f>
        <v/>
      </c>
      <c r="AU12" s="316" t="str">
        <f>IF(AU$225&lt;=time,V12*Costs!BB12,"")</f>
        <v/>
      </c>
      <c r="AV12" s="316" t="str">
        <f>IF(AV$225&lt;=time,W12*Costs!BC12,"")</f>
        <v/>
      </c>
      <c r="AW12" s="316" t="str">
        <f>IF(AW$225&lt;=time,X12*Costs!BD12,"")</f>
        <v/>
      </c>
      <c r="AX12" s="316" t="str">
        <f>IF(AX$225&lt;=time,Y12*Costs!BE12,"")</f>
        <v/>
      </c>
      <c r="AY12" s="316" t="str">
        <f>IF(AY$225&lt;=time,Z12*Costs!BF12,"")</f>
        <v/>
      </c>
      <c r="AZ12" s="317">
        <f t="array" ref="AZ12">(SUM( IF(ISERROR(AA12:AY12),"", AA12:AY12)))/time</f>
        <v>0</v>
      </c>
      <c r="BA12" s="317">
        <f t="shared" si="0"/>
        <v>0</v>
      </c>
      <c r="BB12" s="318">
        <f t="shared" si="1"/>
        <v>0</v>
      </c>
      <c r="BC12" s="319">
        <v>5</v>
      </c>
      <c r="BE12" s="208" t="e">
        <f t="array" ref="BE12">STDEV(IF(AA12:AY12&lt;&gt;0,AA12:AY12))</f>
        <v>#DIV/0!</v>
      </c>
      <c r="BF12" s="208">
        <v>1.96</v>
      </c>
      <c r="BG12" s="208" t="e">
        <f t="shared" si="2"/>
        <v>#DIV/0!</v>
      </c>
      <c r="BH12" s="208">
        <f t="shared" si="3"/>
        <v>0</v>
      </c>
    </row>
    <row r="13" spans="1:986" hidden="1">
      <c r="A13" s="312" t="str">
        <f>Costs!A13</f>
        <v>Purchasing 6</v>
      </c>
      <c r="B13" s="313"/>
      <c r="C13" s="313"/>
      <c r="D13" s="313"/>
      <c r="E13" s="313"/>
      <c r="F13" s="313"/>
      <c r="G13" s="313"/>
      <c r="H13" s="313"/>
      <c r="I13" s="313"/>
      <c r="J13" s="313"/>
      <c r="K13" s="313"/>
      <c r="L13" s="313"/>
      <c r="M13" s="313"/>
      <c r="N13" s="313"/>
      <c r="O13" s="313"/>
      <c r="P13" s="313"/>
      <c r="Q13" s="313"/>
      <c r="R13" s="313"/>
      <c r="S13" s="313"/>
      <c r="T13" s="313"/>
      <c r="U13" s="313"/>
      <c r="V13" s="313"/>
      <c r="W13" s="313"/>
      <c r="X13" s="313"/>
      <c r="Y13" s="313"/>
      <c r="Z13" s="314"/>
      <c r="AA13" s="315">
        <f>IF(AA$225&lt;=time,B13*Costs!AH13,"")</f>
        <v>0</v>
      </c>
      <c r="AB13" s="316">
        <f>IF(AB$225&lt;=time,C13*Costs!AI13,"")</f>
        <v>0</v>
      </c>
      <c r="AC13" s="316">
        <f>IF(AC$225&lt;=time,D13*Costs!AJ13,"")</f>
        <v>0</v>
      </c>
      <c r="AD13" s="316">
        <f>IF(AD$225&lt;=time,E13*Costs!AK13,"")</f>
        <v>0</v>
      </c>
      <c r="AE13" s="316">
        <f>IF(AE$225&lt;=time,F13*Costs!AL13,"")</f>
        <v>0</v>
      </c>
      <c r="AF13" s="316" t="str">
        <f>IF(AF$225&lt;=time,G13*Costs!AM13,"")</f>
        <v/>
      </c>
      <c r="AG13" s="316" t="str">
        <f>IF(AG$225&lt;=time,H13*Costs!AN13,"")</f>
        <v/>
      </c>
      <c r="AH13" s="316" t="str">
        <f>IF(AH$225&lt;=time,I13*Costs!AO13,"")</f>
        <v/>
      </c>
      <c r="AI13" s="316" t="str">
        <f>IF(AI$225&lt;=time,J13*Costs!AP13,"")</f>
        <v/>
      </c>
      <c r="AJ13" s="316" t="str">
        <f>IF(AJ$225&lt;=time,K13*Costs!AQ13,"")</f>
        <v/>
      </c>
      <c r="AK13" s="316" t="str">
        <f>IF(AK$225&lt;=time,L13*Costs!AR13,"")</f>
        <v/>
      </c>
      <c r="AL13" s="316" t="str">
        <f>IF(AL$225&lt;=time,M13*Costs!AS13,"")</f>
        <v/>
      </c>
      <c r="AM13" s="316" t="str">
        <f>IF(AM$225&lt;=time,N13*Costs!AT13,"")</f>
        <v/>
      </c>
      <c r="AN13" s="316" t="str">
        <f>IF(AN$225&lt;=time,O13*Costs!AU13,"")</f>
        <v/>
      </c>
      <c r="AO13" s="316" t="str">
        <f>IF(AO$225&lt;=time,P13*Costs!AV13,"")</f>
        <v/>
      </c>
      <c r="AP13" s="316" t="str">
        <f>IF(AP$225&lt;=time,Q13*Costs!AW13,"")</f>
        <v/>
      </c>
      <c r="AQ13" s="316" t="str">
        <f>IF(AQ$225&lt;=time,R13*Costs!AX13,"")</f>
        <v/>
      </c>
      <c r="AR13" s="316" t="str">
        <f>IF(AR$225&lt;=time,S13*Costs!AY13,"")</f>
        <v/>
      </c>
      <c r="AS13" s="316" t="str">
        <f>IF(AS$225&lt;=time,T13*Costs!AZ13,"")</f>
        <v/>
      </c>
      <c r="AT13" s="316" t="str">
        <f>IF(AT$225&lt;=time,U13*Costs!BA13,"")</f>
        <v/>
      </c>
      <c r="AU13" s="316" t="str">
        <f>IF(AU$225&lt;=time,V13*Costs!BB13,"")</f>
        <v/>
      </c>
      <c r="AV13" s="316" t="str">
        <f>IF(AV$225&lt;=time,W13*Costs!BC13,"")</f>
        <v/>
      </c>
      <c r="AW13" s="316" t="str">
        <f>IF(AW$225&lt;=time,X13*Costs!BD13,"")</f>
        <v/>
      </c>
      <c r="AX13" s="316" t="str">
        <f>IF(AX$225&lt;=time,Y13*Costs!BE13,"")</f>
        <v/>
      </c>
      <c r="AY13" s="316" t="str">
        <f>IF(AY$225&lt;=time,Z13*Costs!BF13,"")</f>
        <v/>
      </c>
      <c r="AZ13" s="317">
        <f t="array" ref="AZ13">(SUM( IF(ISERROR(AA13:AY13),"", AA13:AY13)))/time</f>
        <v>0</v>
      </c>
      <c r="BA13" s="317">
        <f t="shared" si="0"/>
        <v>0</v>
      </c>
      <c r="BB13" s="318">
        <f t="shared" si="1"/>
        <v>0</v>
      </c>
      <c r="BC13" s="319">
        <v>6</v>
      </c>
      <c r="BE13" s="208" t="e">
        <f t="array" ref="BE13">STDEV(IF(AA13:AY13&lt;&gt;0,AA13:AY13))</f>
        <v>#DIV/0!</v>
      </c>
      <c r="BF13" s="208">
        <v>1.96</v>
      </c>
      <c r="BG13" s="208" t="e">
        <f t="shared" si="2"/>
        <v>#DIV/0!</v>
      </c>
      <c r="BH13" s="208">
        <f t="shared" si="3"/>
        <v>0</v>
      </c>
    </row>
    <row r="14" spans="1:986" hidden="1">
      <c r="A14" s="312" t="str">
        <f>Costs!A14</f>
        <v>Purchasing 7</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4"/>
      <c r="AA14" s="315">
        <f>IF(AA$225&lt;=time,B14*Costs!AH14,"")</f>
        <v>0</v>
      </c>
      <c r="AB14" s="316">
        <f>IF(AB$225&lt;=time,C14*Costs!AI14,"")</f>
        <v>0</v>
      </c>
      <c r="AC14" s="316">
        <f>IF(AC$225&lt;=time,D14*Costs!AJ14,"")</f>
        <v>0</v>
      </c>
      <c r="AD14" s="316">
        <f>IF(AD$225&lt;=time,E14*Costs!AK14,"")</f>
        <v>0</v>
      </c>
      <c r="AE14" s="316">
        <f>IF(AE$225&lt;=time,F14*Costs!AL14,"")</f>
        <v>0</v>
      </c>
      <c r="AF14" s="316" t="str">
        <f>IF(AF$225&lt;=time,G14*Costs!AM14,"")</f>
        <v/>
      </c>
      <c r="AG14" s="316" t="str">
        <f>IF(AG$225&lt;=time,H14*Costs!AN14,"")</f>
        <v/>
      </c>
      <c r="AH14" s="316" t="str">
        <f>IF(AH$225&lt;=time,I14*Costs!AO14,"")</f>
        <v/>
      </c>
      <c r="AI14" s="316" t="str">
        <f>IF(AI$225&lt;=time,J14*Costs!AP14,"")</f>
        <v/>
      </c>
      <c r="AJ14" s="316" t="str">
        <f>IF(AJ$225&lt;=time,K14*Costs!AQ14,"")</f>
        <v/>
      </c>
      <c r="AK14" s="316" t="str">
        <f>IF(AK$225&lt;=time,L14*Costs!AR14,"")</f>
        <v/>
      </c>
      <c r="AL14" s="316" t="str">
        <f>IF(AL$225&lt;=time,M14*Costs!AS14,"")</f>
        <v/>
      </c>
      <c r="AM14" s="316" t="str">
        <f>IF(AM$225&lt;=time,N14*Costs!AT14,"")</f>
        <v/>
      </c>
      <c r="AN14" s="316" t="str">
        <f>IF(AN$225&lt;=time,O14*Costs!AU14,"")</f>
        <v/>
      </c>
      <c r="AO14" s="316" t="str">
        <f>IF(AO$225&lt;=time,P14*Costs!AV14,"")</f>
        <v/>
      </c>
      <c r="AP14" s="316" t="str">
        <f>IF(AP$225&lt;=time,Q14*Costs!AW14,"")</f>
        <v/>
      </c>
      <c r="AQ14" s="316" t="str">
        <f>IF(AQ$225&lt;=time,R14*Costs!AX14,"")</f>
        <v/>
      </c>
      <c r="AR14" s="316" t="str">
        <f>IF(AR$225&lt;=time,S14*Costs!AY14,"")</f>
        <v/>
      </c>
      <c r="AS14" s="316" t="str">
        <f>IF(AS$225&lt;=time,T14*Costs!AZ14,"")</f>
        <v/>
      </c>
      <c r="AT14" s="316" t="str">
        <f>IF(AT$225&lt;=time,U14*Costs!BA14,"")</f>
        <v/>
      </c>
      <c r="AU14" s="316" t="str">
        <f>IF(AU$225&lt;=time,V14*Costs!BB14,"")</f>
        <v/>
      </c>
      <c r="AV14" s="316" t="str">
        <f>IF(AV$225&lt;=time,W14*Costs!BC14,"")</f>
        <v/>
      </c>
      <c r="AW14" s="316" t="str">
        <f>IF(AW$225&lt;=time,X14*Costs!BD14,"")</f>
        <v/>
      </c>
      <c r="AX14" s="316" t="str">
        <f>IF(AX$225&lt;=time,Y14*Costs!BE14,"")</f>
        <v/>
      </c>
      <c r="AY14" s="316" t="str">
        <f>IF(AY$225&lt;=time,Z14*Costs!BF14,"")</f>
        <v/>
      </c>
      <c r="AZ14" s="317">
        <f t="array" ref="AZ14">(SUM( IF(ISERROR(AA14:AY14),"", AA14:AY14)))/time</f>
        <v>0</v>
      </c>
      <c r="BA14" s="317">
        <f t="shared" si="0"/>
        <v>0</v>
      </c>
      <c r="BB14" s="318">
        <f>IF(BH14&gt;0,AZ14+BG14,AZ14)</f>
        <v>0</v>
      </c>
      <c r="BC14" s="319">
        <v>7</v>
      </c>
      <c r="BE14" s="208" t="e">
        <f t="array" ref="BE14">STDEV(IF(AA14:AY14&lt;&gt;0,AA14:AY14))</f>
        <v>#DIV/0!</v>
      </c>
      <c r="BF14" s="208">
        <v>1.96</v>
      </c>
      <c r="BG14" s="208" t="e">
        <f t="shared" si="2"/>
        <v>#DIV/0!</v>
      </c>
      <c r="BH14" s="208">
        <f t="shared" si="3"/>
        <v>0</v>
      </c>
    </row>
    <row r="15" spans="1:986" hidden="1">
      <c r="A15" s="312" t="str">
        <f>Costs!A15</f>
        <v>Purchasing 8</v>
      </c>
      <c r="B15" s="313"/>
      <c r="C15" s="313"/>
      <c r="D15" s="313"/>
      <c r="E15" s="313"/>
      <c r="F15" s="313"/>
      <c r="G15" s="313"/>
      <c r="H15" s="313"/>
      <c r="I15" s="313"/>
      <c r="J15" s="313"/>
      <c r="K15" s="313"/>
      <c r="L15" s="313"/>
      <c r="M15" s="313"/>
      <c r="N15" s="313"/>
      <c r="O15" s="313"/>
      <c r="P15" s="313"/>
      <c r="Q15" s="313"/>
      <c r="R15" s="313"/>
      <c r="S15" s="313"/>
      <c r="T15" s="313"/>
      <c r="U15" s="313"/>
      <c r="V15" s="313"/>
      <c r="W15" s="313"/>
      <c r="X15" s="313"/>
      <c r="Y15" s="313"/>
      <c r="Z15" s="314"/>
      <c r="AA15" s="315">
        <f>IF(AA$225&lt;=time,B15*Costs!AH15,"")</f>
        <v>0</v>
      </c>
      <c r="AB15" s="316">
        <f>IF(AB$225&lt;=time,C15*Costs!AI15,"")</f>
        <v>0</v>
      </c>
      <c r="AC15" s="316">
        <f>IF(AC$225&lt;=time,D15*Costs!AJ15,"")</f>
        <v>0</v>
      </c>
      <c r="AD15" s="316">
        <f>IF(AD$225&lt;=time,E15*Costs!AK15,"")</f>
        <v>0</v>
      </c>
      <c r="AE15" s="316">
        <f>IF(AE$225&lt;=time,F15*Costs!AL15,"")</f>
        <v>0</v>
      </c>
      <c r="AF15" s="316" t="str">
        <f>IF(AF$225&lt;=time,G15*Costs!AM15,"")</f>
        <v/>
      </c>
      <c r="AG15" s="316" t="str">
        <f>IF(AG$225&lt;=time,H15*Costs!AN15,"")</f>
        <v/>
      </c>
      <c r="AH15" s="316" t="str">
        <f>IF(AH$225&lt;=time,I15*Costs!AO15,"")</f>
        <v/>
      </c>
      <c r="AI15" s="316" t="str">
        <f>IF(AI$225&lt;=time,J15*Costs!AP15,"")</f>
        <v/>
      </c>
      <c r="AJ15" s="316" t="str">
        <f>IF(AJ$225&lt;=time,K15*Costs!AQ15,"")</f>
        <v/>
      </c>
      <c r="AK15" s="316" t="str">
        <f>IF(AK$225&lt;=time,L15*Costs!AR15,"")</f>
        <v/>
      </c>
      <c r="AL15" s="316" t="str">
        <f>IF(AL$225&lt;=time,M15*Costs!AS15,"")</f>
        <v/>
      </c>
      <c r="AM15" s="316" t="str">
        <f>IF(AM$225&lt;=time,N15*Costs!AT15,"")</f>
        <v/>
      </c>
      <c r="AN15" s="316" t="str">
        <f>IF(AN$225&lt;=time,O15*Costs!AU15,"")</f>
        <v/>
      </c>
      <c r="AO15" s="316" t="str">
        <f>IF(AO$225&lt;=time,P15*Costs!AV15,"")</f>
        <v/>
      </c>
      <c r="AP15" s="316" t="str">
        <f>IF(AP$225&lt;=time,Q15*Costs!AW15,"")</f>
        <v/>
      </c>
      <c r="AQ15" s="316" t="str">
        <f>IF(AQ$225&lt;=time,R15*Costs!AX15,"")</f>
        <v/>
      </c>
      <c r="AR15" s="316" t="str">
        <f>IF(AR$225&lt;=time,S15*Costs!AY15,"")</f>
        <v/>
      </c>
      <c r="AS15" s="316" t="str">
        <f>IF(AS$225&lt;=time,T15*Costs!AZ15,"")</f>
        <v/>
      </c>
      <c r="AT15" s="316" t="str">
        <f>IF(AT$225&lt;=time,U15*Costs!BA15,"")</f>
        <v/>
      </c>
      <c r="AU15" s="316" t="str">
        <f>IF(AU$225&lt;=time,V15*Costs!BB15,"")</f>
        <v/>
      </c>
      <c r="AV15" s="316" t="str">
        <f>IF(AV$225&lt;=time,W15*Costs!BC15,"")</f>
        <v/>
      </c>
      <c r="AW15" s="316" t="str">
        <f>IF(AW$225&lt;=time,X15*Costs!BD15,"")</f>
        <v/>
      </c>
      <c r="AX15" s="316" t="str">
        <f>IF(AX$225&lt;=time,Y15*Costs!BE15,"")</f>
        <v/>
      </c>
      <c r="AY15" s="316" t="str">
        <f>IF(AY$225&lt;=time,Z15*Costs!BF15,"")</f>
        <v/>
      </c>
      <c r="AZ15" s="317">
        <f t="array" ref="AZ15">(SUM( IF(ISERROR(AA15:AY15),"", AA15:AY15)))/time</f>
        <v>0</v>
      </c>
      <c r="BA15" s="317">
        <f t="shared" si="0"/>
        <v>0</v>
      </c>
      <c r="BB15" s="318">
        <f t="shared" si="1"/>
        <v>0</v>
      </c>
      <c r="BC15" s="319">
        <v>8</v>
      </c>
      <c r="BE15" s="208" t="e">
        <f t="array" ref="BE15">STDEV(IF(AA15:AY15&lt;&gt;0,AA15:AY15))</f>
        <v>#DIV/0!</v>
      </c>
      <c r="BF15" s="208">
        <v>1.96</v>
      </c>
      <c r="BG15" s="208" t="e">
        <f t="shared" si="2"/>
        <v>#DIV/0!</v>
      </c>
      <c r="BH15" s="208">
        <f t="shared" si="3"/>
        <v>0</v>
      </c>
    </row>
    <row r="16" spans="1:986" hidden="1">
      <c r="A16" s="312" t="str">
        <f>Costs!A16</f>
        <v>Purchasing 9</v>
      </c>
      <c r="B16" s="313"/>
      <c r="C16" s="313"/>
      <c r="D16" s="313"/>
      <c r="E16" s="313"/>
      <c r="F16" s="313"/>
      <c r="G16" s="313"/>
      <c r="H16" s="313"/>
      <c r="I16" s="313"/>
      <c r="J16" s="313"/>
      <c r="K16" s="313"/>
      <c r="L16" s="313"/>
      <c r="M16" s="313"/>
      <c r="N16" s="313"/>
      <c r="O16" s="313"/>
      <c r="P16" s="313"/>
      <c r="Q16" s="313"/>
      <c r="R16" s="313"/>
      <c r="S16" s="313"/>
      <c r="T16" s="313"/>
      <c r="U16" s="313"/>
      <c r="V16" s="313"/>
      <c r="W16" s="313"/>
      <c r="X16" s="313"/>
      <c r="Y16" s="313"/>
      <c r="Z16" s="314"/>
      <c r="AA16" s="315">
        <f>IF(AA$225&lt;=time,B16*Costs!AH16,"")</f>
        <v>0</v>
      </c>
      <c r="AB16" s="316">
        <f>IF(AB$225&lt;=time,C16*Costs!AI16,"")</f>
        <v>0</v>
      </c>
      <c r="AC16" s="316">
        <f>IF(AC$225&lt;=time,D16*Costs!AJ16,"")</f>
        <v>0</v>
      </c>
      <c r="AD16" s="316">
        <f>IF(AD$225&lt;=time,E16*Costs!AK16,"")</f>
        <v>0</v>
      </c>
      <c r="AE16" s="316">
        <f>IF(AE$225&lt;=time,F16*Costs!AL16,"")</f>
        <v>0</v>
      </c>
      <c r="AF16" s="316" t="str">
        <f>IF(AF$225&lt;=time,G16*Costs!AM16,"")</f>
        <v/>
      </c>
      <c r="AG16" s="316" t="str">
        <f>IF(AG$225&lt;=time,H16*Costs!AN16,"")</f>
        <v/>
      </c>
      <c r="AH16" s="316" t="str">
        <f>IF(AH$225&lt;=time,I16*Costs!AO16,"")</f>
        <v/>
      </c>
      <c r="AI16" s="316" t="str">
        <f>IF(AI$225&lt;=time,J16*Costs!AP16,"")</f>
        <v/>
      </c>
      <c r="AJ16" s="316" t="str">
        <f>IF(AJ$225&lt;=time,K16*Costs!AQ16,"")</f>
        <v/>
      </c>
      <c r="AK16" s="316" t="str">
        <f>IF(AK$225&lt;=time,L16*Costs!AR16,"")</f>
        <v/>
      </c>
      <c r="AL16" s="316" t="str">
        <f>IF(AL$225&lt;=time,M16*Costs!AS16,"")</f>
        <v/>
      </c>
      <c r="AM16" s="316" t="str">
        <f>IF(AM$225&lt;=time,N16*Costs!AT16,"")</f>
        <v/>
      </c>
      <c r="AN16" s="316" t="str">
        <f>IF(AN$225&lt;=time,O16*Costs!AU16,"")</f>
        <v/>
      </c>
      <c r="AO16" s="316" t="str">
        <f>IF(AO$225&lt;=time,P16*Costs!AV16,"")</f>
        <v/>
      </c>
      <c r="AP16" s="316" t="str">
        <f>IF(AP$225&lt;=time,Q16*Costs!AW16,"")</f>
        <v/>
      </c>
      <c r="AQ16" s="316" t="str">
        <f>IF(AQ$225&lt;=time,R16*Costs!AX16,"")</f>
        <v/>
      </c>
      <c r="AR16" s="316" t="str">
        <f>IF(AR$225&lt;=time,S16*Costs!AY16,"")</f>
        <v/>
      </c>
      <c r="AS16" s="316" t="str">
        <f>IF(AS$225&lt;=time,T16*Costs!AZ16,"")</f>
        <v/>
      </c>
      <c r="AT16" s="316" t="str">
        <f>IF(AT$225&lt;=time,U16*Costs!BA16,"")</f>
        <v/>
      </c>
      <c r="AU16" s="316" t="str">
        <f>IF(AU$225&lt;=time,V16*Costs!BB16,"")</f>
        <v/>
      </c>
      <c r="AV16" s="316" t="str">
        <f>IF(AV$225&lt;=time,W16*Costs!BC16,"")</f>
        <v/>
      </c>
      <c r="AW16" s="316" t="str">
        <f>IF(AW$225&lt;=time,X16*Costs!BD16,"")</f>
        <v/>
      </c>
      <c r="AX16" s="316" t="str">
        <f>IF(AX$225&lt;=time,Y16*Costs!BE16,"")</f>
        <v/>
      </c>
      <c r="AY16" s="316" t="str">
        <f>IF(AY$225&lt;=time,Z16*Costs!BF16,"")</f>
        <v/>
      </c>
      <c r="AZ16" s="317">
        <f t="array" ref="AZ16">(SUM( IF(ISERROR(AA16:AY16),"", AA16:AY16)))/time</f>
        <v>0</v>
      </c>
      <c r="BA16" s="317">
        <f t="shared" si="0"/>
        <v>0</v>
      </c>
      <c r="BB16" s="318">
        <f t="shared" si="1"/>
        <v>0</v>
      </c>
      <c r="BC16" s="319">
        <v>9</v>
      </c>
      <c r="BE16" s="208" t="e">
        <f t="array" ref="BE16">STDEV(IF(AA16:AY16&lt;&gt;0,AA16:AY16))</f>
        <v>#DIV/0!</v>
      </c>
      <c r="BF16" s="208">
        <v>1.96</v>
      </c>
      <c r="BG16" s="208" t="e">
        <f t="shared" si="2"/>
        <v>#DIV/0!</v>
      </c>
      <c r="BH16" s="208">
        <f t="shared" si="3"/>
        <v>0</v>
      </c>
    </row>
    <row r="17" spans="1:60" hidden="1">
      <c r="A17" s="312" t="str">
        <f>Costs!A17</f>
        <v>Purchasing 10</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4"/>
      <c r="AA17" s="315">
        <f>IF(AA$225&lt;=time,B17*Costs!AH17,"")</f>
        <v>0</v>
      </c>
      <c r="AB17" s="316">
        <f>IF(AB$225&lt;=time,C17*Costs!AI17,"")</f>
        <v>0</v>
      </c>
      <c r="AC17" s="316">
        <f>IF(AC$225&lt;=time,D17*Costs!AJ17,"")</f>
        <v>0</v>
      </c>
      <c r="AD17" s="316">
        <f>IF(AD$225&lt;=time,E17*Costs!AK17,"")</f>
        <v>0</v>
      </c>
      <c r="AE17" s="316">
        <f>IF(AE$225&lt;=time,F17*Costs!AL17,"")</f>
        <v>0</v>
      </c>
      <c r="AF17" s="316" t="str">
        <f>IF(AF$225&lt;=time,G17*Costs!AM17,"")</f>
        <v/>
      </c>
      <c r="AG17" s="316" t="str">
        <f>IF(AG$225&lt;=time,H17*Costs!AN17,"")</f>
        <v/>
      </c>
      <c r="AH17" s="316" t="str">
        <f>IF(AH$225&lt;=time,I17*Costs!AO17,"")</f>
        <v/>
      </c>
      <c r="AI17" s="316" t="str">
        <f>IF(AI$225&lt;=time,J17*Costs!AP17,"")</f>
        <v/>
      </c>
      <c r="AJ17" s="316" t="str">
        <f>IF(AJ$225&lt;=time,K17*Costs!AQ17,"")</f>
        <v/>
      </c>
      <c r="AK17" s="316" t="str">
        <f>IF(AK$225&lt;=time,L17*Costs!AR17,"")</f>
        <v/>
      </c>
      <c r="AL17" s="316" t="str">
        <f>IF(AL$225&lt;=time,M17*Costs!AS17,"")</f>
        <v/>
      </c>
      <c r="AM17" s="316" t="str">
        <f>IF(AM$225&lt;=time,N17*Costs!AT17,"")</f>
        <v/>
      </c>
      <c r="AN17" s="316" t="str">
        <f>IF(AN$225&lt;=time,O17*Costs!AU17,"")</f>
        <v/>
      </c>
      <c r="AO17" s="316" t="str">
        <f>IF(AO$225&lt;=time,P17*Costs!AV17,"")</f>
        <v/>
      </c>
      <c r="AP17" s="316" t="str">
        <f>IF(AP$225&lt;=time,Q17*Costs!AW17,"")</f>
        <v/>
      </c>
      <c r="AQ17" s="316" t="str">
        <f>IF(AQ$225&lt;=time,R17*Costs!AX17,"")</f>
        <v/>
      </c>
      <c r="AR17" s="316" t="str">
        <f>IF(AR$225&lt;=time,S17*Costs!AY17,"")</f>
        <v/>
      </c>
      <c r="AS17" s="316" t="str">
        <f>IF(AS$225&lt;=time,T17*Costs!AZ17,"")</f>
        <v/>
      </c>
      <c r="AT17" s="316" t="str">
        <f>IF(AT$225&lt;=time,U17*Costs!BA17,"")</f>
        <v/>
      </c>
      <c r="AU17" s="316" t="str">
        <f>IF(AU$225&lt;=time,V17*Costs!BB17,"")</f>
        <v/>
      </c>
      <c r="AV17" s="316" t="str">
        <f>IF(AV$225&lt;=time,W17*Costs!BC17,"")</f>
        <v/>
      </c>
      <c r="AW17" s="316" t="str">
        <f>IF(AW$225&lt;=time,X17*Costs!BD17,"")</f>
        <v/>
      </c>
      <c r="AX17" s="316" t="str">
        <f>IF(AX$225&lt;=time,Y17*Costs!BE17,"")</f>
        <v/>
      </c>
      <c r="AY17" s="316" t="str">
        <f>IF(AY$225&lt;=time,Z17*Costs!BF17,"")</f>
        <v/>
      </c>
      <c r="AZ17" s="317">
        <f t="array" ref="AZ17">(SUM( IF(ISERROR(AA17:AY17),"", AA17:AY17)))/time</f>
        <v>0</v>
      </c>
      <c r="BA17" s="317">
        <f t="shared" si="0"/>
        <v>0</v>
      </c>
      <c r="BB17" s="318">
        <f t="shared" si="1"/>
        <v>0</v>
      </c>
      <c r="BC17" s="319">
        <v>10</v>
      </c>
      <c r="BE17" s="208" t="e">
        <f t="array" ref="BE17">STDEV(IF(AA17:AY17&lt;&gt;0,AA17:AY17))</f>
        <v>#DIV/0!</v>
      </c>
      <c r="BF17" s="208">
        <v>1.96</v>
      </c>
      <c r="BG17" s="208" t="e">
        <f t="shared" si="2"/>
        <v>#DIV/0!</v>
      </c>
      <c r="BH17" s="208">
        <f t="shared" si="3"/>
        <v>0</v>
      </c>
    </row>
    <row r="18" spans="1:60" s="11" customFormat="1">
      <c r="A18" s="13" t="s">
        <v>13</v>
      </c>
      <c r="B18" s="15"/>
      <c r="C18" s="15"/>
      <c r="D18" s="15"/>
      <c r="E18" s="15"/>
      <c r="F18" s="15"/>
      <c r="G18" s="15"/>
      <c r="H18" s="15"/>
      <c r="I18" s="15"/>
      <c r="J18" s="15"/>
      <c r="K18" s="15"/>
      <c r="L18" s="15"/>
      <c r="M18" s="15"/>
      <c r="N18" s="15"/>
      <c r="O18" s="15"/>
      <c r="P18" s="15"/>
      <c r="Q18" s="15"/>
      <c r="R18" s="15"/>
      <c r="S18" s="15"/>
      <c r="T18" s="15"/>
      <c r="U18" s="15"/>
      <c r="V18" s="15"/>
      <c r="W18" s="15"/>
      <c r="X18" s="15"/>
      <c r="Y18" s="15"/>
      <c r="Z18" s="27"/>
      <c r="AA18" s="13"/>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BB18" s="211"/>
    </row>
    <row r="19" spans="1:60">
      <c r="A19" s="31" t="str">
        <f>Costs!A19</f>
        <v>Set up expenses 1</v>
      </c>
      <c r="B19" s="865"/>
      <c r="C19" s="865"/>
      <c r="D19" s="865"/>
      <c r="E19" s="313"/>
      <c r="F19" s="313"/>
      <c r="G19" s="313"/>
      <c r="H19" s="313"/>
      <c r="I19" s="313"/>
      <c r="J19" s="313"/>
      <c r="K19" s="313"/>
      <c r="L19" s="313"/>
      <c r="M19" s="313"/>
      <c r="N19" s="313"/>
      <c r="O19" s="313"/>
      <c r="P19" s="313"/>
      <c r="Q19" s="313"/>
      <c r="R19" s="313"/>
      <c r="S19" s="313"/>
      <c r="T19" s="313"/>
      <c r="U19" s="313"/>
      <c r="V19" s="313"/>
      <c r="W19" s="313"/>
      <c r="X19" s="313"/>
      <c r="Y19" s="313"/>
      <c r="Z19" s="314"/>
      <c r="AA19" s="315">
        <f>IF(AA$225&lt;=time,B19*Costs!AH19,"")</f>
        <v>0</v>
      </c>
      <c r="AB19" s="316">
        <f>IF(AB$225&lt;=time,C19*Costs!AI19,"")</f>
        <v>0</v>
      </c>
      <c r="AC19" s="316">
        <f>IF(AC$225&lt;=time,D19*Costs!AJ19,"")</f>
        <v>0</v>
      </c>
      <c r="AD19" s="316">
        <f>IF(AD$225&lt;=time,E19*Costs!AK19,"")</f>
        <v>0</v>
      </c>
      <c r="AE19" s="316">
        <f>IF(AE$225&lt;=time,F19*Costs!AL19,"")</f>
        <v>0</v>
      </c>
      <c r="AF19" s="316" t="str">
        <f>IF(AF$225&lt;=time,G19*Costs!AM19,"")</f>
        <v/>
      </c>
      <c r="AG19" s="316" t="str">
        <f>IF(AG$225&lt;=time,H19*Costs!AN19,"")</f>
        <v/>
      </c>
      <c r="AH19" s="316" t="str">
        <f>IF(AH$225&lt;=time,I19*Costs!AO19,"")</f>
        <v/>
      </c>
      <c r="AI19" s="316" t="str">
        <f>IF(AI$225&lt;=time,J19*Costs!AP19,"")</f>
        <v/>
      </c>
      <c r="AJ19" s="316" t="str">
        <f>IF(AJ$225&lt;=time,K19*Costs!AQ19,"")</f>
        <v/>
      </c>
      <c r="AK19" s="316" t="str">
        <f>IF(AK$225&lt;=time,L19*Costs!AR19,"")</f>
        <v/>
      </c>
      <c r="AL19" s="316" t="str">
        <f>IF(AL$225&lt;=time,M19*Costs!AS19,"")</f>
        <v/>
      </c>
      <c r="AM19" s="316" t="str">
        <f>IF(AM$225&lt;=time,N19*Costs!AT19,"")</f>
        <v/>
      </c>
      <c r="AN19" s="316" t="str">
        <f>IF(AN$225&lt;=time,O19*Costs!AU19,"")</f>
        <v/>
      </c>
      <c r="AO19" s="316" t="str">
        <f>IF(AO$225&lt;=time,P19*Costs!AV19,"")</f>
        <v/>
      </c>
      <c r="AP19" s="316" t="str">
        <f>IF(AP$225&lt;=time,Q19*Costs!AW19,"")</f>
        <v/>
      </c>
      <c r="AQ19" s="316" t="str">
        <f>IF(AQ$225&lt;=time,R19*Costs!AX19,"")</f>
        <v/>
      </c>
      <c r="AR19" s="316" t="str">
        <f>IF(AR$225&lt;=time,S19*Costs!AY19,"")</f>
        <v/>
      </c>
      <c r="AS19" s="316" t="str">
        <f>IF(AS$225&lt;=time,T19*Costs!AZ19,"")</f>
        <v/>
      </c>
      <c r="AT19" s="316" t="str">
        <f>IF(AT$225&lt;=time,U19*Costs!BA19,"")</f>
        <v/>
      </c>
      <c r="AU19" s="316" t="str">
        <f>IF(AU$225&lt;=time,V19*Costs!BB19,"")</f>
        <v/>
      </c>
      <c r="AV19" s="316" t="str">
        <f>IF(AV$225&lt;=time,W19*Costs!BC19,"")</f>
        <v/>
      </c>
      <c r="AW19" s="316" t="str">
        <f>IF(AW$225&lt;=time,X19*Costs!BD19,"")</f>
        <v/>
      </c>
      <c r="AX19" s="316" t="str">
        <f>IF(AX$225&lt;=time,Y19*Costs!BE19,"")</f>
        <v/>
      </c>
      <c r="AY19" s="316" t="str">
        <f>IF(AY$225&lt;=time,Z19*Costs!BF19,"")</f>
        <v/>
      </c>
      <c r="AZ19" s="317">
        <f t="array" ref="AZ19">(SUM( IF(ISERROR(AA19:AY19),"", AA19:AY19)))/time</f>
        <v>0</v>
      </c>
      <c r="BA19" s="317">
        <f t="shared" si="0"/>
        <v>0</v>
      </c>
      <c r="BB19" s="318">
        <f t="shared" ref="BB19:BB28" si="4">IF(BH19&gt;0,AZ19+BG19,AZ19)</f>
        <v>0</v>
      </c>
      <c r="BC19" s="319">
        <v>1</v>
      </c>
      <c r="BE19" s="208" t="e">
        <f t="array" ref="BE19">STDEV(IF(AA19:AY19&lt;&gt;0,AA19:AY19))</f>
        <v>#DIV/0!</v>
      </c>
      <c r="BF19" s="208">
        <v>1.96</v>
      </c>
      <c r="BG19" s="208" t="e">
        <f t="shared" ref="BG19:BG28" si="5">(BF19*BE19)/(time^0.5)</f>
        <v>#DIV/0!</v>
      </c>
      <c r="BH19" s="208">
        <f t="shared" ref="BH19:BH28" si="6">IFERROR(BE19,0)</f>
        <v>0</v>
      </c>
    </row>
    <row r="20" spans="1:60" hidden="1">
      <c r="A20" s="320" t="str">
        <f>Costs!A20</f>
        <v>Set up expenses 2</v>
      </c>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4"/>
      <c r="AA20" s="315">
        <f>IF(AA$225&lt;=time,B20*Costs!AH20,"")</f>
        <v>0</v>
      </c>
      <c r="AB20" s="316">
        <f>IF(AB$225&lt;=time,C20*Costs!AI20,"")</f>
        <v>0</v>
      </c>
      <c r="AC20" s="316">
        <f>IF(AC$225&lt;=time,D20*Costs!AJ20,"")</f>
        <v>0</v>
      </c>
      <c r="AD20" s="316">
        <f>IF(AD$225&lt;=time,E20*Costs!AK20,"")</f>
        <v>0</v>
      </c>
      <c r="AE20" s="316">
        <f>IF(AE$225&lt;=time,F20*Costs!AL20,"")</f>
        <v>0</v>
      </c>
      <c r="AF20" s="316" t="str">
        <f>IF(AF$225&lt;=time,G20*Costs!AM20,"")</f>
        <v/>
      </c>
      <c r="AG20" s="316" t="str">
        <f>IF(AG$225&lt;=time,H20*Costs!AN20,"")</f>
        <v/>
      </c>
      <c r="AH20" s="316" t="str">
        <f>IF(AH$225&lt;=time,I20*Costs!AO20,"")</f>
        <v/>
      </c>
      <c r="AI20" s="316" t="str">
        <f>IF(AI$225&lt;=time,J20*Costs!AP20,"")</f>
        <v/>
      </c>
      <c r="AJ20" s="316" t="str">
        <f>IF(AJ$225&lt;=time,K20*Costs!AQ20,"")</f>
        <v/>
      </c>
      <c r="AK20" s="316" t="str">
        <f>IF(AK$225&lt;=time,L20*Costs!AR20,"")</f>
        <v/>
      </c>
      <c r="AL20" s="316" t="str">
        <f>IF(AL$225&lt;=time,M20*Costs!AS20,"")</f>
        <v/>
      </c>
      <c r="AM20" s="316" t="str">
        <f>IF(AM$225&lt;=time,N20*Costs!AT20,"")</f>
        <v/>
      </c>
      <c r="AN20" s="316" t="str">
        <f>IF(AN$225&lt;=time,O20*Costs!AU20,"")</f>
        <v/>
      </c>
      <c r="AO20" s="316" t="str">
        <f>IF(AO$225&lt;=time,P20*Costs!AV20,"")</f>
        <v/>
      </c>
      <c r="AP20" s="316" t="str">
        <f>IF(AP$225&lt;=time,Q20*Costs!AW20,"")</f>
        <v/>
      </c>
      <c r="AQ20" s="316" t="str">
        <f>IF(AQ$225&lt;=time,R20*Costs!AX20,"")</f>
        <v/>
      </c>
      <c r="AR20" s="316" t="str">
        <f>IF(AR$225&lt;=time,S20*Costs!AY20,"")</f>
        <v/>
      </c>
      <c r="AS20" s="316" t="str">
        <f>IF(AS$225&lt;=time,T20*Costs!AZ20,"")</f>
        <v/>
      </c>
      <c r="AT20" s="316" t="str">
        <f>IF(AT$225&lt;=time,U20*Costs!BA20,"")</f>
        <v/>
      </c>
      <c r="AU20" s="316" t="str">
        <f>IF(AU$225&lt;=time,V20*Costs!BB20,"")</f>
        <v/>
      </c>
      <c r="AV20" s="316" t="str">
        <f>IF(AV$225&lt;=time,W20*Costs!BC20,"")</f>
        <v/>
      </c>
      <c r="AW20" s="316" t="str">
        <f>IF(AW$225&lt;=time,X20*Costs!BD20,"")</f>
        <v/>
      </c>
      <c r="AX20" s="316" t="str">
        <f>IF(AX$225&lt;=time,Y20*Costs!BE20,"")</f>
        <v/>
      </c>
      <c r="AY20" s="316" t="str">
        <f>IF(AY$225&lt;=time,Z20*Costs!BF20,"")</f>
        <v/>
      </c>
      <c r="AZ20" s="317">
        <f t="array" ref="AZ20">(SUM( IF(ISERROR(AA20:AY20),"", AA20:AY20)))/time</f>
        <v>0</v>
      </c>
      <c r="BA20" s="317">
        <f t="shared" si="0"/>
        <v>0</v>
      </c>
      <c r="BB20" s="318">
        <f t="shared" si="4"/>
        <v>0</v>
      </c>
      <c r="BC20" s="319">
        <v>2</v>
      </c>
      <c r="BE20" s="208" t="e">
        <f t="array" ref="BE20">STDEV(IF(AA20:AY20&lt;&gt;0,AA20:AY20))</f>
        <v>#DIV/0!</v>
      </c>
      <c r="BF20" s="208">
        <v>1.96</v>
      </c>
      <c r="BG20" s="208" t="e">
        <f t="shared" si="5"/>
        <v>#DIV/0!</v>
      </c>
      <c r="BH20" s="208">
        <f t="shared" si="6"/>
        <v>0</v>
      </c>
    </row>
    <row r="21" spans="1:60" hidden="1">
      <c r="A21" s="320" t="str">
        <f>Costs!A21</f>
        <v>Set up expenses 3</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4"/>
      <c r="AA21" s="315">
        <f>IF(AA$225&lt;=time,B21*Costs!AH21,"")</f>
        <v>0</v>
      </c>
      <c r="AB21" s="316">
        <f>IF(AB$225&lt;=time,C21*Costs!AI21,"")</f>
        <v>0</v>
      </c>
      <c r="AC21" s="316">
        <f>IF(AC$225&lt;=time,D21*Costs!AJ21,"")</f>
        <v>0</v>
      </c>
      <c r="AD21" s="316">
        <f>IF(AD$225&lt;=time,E21*Costs!AK21,"")</f>
        <v>0</v>
      </c>
      <c r="AE21" s="316">
        <f>IF(AE$225&lt;=time,F21*Costs!AL21,"")</f>
        <v>0</v>
      </c>
      <c r="AF21" s="316" t="str">
        <f>IF(AF$225&lt;=time,G21*Costs!AM21,"")</f>
        <v/>
      </c>
      <c r="AG21" s="316" t="str">
        <f>IF(AG$225&lt;=time,H21*Costs!AN21,"")</f>
        <v/>
      </c>
      <c r="AH21" s="316" t="str">
        <f>IF(AH$225&lt;=time,I21*Costs!AO21,"")</f>
        <v/>
      </c>
      <c r="AI21" s="316" t="str">
        <f>IF(AI$225&lt;=time,J21*Costs!AP21,"")</f>
        <v/>
      </c>
      <c r="AJ21" s="316" t="str">
        <f>IF(AJ$225&lt;=time,K21*Costs!AQ21,"")</f>
        <v/>
      </c>
      <c r="AK21" s="316" t="str">
        <f>IF(AK$225&lt;=time,L21*Costs!AR21,"")</f>
        <v/>
      </c>
      <c r="AL21" s="316" t="str">
        <f>IF(AL$225&lt;=time,M21*Costs!AS21,"")</f>
        <v/>
      </c>
      <c r="AM21" s="316" t="str">
        <f>IF(AM$225&lt;=time,N21*Costs!AT21,"")</f>
        <v/>
      </c>
      <c r="AN21" s="316" t="str">
        <f>IF(AN$225&lt;=time,O21*Costs!AU21,"")</f>
        <v/>
      </c>
      <c r="AO21" s="316" t="str">
        <f>IF(AO$225&lt;=time,P21*Costs!AV21,"")</f>
        <v/>
      </c>
      <c r="AP21" s="316" t="str">
        <f>IF(AP$225&lt;=time,Q21*Costs!AW21,"")</f>
        <v/>
      </c>
      <c r="AQ21" s="316" t="str">
        <f>IF(AQ$225&lt;=time,R21*Costs!AX21,"")</f>
        <v/>
      </c>
      <c r="AR21" s="316" t="str">
        <f>IF(AR$225&lt;=time,S21*Costs!AY21,"")</f>
        <v/>
      </c>
      <c r="AS21" s="316" t="str">
        <f>IF(AS$225&lt;=time,T21*Costs!AZ21,"")</f>
        <v/>
      </c>
      <c r="AT21" s="316" t="str">
        <f>IF(AT$225&lt;=time,U21*Costs!BA21,"")</f>
        <v/>
      </c>
      <c r="AU21" s="316" t="str">
        <f>IF(AU$225&lt;=time,V21*Costs!BB21,"")</f>
        <v/>
      </c>
      <c r="AV21" s="316" t="str">
        <f>IF(AV$225&lt;=time,W21*Costs!BC21,"")</f>
        <v/>
      </c>
      <c r="AW21" s="316" t="str">
        <f>IF(AW$225&lt;=time,X21*Costs!BD21,"")</f>
        <v/>
      </c>
      <c r="AX21" s="316" t="str">
        <f>IF(AX$225&lt;=time,Y21*Costs!BE21,"")</f>
        <v/>
      </c>
      <c r="AY21" s="316" t="str">
        <f>IF(AY$225&lt;=time,Z21*Costs!BF21,"")</f>
        <v/>
      </c>
      <c r="AZ21" s="317">
        <f t="array" ref="AZ21">(SUM( IF(ISERROR(AA21:AY21),"", AA21:AY21)))/time</f>
        <v>0</v>
      </c>
      <c r="BA21" s="317">
        <f t="shared" si="0"/>
        <v>0</v>
      </c>
      <c r="BB21" s="318">
        <f t="shared" si="4"/>
        <v>0</v>
      </c>
      <c r="BC21" s="319">
        <v>3</v>
      </c>
      <c r="BE21" s="208" t="e">
        <f t="array" ref="BE21">STDEV(IF(AA21:AY21&lt;&gt;0,AA21:AY21))</f>
        <v>#DIV/0!</v>
      </c>
      <c r="BF21" s="208">
        <v>1.96</v>
      </c>
      <c r="BG21" s="208" t="e">
        <f t="shared" si="5"/>
        <v>#DIV/0!</v>
      </c>
      <c r="BH21" s="208">
        <f t="shared" si="6"/>
        <v>0</v>
      </c>
    </row>
    <row r="22" spans="1:60" hidden="1">
      <c r="A22" s="320" t="str">
        <f>Costs!A22</f>
        <v>Set up expenses 4</v>
      </c>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4"/>
      <c r="AA22" s="315">
        <f>IF(AA$225&lt;=time,B22*Costs!AH22,"")</f>
        <v>0</v>
      </c>
      <c r="AB22" s="316">
        <f>IF(AB$225&lt;=time,C22*Costs!AI22,"")</f>
        <v>0</v>
      </c>
      <c r="AC22" s="316">
        <f>IF(AC$225&lt;=time,D22*Costs!AJ22,"")</f>
        <v>0</v>
      </c>
      <c r="AD22" s="316">
        <f>IF(AD$225&lt;=time,E22*Costs!AK22,"")</f>
        <v>0</v>
      </c>
      <c r="AE22" s="316">
        <f>IF(AE$225&lt;=time,F22*Costs!AL22,"")</f>
        <v>0</v>
      </c>
      <c r="AF22" s="316" t="str">
        <f>IF(AF$225&lt;=time,G22*Costs!AM22,"")</f>
        <v/>
      </c>
      <c r="AG22" s="316" t="str">
        <f>IF(AG$225&lt;=time,H22*Costs!AN22,"")</f>
        <v/>
      </c>
      <c r="AH22" s="316" t="str">
        <f>IF(AH$225&lt;=time,I22*Costs!AO22,"")</f>
        <v/>
      </c>
      <c r="AI22" s="316" t="str">
        <f>IF(AI$225&lt;=time,J22*Costs!AP22,"")</f>
        <v/>
      </c>
      <c r="AJ22" s="316" t="str">
        <f>IF(AJ$225&lt;=time,K22*Costs!AQ22,"")</f>
        <v/>
      </c>
      <c r="AK22" s="316" t="str">
        <f>IF(AK$225&lt;=time,L22*Costs!AR22,"")</f>
        <v/>
      </c>
      <c r="AL22" s="316" t="str">
        <f>IF(AL$225&lt;=time,M22*Costs!AS22,"")</f>
        <v/>
      </c>
      <c r="AM22" s="316" t="str">
        <f>IF(AM$225&lt;=time,N22*Costs!AT22,"")</f>
        <v/>
      </c>
      <c r="AN22" s="316" t="str">
        <f>IF(AN$225&lt;=time,O22*Costs!AU22,"")</f>
        <v/>
      </c>
      <c r="AO22" s="316" t="str">
        <f>IF(AO$225&lt;=time,P22*Costs!AV22,"")</f>
        <v/>
      </c>
      <c r="AP22" s="316" t="str">
        <f>IF(AP$225&lt;=time,Q22*Costs!AW22,"")</f>
        <v/>
      </c>
      <c r="AQ22" s="316" t="str">
        <f>IF(AQ$225&lt;=time,R22*Costs!AX22,"")</f>
        <v/>
      </c>
      <c r="AR22" s="316" t="str">
        <f>IF(AR$225&lt;=time,S22*Costs!AY22,"")</f>
        <v/>
      </c>
      <c r="AS22" s="316" t="str">
        <f>IF(AS$225&lt;=time,T22*Costs!AZ22,"")</f>
        <v/>
      </c>
      <c r="AT22" s="316" t="str">
        <f>IF(AT$225&lt;=time,U22*Costs!BA22,"")</f>
        <v/>
      </c>
      <c r="AU22" s="316" t="str">
        <f>IF(AU$225&lt;=time,V22*Costs!BB22,"")</f>
        <v/>
      </c>
      <c r="AV22" s="316" t="str">
        <f>IF(AV$225&lt;=time,W22*Costs!BC22,"")</f>
        <v/>
      </c>
      <c r="AW22" s="316" t="str">
        <f>IF(AW$225&lt;=time,X22*Costs!BD22,"")</f>
        <v/>
      </c>
      <c r="AX22" s="316" t="str">
        <f>IF(AX$225&lt;=time,Y22*Costs!BE22,"")</f>
        <v/>
      </c>
      <c r="AY22" s="316" t="str">
        <f>IF(AY$225&lt;=time,Z22*Costs!BF22,"")</f>
        <v/>
      </c>
      <c r="AZ22" s="317">
        <f t="array" ref="AZ22">(SUM( IF(ISERROR(AA22:AY22),"", AA22:AY22)))/time</f>
        <v>0</v>
      </c>
      <c r="BA22" s="317">
        <f t="shared" si="0"/>
        <v>0</v>
      </c>
      <c r="BB22" s="318">
        <f t="shared" si="4"/>
        <v>0</v>
      </c>
      <c r="BC22" s="319">
        <v>4</v>
      </c>
      <c r="BE22" s="208" t="e">
        <f t="array" ref="BE22">STDEV(IF(AA22:AY22&lt;&gt;0,AA22:AY22))</f>
        <v>#DIV/0!</v>
      </c>
      <c r="BF22" s="208">
        <v>1.96</v>
      </c>
      <c r="BG22" s="208" t="e">
        <f t="shared" si="5"/>
        <v>#DIV/0!</v>
      </c>
      <c r="BH22" s="208">
        <f t="shared" si="6"/>
        <v>0</v>
      </c>
    </row>
    <row r="23" spans="1:60" hidden="1">
      <c r="A23" s="320" t="str">
        <f>Costs!A23</f>
        <v>Set up expenses 5</v>
      </c>
      <c r="B23" s="313"/>
      <c r="C23" s="313"/>
      <c r="D23" s="313"/>
      <c r="E23" s="313"/>
      <c r="F23" s="313"/>
      <c r="G23" s="313"/>
      <c r="H23" s="313"/>
      <c r="I23" s="313"/>
      <c r="J23" s="313"/>
      <c r="K23" s="313"/>
      <c r="L23" s="313"/>
      <c r="M23" s="313"/>
      <c r="N23" s="313"/>
      <c r="O23" s="313"/>
      <c r="P23" s="313"/>
      <c r="Q23" s="313"/>
      <c r="R23" s="313"/>
      <c r="S23" s="313"/>
      <c r="T23" s="313"/>
      <c r="U23" s="313"/>
      <c r="V23" s="313"/>
      <c r="W23" s="313"/>
      <c r="X23" s="313"/>
      <c r="Y23" s="313"/>
      <c r="Z23" s="314"/>
      <c r="AA23" s="315">
        <f>IF(AA$225&lt;=time,B23*Costs!AH23,"")</f>
        <v>0</v>
      </c>
      <c r="AB23" s="316">
        <f>IF(AB$225&lt;=time,C23*Costs!AI23,"")</f>
        <v>0</v>
      </c>
      <c r="AC23" s="316">
        <f>IF(AC$225&lt;=time,D23*Costs!AJ23,"")</f>
        <v>0</v>
      </c>
      <c r="AD23" s="316">
        <f>IF(AD$225&lt;=time,E23*Costs!AK23,"")</f>
        <v>0</v>
      </c>
      <c r="AE23" s="316">
        <f>IF(AE$225&lt;=time,F23*Costs!AL23,"")</f>
        <v>0</v>
      </c>
      <c r="AF23" s="316" t="str">
        <f>IF(AF$225&lt;=time,G23*Costs!AM23,"")</f>
        <v/>
      </c>
      <c r="AG23" s="316" t="str">
        <f>IF(AG$225&lt;=time,H23*Costs!AN23,"")</f>
        <v/>
      </c>
      <c r="AH23" s="316" t="str">
        <f>IF(AH$225&lt;=time,I23*Costs!AO23,"")</f>
        <v/>
      </c>
      <c r="AI23" s="316" t="str">
        <f>IF(AI$225&lt;=time,J23*Costs!AP23,"")</f>
        <v/>
      </c>
      <c r="AJ23" s="316" t="str">
        <f>IF(AJ$225&lt;=time,K23*Costs!AQ23,"")</f>
        <v/>
      </c>
      <c r="AK23" s="316" t="str">
        <f>IF(AK$225&lt;=time,L23*Costs!AR23,"")</f>
        <v/>
      </c>
      <c r="AL23" s="316" t="str">
        <f>IF(AL$225&lt;=time,M23*Costs!AS23,"")</f>
        <v/>
      </c>
      <c r="AM23" s="316" t="str">
        <f>IF(AM$225&lt;=time,N23*Costs!AT23,"")</f>
        <v/>
      </c>
      <c r="AN23" s="316" t="str">
        <f>IF(AN$225&lt;=time,O23*Costs!AU23,"")</f>
        <v/>
      </c>
      <c r="AO23" s="316" t="str">
        <f>IF(AO$225&lt;=time,P23*Costs!AV23,"")</f>
        <v/>
      </c>
      <c r="AP23" s="316" t="str">
        <f>IF(AP$225&lt;=time,Q23*Costs!AW23,"")</f>
        <v/>
      </c>
      <c r="AQ23" s="316" t="str">
        <f>IF(AQ$225&lt;=time,R23*Costs!AX23,"")</f>
        <v/>
      </c>
      <c r="AR23" s="316" t="str">
        <f>IF(AR$225&lt;=time,S23*Costs!AY23,"")</f>
        <v/>
      </c>
      <c r="AS23" s="316" t="str">
        <f>IF(AS$225&lt;=time,T23*Costs!AZ23,"")</f>
        <v/>
      </c>
      <c r="AT23" s="316" t="str">
        <f>IF(AT$225&lt;=time,U23*Costs!BA23,"")</f>
        <v/>
      </c>
      <c r="AU23" s="316" t="str">
        <f>IF(AU$225&lt;=time,V23*Costs!BB23,"")</f>
        <v/>
      </c>
      <c r="AV23" s="316" t="str">
        <f>IF(AV$225&lt;=time,W23*Costs!BC23,"")</f>
        <v/>
      </c>
      <c r="AW23" s="316" t="str">
        <f>IF(AW$225&lt;=time,X23*Costs!BD23,"")</f>
        <v/>
      </c>
      <c r="AX23" s="316" t="str">
        <f>IF(AX$225&lt;=time,Y23*Costs!BE23,"")</f>
        <v/>
      </c>
      <c r="AY23" s="316" t="str">
        <f>IF(AY$225&lt;=time,Z23*Costs!BF23,"")</f>
        <v/>
      </c>
      <c r="AZ23" s="317">
        <f t="array" ref="AZ23">(SUM( IF(ISERROR(AA23:AY23),"", AA23:AY23)))/time</f>
        <v>0</v>
      </c>
      <c r="BA23" s="317">
        <f t="shared" si="0"/>
        <v>0</v>
      </c>
      <c r="BB23" s="318">
        <f t="shared" si="4"/>
        <v>0</v>
      </c>
      <c r="BC23" s="319">
        <v>5</v>
      </c>
      <c r="BE23" s="208" t="e">
        <f t="array" ref="BE23">STDEV(IF(AA23:AY23&lt;&gt;0,AA23:AY23))</f>
        <v>#DIV/0!</v>
      </c>
      <c r="BF23" s="208">
        <v>1.96</v>
      </c>
      <c r="BG23" s="208" t="e">
        <f t="shared" si="5"/>
        <v>#DIV/0!</v>
      </c>
      <c r="BH23" s="208">
        <f t="shared" si="6"/>
        <v>0</v>
      </c>
    </row>
    <row r="24" spans="1:60" hidden="1">
      <c r="A24" s="320" t="str">
        <f>Costs!A24</f>
        <v>Set up expenses 6</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4"/>
      <c r="AA24" s="315">
        <f>IF(AA$225&lt;=time,B24*Costs!AH24,"")</f>
        <v>0</v>
      </c>
      <c r="AB24" s="316">
        <f>IF(AB$225&lt;=time,C24*Costs!AI24,"")</f>
        <v>0</v>
      </c>
      <c r="AC24" s="316">
        <f>IF(AC$225&lt;=time,D24*Costs!AJ24,"")</f>
        <v>0</v>
      </c>
      <c r="AD24" s="316">
        <f>IF(AD$225&lt;=time,E24*Costs!AK24,"")</f>
        <v>0</v>
      </c>
      <c r="AE24" s="316">
        <f>IF(AE$225&lt;=time,F24*Costs!AL24,"")</f>
        <v>0</v>
      </c>
      <c r="AF24" s="316" t="str">
        <f>IF(AF$225&lt;=time,G24*Costs!AM24,"")</f>
        <v/>
      </c>
      <c r="AG24" s="316" t="str">
        <f>IF(AG$225&lt;=time,H24*Costs!AN24,"")</f>
        <v/>
      </c>
      <c r="AH24" s="316" t="str">
        <f>IF(AH$225&lt;=time,I24*Costs!AO24,"")</f>
        <v/>
      </c>
      <c r="AI24" s="316" t="str">
        <f>IF(AI$225&lt;=time,J24*Costs!AP24,"")</f>
        <v/>
      </c>
      <c r="AJ24" s="316" t="str">
        <f>IF(AJ$225&lt;=time,K24*Costs!AQ24,"")</f>
        <v/>
      </c>
      <c r="AK24" s="316" t="str">
        <f>IF(AK$225&lt;=time,L24*Costs!AR24,"")</f>
        <v/>
      </c>
      <c r="AL24" s="316" t="str">
        <f>IF(AL$225&lt;=time,M24*Costs!AS24,"")</f>
        <v/>
      </c>
      <c r="AM24" s="316" t="str">
        <f>IF(AM$225&lt;=time,N24*Costs!AT24,"")</f>
        <v/>
      </c>
      <c r="AN24" s="316" t="str">
        <f>IF(AN$225&lt;=time,O24*Costs!AU24,"")</f>
        <v/>
      </c>
      <c r="AO24" s="316" t="str">
        <f>IF(AO$225&lt;=time,P24*Costs!AV24,"")</f>
        <v/>
      </c>
      <c r="AP24" s="316" t="str">
        <f>IF(AP$225&lt;=time,Q24*Costs!AW24,"")</f>
        <v/>
      </c>
      <c r="AQ24" s="316" t="str">
        <f>IF(AQ$225&lt;=time,R24*Costs!AX24,"")</f>
        <v/>
      </c>
      <c r="AR24" s="316" t="str">
        <f>IF(AR$225&lt;=time,S24*Costs!AY24,"")</f>
        <v/>
      </c>
      <c r="AS24" s="316" t="str">
        <f>IF(AS$225&lt;=time,T24*Costs!AZ24,"")</f>
        <v/>
      </c>
      <c r="AT24" s="316" t="str">
        <f>IF(AT$225&lt;=time,U24*Costs!BA24,"")</f>
        <v/>
      </c>
      <c r="AU24" s="316" t="str">
        <f>IF(AU$225&lt;=time,V24*Costs!BB24,"")</f>
        <v/>
      </c>
      <c r="AV24" s="316" t="str">
        <f>IF(AV$225&lt;=time,W24*Costs!BC24,"")</f>
        <v/>
      </c>
      <c r="AW24" s="316" t="str">
        <f>IF(AW$225&lt;=time,X24*Costs!BD24,"")</f>
        <v/>
      </c>
      <c r="AX24" s="316" t="str">
        <f>IF(AX$225&lt;=time,Y24*Costs!BE24,"")</f>
        <v/>
      </c>
      <c r="AY24" s="316" t="str">
        <f>IF(AY$225&lt;=time,Z24*Costs!BF24,"")</f>
        <v/>
      </c>
      <c r="AZ24" s="317">
        <f t="array" ref="AZ24">(SUM( IF(ISERROR(AA24:AY24),"", AA24:AY24)))/time</f>
        <v>0</v>
      </c>
      <c r="BA24" s="317">
        <f t="shared" si="0"/>
        <v>0</v>
      </c>
      <c r="BB24" s="318">
        <f t="shared" si="4"/>
        <v>0</v>
      </c>
      <c r="BC24" s="319">
        <v>6</v>
      </c>
      <c r="BE24" s="208" t="e">
        <f t="array" ref="BE24">STDEV(IF(AA24:AY24&lt;&gt;0,AA24:AY24))</f>
        <v>#DIV/0!</v>
      </c>
      <c r="BF24" s="208">
        <v>1.96</v>
      </c>
      <c r="BG24" s="208" t="e">
        <f t="shared" si="5"/>
        <v>#DIV/0!</v>
      </c>
      <c r="BH24" s="208">
        <f t="shared" si="6"/>
        <v>0</v>
      </c>
    </row>
    <row r="25" spans="1:60" hidden="1">
      <c r="A25" s="320" t="str">
        <f>Costs!A25</f>
        <v>Set up expenses 7</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4"/>
      <c r="AA25" s="315">
        <f>IF(AA$225&lt;=time,B25*Costs!AH25,"")</f>
        <v>0</v>
      </c>
      <c r="AB25" s="316">
        <f>IF(AB$225&lt;=time,C25*Costs!AI25,"")</f>
        <v>0</v>
      </c>
      <c r="AC25" s="316">
        <f>IF(AC$225&lt;=time,D25*Costs!AJ25,"")</f>
        <v>0</v>
      </c>
      <c r="AD25" s="316">
        <f>IF(AD$225&lt;=time,E25*Costs!AK25,"")</f>
        <v>0</v>
      </c>
      <c r="AE25" s="316">
        <f>IF(AE$225&lt;=time,F25*Costs!AL25,"")</f>
        <v>0</v>
      </c>
      <c r="AF25" s="316" t="str">
        <f>IF(AF$225&lt;=time,G25*Costs!AM25,"")</f>
        <v/>
      </c>
      <c r="AG25" s="316" t="str">
        <f>IF(AG$225&lt;=time,H25*Costs!AN25,"")</f>
        <v/>
      </c>
      <c r="AH25" s="316" t="str">
        <f>IF(AH$225&lt;=time,I25*Costs!AO25,"")</f>
        <v/>
      </c>
      <c r="AI25" s="316" t="str">
        <f>IF(AI$225&lt;=time,J25*Costs!AP25,"")</f>
        <v/>
      </c>
      <c r="AJ25" s="316" t="str">
        <f>IF(AJ$225&lt;=time,K25*Costs!AQ25,"")</f>
        <v/>
      </c>
      <c r="AK25" s="316" t="str">
        <f>IF(AK$225&lt;=time,L25*Costs!AR25,"")</f>
        <v/>
      </c>
      <c r="AL25" s="316" t="str">
        <f>IF(AL$225&lt;=time,M25*Costs!AS25,"")</f>
        <v/>
      </c>
      <c r="AM25" s="316" t="str">
        <f>IF(AM$225&lt;=time,N25*Costs!AT25,"")</f>
        <v/>
      </c>
      <c r="AN25" s="316" t="str">
        <f>IF(AN$225&lt;=time,O25*Costs!AU25,"")</f>
        <v/>
      </c>
      <c r="AO25" s="316" t="str">
        <f>IF(AO$225&lt;=time,P25*Costs!AV25,"")</f>
        <v/>
      </c>
      <c r="AP25" s="316" t="str">
        <f>IF(AP$225&lt;=time,Q25*Costs!AW25,"")</f>
        <v/>
      </c>
      <c r="AQ25" s="316" t="str">
        <f>IF(AQ$225&lt;=time,R25*Costs!AX25,"")</f>
        <v/>
      </c>
      <c r="AR25" s="316" t="str">
        <f>IF(AR$225&lt;=time,S25*Costs!AY25,"")</f>
        <v/>
      </c>
      <c r="AS25" s="316" t="str">
        <f>IF(AS$225&lt;=time,T25*Costs!AZ25,"")</f>
        <v/>
      </c>
      <c r="AT25" s="316" t="str">
        <f>IF(AT$225&lt;=time,U25*Costs!BA25,"")</f>
        <v/>
      </c>
      <c r="AU25" s="316" t="str">
        <f>IF(AU$225&lt;=time,V25*Costs!BB25,"")</f>
        <v/>
      </c>
      <c r="AV25" s="316" t="str">
        <f>IF(AV$225&lt;=time,W25*Costs!BC25,"")</f>
        <v/>
      </c>
      <c r="AW25" s="316" t="str">
        <f>IF(AW$225&lt;=time,X25*Costs!BD25,"")</f>
        <v/>
      </c>
      <c r="AX25" s="316" t="str">
        <f>IF(AX$225&lt;=time,Y25*Costs!BE25,"")</f>
        <v/>
      </c>
      <c r="AY25" s="316" t="str">
        <f>IF(AY$225&lt;=time,Z25*Costs!BF25,"")</f>
        <v/>
      </c>
      <c r="AZ25" s="317">
        <f t="array" ref="AZ25">(SUM( IF(ISERROR(AA25:AY25),"", AA25:AY25)))/time</f>
        <v>0</v>
      </c>
      <c r="BA25" s="317">
        <f t="shared" si="0"/>
        <v>0</v>
      </c>
      <c r="BB25" s="318">
        <f t="shared" si="4"/>
        <v>0</v>
      </c>
      <c r="BC25" s="319">
        <v>7</v>
      </c>
      <c r="BE25" s="208" t="e">
        <f t="array" ref="BE25">STDEV(IF(AA25:AY25&lt;&gt;0,AA25:AY25))</f>
        <v>#DIV/0!</v>
      </c>
      <c r="BF25" s="208">
        <v>1.96</v>
      </c>
      <c r="BG25" s="208" t="e">
        <f t="shared" si="5"/>
        <v>#DIV/0!</v>
      </c>
      <c r="BH25" s="208">
        <f t="shared" si="6"/>
        <v>0</v>
      </c>
    </row>
    <row r="26" spans="1:60" hidden="1">
      <c r="A26" s="320" t="str">
        <f>Costs!A26</f>
        <v>Set up expenses 8</v>
      </c>
      <c r="B26" s="313"/>
      <c r="C26" s="313"/>
      <c r="D26" s="313"/>
      <c r="E26" s="313"/>
      <c r="F26" s="313"/>
      <c r="G26" s="313"/>
      <c r="H26" s="313"/>
      <c r="I26" s="313"/>
      <c r="J26" s="313"/>
      <c r="K26" s="313"/>
      <c r="L26" s="313"/>
      <c r="M26" s="313"/>
      <c r="N26" s="313"/>
      <c r="O26" s="313"/>
      <c r="P26" s="313"/>
      <c r="Q26" s="313"/>
      <c r="R26" s="313"/>
      <c r="S26" s="313"/>
      <c r="T26" s="313"/>
      <c r="U26" s="313"/>
      <c r="V26" s="313"/>
      <c r="W26" s="313"/>
      <c r="X26" s="313"/>
      <c r="Y26" s="313"/>
      <c r="Z26" s="314"/>
      <c r="AA26" s="315">
        <f>IF(AA$225&lt;=time,B26*Costs!AH26,"")</f>
        <v>0</v>
      </c>
      <c r="AB26" s="316">
        <f>IF(AB$225&lt;=time,C26*Costs!AI26,"")</f>
        <v>0</v>
      </c>
      <c r="AC26" s="316">
        <f>IF(AC$225&lt;=time,D26*Costs!AJ26,"")</f>
        <v>0</v>
      </c>
      <c r="AD26" s="316">
        <f>IF(AD$225&lt;=time,E26*Costs!AK26,"")</f>
        <v>0</v>
      </c>
      <c r="AE26" s="316">
        <f>IF(AE$225&lt;=time,F26*Costs!AL26,"")</f>
        <v>0</v>
      </c>
      <c r="AF26" s="316" t="str">
        <f>IF(AF$225&lt;=time,G26*Costs!AM26,"")</f>
        <v/>
      </c>
      <c r="AG26" s="316" t="str">
        <f>IF(AG$225&lt;=time,H26*Costs!AN26,"")</f>
        <v/>
      </c>
      <c r="AH26" s="316" t="str">
        <f>IF(AH$225&lt;=time,I26*Costs!AO26,"")</f>
        <v/>
      </c>
      <c r="AI26" s="316" t="str">
        <f>IF(AI$225&lt;=time,J26*Costs!AP26,"")</f>
        <v/>
      </c>
      <c r="AJ26" s="316" t="str">
        <f>IF(AJ$225&lt;=time,K26*Costs!AQ26,"")</f>
        <v/>
      </c>
      <c r="AK26" s="316" t="str">
        <f>IF(AK$225&lt;=time,L26*Costs!AR26,"")</f>
        <v/>
      </c>
      <c r="AL26" s="316" t="str">
        <f>IF(AL$225&lt;=time,M26*Costs!AS26,"")</f>
        <v/>
      </c>
      <c r="AM26" s="316" t="str">
        <f>IF(AM$225&lt;=time,N26*Costs!AT26,"")</f>
        <v/>
      </c>
      <c r="AN26" s="316" t="str">
        <f>IF(AN$225&lt;=time,O26*Costs!AU26,"")</f>
        <v/>
      </c>
      <c r="AO26" s="316" t="str">
        <f>IF(AO$225&lt;=time,P26*Costs!AV26,"")</f>
        <v/>
      </c>
      <c r="AP26" s="316" t="str">
        <f>IF(AP$225&lt;=time,Q26*Costs!AW26,"")</f>
        <v/>
      </c>
      <c r="AQ26" s="316" t="str">
        <f>IF(AQ$225&lt;=time,R26*Costs!AX26,"")</f>
        <v/>
      </c>
      <c r="AR26" s="316" t="str">
        <f>IF(AR$225&lt;=time,S26*Costs!AY26,"")</f>
        <v/>
      </c>
      <c r="AS26" s="316" t="str">
        <f>IF(AS$225&lt;=time,T26*Costs!AZ26,"")</f>
        <v/>
      </c>
      <c r="AT26" s="316" t="str">
        <f>IF(AT$225&lt;=time,U26*Costs!BA26,"")</f>
        <v/>
      </c>
      <c r="AU26" s="316" t="str">
        <f>IF(AU$225&lt;=time,V26*Costs!BB26,"")</f>
        <v/>
      </c>
      <c r="AV26" s="316" t="str">
        <f>IF(AV$225&lt;=time,W26*Costs!BC26,"")</f>
        <v/>
      </c>
      <c r="AW26" s="316" t="str">
        <f>IF(AW$225&lt;=time,X26*Costs!BD26,"")</f>
        <v/>
      </c>
      <c r="AX26" s="316" t="str">
        <f>IF(AX$225&lt;=time,Y26*Costs!BE26,"")</f>
        <v/>
      </c>
      <c r="AY26" s="316" t="str">
        <f>IF(AY$225&lt;=time,Z26*Costs!BF26,"")</f>
        <v/>
      </c>
      <c r="AZ26" s="317">
        <f t="array" ref="AZ26">(SUM( IF(ISERROR(AA26:AY26),"", AA26:AY26)))/time</f>
        <v>0</v>
      </c>
      <c r="BA26" s="317">
        <f t="shared" si="0"/>
        <v>0</v>
      </c>
      <c r="BB26" s="318">
        <f t="shared" si="4"/>
        <v>0</v>
      </c>
      <c r="BC26" s="319">
        <v>8</v>
      </c>
      <c r="BE26" s="208" t="e">
        <f t="array" ref="BE26">STDEV(IF(AA26:AY26&lt;&gt;0,AA26:AY26))</f>
        <v>#DIV/0!</v>
      </c>
      <c r="BF26" s="208">
        <v>1.96</v>
      </c>
      <c r="BG26" s="208" t="e">
        <f t="shared" si="5"/>
        <v>#DIV/0!</v>
      </c>
      <c r="BH26" s="208">
        <f t="shared" si="6"/>
        <v>0</v>
      </c>
    </row>
    <row r="27" spans="1:60" hidden="1">
      <c r="A27" s="320" t="str">
        <f>Costs!A27</f>
        <v>Set up expenses 9</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4"/>
      <c r="AA27" s="315">
        <f>IF(AA$225&lt;=time,B27*Costs!AH27,"")</f>
        <v>0</v>
      </c>
      <c r="AB27" s="316">
        <f>IF(AB$225&lt;=time,C27*Costs!AI27,"")</f>
        <v>0</v>
      </c>
      <c r="AC27" s="316">
        <f>IF(AC$225&lt;=time,D27*Costs!AJ27,"")</f>
        <v>0</v>
      </c>
      <c r="AD27" s="316">
        <f>IF(AD$225&lt;=time,E27*Costs!AK27,"")</f>
        <v>0</v>
      </c>
      <c r="AE27" s="316">
        <f>IF(AE$225&lt;=time,F27*Costs!AL27,"")</f>
        <v>0</v>
      </c>
      <c r="AF27" s="316" t="str">
        <f>IF(AF$225&lt;=time,G27*Costs!AM27,"")</f>
        <v/>
      </c>
      <c r="AG27" s="316" t="str">
        <f>IF(AG$225&lt;=time,H27*Costs!AN27,"")</f>
        <v/>
      </c>
      <c r="AH27" s="316" t="str">
        <f>IF(AH$225&lt;=time,I27*Costs!AO27,"")</f>
        <v/>
      </c>
      <c r="AI27" s="316" t="str">
        <f>IF(AI$225&lt;=time,J27*Costs!AP27,"")</f>
        <v/>
      </c>
      <c r="AJ27" s="316" t="str">
        <f>IF(AJ$225&lt;=time,K27*Costs!AQ27,"")</f>
        <v/>
      </c>
      <c r="AK27" s="316" t="str">
        <f>IF(AK$225&lt;=time,L27*Costs!AR27,"")</f>
        <v/>
      </c>
      <c r="AL27" s="316" t="str">
        <f>IF(AL$225&lt;=time,M27*Costs!AS27,"")</f>
        <v/>
      </c>
      <c r="AM27" s="316" t="str">
        <f>IF(AM$225&lt;=time,N27*Costs!AT27,"")</f>
        <v/>
      </c>
      <c r="AN27" s="316" t="str">
        <f>IF(AN$225&lt;=time,O27*Costs!AU27,"")</f>
        <v/>
      </c>
      <c r="AO27" s="316" t="str">
        <f>IF(AO$225&lt;=time,P27*Costs!AV27,"")</f>
        <v/>
      </c>
      <c r="AP27" s="316" t="str">
        <f>IF(AP$225&lt;=time,Q27*Costs!AW27,"")</f>
        <v/>
      </c>
      <c r="AQ27" s="316" t="str">
        <f>IF(AQ$225&lt;=time,R27*Costs!AX27,"")</f>
        <v/>
      </c>
      <c r="AR27" s="316" t="str">
        <f>IF(AR$225&lt;=time,S27*Costs!AY27,"")</f>
        <v/>
      </c>
      <c r="AS27" s="316" t="str">
        <f>IF(AS$225&lt;=time,T27*Costs!AZ27,"")</f>
        <v/>
      </c>
      <c r="AT27" s="316" t="str">
        <f>IF(AT$225&lt;=time,U27*Costs!BA27,"")</f>
        <v/>
      </c>
      <c r="AU27" s="316" t="str">
        <f>IF(AU$225&lt;=time,V27*Costs!BB27,"")</f>
        <v/>
      </c>
      <c r="AV27" s="316" t="str">
        <f>IF(AV$225&lt;=time,W27*Costs!BC27,"")</f>
        <v/>
      </c>
      <c r="AW27" s="316" t="str">
        <f>IF(AW$225&lt;=time,X27*Costs!BD27,"")</f>
        <v/>
      </c>
      <c r="AX27" s="316" t="str">
        <f>IF(AX$225&lt;=time,Y27*Costs!BE27,"")</f>
        <v/>
      </c>
      <c r="AY27" s="316" t="str">
        <f>IF(AY$225&lt;=time,Z27*Costs!BF27,"")</f>
        <v/>
      </c>
      <c r="AZ27" s="317">
        <f t="array" ref="AZ27">(SUM( IF(ISERROR(AA27:AY27),"", AA27:AY27)))/time</f>
        <v>0</v>
      </c>
      <c r="BA27" s="317">
        <f t="shared" si="0"/>
        <v>0</v>
      </c>
      <c r="BB27" s="318">
        <f t="shared" si="4"/>
        <v>0</v>
      </c>
      <c r="BC27" s="319">
        <v>9</v>
      </c>
      <c r="BE27" s="208" t="e">
        <f t="array" ref="BE27">STDEV(IF(AA27:AY27&lt;&gt;0,AA27:AY27))</f>
        <v>#DIV/0!</v>
      </c>
      <c r="BF27" s="208">
        <v>1.96</v>
      </c>
      <c r="BG27" s="208" t="e">
        <f t="shared" si="5"/>
        <v>#DIV/0!</v>
      </c>
      <c r="BH27" s="208">
        <f t="shared" si="6"/>
        <v>0</v>
      </c>
    </row>
    <row r="28" spans="1:60" hidden="1">
      <c r="A28" s="320" t="str">
        <f>Costs!A28</f>
        <v>Set up expenses 10</v>
      </c>
      <c r="B28" s="313"/>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4"/>
      <c r="AA28" s="315">
        <f>IF(AA$225&lt;=time,B28*Costs!AH28,"")</f>
        <v>0</v>
      </c>
      <c r="AB28" s="316">
        <f>IF(AB$225&lt;=time,C28*Costs!AI28,"")</f>
        <v>0</v>
      </c>
      <c r="AC28" s="316">
        <f>IF(AC$225&lt;=time,D28*Costs!AJ28,"")</f>
        <v>0</v>
      </c>
      <c r="AD28" s="316">
        <f>IF(AD$225&lt;=time,E28*Costs!AK28,"")</f>
        <v>0</v>
      </c>
      <c r="AE28" s="316">
        <f>IF(AE$225&lt;=time,F28*Costs!AL28,"")</f>
        <v>0</v>
      </c>
      <c r="AF28" s="316" t="str">
        <f>IF(AF$225&lt;=time,G28*Costs!AM28,"")</f>
        <v/>
      </c>
      <c r="AG28" s="316" t="str">
        <f>IF(AG$225&lt;=time,H28*Costs!AN28,"")</f>
        <v/>
      </c>
      <c r="AH28" s="316" t="str">
        <f>IF(AH$225&lt;=time,I28*Costs!AO28,"")</f>
        <v/>
      </c>
      <c r="AI28" s="316" t="str">
        <f>IF(AI$225&lt;=time,J28*Costs!AP28,"")</f>
        <v/>
      </c>
      <c r="AJ28" s="316" t="str">
        <f>IF(AJ$225&lt;=time,K28*Costs!AQ28,"")</f>
        <v/>
      </c>
      <c r="AK28" s="316" t="str">
        <f>IF(AK$225&lt;=time,L28*Costs!AR28,"")</f>
        <v/>
      </c>
      <c r="AL28" s="316" t="str">
        <f>IF(AL$225&lt;=time,M28*Costs!AS28,"")</f>
        <v/>
      </c>
      <c r="AM28" s="316" t="str">
        <f>IF(AM$225&lt;=time,N28*Costs!AT28,"")</f>
        <v/>
      </c>
      <c r="AN28" s="316" t="str">
        <f>IF(AN$225&lt;=time,O28*Costs!AU28,"")</f>
        <v/>
      </c>
      <c r="AO28" s="316" t="str">
        <f>IF(AO$225&lt;=time,P28*Costs!AV28,"")</f>
        <v/>
      </c>
      <c r="AP28" s="316" t="str">
        <f>IF(AP$225&lt;=time,Q28*Costs!AW28,"")</f>
        <v/>
      </c>
      <c r="AQ28" s="316" t="str">
        <f>IF(AQ$225&lt;=time,R28*Costs!AX28,"")</f>
        <v/>
      </c>
      <c r="AR28" s="316" t="str">
        <f>IF(AR$225&lt;=time,S28*Costs!AY28,"")</f>
        <v/>
      </c>
      <c r="AS28" s="316" t="str">
        <f>IF(AS$225&lt;=time,T28*Costs!AZ28,"")</f>
        <v/>
      </c>
      <c r="AT28" s="316" t="str">
        <f>IF(AT$225&lt;=time,U28*Costs!BA28,"")</f>
        <v/>
      </c>
      <c r="AU28" s="316" t="str">
        <f>IF(AU$225&lt;=time,V28*Costs!BB28,"")</f>
        <v/>
      </c>
      <c r="AV28" s="316" t="str">
        <f>IF(AV$225&lt;=time,W28*Costs!BC28,"")</f>
        <v/>
      </c>
      <c r="AW28" s="316" t="str">
        <f>IF(AW$225&lt;=time,X28*Costs!BD28,"")</f>
        <v/>
      </c>
      <c r="AX28" s="316" t="str">
        <f>IF(AX$225&lt;=time,Y28*Costs!BE28,"")</f>
        <v/>
      </c>
      <c r="AY28" s="316" t="str">
        <f>IF(AY$225&lt;=time,Z28*Costs!BF28,"")</f>
        <v/>
      </c>
      <c r="AZ28" s="317">
        <f t="array" ref="AZ28">(SUM( IF(ISERROR(AA28:AY28),"", AA28:AY28)))/time</f>
        <v>0</v>
      </c>
      <c r="BA28" s="317">
        <f t="shared" si="0"/>
        <v>0</v>
      </c>
      <c r="BB28" s="318">
        <f t="shared" si="4"/>
        <v>0</v>
      </c>
      <c r="BC28" s="319">
        <v>10</v>
      </c>
      <c r="BE28" s="208" t="e">
        <f t="array" ref="BE28">STDEV(IF(AA28:AY28&lt;&gt;0,AA28:AY28))</f>
        <v>#DIV/0!</v>
      </c>
      <c r="BF28" s="208">
        <v>1.96</v>
      </c>
      <c r="BG28" s="208" t="e">
        <f t="shared" si="5"/>
        <v>#DIV/0!</v>
      </c>
      <c r="BH28" s="208">
        <f t="shared" si="6"/>
        <v>0</v>
      </c>
    </row>
    <row r="29" spans="1:60" s="11" customFormat="1">
      <c r="A29" s="233" t="s">
        <v>7</v>
      </c>
      <c r="B29" s="96"/>
      <c r="C29" s="96"/>
      <c r="D29" s="96"/>
      <c r="E29" s="96"/>
      <c r="F29" s="96"/>
      <c r="G29" s="96"/>
      <c r="H29" s="96"/>
      <c r="I29" s="96"/>
      <c r="J29" s="96"/>
      <c r="K29" s="96"/>
      <c r="L29" s="96"/>
      <c r="M29" s="96"/>
      <c r="N29" s="96"/>
      <c r="O29" s="96"/>
      <c r="P29" s="96"/>
      <c r="Q29" s="96"/>
      <c r="R29" s="96"/>
      <c r="S29" s="96"/>
      <c r="T29" s="96"/>
      <c r="U29" s="96"/>
      <c r="V29" s="96"/>
      <c r="W29" s="96"/>
      <c r="X29" s="96"/>
      <c r="Y29" s="96"/>
      <c r="Z29" s="321"/>
      <c r="AA29" s="233"/>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BB29" s="211"/>
    </row>
    <row r="30" spans="1:60" s="11" customFormat="1">
      <c r="A30" s="16" t="s">
        <v>149</v>
      </c>
      <c r="B30" s="29"/>
      <c r="C30" s="29"/>
      <c r="D30" s="29"/>
      <c r="E30" s="29"/>
      <c r="F30" s="29"/>
      <c r="G30" s="29"/>
      <c r="H30" s="29"/>
      <c r="I30" s="29"/>
      <c r="J30" s="29"/>
      <c r="K30" s="29"/>
      <c r="L30" s="29"/>
      <c r="M30" s="29"/>
      <c r="N30" s="29"/>
      <c r="O30" s="29"/>
      <c r="P30" s="29"/>
      <c r="Q30" s="29"/>
      <c r="R30" s="29"/>
      <c r="S30" s="29"/>
      <c r="T30" s="29"/>
      <c r="U30" s="29"/>
      <c r="V30" s="29"/>
      <c r="W30" s="29"/>
      <c r="X30" s="29"/>
      <c r="Y30" s="29"/>
      <c r="Z30" s="30"/>
      <c r="AA30" s="16"/>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BB30" s="211"/>
    </row>
    <row r="31" spans="1:60">
      <c r="A31" s="31" t="str">
        <f>Costs!A31</f>
        <v>Purchasing 1</v>
      </c>
      <c r="B31" s="865"/>
      <c r="C31" s="865"/>
      <c r="D31" s="865"/>
      <c r="E31" s="313"/>
      <c r="F31" s="313"/>
      <c r="G31" s="313"/>
      <c r="H31" s="313"/>
      <c r="I31" s="313"/>
      <c r="J31" s="313"/>
      <c r="K31" s="313"/>
      <c r="L31" s="313"/>
      <c r="M31" s="313"/>
      <c r="N31" s="313"/>
      <c r="O31" s="313"/>
      <c r="P31" s="313"/>
      <c r="Q31" s="313"/>
      <c r="R31" s="313"/>
      <c r="S31" s="313"/>
      <c r="T31" s="313"/>
      <c r="U31" s="313"/>
      <c r="V31" s="313"/>
      <c r="W31" s="313"/>
      <c r="X31" s="313"/>
      <c r="Y31" s="313"/>
      <c r="Z31" s="314"/>
      <c r="AA31" s="315">
        <f>IF(AA$225&lt;=time,B31*Costs!AH31,"")</f>
        <v>0</v>
      </c>
      <c r="AB31" s="316">
        <f>IF(AB$225&lt;=time,C31*Costs!AI31,"")</f>
        <v>0</v>
      </c>
      <c r="AC31" s="316">
        <f>IF(AC$225&lt;=time,D31*Costs!AJ31,"")</f>
        <v>0</v>
      </c>
      <c r="AD31" s="316">
        <f>IF(AD$225&lt;=time,E31*Costs!AK31,"")</f>
        <v>0</v>
      </c>
      <c r="AE31" s="316">
        <f>IF(AE$225&lt;=time,F31*Costs!AL31,"")</f>
        <v>0</v>
      </c>
      <c r="AF31" s="316" t="str">
        <f>IF(AF$225&lt;=time,G31*Costs!AM31,"")</f>
        <v/>
      </c>
      <c r="AG31" s="316" t="str">
        <f>IF(AG$225&lt;=time,H31*Costs!AN31,"")</f>
        <v/>
      </c>
      <c r="AH31" s="316" t="str">
        <f>IF(AH$225&lt;=time,I31*Costs!AO31,"")</f>
        <v/>
      </c>
      <c r="AI31" s="316" t="str">
        <f>IF(AI$225&lt;=time,J31*Costs!AP31,"")</f>
        <v/>
      </c>
      <c r="AJ31" s="316" t="str">
        <f>IF(AJ$225&lt;=time,K31*Costs!AQ31,"")</f>
        <v/>
      </c>
      <c r="AK31" s="316" t="str">
        <f>IF(AK$225&lt;=time,L31*Costs!AR31,"")</f>
        <v/>
      </c>
      <c r="AL31" s="316" t="str">
        <f>IF(AL$225&lt;=time,M31*Costs!AS31,"")</f>
        <v/>
      </c>
      <c r="AM31" s="316" t="str">
        <f>IF(AM$225&lt;=time,N31*Costs!AT31,"")</f>
        <v/>
      </c>
      <c r="AN31" s="316" t="str">
        <f>IF(AN$225&lt;=time,O31*Costs!AU31,"")</f>
        <v/>
      </c>
      <c r="AO31" s="316" t="str">
        <f>IF(AO$225&lt;=time,P31*Costs!AV31,"")</f>
        <v/>
      </c>
      <c r="AP31" s="316" t="str">
        <f>IF(AP$225&lt;=time,Q31*Costs!AW31,"")</f>
        <v/>
      </c>
      <c r="AQ31" s="316" t="str">
        <f>IF(AQ$225&lt;=time,R31*Costs!AX31,"")</f>
        <v/>
      </c>
      <c r="AR31" s="316" t="str">
        <f>IF(AR$225&lt;=time,S31*Costs!AY31,"")</f>
        <v/>
      </c>
      <c r="AS31" s="316" t="str">
        <f>IF(AS$225&lt;=time,T31*Costs!AZ31,"")</f>
        <v/>
      </c>
      <c r="AT31" s="316" t="str">
        <f>IF(AT$225&lt;=time,U31*Costs!BA31,"")</f>
        <v/>
      </c>
      <c r="AU31" s="316" t="str">
        <f>IF(AU$225&lt;=time,V31*Costs!BB31,"")</f>
        <v/>
      </c>
      <c r="AV31" s="316" t="str">
        <f>IF(AV$225&lt;=time,W31*Costs!BC31,"")</f>
        <v/>
      </c>
      <c r="AW31" s="316" t="str">
        <f>IF(AW$225&lt;=time,X31*Costs!BD31,"")</f>
        <v/>
      </c>
      <c r="AX31" s="316" t="str">
        <f>IF(AX$225&lt;=time,Y31*Costs!BE31,"")</f>
        <v/>
      </c>
      <c r="AY31" s="316" t="str">
        <f>IF(AY$225&lt;=time,Z31*Costs!BF31,"")</f>
        <v/>
      </c>
      <c r="AZ31" s="317">
        <f t="array" ref="AZ31">(SUM( IF(ISERROR(AA31:AY31),"", AA31:AY31)))/time</f>
        <v>0</v>
      </c>
      <c r="BA31" s="317">
        <f t="shared" si="0"/>
        <v>0</v>
      </c>
      <c r="BB31" s="318">
        <f t="shared" ref="BB31:BB40" si="7">IF(BH31&gt;0,AZ31+BG31,AZ31)</f>
        <v>0</v>
      </c>
      <c r="BC31" s="319">
        <v>1</v>
      </c>
      <c r="BE31" s="208" t="e">
        <f t="array" ref="BE31">STDEV(IF(AA31:AY31&lt;&gt;0,AA31:AY31))</f>
        <v>#DIV/0!</v>
      </c>
      <c r="BF31" s="208">
        <v>1.96</v>
      </c>
      <c r="BG31" s="208" t="e">
        <f t="shared" ref="BG31:BG40" si="8">(BF31*BE31)/(time^0.5)</f>
        <v>#DIV/0!</v>
      </c>
      <c r="BH31" s="208">
        <f t="shared" ref="BH31:BH40" si="9">IFERROR(BE31,0)</f>
        <v>0</v>
      </c>
    </row>
    <row r="32" spans="1:60" hidden="1">
      <c r="A32" s="320" t="str">
        <f>Costs!A32</f>
        <v>Purchasing 2</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4"/>
      <c r="AA32" s="315">
        <f>IF(AA$225&lt;=time,B32*Costs!AH32,"")</f>
        <v>0</v>
      </c>
      <c r="AB32" s="316">
        <f>IF(AB$225&lt;=time,C32*Costs!AI32,"")</f>
        <v>0</v>
      </c>
      <c r="AC32" s="316">
        <f>IF(AC$225&lt;=time,D32*Costs!AJ32,"")</f>
        <v>0</v>
      </c>
      <c r="AD32" s="316">
        <f>IF(AD$225&lt;=time,E32*Costs!AK32,"")</f>
        <v>0</v>
      </c>
      <c r="AE32" s="316">
        <f>IF(AE$225&lt;=time,F32*Costs!AL32,"")</f>
        <v>0</v>
      </c>
      <c r="AF32" s="316" t="str">
        <f>IF(AF$225&lt;=time,G32*Costs!AM32,"")</f>
        <v/>
      </c>
      <c r="AG32" s="316" t="str">
        <f>IF(AG$225&lt;=time,H32*Costs!AN32,"")</f>
        <v/>
      </c>
      <c r="AH32" s="316" t="str">
        <f>IF(AH$225&lt;=time,I32*Costs!AO32,"")</f>
        <v/>
      </c>
      <c r="AI32" s="316" t="str">
        <f>IF(AI$225&lt;=time,J32*Costs!AP32,"")</f>
        <v/>
      </c>
      <c r="AJ32" s="316" t="str">
        <f>IF(AJ$225&lt;=time,K32*Costs!AQ32,"")</f>
        <v/>
      </c>
      <c r="AK32" s="316" t="str">
        <f>IF(AK$225&lt;=time,L32*Costs!AR32,"")</f>
        <v/>
      </c>
      <c r="AL32" s="316" t="str">
        <f>IF(AL$225&lt;=time,M32*Costs!AS32,"")</f>
        <v/>
      </c>
      <c r="AM32" s="316" t="str">
        <f>IF(AM$225&lt;=time,N32*Costs!AT32,"")</f>
        <v/>
      </c>
      <c r="AN32" s="316" t="str">
        <f>IF(AN$225&lt;=time,O32*Costs!AU32,"")</f>
        <v/>
      </c>
      <c r="AO32" s="316" t="str">
        <f>IF(AO$225&lt;=time,P32*Costs!AV32,"")</f>
        <v/>
      </c>
      <c r="AP32" s="316" t="str">
        <f>IF(AP$225&lt;=time,Q32*Costs!AW32,"")</f>
        <v/>
      </c>
      <c r="AQ32" s="316" t="str">
        <f>IF(AQ$225&lt;=time,R32*Costs!AX32,"")</f>
        <v/>
      </c>
      <c r="AR32" s="316" t="str">
        <f>IF(AR$225&lt;=time,S32*Costs!AY32,"")</f>
        <v/>
      </c>
      <c r="AS32" s="316" t="str">
        <f>IF(AS$225&lt;=time,T32*Costs!AZ32,"")</f>
        <v/>
      </c>
      <c r="AT32" s="316" t="str">
        <f>IF(AT$225&lt;=time,U32*Costs!BA32,"")</f>
        <v/>
      </c>
      <c r="AU32" s="316" t="str">
        <f>IF(AU$225&lt;=time,V32*Costs!BB32,"")</f>
        <v/>
      </c>
      <c r="AV32" s="316" t="str">
        <f>IF(AV$225&lt;=time,W32*Costs!BC32,"")</f>
        <v/>
      </c>
      <c r="AW32" s="316" t="str">
        <f>IF(AW$225&lt;=time,X32*Costs!BD32,"")</f>
        <v/>
      </c>
      <c r="AX32" s="316" t="str">
        <f>IF(AX$225&lt;=time,Y32*Costs!BE32,"")</f>
        <v/>
      </c>
      <c r="AY32" s="316" t="str">
        <f>IF(AY$225&lt;=time,Z32*Costs!BF32,"")</f>
        <v/>
      </c>
      <c r="AZ32" s="317">
        <f t="array" ref="AZ32">(SUM( IF(ISERROR(AA32:AY32),"", AA32:AY32)))/time</f>
        <v>0</v>
      </c>
      <c r="BA32" s="317">
        <f t="shared" si="0"/>
        <v>0</v>
      </c>
      <c r="BB32" s="318">
        <f t="shared" si="7"/>
        <v>0</v>
      </c>
      <c r="BC32" s="319">
        <v>2</v>
      </c>
      <c r="BE32" s="208" t="e">
        <f t="array" ref="BE32">STDEV(IF(AA32:AY32&lt;&gt;0,AA32:AY32))</f>
        <v>#DIV/0!</v>
      </c>
      <c r="BF32" s="208">
        <v>1.96</v>
      </c>
      <c r="BG32" s="208" t="e">
        <f t="shared" si="8"/>
        <v>#DIV/0!</v>
      </c>
      <c r="BH32" s="208">
        <f t="shared" si="9"/>
        <v>0</v>
      </c>
    </row>
    <row r="33" spans="1:60" hidden="1">
      <c r="A33" s="320" t="str">
        <f>Costs!A33</f>
        <v>Purchasing 3</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4"/>
      <c r="AA33" s="315">
        <f>IF(AA$225&lt;=time,B33*Costs!AH33,"")</f>
        <v>0</v>
      </c>
      <c r="AB33" s="316">
        <f>IF(AB$225&lt;=time,C33*Costs!AI33,"")</f>
        <v>0</v>
      </c>
      <c r="AC33" s="316">
        <f>IF(AC$225&lt;=time,D33*Costs!AJ33,"")</f>
        <v>0</v>
      </c>
      <c r="AD33" s="316">
        <f>IF(AD$225&lt;=time,E33*Costs!AK33,"")</f>
        <v>0</v>
      </c>
      <c r="AE33" s="316">
        <f>IF(AE$225&lt;=time,F33*Costs!AL33,"")</f>
        <v>0</v>
      </c>
      <c r="AF33" s="316" t="str">
        <f>IF(AF$225&lt;=time,G33*Costs!AM33,"")</f>
        <v/>
      </c>
      <c r="AG33" s="316" t="str">
        <f>IF(AG$225&lt;=time,H33*Costs!AN33,"")</f>
        <v/>
      </c>
      <c r="AH33" s="316" t="str">
        <f>IF(AH$225&lt;=time,I33*Costs!AO33,"")</f>
        <v/>
      </c>
      <c r="AI33" s="316" t="str">
        <f>IF(AI$225&lt;=time,J33*Costs!AP33,"")</f>
        <v/>
      </c>
      <c r="AJ33" s="316" t="str">
        <f>IF(AJ$225&lt;=time,K33*Costs!AQ33,"")</f>
        <v/>
      </c>
      <c r="AK33" s="316" t="str">
        <f>IF(AK$225&lt;=time,L33*Costs!AR33,"")</f>
        <v/>
      </c>
      <c r="AL33" s="316" t="str">
        <f>IF(AL$225&lt;=time,M33*Costs!AS33,"")</f>
        <v/>
      </c>
      <c r="AM33" s="316" t="str">
        <f>IF(AM$225&lt;=time,N33*Costs!AT33,"")</f>
        <v/>
      </c>
      <c r="AN33" s="316" t="str">
        <f>IF(AN$225&lt;=time,O33*Costs!AU33,"")</f>
        <v/>
      </c>
      <c r="AO33" s="316" t="str">
        <f>IF(AO$225&lt;=time,P33*Costs!AV33,"")</f>
        <v/>
      </c>
      <c r="AP33" s="316" t="str">
        <f>IF(AP$225&lt;=time,Q33*Costs!AW33,"")</f>
        <v/>
      </c>
      <c r="AQ33" s="316" t="str">
        <f>IF(AQ$225&lt;=time,R33*Costs!AX33,"")</f>
        <v/>
      </c>
      <c r="AR33" s="316" t="str">
        <f>IF(AR$225&lt;=time,S33*Costs!AY33,"")</f>
        <v/>
      </c>
      <c r="AS33" s="316" t="str">
        <f>IF(AS$225&lt;=time,T33*Costs!AZ33,"")</f>
        <v/>
      </c>
      <c r="AT33" s="316" t="str">
        <f>IF(AT$225&lt;=time,U33*Costs!BA33,"")</f>
        <v/>
      </c>
      <c r="AU33" s="316" t="str">
        <f>IF(AU$225&lt;=time,V33*Costs!BB33,"")</f>
        <v/>
      </c>
      <c r="AV33" s="316" t="str">
        <f>IF(AV$225&lt;=time,W33*Costs!BC33,"")</f>
        <v/>
      </c>
      <c r="AW33" s="316" t="str">
        <f>IF(AW$225&lt;=time,X33*Costs!BD33,"")</f>
        <v/>
      </c>
      <c r="AX33" s="316" t="str">
        <f>IF(AX$225&lt;=time,Y33*Costs!BE33,"")</f>
        <v/>
      </c>
      <c r="AY33" s="316" t="str">
        <f>IF(AY$225&lt;=time,Z33*Costs!BF33,"")</f>
        <v/>
      </c>
      <c r="AZ33" s="317">
        <f t="array" ref="AZ33">(SUM( IF(ISERROR(AA33:AY33),"", AA33:AY33)))/time</f>
        <v>0</v>
      </c>
      <c r="BA33" s="317">
        <f t="shared" si="0"/>
        <v>0</v>
      </c>
      <c r="BB33" s="318">
        <f t="shared" si="7"/>
        <v>0</v>
      </c>
      <c r="BC33" s="319">
        <v>3</v>
      </c>
      <c r="BE33" s="208" t="e">
        <f t="array" ref="BE33">STDEV(IF(AA33:AY33&lt;&gt;0,AA33:AY33))</f>
        <v>#DIV/0!</v>
      </c>
      <c r="BF33" s="208">
        <v>1.96</v>
      </c>
      <c r="BG33" s="208" t="e">
        <f t="shared" si="8"/>
        <v>#DIV/0!</v>
      </c>
      <c r="BH33" s="208">
        <f t="shared" si="9"/>
        <v>0</v>
      </c>
    </row>
    <row r="34" spans="1:60" hidden="1">
      <c r="A34" s="320" t="str">
        <f>Costs!A34</f>
        <v>Purchasing 4</v>
      </c>
      <c r="B34" s="313"/>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4"/>
      <c r="AA34" s="315">
        <f>IF(AA$225&lt;=time,B34*Costs!AH34,"")</f>
        <v>0</v>
      </c>
      <c r="AB34" s="316">
        <f>IF(AB$225&lt;=time,C34*Costs!AI34,"")</f>
        <v>0</v>
      </c>
      <c r="AC34" s="316">
        <f>IF(AC$225&lt;=time,D34*Costs!AJ34,"")</f>
        <v>0</v>
      </c>
      <c r="AD34" s="316">
        <f>IF(AD$225&lt;=time,E34*Costs!AK34,"")</f>
        <v>0</v>
      </c>
      <c r="AE34" s="316">
        <f>IF(AE$225&lt;=time,F34*Costs!AL34,"")</f>
        <v>0</v>
      </c>
      <c r="AF34" s="316" t="str">
        <f>IF(AF$225&lt;=time,G34*Costs!AM34,"")</f>
        <v/>
      </c>
      <c r="AG34" s="316" t="str">
        <f>IF(AG$225&lt;=time,H34*Costs!AN34,"")</f>
        <v/>
      </c>
      <c r="AH34" s="316" t="str">
        <f>IF(AH$225&lt;=time,I34*Costs!AO34,"")</f>
        <v/>
      </c>
      <c r="AI34" s="316" t="str">
        <f>IF(AI$225&lt;=time,J34*Costs!AP34,"")</f>
        <v/>
      </c>
      <c r="AJ34" s="316" t="str">
        <f>IF(AJ$225&lt;=time,K34*Costs!AQ34,"")</f>
        <v/>
      </c>
      <c r="AK34" s="316" t="str">
        <f>IF(AK$225&lt;=time,L34*Costs!AR34,"")</f>
        <v/>
      </c>
      <c r="AL34" s="316" t="str">
        <f>IF(AL$225&lt;=time,M34*Costs!AS34,"")</f>
        <v/>
      </c>
      <c r="AM34" s="316" t="str">
        <f>IF(AM$225&lt;=time,N34*Costs!AT34,"")</f>
        <v/>
      </c>
      <c r="AN34" s="316" t="str">
        <f>IF(AN$225&lt;=time,O34*Costs!AU34,"")</f>
        <v/>
      </c>
      <c r="AO34" s="316" t="str">
        <f>IF(AO$225&lt;=time,P34*Costs!AV34,"")</f>
        <v/>
      </c>
      <c r="AP34" s="316" t="str">
        <f>IF(AP$225&lt;=time,Q34*Costs!AW34,"")</f>
        <v/>
      </c>
      <c r="AQ34" s="316" t="str">
        <f>IF(AQ$225&lt;=time,R34*Costs!AX34,"")</f>
        <v/>
      </c>
      <c r="AR34" s="316" t="str">
        <f>IF(AR$225&lt;=time,S34*Costs!AY34,"")</f>
        <v/>
      </c>
      <c r="AS34" s="316" t="str">
        <f>IF(AS$225&lt;=time,T34*Costs!AZ34,"")</f>
        <v/>
      </c>
      <c r="AT34" s="316" t="str">
        <f>IF(AT$225&lt;=time,U34*Costs!BA34,"")</f>
        <v/>
      </c>
      <c r="AU34" s="316" t="str">
        <f>IF(AU$225&lt;=time,V34*Costs!BB34,"")</f>
        <v/>
      </c>
      <c r="AV34" s="316" t="str">
        <f>IF(AV$225&lt;=time,W34*Costs!BC34,"")</f>
        <v/>
      </c>
      <c r="AW34" s="316" t="str">
        <f>IF(AW$225&lt;=time,X34*Costs!BD34,"")</f>
        <v/>
      </c>
      <c r="AX34" s="316" t="str">
        <f>IF(AX$225&lt;=time,Y34*Costs!BE34,"")</f>
        <v/>
      </c>
      <c r="AY34" s="316" t="str">
        <f>IF(AY$225&lt;=time,Z34*Costs!BF34,"")</f>
        <v/>
      </c>
      <c r="AZ34" s="317">
        <f t="array" ref="AZ34">(SUM( IF(ISERROR(AA34:AY34),"", AA34:AY34)))/time</f>
        <v>0</v>
      </c>
      <c r="BA34" s="317">
        <f t="shared" si="0"/>
        <v>0</v>
      </c>
      <c r="BB34" s="318">
        <f t="shared" si="7"/>
        <v>0</v>
      </c>
      <c r="BC34" s="319">
        <v>4</v>
      </c>
      <c r="BE34" s="208" t="e">
        <f t="array" ref="BE34">STDEV(IF(AA34:AY34&lt;&gt;0,AA34:AY34))</f>
        <v>#DIV/0!</v>
      </c>
      <c r="BF34" s="208">
        <v>1.96</v>
      </c>
      <c r="BG34" s="208" t="e">
        <f t="shared" si="8"/>
        <v>#DIV/0!</v>
      </c>
      <c r="BH34" s="208">
        <f t="shared" si="9"/>
        <v>0</v>
      </c>
    </row>
    <row r="35" spans="1:60" hidden="1">
      <c r="A35" s="320" t="str">
        <f>Costs!A35</f>
        <v>Purchasing 5</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4"/>
      <c r="AA35" s="315">
        <f>IF(AA$225&lt;=time,B35*Costs!AH35,"")</f>
        <v>0</v>
      </c>
      <c r="AB35" s="316">
        <f>IF(AB$225&lt;=time,C35*Costs!AI35,"")</f>
        <v>0</v>
      </c>
      <c r="AC35" s="316">
        <f>IF(AC$225&lt;=time,D35*Costs!AJ35,"")</f>
        <v>0</v>
      </c>
      <c r="AD35" s="316">
        <f>IF(AD$225&lt;=time,E35*Costs!AK35,"")</f>
        <v>0</v>
      </c>
      <c r="AE35" s="316">
        <f>IF(AE$225&lt;=time,F35*Costs!AL35,"")</f>
        <v>0</v>
      </c>
      <c r="AF35" s="316" t="str">
        <f>IF(AF$225&lt;=time,G35*Costs!AM35,"")</f>
        <v/>
      </c>
      <c r="AG35" s="316" t="str">
        <f>IF(AG$225&lt;=time,H35*Costs!AN35,"")</f>
        <v/>
      </c>
      <c r="AH35" s="316" t="str">
        <f>IF(AH$225&lt;=time,I35*Costs!AO35,"")</f>
        <v/>
      </c>
      <c r="AI35" s="316" t="str">
        <f>IF(AI$225&lt;=time,J35*Costs!AP35,"")</f>
        <v/>
      </c>
      <c r="AJ35" s="316" t="str">
        <f>IF(AJ$225&lt;=time,K35*Costs!AQ35,"")</f>
        <v/>
      </c>
      <c r="AK35" s="316" t="str">
        <f>IF(AK$225&lt;=time,L35*Costs!AR35,"")</f>
        <v/>
      </c>
      <c r="AL35" s="316" t="str">
        <f>IF(AL$225&lt;=time,M35*Costs!AS35,"")</f>
        <v/>
      </c>
      <c r="AM35" s="316" t="str">
        <f>IF(AM$225&lt;=time,N35*Costs!AT35,"")</f>
        <v/>
      </c>
      <c r="AN35" s="316" t="str">
        <f>IF(AN$225&lt;=time,O35*Costs!AU35,"")</f>
        <v/>
      </c>
      <c r="AO35" s="316" t="str">
        <f>IF(AO$225&lt;=time,P35*Costs!AV35,"")</f>
        <v/>
      </c>
      <c r="AP35" s="316" t="str">
        <f>IF(AP$225&lt;=time,Q35*Costs!AW35,"")</f>
        <v/>
      </c>
      <c r="AQ35" s="316" t="str">
        <f>IF(AQ$225&lt;=time,R35*Costs!AX35,"")</f>
        <v/>
      </c>
      <c r="AR35" s="316" t="str">
        <f>IF(AR$225&lt;=time,S35*Costs!AY35,"")</f>
        <v/>
      </c>
      <c r="AS35" s="316" t="str">
        <f>IF(AS$225&lt;=time,T35*Costs!AZ35,"")</f>
        <v/>
      </c>
      <c r="AT35" s="316" t="str">
        <f>IF(AT$225&lt;=time,U35*Costs!BA35,"")</f>
        <v/>
      </c>
      <c r="AU35" s="316" t="str">
        <f>IF(AU$225&lt;=time,V35*Costs!BB35,"")</f>
        <v/>
      </c>
      <c r="AV35" s="316" t="str">
        <f>IF(AV$225&lt;=time,W35*Costs!BC35,"")</f>
        <v/>
      </c>
      <c r="AW35" s="316" t="str">
        <f>IF(AW$225&lt;=time,X35*Costs!BD35,"")</f>
        <v/>
      </c>
      <c r="AX35" s="316" t="str">
        <f>IF(AX$225&lt;=time,Y35*Costs!BE35,"")</f>
        <v/>
      </c>
      <c r="AY35" s="316" t="str">
        <f>IF(AY$225&lt;=time,Z35*Costs!BF35,"")</f>
        <v/>
      </c>
      <c r="AZ35" s="317">
        <f t="array" ref="AZ35">(SUM( IF(ISERROR(AA35:AY35),"", AA35:AY35)))/time</f>
        <v>0</v>
      </c>
      <c r="BA35" s="317">
        <f t="shared" si="0"/>
        <v>0</v>
      </c>
      <c r="BB35" s="318">
        <f t="shared" si="7"/>
        <v>0</v>
      </c>
      <c r="BC35" s="319">
        <v>5</v>
      </c>
      <c r="BE35" s="208" t="e">
        <f t="array" ref="BE35">STDEV(IF(AA35:AY35&lt;&gt;0,AA35:AY35))</f>
        <v>#DIV/0!</v>
      </c>
      <c r="BF35" s="208">
        <v>1.96</v>
      </c>
      <c r="BG35" s="208" t="e">
        <f t="shared" si="8"/>
        <v>#DIV/0!</v>
      </c>
      <c r="BH35" s="208">
        <f t="shared" si="9"/>
        <v>0</v>
      </c>
    </row>
    <row r="36" spans="1:60" hidden="1">
      <c r="A36" s="320" t="str">
        <f>Costs!A36</f>
        <v>Purchasing 6</v>
      </c>
      <c r="B36" s="313"/>
      <c r="C36" s="313"/>
      <c r="D36" s="313"/>
      <c r="E36" s="313"/>
      <c r="F36" s="313"/>
      <c r="G36" s="313"/>
      <c r="H36" s="313"/>
      <c r="I36" s="313"/>
      <c r="J36" s="313"/>
      <c r="K36" s="313"/>
      <c r="L36" s="313"/>
      <c r="M36" s="313"/>
      <c r="N36" s="313"/>
      <c r="O36" s="313"/>
      <c r="P36" s="313"/>
      <c r="Q36" s="313"/>
      <c r="R36" s="313"/>
      <c r="S36" s="313"/>
      <c r="T36" s="313"/>
      <c r="U36" s="313"/>
      <c r="V36" s="313"/>
      <c r="W36" s="313"/>
      <c r="X36" s="313"/>
      <c r="Y36" s="313"/>
      <c r="Z36" s="314"/>
      <c r="AA36" s="315">
        <f>IF(AA$225&lt;=time,B36*Costs!AH36,"")</f>
        <v>0</v>
      </c>
      <c r="AB36" s="316">
        <f>IF(AB$225&lt;=time,C36*Costs!AI36,"")</f>
        <v>0</v>
      </c>
      <c r="AC36" s="316">
        <f>IF(AC$225&lt;=time,D36*Costs!AJ36,"")</f>
        <v>0</v>
      </c>
      <c r="AD36" s="316">
        <f>IF(AD$225&lt;=time,E36*Costs!AK36,"")</f>
        <v>0</v>
      </c>
      <c r="AE36" s="316">
        <f>IF(AE$225&lt;=time,F36*Costs!AL36,"")</f>
        <v>0</v>
      </c>
      <c r="AF36" s="316" t="str">
        <f>IF(AF$225&lt;=time,G36*Costs!AM36,"")</f>
        <v/>
      </c>
      <c r="AG36" s="316" t="str">
        <f>IF(AG$225&lt;=time,H36*Costs!AN36,"")</f>
        <v/>
      </c>
      <c r="AH36" s="316" t="str">
        <f>IF(AH$225&lt;=time,I36*Costs!AO36,"")</f>
        <v/>
      </c>
      <c r="AI36" s="316" t="str">
        <f>IF(AI$225&lt;=time,J36*Costs!AP36,"")</f>
        <v/>
      </c>
      <c r="AJ36" s="316" t="str">
        <f>IF(AJ$225&lt;=time,K36*Costs!AQ36,"")</f>
        <v/>
      </c>
      <c r="AK36" s="316" t="str">
        <f>IF(AK$225&lt;=time,L36*Costs!AR36,"")</f>
        <v/>
      </c>
      <c r="AL36" s="316" t="str">
        <f>IF(AL$225&lt;=time,M36*Costs!AS36,"")</f>
        <v/>
      </c>
      <c r="AM36" s="316" t="str">
        <f>IF(AM$225&lt;=time,N36*Costs!AT36,"")</f>
        <v/>
      </c>
      <c r="AN36" s="316" t="str">
        <f>IF(AN$225&lt;=time,O36*Costs!AU36,"")</f>
        <v/>
      </c>
      <c r="AO36" s="316" t="str">
        <f>IF(AO$225&lt;=time,P36*Costs!AV36,"")</f>
        <v/>
      </c>
      <c r="AP36" s="316" t="str">
        <f>IF(AP$225&lt;=time,Q36*Costs!AW36,"")</f>
        <v/>
      </c>
      <c r="AQ36" s="316" t="str">
        <f>IF(AQ$225&lt;=time,R36*Costs!AX36,"")</f>
        <v/>
      </c>
      <c r="AR36" s="316" t="str">
        <f>IF(AR$225&lt;=time,S36*Costs!AY36,"")</f>
        <v/>
      </c>
      <c r="AS36" s="316" t="str">
        <f>IF(AS$225&lt;=time,T36*Costs!AZ36,"")</f>
        <v/>
      </c>
      <c r="AT36" s="316" t="str">
        <f>IF(AT$225&lt;=time,U36*Costs!BA36,"")</f>
        <v/>
      </c>
      <c r="AU36" s="316" t="str">
        <f>IF(AU$225&lt;=time,V36*Costs!BB36,"")</f>
        <v/>
      </c>
      <c r="AV36" s="316" t="str">
        <f>IF(AV$225&lt;=time,W36*Costs!BC36,"")</f>
        <v/>
      </c>
      <c r="AW36" s="316" t="str">
        <f>IF(AW$225&lt;=time,X36*Costs!BD36,"")</f>
        <v/>
      </c>
      <c r="AX36" s="316" t="str">
        <f>IF(AX$225&lt;=time,Y36*Costs!BE36,"")</f>
        <v/>
      </c>
      <c r="AY36" s="316" t="str">
        <f>IF(AY$225&lt;=time,Z36*Costs!BF36,"")</f>
        <v/>
      </c>
      <c r="AZ36" s="317">
        <f t="array" ref="AZ36">(SUM( IF(ISERROR(AA36:AY36),"", AA36:AY36)))/time</f>
        <v>0</v>
      </c>
      <c r="BA36" s="317">
        <f t="shared" si="0"/>
        <v>0</v>
      </c>
      <c r="BB36" s="318">
        <f t="shared" si="7"/>
        <v>0</v>
      </c>
      <c r="BC36" s="319">
        <v>6</v>
      </c>
      <c r="BE36" s="208" t="e">
        <f t="array" ref="BE36">STDEV(IF(AA36:AY36&lt;&gt;0,AA36:AY36))</f>
        <v>#DIV/0!</v>
      </c>
      <c r="BF36" s="208">
        <v>1.96</v>
      </c>
      <c r="BG36" s="208" t="e">
        <f t="shared" si="8"/>
        <v>#DIV/0!</v>
      </c>
      <c r="BH36" s="208">
        <f t="shared" si="9"/>
        <v>0</v>
      </c>
    </row>
    <row r="37" spans="1:60" hidden="1">
      <c r="A37" s="320" t="str">
        <f>Costs!A37</f>
        <v>Purchasing 7</v>
      </c>
      <c r="B37" s="313"/>
      <c r="C37" s="313"/>
      <c r="D37" s="313"/>
      <c r="E37" s="313"/>
      <c r="F37" s="313"/>
      <c r="G37" s="313"/>
      <c r="H37" s="313"/>
      <c r="I37" s="313"/>
      <c r="J37" s="313"/>
      <c r="K37" s="313"/>
      <c r="L37" s="313"/>
      <c r="M37" s="313"/>
      <c r="N37" s="313"/>
      <c r="O37" s="313"/>
      <c r="P37" s="313"/>
      <c r="Q37" s="313"/>
      <c r="R37" s="313"/>
      <c r="S37" s="313"/>
      <c r="T37" s="313"/>
      <c r="U37" s="313"/>
      <c r="V37" s="313"/>
      <c r="W37" s="313"/>
      <c r="X37" s="313"/>
      <c r="Y37" s="313"/>
      <c r="Z37" s="314"/>
      <c r="AA37" s="315">
        <f>IF(AA$225&lt;=time,B37*Costs!AH37,"")</f>
        <v>0</v>
      </c>
      <c r="AB37" s="316">
        <f>IF(AB$225&lt;=time,C37*Costs!AI37,"")</f>
        <v>0</v>
      </c>
      <c r="AC37" s="316">
        <f>IF(AC$225&lt;=time,D37*Costs!AJ37,"")</f>
        <v>0</v>
      </c>
      <c r="AD37" s="316">
        <f>IF(AD$225&lt;=time,E37*Costs!AK37,"")</f>
        <v>0</v>
      </c>
      <c r="AE37" s="316">
        <f>IF(AE$225&lt;=time,F37*Costs!AL37,"")</f>
        <v>0</v>
      </c>
      <c r="AF37" s="316" t="str">
        <f>IF(AF$225&lt;=time,G37*Costs!AM37,"")</f>
        <v/>
      </c>
      <c r="AG37" s="316" t="str">
        <f>IF(AG$225&lt;=time,H37*Costs!AN37,"")</f>
        <v/>
      </c>
      <c r="AH37" s="316" t="str">
        <f>IF(AH$225&lt;=time,I37*Costs!AO37,"")</f>
        <v/>
      </c>
      <c r="AI37" s="316" t="str">
        <f>IF(AI$225&lt;=time,J37*Costs!AP37,"")</f>
        <v/>
      </c>
      <c r="AJ37" s="316" t="str">
        <f>IF(AJ$225&lt;=time,K37*Costs!AQ37,"")</f>
        <v/>
      </c>
      <c r="AK37" s="316" t="str">
        <f>IF(AK$225&lt;=time,L37*Costs!AR37,"")</f>
        <v/>
      </c>
      <c r="AL37" s="316" t="str">
        <f>IF(AL$225&lt;=time,M37*Costs!AS37,"")</f>
        <v/>
      </c>
      <c r="AM37" s="316" t="str">
        <f>IF(AM$225&lt;=time,N37*Costs!AT37,"")</f>
        <v/>
      </c>
      <c r="AN37" s="316" t="str">
        <f>IF(AN$225&lt;=time,O37*Costs!AU37,"")</f>
        <v/>
      </c>
      <c r="AO37" s="316" t="str">
        <f>IF(AO$225&lt;=time,P37*Costs!AV37,"")</f>
        <v/>
      </c>
      <c r="AP37" s="316" t="str">
        <f>IF(AP$225&lt;=time,Q37*Costs!AW37,"")</f>
        <v/>
      </c>
      <c r="AQ37" s="316" t="str">
        <f>IF(AQ$225&lt;=time,R37*Costs!AX37,"")</f>
        <v/>
      </c>
      <c r="AR37" s="316" t="str">
        <f>IF(AR$225&lt;=time,S37*Costs!AY37,"")</f>
        <v/>
      </c>
      <c r="AS37" s="316" t="str">
        <f>IF(AS$225&lt;=time,T37*Costs!AZ37,"")</f>
        <v/>
      </c>
      <c r="AT37" s="316" t="str">
        <f>IF(AT$225&lt;=time,U37*Costs!BA37,"")</f>
        <v/>
      </c>
      <c r="AU37" s="316" t="str">
        <f>IF(AU$225&lt;=time,V37*Costs!BB37,"")</f>
        <v/>
      </c>
      <c r="AV37" s="316" t="str">
        <f>IF(AV$225&lt;=time,W37*Costs!BC37,"")</f>
        <v/>
      </c>
      <c r="AW37" s="316" t="str">
        <f>IF(AW$225&lt;=time,X37*Costs!BD37,"")</f>
        <v/>
      </c>
      <c r="AX37" s="316" t="str">
        <f>IF(AX$225&lt;=time,Y37*Costs!BE37,"")</f>
        <v/>
      </c>
      <c r="AY37" s="316" t="str">
        <f>IF(AY$225&lt;=time,Z37*Costs!BF37,"")</f>
        <v/>
      </c>
      <c r="AZ37" s="317">
        <f t="array" ref="AZ37">(SUM( IF(ISERROR(AA37:AY37),"", AA37:AY37)))/time</f>
        <v>0</v>
      </c>
      <c r="BA37" s="317">
        <f t="shared" si="0"/>
        <v>0</v>
      </c>
      <c r="BB37" s="318">
        <f t="shared" si="7"/>
        <v>0</v>
      </c>
      <c r="BC37" s="319">
        <v>7</v>
      </c>
      <c r="BE37" s="208" t="e">
        <f t="array" ref="BE37">STDEV(IF(AA37:AY37&lt;&gt;0,AA37:AY37))</f>
        <v>#DIV/0!</v>
      </c>
      <c r="BF37" s="208">
        <v>1.96</v>
      </c>
      <c r="BG37" s="208" t="e">
        <f t="shared" si="8"/>
        <v>#DIV/0!</v>
      </c>
      <c r="BH37" s="208">
        <f t="shared" si="9"/>
        <v>0</v>
      </c>
    </row>
    <row r="38" spans="1:60" hidden="1">
      <c r="A38" s="320" t="str">
        <f>Costs!A38</f>
        <v>Purchasing 8</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4"/>
      <c r="AA38" s="315">
        <f>IF(AA$225&lt;=time,B38*Costs!AH38,"")</f>
        <v>0</v>
      </c>
      <c r="AB38" s="316">
        <f>IF(AB$225&lt;=time,C38*Costs!AI38,"")</f>
        <v>0</v>
      </c>
      <c r="AC38" s="316">
        <f>IF(AC$225&lt;=time,D38*Costs!AJ38,"")</f>
        <v>0</v>
      </c>
      <c r="AD38" s="316">
        <f>IF(AD$225&lt;=time,E38*Costs!AK38,"")</f>
        <v>0</v>
      </c>
      <c r="AE38" s="316">
        <f>IF(AE$225&lt;=time,F38*Costs!AL38,"")</f>
        <v>0</v>
      </c>
      <c r="AF38" s="316" t="str">
        <f>IF(AF$225&lt;=time,G38*Costs!AM38,"")</f>
        <v/>
      </c>
      <c r="AG38" s="316" t="str">
        <f>IF(AG$225&lt;=time,H38*Costs!AN38,"")</f>
        <v/>
      </c>
      <c r="AH38" s="316" t="str">
        <f>IF(AH$225&lt;=time,I38*Costs!AO38,"")</f>
        <v/>
      </c>
      <c r="AI38" s="316" t="str">
        <f>IF(AI$225&lt;=time,J38*Costs!AP38,"")</f>
        <v/>
      </c>
      <c r="AJ38" s="316" t="str">
        <f>IF(AJ$225&lt;=time,K38*Costs!AQ38,"")</f>
        <v/>
      </c>
      <c r="AK38" s="316" t="str">
        <f>IF(AK$225&lt;=time,L38*Costs!AR38,"")</f>
        <v/>
      </c>
      <c r="AL38" s="316" t="str">
        <f>IF(AL$225&lt;=time,M38*Costs!AS38,"")</f>
        <v/>
      </c>
      <c r="AM38" s="316" t="str">
        <f>IF(AM$225&lt;=time,N38*Costs!AT38,"")</f>
        <v/>
      </c>
      <c r="AN38" s="316" t="str">
        <f>IF(AN$225&lt;=time,O38*Costs!AU38,"")</f>
        <v/>
      </c>
      <c r="AO38" s="316" t="str">
        <f>IF(AO$225&lt;=time,P38*Costs!AV38,"")</f>
        <v/>
      </c>
      <c r="AP38" s="316" t="str">
        <f>IF(AP$225&lt;=time,Q38*Costs!AW38,"")</f>
        <v/>
      </c>
      <c r="AQ38" s="316" t="str">
        <f>IF(AQ$225&lt;=time,R38*Costs!AX38,"")</f>
        <v/>
      </c>
      <c r="AR38" s="316" t="str">
        <f>IF(AR$225&lt;=time,S38*Costs!AY38,"")</f>
        <v/>
      </c>
      <c r="AS38" s="316" t="str">
        <f>IF(AS$225&lt;=time,T38*Costs!AZ38,"")</f>
        <v/>
      </c>
      <c r="AT38" s="316" t="str">
        <f>IF(AT$225&lt;=time,U38*Costs!BA38,"")</f>
        <v/>
      </c>
      <c r="AU38" s="316" t="str">
        <f>IF(AU$225&lt;=time,V38*Costs!BB38,"")</f>
        <v/>
      </c>
      <c r="AV38" s="316" t="str">
        <f>IF(AV$225&lt;=time,W38*Costs!BC38,"")</f>
        <v/>
      </c>
      <c r="AW38" s="316" t="str">
        <f>IF(AW$225&lt;=time,X38*Costs!BD38,"")</f>
        <v/>
      </c>
      <c r="AX38" s="316" t="str">
        <f>IF(AX$225&lt;=time,Y38*Costs!BE38,"")</f>
        <v/>
      </c>
      <c r="AY38" s="316" t="str">
        <f>IF(AY$225&lt;=time,Z38*Costs!BF38,"")</f>
        <v/>
      </c>
      <c r="AZ38" s="317">
        <f t="array" ref="AZ38">(SUM( IF(ISERROR(AA38:AY38),"", AA38:AY38)))/time</f>
        <v>0</v>
      </c>
      <c r="BA38" s="317">
        <f t="shared" si="0"/>
        <v>0</v>
      </c>
      <c r="BB38" s="318">
        <f t="shared" si="7"/>
        <v>0</v>
      </c>
      <c r="BC38" s="319">
        <v>8</v>
      </c>
      <c r="BE38" s="208" t="e">
        <f t="array" ref="BE38">STDEV(IF(AA38:AY38&lt;&gt;0,AA38:AY38))</f>
        <v>#DIV/0!</v>
      </c>
      <c r="BF38" s="208">
        <v>1.96</v>
      </c>
      <c r="BG38" s="208" t="e">
        <f t="shared" si="8"/>
        <v>#DIV/0!</v>
      </c>
      <c r="BH38" s="208">
        <f t="shared" si="9"/>
        <v>0</v>
      </c>
    </row>
    <row r="39" spans="1:60" hidden="1">
      <c r="A39" s="320" t="str">
        <f>Costs!A39</f>
        <v>Purchasing 9</v>
      </c>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4"/>
      <c r="AA39" s="315">
        <f>IF(AA$225&lt;=time,B39*Costs!AH39,"")</f>
        <v>0</v>
      </c>
      <c r="AB39" s="316">
        <f>IF(AB$225&lt;=time,C39*Costs!AI39,"")</f>
        <v>0</v>
      </c>
      <c r="AC39" s="316">
        <f>IF(AC$225&lt;=time,D39*Costs!AJ39,"")</f>
        <v>0</v>
      </c>
      <c r="AD39" s="316">
        <f>IF(AD$225&lt;=time,E39*Costs!AK39,"")</f>
        <v>0</v>
      </c>
      <c r="AE39" s="316">
        <f>IF(AE$225&lt;=time,F39*Costs!AL39,"")</f>
        <v>0</v>
      </c>
      <c r="AF39" s="316" t="str">
        <f>IF(AF$225&lt;=time,G39*Costs!AM39,"")</f>
        <v/>
      </c>
      <c r="AG39" s="316" t="str">
        <f>IF(AG$225&lt;=time,H39*Costs!AN39,"")</f>
        <v/>
      </c>
      <c r="AH39" s="316" t="str">
        <f>IF(AH$225&lt;=time,I39*Costs!AO39,"")</f>
        <v/>
      </c>
      <c r="AI39" s="316" t="str">
        <f>IF(AI$225&lt;=time,J39*Costs!AP39,"")</f>
        <v/>
      </c>
      <c r="AJ39" s="316" t="str">
        <f>IF(AJ$225&lt;=time,K39*Costs!AQ39,"")</f>
        <v/>
      </c>
      <c r="AK39" s="316" t="str">
        <f>IF(AK$225&lt;=time,L39*Costs!AR39,"")</f>
        <v/>
      </c>
      <c r="AL39" s="316" t="str">
        <f>IF(AL$225&lt;=time,M39*Costs!AS39,"")</f>
        <v/>
      </c>
      <c r="AM39" s="316" t="str">
        <f>IF(AM$225&lt;=time,N39*Costs!AT39,"")</f>
        <v/>
      </c>
      <c r="AN39" s="316" t="str">
        <f>IF(AN$225&lt;=time,O39*Costs!AU39,"")</f>
        <v/>
      </c>
      <c r="AO39" s="316" t="str">
        <f>IF(AO$225&lt;=time,P39*Costs!AV39,"")</f>
        <v/>
      </c>
      <c r="AP39" s="316" t="str">
        <f>IF(AP$225&lt;=time,Q39*Costs!AW39,"")</f>
        <v/>
      </c>
      <c r="AQ39" s="316" t="str">
        <f>IF(AQ$225&lt;=time,R39*Costs!AX39,"")</f>
        <v/>
      </c>
      <c r="AR39" s="316" t="str">
        <f>IF(AR$225&lt;=time,S39*Costs!AY39,"")</f>
        <v/>
      </c>
      <c r="AS39" s="316" t="str">
        <f>IF(AS$225&lt;=time,T39*Costs!AZ39,"")</f>
        <v/>
      </c>
      <c r="AT39" s="316" t="str">
        <f>IF(AT$225&lt;=time,U39*Costs!BA39,"")</f>
        <v/>
      </c>
      <c r="AU39" s="316" t="str">
        <f>IF(AU$225&lt;=time,V39*Costs!BB39,"")</f>
        <v/>
      </c>
      <c r="AV39" s="316" t="str">
        <f>IF(AV$225&lt;=time,W39*Costs!BC39,"")</f>
        <v/>
      </c>
      <c r="AW39" s="316" t="str">
        <f>IF(AW$225&lt;=time,X39*Costs!BD39,"")</f>
        <v/>
      </c>
      <c r="AX39" s="316" t="str">
        <f>IF(AX$225&lt;=time,Y39*Costs!BE39,"")</f>
        <v/>
      </c>
      <c r="AY39" s="316" t="str">
        <f>IF(AY$225&lt;=time,Z39*Costs!BF39,"")</f>
        <v/>
      </c>
      <c r="AZ39" s="317">
        <f t="array" ref="AZ39">(SUM( IF(ISERROR(AA39:AY39),"", AA39:AY39)))/time</f>
        <v>0</v>
      </c>
      <c r="BA39" s="317">
        <f t="shared" si="0"/>
        <v>0</v>
      </c>
      <c r="BB39" s="318">
        <f t="shared" si="7"/>
        <v>0</v>
      </c>
      <c r="BC39" s="319">
        <v>9</v>
      </c>
      <c r="BE39" s="208" t="e">
        <f t="array" ref="BE39">STDEV(IF(AA39:AY39&lt;&gt;0,AA39:AY39))</f>
        <v>#DIV/0!</v>
      </c>
      <c r="BF39" s="208">
        <v>1.96</v>
      </c>
      <c r="BG39" s="208" t="e">
        <f t="shared" si="8"/>
        <v>#DIV/0!</v>
      </c>
      <c r="BH39" s="208">
        <f t="shared" si="9"/>
        <v>0</v>
      </c>
    </row>
    <row r="40" spans="1:60" hidden="1">
      <c r="A40" s="320" t="str">
        <f>Costs!A40</f>
        <v>Purchasing 10</v>
      </c>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4"/>
      <c r="AA40" s="315">
        <f>IF(AA$225&lt;=time,B40*Costs!AH40,"")</f>
        <v>0</v>
      </c>
      <c r="AB40" s="316">
        <f>IF(AB$225&lt;=time,C40*Costs!AI40,"")</f>
        <v>0</v>
      </c>
      <c r="AC40" s="316">
        <f>IF(AC$225&lt;=time,D40*Costs!AJ40,"")</f>
        <v>0</v>
      </c>
      <c r="AD40" s="316">
        <f>IF(AD$225&lt;=time,E40*Costs!AK40,"")</f>
        <v>0</v>
      </c>
      <c r="AE40" s="316">
        <f>IF(AE$225&lt;=time,F40*Costs!AL40,"")</f>
        <v>0</v>
      </c>
      <c r="AF40" s="316" t="str">
        <f>IF(AF$225&lt;=time,G40*Costs!AM40,"")</f>
        <v/>
      </c>
      <c r="AG40" s="316" t="str">
        <f>IF(AG$225&lt;=time,H40*Costs!AN40,"")</f>
        <v/>
      </c>
      <c r="AH40" s="316" t="str">
        <f>IF(AH$225&lt;=time,I40*Costs!AO40,"")</f>
        <v/>
      </c>
      <c r="AI40" s="316" t="str">
        <f>IF(AI$225&lt;=time,J40*Costs!AP40,"")</f>
        <v/>
      </c>
      <c r="AJ40" s="316" t="str">
        <f>IF(AJ$225&lt;=time,K40*Costs!AQ40,"")</f>
        <v/>
      </c>
      <c r="AK40" s="316" t="str">
        <f>IF(AK$225&lt;=time,L40*Costs!AR40,"")</f>
        <v/>
      </c>
      <c r="AL40" s="316" t="str">
        <f>IF(AL$225&lt;=time,M40*Costs!AS40,"")</f>
        <v/>
      </c>
      <c r="AM40" s="316" t="str">
        <f>IF(AM$225&lt;=time,N40*Costs!AT40,"")</f>
        <v/>
      </c>
      <c r="AN40" s="316" t="str">
        <f>IF(AN$225&lt;=time,O40*Costs!AU40,"")</f>
        <v/>
      </c>
      <c r="AO40" s="316" t="str">
        <f>IF(AO$225&lt;=time,P40*Costs!AV40,"")</f>
        <v/>
      </c>
      <c r="AP40" s="316" t="str">
        <f>IF(AP$225&lt;=time,Q40*Costs!AW40,"")</f>
        <v/>
      </c>
      <c r="AQ40" s="316" t="str">
        <f>IF(AQ$225&lt;=time,R40*Costs!AX40,"")</f>
        <v/>
      </c>
      <c r="AR40" s="316" t="str">
        <f>IF(AR$225&lt;=time,S40*Costs!AY40,"")</f>
        <v/>
      </c>
      <c r="AS40" s="316" t="str">
        <f>IF(AS$225&lt;=time,T40*Costs!AZ40,"")</f>
        <v/>
      </c>
      <c r="AT40" s="316" t="str">
        <f>IF(AT$225&lt;=time,U40*Costs!BA40,"")</f>
        <v/>
      </c>
      <c r="AU40" s="316" t="str">
        <f>IF(AU$225&lt;=time,V40*Costs!BB40,"")</f>
        <v/>
      </c>
      <c r="AV40" s="316" t="str">
        <f>IF(AV$225&lt;=time,W40*Costs!BC40,"")</f>
        <v/>
      </c>
      <c r="AW40" s="316" t="str">
        <f>IF(AW$225&lt;=time,X40*Costs!BD40,"")</f>
        <v/>
      </c>
      <c r="AX40" s="316" t="str">
        <f>IF(AX$225&lt;=time,Y40*Costs!BE40,"")</f>
        <v/>
      </c>
      <c r="AY40" s="316" t="str">
        <f>IF(AY$225&lt;=time,Z40*Costs!BF40,"")</f>
        <v/>
      </c>
      <c r="AZ40" s="317">
        <f t="array" ref="AZ40">(SUM( IF(ISERROR(AA40:AY40),"", AA40:AY40)))/time</f>
        <v>0</v>
      </c>
      <c r="BA40" s="317">
        <f t="shared" si="0"/>
        <v>0</v>
      </c>
      <c r="BB40" s="318">
        <f t="shared" si="7"/>
        <v>0</v>
      </c>
      <c r="BC40" s="319">
        <v>10</v>
      </c>
      <c r="BE40" s="208" t="e">
        <f t="array" ref="BE40">STDEV(IF(AA40:AY40&lt;&gt;0,AA40:AY40))</f>
        <v>#DIV/0!</v>
      </c>
      <c r="BF40" s="208">
        <v>1.96</v>
      </c>
      <c r="BG40" s="208" t="e">
        <f t="shared" si="8"/>
        <v>#DIV/0!</v>
      </c>
      <c r="BH40" s="208">
        <f t="shared" si="9"/>
        <v>0</v>
      </c>
    </row>
    <row r="41" spans="1:60" s="11" customFormat="1">
      <c r="A41" s="17"/>
      <c r="B41" s="18"/>
      <c r="C41" s="18"/>
      <c r="D41" s="18"/>
      <c r="E41" s="18"/>
      <c r="F41" s="18"/>
      <c r="G41" s="18"/>
      <c r="H41" s="18"/>
      <c r="I41" s="18"/>
      <c r="J41" s="18"/>
      <c r="K41" s="18"/>
      <c r="L41" s="18"/>
      <c r="M41" s="18"/>
      <c r="N41" s="18"/>
      <c r="O41" s="18"/>
      <c r="P41" s="18"/>
      <c r="Q41" s="18"/>
      <c r="R41" s="18"/>
      <c r="S41" s="18"/>
      <c r="T41" s="18"/>
      <c r="U41" s="18"/>
      <c r="V41" s="18"/>
      <c r="W41" s="18"/>
      <c r="X41" s="18"/>
      <c r="Y41" s="18"/>
      <c r="Z41" s="19"/>
      <c r="AA41" s="17"/>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9"/>
      <c r="BC41" s="18"/>
    </row>
    <row r="42" spans="1:60" s="11" customFormat="1">
      <c r="A42" s="20" t="s">
        <v>8</v>
      </c>
      <c r="B42" s="21"/>
      <c r="C42" s="21"/>
      <c r="D42" s="21"/>
      <c r="E42" s="21"/>
      <c r="F42" s="21"/>
      <c r="G42" s="21"/>
      <c r="H42" s="21"/>
      <c r="I42" s="21"/>
      <c r="J42" s="21"/>
      <c r="K42" s="21"/>
      <c r="L42" s="21"/>
      <c r="M42" s="21"/>
      <c r="N42" s="21"/>
      <c r="O42" s="21"/>
      <c r="P42" s="21"/>
      <c r="Q42" s="21"/>
      <c r="R42" s="21"/>
      <c r="S42" s="21"/>
      <c r="T42" s="21"/>
      <c r="U42" s="21"/>
      <c r="V42" s="21"/>
      <c r="W42" s="21"/>
      <c r="X42" s="21"/>
      <c r="Y42" s="21"/>
      <c r="Z42" s="22"/>
      <c r="AA42" s="20"/>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2"/>
      <c r="BC42" s="21"/>
    </row>
    <row r="43" spans="1:60" s="11" customFormat="1">
      <c r="A43" s="233" t="s">
        <v>280</v>
      </c>
      <c r="B43" s="96"/>
      <c r="C43" s="96"/>
      <c r="D43" s="96"/>
      <c r="E43" s="96"/>
      <c r="F43" s="96"/>
      <c r="G43" s="96"/>
      <c r="H43" s="96"/>
      <c r="I43" s="96"/>
      <c r="J43" s="96"/>
      <c r="K43" s="96"/>
      <c r="L43" s="96"/>
      <c r="M43" s="96"/>
      <c r="N43" s="96"/>
      <c r="O43" s="96"/>
      <c r="P43" s="96"/>
      <c r="Q43" s="96"/>
      <c r="R43" s="96"/>
      <c r="S43" s="96"/>
      <c r="T43" s="96"/>
      <c r="U43" s="96"/>
      <c r="V43" s="96"/>
      <c r="W43" s="96"/>
      <c r="X43" s="96"/>
      <c r="Y43" s="96"/>
      <c r="Z43" s="321"/>
      <c r="AA43" s="233"/>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BA43" s="96"/>
      <c r="BB43" s="211"/>
    </row>
    <row r="44" spans="1:60" s="11" customFormat="1">
      <c r="A44" s="16" t="s">
        <v>14</v>
      </c>
      <c r="B44" s="29"/>
      <c r="C44" s="29"/>
      <c r="D44" s="29"/>
      <c r="E44" s="29"/>
      <c r="F44" s="29"/>
      <c r="G44" s="29"/>
      <c r="H44" s="29"/>
      <c r="I44" s="29"/>
      <c r="J44" s="29"/>
      <c r="K44" s="29"/>
      <c r="L44" s="29"/>
      <c r="M44" s="29"/>
      <c r="N44" s="29"/>
      <c r="O44" s="29"/>
      <c r="P44" s="29"/>
      <c r="Q44" s="29"/>
      <c r="R44" s="29"/>
      <c r="S44" s="29"/>
      <c r="T44" s="29"/>
      <c r="U44" s="29"/>
      <c r="V44" s="29"/>
      <c r="W44" s="29"/>
      <c r="X44" s="29"/>
      <c r="Y44" s="29"/>
      <c r="Z44" s="30"/>
      <c r="AA44" s="16"/>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BA44" s="29"/>
      <c r="BB44" s="211"/>
    </row>
    <row r="45" spans="1:60">
      <c r="A45" s="32" t="str">
        <f>Costs!A45</f>
        <v>Facilitator</v>
      </c>
      <c r="B45" s="865">
        <v>1</v>
      </c>
      <c r="C45" s="865">
        <v>1</v>
      </c>
      <c r="D45" s="865">
        <v>1</v>
      </c>
      <c r="E45" s="313"/>
      <c r="F45" s="313"/>
      <c r="G45" s="313"/>
      <c r="H45" s="313"/>
      <c r="I45" s="313"/>
      <c r="J45" s="313"/>
      <c r="K45" s="313"/>
      <c r="L45" s="313"/>
      <c r="M45" s="313"/>
      <c r="N45" s="313"/>
      <c r="O45" s="313"/>
      <c r="P45" s="313"/>
      <c r="Q45" s="313"/>
      <c r="R45" s="313"/>
      <c r="S45" s="313"/>
      <c r="T45" s="313"/>
      <c r="U45" s="313"/>
      <c r="V45" s="313"/>
      <c r="W45" s="313"/>
      <c r="X45" s="313"/>
      <c r="Y45" s="313"/>
      <c r="Z45" s="314"/>
      <c r="AA45" s="315">
        <f>IF(AA$225&lt;=time,B45*Costs!AH45,"")</f>
        <v>176.43242239999998</v>
      </c>
      <c r="AB45" s="316">
        <f>IF(AB$225&lt;=time,C45*Costs!AI45,"")</f>
        <v>0</v>
      </c>
      <c r="AC45" s="316">
        <f>IF(AC$225&lt;=time,D45*Costs!AJ45,"")</f>
        <v>0</v>
      </c>
      <c r="AD45" s="316">
        <f>IF(AD$225&lt;=time,E45*Costs!AK45,"")</f>
        <v>0</v>
      </c>
      <c r="AE45" s="316">
        <f>IF(AE$225&lt;=time,F45*Costs!AL45,"")</f>
        <v>0</v>
      </c>
      <c r="AF45" s="316" t="str">
        <f>IF(AF$225&lt;=time,G45*Costs!AM45,"")</f>
        <v/>
      </c>
      <c r="AG45" s="316" t="str">
        <f>IF(AG$225&lt;=time,H45*Costs!AN45,"")</f>
        <v/>
      </c>
      <c r="AH45" s="316" t="str">
        <f>IF(AH$225&lt;=time,I45*Costs!AO45,"")</f>
        <v/>
      </c>
      <c r="AI45" s="316" t="str">
        <f>IF(AI$225&lt;=time,J45*Costs!AP45,"")</f>
        <v/>
      </c>
      <c r="AJ45" s="316" t="str">
        <f>IF(AJ$225&lt;=time,K45*Costs!AQ45,"")</f>
        <v/>
      </c>
      <c r="AK45" s="316" t="str">
        <f>IF(AK$225&lt;=time,L45*Costs!AR45,"")</f>
        <v/>
      </c>
      <c r="AL45" s="316" t="str">
        <f>IF(AL$225&lt;=time,M45*Costs!AS45,"")</f>
        <v/>
      </c>
      <c r="AM45" s="316" t="str">
        <f>IF(AM$225&lt;=time,N45*Costs!AT45,"")</f>
        <v/>
      </c>
      <c r="AN45" s="316" t="str">
        <f>IF(AN$225&lt;=time,O45*Costs!AU45,"")</f>
        <v/>
      </c>
      <c r="AO45" s="316" t="str">
        <f>IF(AO$225&lt;=time,P45*Costs!AV45,"")</f>
        <v/>
      </c>
      <c r="AP45" s="316" t="str">
        <f>IF(AP$225&lt;=time,Q45*Costs!AW45,"")</f>
        <v/>
      </c>
      <c r="AQ45" s="316" t="str">
        <f>IF(AQ$225&lt;=time,R45*Costs!AX45,"")</f>
        <v/>
      </c>
      <c r="AR45" s="316" t="str">
        <f>IF(AR$225&lt;=time,S45*Costs!AY45,"")</f>
        <v/>
      </c>
      <c r="AS45" s="316" t="str">
        <f>IF(AS$225&lt;=time,T45*Costs!AZ45,"")</f>
        <v/>
      </c>
      <c r="AT45" s="316" t="str">
        <f>IF(AT$225&lt;=time,U45*Costs!BA45,"")</f>
        <v/>
      </c>
      <c r="AU45" s="316" t="str">
        <f>IF(AU$225&lt;=time,V45*Costs!BB45,"")</f>
        <v/>
      </c>
      <c r="AV45" s="316" t="str">
        <f>IF(AV$225&lt;=time,W45*Costs!BC45,"")</f>
        <v/>
      </c>
      <c r="AW45" s="316" t="str">
        <f>IF(AW$225&lt;=time,X45*Costs!BD45,"")</f>
        <v/>
      </c>
      <c r="AX45" s="316" t="str">
        <f>IF(AX$225&lt;=time,Y45*Costs!BE45,"")</f>
        <v/>
      </c>
      <c r="AY45" s="316" t="str">
        <f>IF(AY$225&lt;=time,Z45*Costs!BF45,"")</f>
        <v/>
      </c>
      <c r="AZ45" s="317">
        <f t="array" ref="AZ45">(SUM( IF(ISERROR(AA45:AY45),"", AA45:AY45)))/time</f>
        <v>35.286484479999999</v>
      </c>
      <c r="BA45" s="317">
        <f t="shared" si="0"/>
        <v>35.286484479999999</v>
      </c>
      <c r="BB45" s="318">
        <f t="shared" ref="BB45:BB54" si="10">IF(BH45&gt;0,AZ45+BG45,AZ45)</f>
        <v>35.286484479999999</v>
      </c>
      <c r="BC45" s="319">
        <v>1</v>
      </c>
      <c r="BE45" s="208" t="e">
        <f t="array" ref="BE45">STDEV(IF(AA45:AY45&lt;&gt;0,AA45:AY45))</f>
        <v>#DIV/0!</v>
      </c>
      <c r="BF45" s="208">
        <v>1.96</v>
      </c>
      <c r="BG45" s="208" t="e">
        <f t="shared" ref="BG45:BG54" si="11">(BF45*BE45)/(time^0.5)</f>
        <v>#DIV/0!</v>
      </c>
      <c r="BH45" s="208">
        <f t="shared" ref="BH45:BH54" si="12">IFERROR(BE45,0)</f>
        <v>0</v>
      </c>
    </row>
    <row r="46" spans="1:60">
      <c r="A46" s="32" t="str">
        <f>Costs!A46</f>
        <v>Manager</v>
      </c>
      <c r="B46" s="865">
        <v>1</v>
      </c>
      <c r="C46" s="865">
        <v>1</v>
      </c>
      <c r="D46" s="865">
        <v>1</v>
      </c>
      <c r="E46" s="313"/>
      <c r="F46" s="313"/>
      <c r="G46" s="313"/>
      <c r="H46" s="313"/>
      <c r="I46" s="313"/>
      <c r="J46" s="313"/>
      <c r="K46" s="313"/>
      <c r="L46" s="313"/>
      <c r="M46" s="313"/>
      <c r="N46" s="313"/>
      <c r="O46" s="313"/>
      <c r="P46" s="313"/>
      <c r="Q46" s="313"/>
      <c r="R46" s="313"/>
      <c r="S46" s="313"/>
      <c r="T46" s="313"/>
      <c r="U46" s="313"/>
      <c r="V46" s="313"/>
      <c r="W46" s="313"/>
      <c r="X46" s="313"/>
      <c r="Y46" s="313"/>
      <c r="Z46" s="314"/>
      <c r="AA46" s="315">
        <f>IF(AA$225&lt;=time,B46*Costs!AH46,"")</f>
        <v>101.55052861620698</v>
      </c>
      <c r="AB46" s="316">
        <f>IF(AB$225&lt;=time,C46*Costs!AI46,"")</f>
        <v>0</v>
      </c>
      <c r="AC46" s="316">
        <f>IF(AC$225&lt;=time,D46*Costs!AJ46,"")</f>
        <v>0</v>
      </c>
      <c r="AD46" s="316">
        <f>IF(AD$225&lt;=time,E46*Costs!AK46,"")</f>
        <v>0</v>
      </c>
      <c r="AE46" s="316">
        <f>IF(AE$225&lt;=time,F46*Costs!AL46,"")</f>
        <v>0</v>
      </c>
      <c r="AF46" s="316" t="str">
        <f>IF(AF$225&lt;=time,G46*Costs!AM46,"")</f>
        <v/>
      </c>
      <c r="AG46" s="316" t="str">
        <f>IF(AG$225&lt;=time,H46*Costs!AN46,"")</f>
        <v/>
      </c>
      <c r="AH46" s="316" t="str">
        <f>IF(AH$225&lt;=time,I46*Costs!AO46,"")</f>
        <v/>
      </c>
      <c r="AI46" s="316" t="str">
        <f>IF(AI$225&lt;=time,J46*Costs!AP46,"")</f>
        <v/>
      </c>
      <c r="AJ46" s="316" t="str">
        <f>IF(AJ$225&lt;=time,K46*Costs!AQ46,"")</f>
        <v/>
      </c>
      <c r="AK46" s="316" t="str">
        <f>IF(AK$225&lt;=time,L46*Costs!AR46,"")</f>
        <v/>
      </c>
      <c r="AL46" s="316" t="str">
        <f>IF(AL$225&lt;=time,M46*Costs!AS46,"")</f>
        <v/>
      </c>
      <c r="AM46" s="316" t="str">
        <f>IF(AM$225&lt;=time,N46*Costs!AT46,"")</f>
        <v/>
      </c>
      <c r="AN46" s="316" t="str">
        <f>IF(AN$225&lt;=time,O46*Costs!AU46,"")</f>
        <v/>
      </c>
      <c r="AO46" s="316" t="str">
        <f>IF(AO$225&lt;=time,P46*Costs!AV46,"")</f>
        <v/>
      </c>
      <c r="AP46" s="316" t="str">
        <f>IF(AP$225&lt;=time,Q46*Costs!AW46,"")</f>
        <v/>
      </c>
      <c r="AQ46" s="316" t="str">
        <f>IF(AQ$225&lt;=time,R46*Costs!AX46,"")</f>
        <v/>
      </c>
      <c r="AR46" s="316" t="str">
        <f>IF(AR$225&lt;=time,S46*Costs!AY46,"")</f>
        <v/>
      </c>
      <c r="AS46" s="316" t="str">
        <f>IF(AS$225&lt;=time,T46*Costs!AZ46,"")</f>
        <v/>
      </c>
      <c r="AT46" s="316" t="str">
        <f>IF(AT$225&lt;=time,U46*Costs!BA46,"")</f>
        <v/>
      </c>
      <c r="AU46" s="316" t="str">
        <f>IF(AU$225&lt;=time,V46*Costs!BB46,"")</f>
        <v/>
      </c>
      <c r="AV46" s="316" t="str">
        <f>IF(AV$225&lt;=time,W46*Costs!BC46,"")</f>
        <v/>
      </c>
      <c r="AW46" s="316" t="str">
        <f>IF(AW$225&lt;=time,X46*Costs!BD46,"")</f>
        <v/>
      </c>
      <c r="AX46" s="316" t="str">
        <f>IF(AX$225&lt;=time,Y46*Costs!BE46,"")</f>
        <v/>
      </c>
      <c r="AY46" s="316" t="str">
        <f>IF(AY$225&lt;=time,Z46*Costs!BF46,"")</f>
        <v/>
      </c>
      <c r="AZ46" s="317">
        <f t="array" ref="AZ46">(SUM( IF(ISERROR(AA46:AY46),"", AA46:AY46)))/time</f>
        <v>20.310105723241396</v>
      </c>
      <c r="BA46" s="317">
        <f t="shared" si="0"/>
        <v>20.310105723241396</v>
      </c>
      <c r="BB46" s="318">
        <f t="shared" si="10"/>
        <v>20.310105723241396</v>
      </c>
      <c r="BC46" s="319">
        <v>2</v>
      </c>
      <c r="BE46" s="208" t="e">
        <f t="array" ref="BE46">STDEV(IF(AA46:AY46&lt;&gt;0,AA46:AY46))</f>
        <v>#DIV/0!</v>
      </c>
      <c r="BF46" s="208">
        <v>1.96</v>
      </c>
      <c r="BG46" s="208" t="e">
        <f t="shared" si="11"/>
        <v>#DIV/0!</v>
      </c>
      <c r="BH46" s="208">
        <f t="shared" si="12"/>
        <v>0</v>
      </c>
    </row>
    <row r="47" spans="1:60">
      <c r="A47" s="32" t="str">
        <f>Costs!A47</f>
        <v>Police</v>
      </c>
      <c r="B47" s="865">
        <v>1</v>
      </c>
      <c r="C47" s="865">
        <v>1</v>
      </c>
      <c r="D47" s="865">
        <v>1</v>
      </c>
      <c r="E47" s="313"/>
      <c r="F47" s="313"/>
      <c r="G47" s="313"/>
      <c r="H47" s="313"/>
      <c r="I47" s="313"/>
      <c r="J47" s="313"/>
      <c r="K47" s="313"/>
      <c r="L47" s="313"/>
      <c r="M47" s="313"/>
      <c r="N47" s="313"/>
      <c r="O47" s="313"/>
      <c r="P47" s="313"/>
      <c r="Q47" s="313"/>
      <c r="R47" s="313"/>
      <c r="S47" s="313"/>
      <c r="T47" s="313"/>
      <c r="U47" s="313"/>
      <c r="V47" s="313"/>
      <c r="W47" s="313"/>
      <c r="X47" s="313"/>
      <c r="Y47" s="313"/>
      <c r="Z47" s="314"/>
      <c r="AA47" s="315">
        <f>IF(AA$225&lt;=time,B47*Costs!AH47,"")</f>
        <v>6.7470714991401284</v>
      </c>
      <c r="AB47" s="316">
        <f>IF(AB$225&lt;=time,C47*Costs!AI47,"")</f>
        <v>0</v>
      </c>
      <c r="AC47" s="316">
        <f>IF(AC$225&lt;=time,D47*Costs!AJ47,"")</f>
        <v>0</v>
      </c>
      <c r="AD47" s="316">
        <f>IF(AD$225&lt;=time,E47*Costs!AK47,"")</f>
        <v>0</v>
      </c>
      <c r="AE47" s="316">
        <f>IF(AE$225&lt;=time,F47*Costs!AL47,"")</f>
        <v>0</v>
      </c>
      <c r="AF47" s="316" t="str">
        <f>IF(AF$225&lt;=time,G47*Costs!AM47,"")</f>
        <v/>
      </c>
      <c r="AG47" s="316" t="str">
        <f>IF(AG$225&lt;=time,H47*Costs!AN47,"")</f>
        <v/>
      </c>
      <c r="AH47" s="316" t="str">
        <f>IF(AH$225&lt;=time,I47*Costs!AO47,"")</f>
        <v/>
      </c>
      <c r="AI47" s="316" t="str">
        <f>IF(AI$225&lt;=time,J47*Costs!AP47,"")</f>
        <v/>
      </c>
      <c r="AJ47" s="316" t="str">
        <f>IF(AJ$225&lt;=time,K47*Costs!AQ47,"")</f>
        <v/>
      </c>
      <c r="AK47" s="316" t="str">
        <f>IF(AK$225&lt;=time,L47*Costs!AR47,"")</f>
        <v/>
      </c>
      <c r="AL47" s="316" t="str">
        <f>IF(AL$225&lt;=time,M47*Costs!AS47,"")</f>
        <v/>
      </c>
      <c r="AM47" s="316" t="str">
        <f>IF(AM$225&lt;=time,N47*Costs!AT47,"")</f>
        <v/>
      </c>
      <c r="AN47" s="316" t="str">
        <f>IF(AN$225&lt;=time,O47*Costs!AU47,"")</f>
        <v/>
      </c>
      <c r="AO47" s="316" t="str">
        <f>IF(AO$225&lt;=time,P47*Costs!AV47,"")</f>
        <v/>
      </c>
      <c r="AP47" s="316" t="str">
        <f>IF(AP$225&lt;=time,Q47*Costs!AW47,"")</f>
        <v/>
      </c>
      <c r="AQ47" s="316" t="str">
        <f>IF(AQ$225&lt;=time,R47*Costs!AX47,"")</f>
        <v/>
      </c>
      <c r="AR47" s="316" t="str">
        <f>IF(AR$225&lt;=time,S47*Costs!AY47,"")</f>
        <v/>
      </c>
      <c r="AS47" s="316" t="str">
        <f>IF(AS$225&lt;=time,T47*Costs!AZ47,"")</f>
        <v/>
      </c>
      <c r="AT47" s="316" t="str">
        <f>IF(AT$225&lt;=time,U47*Costs!BA47,"")</f>
        <v/>
      </c>
      <c r="AU47" s="316" t="str">
        <f>IF(AU$225&lt;=time,V47*Costs!BB47,"")</f>
        <v/>
      </c>
      <c r="AV47" s="316" t="str">
        <f>IF(AV$225&lt;=time,W47*Costs!BC47,"")</f>
        <v/>
      </c>
      <c r="AW47" s="316" t="str">
        <f>IF(AW$225&lt;=time,X47*Costs!BD47,"")</f>
        <v/>
      </c>
      <c r="AX47" s="316" t="str">
        <f>IF(AX$225&lt;=time,Y47*Costs!BE47,"")</f>
        <v/>
      </c>
      <c r="AY47" s="316" t="str">
        <f>IF(AY$225&lt;=time,Z47*Costs!BF47,"")</f>
        <v/>
      </c>
      <c r="AZ47" s="317">
        <f t="array" ref="AZ47">(SUM( IF(ISERROR(AA47:AY47),"", AA47:AY47)))/time</f>
        <v>1.3494142998280256</v>
      </c>
      <c r="BA47" s="317">
        <f t="shared" si="0"/>
        <v>1.3494142998280256</v>
      </c>
      <c r="BB47" s="318">
        <f t="shared" si="10"/>
        <v>1.3494142998280256</v>
      </c>
      <c r="BC47" s="319">
        <v>3</v>
      </c>
      <c r="BE47" s="208" t="e">
        <f t="array" ref="BE47">STDEV(IF(AA47:AY47&lt;&gt;0,AA47:AY47))</f>
        <v>#DIV/0!</v>
      </c>
      <c r="BF47" s="208">
        <v>1.96</v>
      </c>
      <c r="BG47" s="208" t="e">
        <f t="shared" si="11"/>
        <v>#DIV/0!</v>
      </c>
      <c r="BH47" s="208">
        <f t="shared" si="12"/>
        <v>0</v>
      </c>
    </row>
    <row r="48" spans="1:60">
      <c r="A48" s="32" t="str">
        <f>Costs!A48</f>
        <v>Probation</v>
      </c>
      <c r="B48" s="865">
        <v>1</v>
      </c>
      <c r="C48" s="865">
        <v>1</v>
      </c>
      <c r="D48" s="865">
        <v>1</v>
      </c>
      <c r="E48" s="313"/>
      <c r="F48" s="313"/>
      <c r="G48" s="313"/>
      <c r="H48" s="313"/>
      <c r="I48" s="313"/>
      <c r="J48" s="313"/>
      <c r="K48" s="313"/>
      <c r="L48" s="313"/>
      <c r="M48" s="313"/>
      <c r="N48" s="313"/>
      <c r="O48" s="313"/>
      <c r="P48" s="313"/>
      <c r="Q48" s="313"/>
      <c r="R48" s="313"/>
      <c r="S48" s="313"/>
      <c r="T48" s="313"/>
      <c r="U48" s="313"/>
      <c r="V48" s="313"/>
      <c r="W48" s="313"/>
      <c r="X48" s="313"/>
      <c r="Y48" s="313"/>
      <c r="Z48" s="314"/>
      <c r="AA48" s="315">
        <f>IF(AA$225&lt;=time,B48*Costs!AH48,"")</f>
        <v>0</v>
      </c>
      <c r="AB48" s="316">
        <f>IF(AB$225&lt;=time,C48*Costs!AI48,"")</f>
        <v>0</v>
      </c>
      <c r="AC48" s="316">
        <f>IF(AC$225&lt;=time,D48*Costs!AJ48,"")</f>
        <v>0</v>
      </c>
      <c r="AD48" s="316">
        <f>IF(AD$225&lt;=time,E48*Costs!AK48,"")</f>
        <v>0</v>
      </c>
      <c r="AE48" s="316">
        <f>IF(AE$225&lt;=time,F48*Costs!AL48,"")</f>
        <v>0</v>
      </c>
      <c r="AF48" s="316" t="str">
        <f>IF(AF$225&lt;=time,G48*Costs!AM48,"")</f>
        <v/>
      </c>
      <c r="AG48" s="316" t="str">
        <f>IF(AG$225&lt;=time,H48*Costs!AN48,"")</f>
        <v/>
      </c>
      <c r="AH48" s="316" t="str">
        <f>IF(AH$225&lt;=time,I48*Costs!AO48,"")</f>
        <v/>
      </c>
      <c r="AI48" s="316" t="str">
        <f>IF(AI$225&lt;=time,J48*Costs!AP48,"")</f>
        <v/>
      </c>
      <c r="AJ48" s="316" t="str">
        <f>IF(AJ$225&lt;=time,K48*Costs!AQ48,"")</f>
        <v/>
      </c>
      <c r="AK48" s="316" t="str">
        <f>IF(AK$225&lt;=time,L48*Costs!AR48,"")</f>
        <v/>
      </c>
      <c r="AL48" s="316" t="str">
        <f>IF(AL$225&lt;=time,M48*Costs!AS48,"")</f>
        <v/>
      </c>
      <c r="AM48" s="316" t="str">
        <f>IF(AM$225&lt;=time,N48*Costs!AT48,"")</f>
        <v/>
      </c>
      <c r="AN48" s="316" t="str">
        <f>IF(AN$225&lt;=time,O48*Costs!AU48,"")</f>
        <v/>
      </c>
      <c r="AO48" s="316" t="str">
        <f>IF(AO$225&lt;=time,P48*Costs!AV48,"")</f>
        <v/>
      </c>
      <c r="AP48" s="316" t="str">
        <f>IF(AP$225&lt;=time,Q48*Costs!AW48,"")</f>
        <v/>
      </c>
      <c r="AQ48" s="316" t="str">
        <f>IF(AQ$225&lt;=time,R48*Costs!AX48,"")</f>
        <v/>
      </c>
      <c r="AR48" s="316" t="str">
        <f>IF(AR$225&lt;=time,S48*Costs!AY48,"")</f>
        <v/>
      </c>
      <c r="AS48" s="316" t="str">
        <f>IF(AS$225&lt;=time,T48*Costs!AZ48,"")</f>
        <v/>
      </c>
      <c r="AT48" s="316" t="str">
        <f>IF(AT$225&lt;=time,U48*Costs!BA48,"")</f>
        <v/>
      </c>
      <c r="AU48" s="316" t="str">
        <f>IF(AU$225&lt;=time,V48*Costs!BB48,"")</f>
        <v/>
      </c>
      <c r="AV48" s="316" t="str">
        <f>IF(AV$225&lt;=time,W48*Costs!BC48,"")</f>
        <v/>
      </c>
      <c r="AW48" s="316" t="str">
        <f>IF(AW$225&lt;=time,X48*Costs!BD48,"")</f>
        <v/>
      </c>
      <c r="AX48" s="316" t="str">
        <f>IF(AX$225&lt;=time,Y48*Costs!BE48,"")</f>
        <v/>
      </c>
      <c r="AY48" s="316" t="str">
        <f>IF(AY$225&lt;=time,Z48*Costs!BF48,"")</f>
        <v/>
      </c>
      <c r="AZ48" s="317">
        <f t="array" ref="AZ48">(SUM( IF(ISERROR(AA48:AY48),"", AA48:AY48)))/time</f>
        <v>0</v>
      </c>
      <c r="BA48" s="317">
        <f t="shared" si="0"/>
        <v>0</v>
      </c>
      <c r="BB48" s="318">
        <f t="shared" si="10"/>
        <v>0</v>
      </c>
      <c r="BC48" s="319">
        <v>4</v>
      </c>
      <c r="BE48" s="208" t="e">
        <f t="array" ref="BE48">STDEV(IF(AA48:AY48&lt;&gt;0,AA48:AY48))</f>
        <v>#DIV/0!</v>
      </c>
      <c r="BF48" s="208">
        <v>1.96</v>
      </c>
      <c r="BG48" s="208" t="e">
        <f t="shared" si="11"/>
        <v>#DIV/0!</v>
      </c>
      <c r="BH48" s="208">
        <f t="shared" si="12"/>
        <v>0</v>
      </c>
    </row>
    <row r="49" spans="1:60">
      <c r="A49" s="32" t="str">
        <f>Costs!A49</f>
        <v>Prison</v>
      </c>
      <c r="B49" s="865">
        <v>1</v>
      </c>
      <c r="C49" s="865">
        <v>1</v>
      </c>
      <c r="D49" s="865">
        <v>1</v>
      </c>
      <c r="E49" s="313"/>
      <c r="F49" s="313"/>
      <c r="G49" s="313"/>
      <c r="H49" s="313"/>
      <c r="I49" s="313"/>
      <c r="J49" s="313"/>
      <c r="K49" s="313"/>
      <c r="L49" s="313"/>
      <c r="M49" s="313"/>
      <c r="N49" s="313"/>
      <c r="O49" s="313"/>
      <c r="P49" s="313"/>
      <c r="Q49" s="313"/>
      <c r="R49" s="313"/>
      <c r="S49" s="313"/>
      <c r="T49" s="313"/>
      <c r="U49" s="313"/>
      <c r="V49" s="313"/>
      <c r="W49" s="313"/>
      <c r="X49" s="313"/>
      <c r="Y49" s="313"/>
      <c r="Z49" s="314"/>
      <c r="AA49" s="315">
        <f>IF(AA$225&lt;=time,B49*Costs!AH49,"")</f>
        <v>0</v>
      </c>
      <c r="AB49" s="316">
        <f>IF(AB$225&lt;=time,C49*Costs!AI49,"")</f>
        <v>0</v>
      </c>
      <c r="AC49" s="316">
        <f>IF(AC$225&lt;=time,D49*Costs!AJ49,"")</f>
        <v>0</v>
      </c>
      <c r="AD49" s="316">
        <f>IF(AD$225&lt;=time,E49*Costs!AK49,"")</f>
        <v>0</v>
      </c>
      <c r="AE49" s="316">
        <f>IF(AE$225&lt;=time,F49*Costs!AL49,"")</f>
        <v>0</v>
      </c>
      <c r="AF49" s="316" t="str">
        <f>IF(AF$225&lt;=time,G49*Costs!AM49,"")</f>
        <v/>
      </c>
      <c r="AG49" s="316" t="str">
        <f>IF(AG$225&lt;=time,H49*Costs!AN49,"")</f>
        <v/>
      </c>
      <c r="AH49" s="316" t="str">
        <f>IF(AH$225&lt;=time,I49*Costs!AO49,"")</f>
        <v/>
      </c>
      <c r="AI49" s="316" t="str">
        <f>IF(AI$225&lt;=time,J49*Costs!AP49,"")</f>
        <v/>
      </c>
      <c r="AJ49" s="316" t="str">
        <f>IF(AJ$225&lt;=time,K49*Costs!AQ49,"")</f>
        <v/>
      </c>
      <c r="AK49" s="316" t="str">
        <f>IF(AK$225&lt;=time,L49*Costs!AR49,"")</f>
        <v/>
      </c>
      <c r="AL49" s="316" t="str">
        <f>IF(AL$225&lt;=time,M49*Costs!AS49,"")</f>
        <v/>
      </c>
      <c r="AM49" s="316" t="str">
        <f>IF(AM$225&lt;=time,N49*Costs!AT49,"")</f>
        <v/>
      </c>
      <c r="AN49" s="316" t="str">
        <f>IF(AN$225&lt;=time,O49*Costs!AU49,"")</f>
        <v/>
      </c>
      <c r="AO49" s="316" t="str">
        <f>IF(AO$225&lt;=time,P49*Costs!AV49,"")</f>
        <v/>
      </c>
      <c r="AP49" s="316" t="str">
        <f>IF(AP$225&lt;=time,Q49*Costs!AW49,"")</f>
        <v/>
      </c>
      <c r="AQ49" s="316" t="str">
        <f>IF(AQ$225&lt;=time,R49*Costs!AX49,"")</f>
        <v/>
      </c>
      <c r="AR49" s="316" t="str">
        <f>IF(AR$225&lt;=time,S49*Costs!AY49,"")</f>
        <v/>
      </c>
      <c r="AS49" s="316" t="str">
        <f>IF(AS$225&lt;=time,T49*Costs!AZ49,"")</f>
        <v/>
      </c>
      <c r="AT49" s="316" t="str">
        <f>IF(AT$225&lt;=time,U49*Costs!BA49,"")</f>
        <v/>
      </c>
      <c r="AU49" s="316" t="str">
        <f>IF(AU$225&lt;=time,V49*Costs!BB49,"")</f>
        <v/>
      </c>
      <c r="AV49" s="316" t="str">
        <f>IF(AV$225&lt;=time,W49*Costs!BC49,"")</f>
        <v/>
      </c>
      <c r="AW49" s="316" t="str">
        <f>IF(AW$225&lt;=time,X49*Costs!BD49,"")</f>
        <v/>
      </c>
      <c r="AX49" s="316" t="str">
        <f>IF(AX$225&lt;=time,Y49*Costs!BE49,"")</f>
        <v/>
      </c>
      <c r="AY49" s="316" t="str">
        <f>IF(AY$225&lt;=time,Z49*Costs!BF49,"")</f>
        <v/>
      </c>
      <c r="AZ49" s="317">
        <f t="array" ref="AZ49">(SUM( IF(ISERROR(AA49:AY49),"", AA49:AY49)))/time</f>
        <v>0</v>
      </c>
      <c r="BA49" s="317">
        <f t="shared" si="0"/>
        <v>0</v>
      </c>
      <c r="BB49" s="318">
        <f t="shared" si="10"/>
        <v>0</v>
      </c>
      <c r="BC49" s="319">
        <v>5</v>
      </c>
      <c r="BE49" s="208" t="e">
        <f t="array" ref="BE49">STDEV(IF(AA49:AY49&lt;&gt;0,AA49:AY49))</f>
        <v>#DIV/0!</v>
      </c>
      <c r="BF49" s="208">
        <v>1.96</v>
      </c>
      <c r="BG49" s="208" t="e">
        <f t="shared" si="11"/>
        <v>#DIV/0!</v>
      </c>
      <c r="BH49" s="208">
        <f t="shared" si="12"/>
        <v>0</v>
      </c>
    </row>
    <row r="50" spans="1:60" hidden="1">
      <c r="A50" s="322" t="str">
        <f>Costs!A50</f>
        <v>Wages for Existing Employee 6</v>
      </c>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4"/>
      <c r="AA50" s="315">
        <f>IF(AA$225&lt;=time,B50*Costs!AH50,"")</f>
        <v>0</v>
      </c>
      <c r="AB50" s="316">
        <f>IF(AB$225&lt;=time,C50*Costs!AI50,"")</f>
        <v>0</v>
      </c>
      <c r="AC50" s="316">
        <f>IF(AC$225&lt;=time,D50*Costs!AJ50,"")</f>
        <v>0</v>
      </c>
      <c r="AD50" s="316">
        <f>IF(AD$225&lt;=time,E50*Costs!AK50,"")</f>
        <v>0</v>
      </c>
      <c r="AE50" s="316">
        <f>IF(AE$225&lt;=time,F50*Costs!AL50,"")</f>
        <v>0</v>
      </c>
      <c r="AF50" s="316" t="str">
        <f>IF(AF$225&lt;=time,G50*Costs!AM50,"")</f>
        <v/>
      </c>
      <c r="AG50" s="316" t="str">
        <f>IF(AG$225&lt;=time,H50*Costs!AN50,"")</f>
        <v/>
      </c>
      <c r="AH50" s="316" t="str">
        <f>IF(AH$225&lt;=time,I50*Costs!AO50,"")</f>
        <v/>
      </c>
      <c r="AI50" s="316" t="str">
        <f>IF(AI$225&lt;=time,J50*Costs!AP50,"")</f>
        <v/>
      </c>
      <c r="AJ50" s="316" t="str">
        <f>IF(AJ$225&lt;=time,K50*Costs!AQ50,"")</f>
        <v/>
      </c>
      <c r="AK50" s="316" t="str">
        <f>IF(AK$225&lt;=time,L50*Costs!AR50,"")</f>
        <v/>
      </c>
      <c r="AL50" s="316" t="str">
        <f>IF(AL$225&lt;=time,M50*Costs!AS50,"")</f>
        <v/>
      </c>
      <c r="AM50" s="316" t="str">
        <f>IF(AM$225&lt;=time,N50*Costs!AT50,"")</f>
        <v/>
      </c>
      <c r="AN50" s="316" t="str">
        <f>IF(AN$225&lt;=time,O50*Costs!AU50,"")</f>
        <v/>
      </c>
      <c r="AO50" s="316" t="str">
        <f>IF(AO$225&lt;=time,P50*Costs!AV50,"")</f>
        <v/>
      </c>
      <c r="AP50" s="316" t="str">
        <f>IF(AP$225&lt;=time,Q50*Costs!AW50,"")</f>
        <v/>
      </c>
      <c r="AQ50" s="316" t="str">
        <f>IF(AQ$225&lt;=time,R50*Costs!AX50,"")</f>
        <v/>
      </c>
      <c r="AR50" s="316" t="str">
        <f>IF(AR$225&lt;=time,S50*Costs!AY50,"")</f>
        <v/>
      </c>
      <c r="AS50" s="316" t="str">
        <f>IF(AS$225&lt;=time,T50*Costs!AZ50,"")</f>
        <v/>
      </c>
      <c r="AT50" s="316" t="str">
        <f>IF(AT$225&lt;=time,U50*Costs!BA50,"")</f>
        <v/>
      </c>
      <c r="AU50" s="316" t="str">
        <f>IF(AU$225&lt;=time,V50*Costs!BB50,"")</f>
        <v/>
      </c>
      <c r="AV50" s="316" t="str">
        <f>IF(AV$225&lt;=time,W50*Costs!BC50,"")</f>
        <v/>
      </c>
      <c r="AW50" s="316" t="str">
        <f>IF(AW$225&lt;=time,X50*Costs!BD50,"")</f>
        <v/>
      </c>
      <c r="AX50" s="316" t="str">
        <f>IF(AX$225&lt;=time,Y50*Costs!BE50,"")</f>
        <v/>
      </c>
      <c r="AY50" s="316" t="str">
        <f>IF(AY$225&lt;=time,Z50*Costs!BF50,"")</f>
        <v/>
      </c>
      <c r="AZ50" s="317">
        <f t="array" ref="AZ50">(SUM( IF(ISERROR(AA50:AY50),"", AA50:AY50)))/time</f>
        <v>0</v>
      </c>
      <c r="BA50" s="317">
        <f t="shared" si="0"/>
        <v>0</v>
      </c>
      <c r="BB50" s="318">
        <f t="shared" si="10"/>
        <v>0</v>
      </c>
      <c r="BC50" s="319">
        <v>6</v>
      </c>
      <c r="BE50" s="208" t="e">
        <f t="array" ref="BE50">STDEV(IF(AA50:AY50&lt;&gt;0,AA50:AY50))</f>
        <v>#DIV/0!</v>
      </c>
      <c r="BF50" s="208">
        <v>1.96</v>
      </c>
      <c r="BG50" s="208" t="e">
        <f t="shared" si="11"/>
        <v>#DIV/0!</v>
      </c>
      <c r="BH50" s="208">
        <f t="shared" si="12"/>
        <v>0</v>
      </c>
    </row>
    <row r="51" spans="1:60" hidden="1">
      <c r="A51" s="322" t="str">
        <f>Costs!A51</f>
        <v>Wages for Existing Employee 7</v>
      </c>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4"/>
      <c r="AA51" s="315">
        <f>IF(AA$225&lt;=time,B51*Costs!AH51,"")</f>
        <v>0</v>
      </c>
      <c r="AB51" s="316">
        <f>IF(AB$225&lt;=time,C51*Costs!AI51,"")</f>
        <v>0</v>
      </c>
      <c r="AC51" s="316">
        <f>IF(AC$225&lt;=time,D51*Costs!AJ51,"")</f>
        <v>0</v>
      </c>
      <c r="AD51" s="316">
        <f>IF(AD$225&lt;=time,E51*Costs!AK51,"")</f>
        <v>0</v>
      </c>
      <c r="AE51" s="316">
        <f>IF(AE$225&lt;=time,F51*Costs!AL51,"")</f>
        <v>0</v>
      </c>
      <c r="AF51" s="316" t="str">
        <f>IF(AF$225&lt;=time,G51*Costs!AM51,"")</f>
        <v/>
      </c>
      <c r="AG51" s="316" t="str">
        <f>IF(AG$225&lt;=time,H51*Costs!AN51,"")</f>
        <v/>
      </c>
      <c r="AH51" s="316" t="str">
        <f>IF(AH$225&lt;=time,I51*Costs!AO51,"")</f>
        <v/>
      </c>
      <c r="AI51" s="316" t="str">
        <f>IF(AI$225&lt;=time,J51*Costs!AP51,"")</f>
        <v/>
      </c>
      <c r="AJ51" s="316" t="str">
        <f>IF(AJ$225&lt;=time,K51*Costs!AQ51,"")</f>
        <v/>
      </c>
      <c r="AK51" s="316" t="str">
        <f>IF(AK$225&lt;=time,L51*Costs!AR51,"")</f>
        <v/>
      </c>
      <c r="AL51" s="316" t="str">
        <f>IF(AL$225&lt;=time,M51*Costs!AS51,"")</f>
        <v/>
      </c>
      <c r="AM51" s="316" t="str">
        <f>IF(AM$225&lt;=time,N51*Costs!AT51,"")</f>
        <v/>
      </c>
      <c r="AN51" s="316" t="str">
        <f>IF(AN$225&lt;=time,O51*Costs!AU51,"")</f>
        <v/>
      </c>
      <c r="AO51" s="316" t="str">
        <f>IF(AO$225&lt;=time,P51*Costs!AV51,"")</f>
        <v/>
      </c>
      <c r="AP51" s="316" t="str">
        <f>IF(AP$225&lt;=time,Q51*Costs!AW51,"")</f>
        <v/>
      </c>
      <c r="AQ51" s="316" t="str">
        <f>IF(AQ$225&lt;=time,R51*Costs!AX51,"")</f>
        <v/>
      </c>
      <c r="AR51" s="316" t="str">
        <f>IF(AR$225&lt;=time,S51*Costs!AY51,"")</f>
        <v/>
      </c>
      <c r="AS51" s="316" t="str">
        <f>IF(AS$225&lt;=time,T51*Costs!AZ51,"")</f>
        <v/>
      </c>
      <c r="AT51" s="316" t="str">
        <f>IF(AT$225&lt;=time,U51*Costs!BA51,"")</f>
        <v/>
      </c>
      <c r="AU51" s="316" t="str">
        <f>IF(AU$225&lt;=time,V51*Costs!BB51,"")</f>
        <v/>
      </c>
      <c r="AV51" s="316" t="str">
        <f>IF(AV$225&lt;=time,W51*Costs!BC51,"")</f>
        <v/>
      </c>
      <c r="AW51" s="316" t="str">
        <f>IF(AW$225&lt;=time,X51*Costs!BD51,"")</f>
        <v/>
      </c>
      <c r="AX51" s="316" t="str">
        <f>IF(AX$225&lt;=time,Y51*Costs!BE51,"")</f>
        <v/>
      </c>
      <c r="AY51" s="316" t="str">
        <f>IF(AY$225&lt;=time,Z51*Costs!BF51,"")</f>
        <v/>
      </c>
      <c r="AZ51" s="317">
        <f t="array" ref="AZ51">(SUM( IF(ISERROR(AA51:AY51),"", AA51:AY51)))/time</f>
        <v>0</v>
      </c>
      <c r="BA51" s="317">
        <f t="shared" si="0"/>
        <v>0</v>
      </c>
      <c r="BB51" s="318">
        <f t="shared" si="10"/>
        <v>0</v>
      </c>
      <c r="BC51" s="319">
        <v>7</v>
      </c>
      <c r="BE51" s="208" t="e">
        <f t="array" ref="BE51">STDEV(IF(AA51:AY51&lt;&gt;0,AA51:AY51))</f>
        <v>#DIV/0!</v>
      </c>
      <c r="BF51" s="208">
        <v>1.96</v>
      </c>
      <c r="BG51" s="208" t="e">
        <f t="shared" si="11"/>
        <v>#DIV/0!</v>
      </c>
      <c r="BH51" s="208">
        <f t="shared" si="12"/>
        <v>0</v>
      </c>
    </row>
    <row r="52" spans="1:60" hidden="1">
      <c r="A52" s="322" t="str">
        <f>Costs!A52</f>
        <v>Wages for Existing Employee 8</v>
      </c>
      <c r="B52" s="313"/>
      <c r="C52" s="313"/>
      <c r="D52" s="313"/>
      <c r="E52" s="313"/>
      <c r="F52" s="313"/>
      <c r="G52" s="313"/>
      <c r="H52" s="313"/>
      <c r="I52" s="313"/>
      <c r="J52" s="313"/>
      <c r="K52" s="313"/>
      <c r="L52" s="313"/>
      <c r="M52" s="313"/>
      <c r="N52" s="313"/>
      <c r="O52" s="313"/>
      <c r="P52" s="313"/>
      <c r="Q52" s="313"/>
      <c r="R52" s="313"/>
      <c r="S52" s="313"/>
      <c r="T52" s="313"/>
      <c r="U52" s="313"/>
      <c r="V52" s="313"/>
      <c r="W52" s="313"/>
      <c r="X52" s="313"/>
      <c r="Y52" s="313"/>
      <c r="Z52" s="314"/>
      <c r="AA52" s="315">
        <f>IF(AA$225&lt;=time,B52*Costs!AH52,"")</f>
        <v>0</v>
      </c>
      <c r="AB52" s="316">
        <f>IF(AB$225&lt;=time,C52*Costs!AI52,"")</f>
        <v>0</v>
      </c>
      <c r="AC52" s="316">
        <f>IF(AC$225&lt;=time,D52*Costs!AJ52,"")</f>
        <v>0</v>
      </c>
      <c r="AD52" s="316">
        <f>IF(AD$225&lt;=time,E52*Costs!AK52,"")</f>
        <v>0</v>
      </c>
      <c r="AE52" s="316">
        <f>IF(AE$225&lt;=time,F52*Costs!AL52,"")</f>
        <v>0</v>
      </c>
      <c r="AF52" s="316" t="str">
        <f>IF(AF$225&lt;=time,G52*Costs!AM52,"")</f>
        <v/>
      </c>
      <c r="AG52" s="316" t="str">
        <f>IF(AG$225&lt;=time,H52*Costs!AN52,"")</f>
        <v/>
      </c>
      <c r="AH52" s="316" t="str">
        <f>IF(AH$225&lt;=time,I52*Costs!AO52,"")</f>
        <v/>
      </c>
      <c r="AI52" s="316" t="str">
        <f>IF(AI$225&lt;=time,J52*Costs!AP52,"")</f>
        <v/>
      </c>
      <c r="AJ52" s="316" t="str">
        <f>IF(AJ$225&lt;=time,K52*Costs!AQ52,"")</f>
        <v/>
      </c>
      <c r="AK52" s="316" t="str">
        <f>IF(AK$225&lt;=time,L52*Costs!AR52,"")</f>
        <v/>
      </c>
      <c r="AL52" s="316" t="str">
        <f>IF(AL$225&lt;=time,M52*Costs!AS52,"")</f>
        <v/>
      </c>
      <c r="AM52" s="316" t="str">
        <f>IF(AM$225&lt;=time,N52*Costs!AT52,"")</f>
        <v/>
      </c>
      <c r="AN52" s="316" t="str">
        <f>IF(AN$225&lt;=time,O52*Costs!AU52,"")</f>
        <v/>
      </c>
      <c r="AO52" s="316" t="str">
        <f>IF(AO$225&lt;=time,P52*Costs!AV52,"")</f>
        <v/>
      </c>
      <c r="AP52" s="316" t="str">
        <f>IF(AP$225&lt;=time,Q52*Costs!AW52,"")</f>
        <v/>
      </c>
      <c r="AQ52" s="316" t="str">
        <f>IF(AQ$225&lt;=time,R52*Costs!AX52,"")</f>
        <v/>
      </c>
      <c r="AR52" s="316" t="str">
        <f>IF(AR$225&lt;=time,S52*Costs!AY52,"")</f>
        <v/>
      </c>
      <c r="AS52" s="316" t="str">
        <f>IF(AS$225&lt;=time,T52*Costs!AZ52,"")</f>
        <v/>
      </c>
      <c r="AT52" s="316" t="str">
        <f>IF(AT$225&lt;=time,U52*Costs!BA52,"")</f>
        <v/>
      </c>
      <c r="AU52" s="316" t="str">
        <f>IF(AU$225&lt;=time,V52*Costs!BB52,"")</f>
        <v/>
      </c>
      <c r="AV52" s="316" t="str">
        <f>IF(AV$225&lt;=time,W52*Costs!BC52,"")</f>
        <v/>
      </c>
      <c r="AW52" s="316" t="str">
        <f>IF(AW$225&lt;=time,X52*Costs!BD52,"")</f>
        <v/>
      </c>
      <c r="AX52" s="316" t="str">
        <f>IF(AX$225&lt;=time,Y52*Costs!BE52,"")</f>
        <v/>
      </c>
      <c r="AY52" s="316" t="str">
        <f>IF(AY$225&lt;=time,Z52*Costs!BF52,"")</f>
        <v/>
      </c>
      <c r="AZ52" s="317">
        <f t="array" ref="AZ52">(SUM( IF(ISERROR(AA52:AY52),"", AA52:AY52)))/time</f>
        <v>0</v>
      </c>
      <c r="BA52" s="317">
        <f t="shared" si="0"/>
        <v>0</v>
      </c>
      <c r="BB52" s="318">
        <f t="shared" si="10"/>
        <v>0</v>
      </c>
      <c r="BC52" s="319">
        <v>8</v>
      </c>
      <c r="BE52" s="208" t="e">
        <f t="array" ref="BE52">STDEV(IF(AA52:AY52&lt;&gt;0,AA52:AY52))</f>
        <v>#DIV/0!</v>
      </c>
      <c r="BF52" s="208">
        <v>1.96</v>
      </c>
      <c r="BG52" s="208" t="e">
        <f t="shared" si="11"/>
        <v>#DIV/0!</v>
      </c>
      <c r="BH52" s="208">
        <f t="shared" si="12"/>
        <v>0</v>
      </c>
    </row>
    <row r="53" spans="1:60" hidden="1">
      <c r="A53" s="322" t="str">
        <f>Costs!A53</f>
        <v>Wages for Existing Employee 9</v>
      </c>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4"/>
      <c r="AA53" s="315">
        <f>IF(AA$225&lt;=time,B53*Costs!AH53,"")</f>
        <v>0</v>
      </c>
      <c r="AB53" s="316">
        <f>IF(AB$225&lt;=time,C53*Costs!AI53,"")</f>
        <v>0</v>
      </c>
      <c r="AC53" s="316">
        <f>IF(AC$225&lt;=time,D53*Costs!AJ53,"")</f>
        <v>0</v>
      </c>
      <c r="AD53" s="316">
        <f>IF(AD$225&lt;=time,E53*Costs!AK53,"")</f>
        <v>0</v>
      </c>
      <c r="AE53" s="316">
        <f>IF(AE$225&lt;=time,F53*Costs!AL53,"")</f>
        <v>0</v>
      </c>
      <c r="AF53" s="316" t="str">
        <f>IF(AF$225&lt;=time,G53*Costs!AM53,"")</f>
        <v/>
      </c>
      <c r="AG53" s="316" t="str">
        <f>IF(AG$225&lt;=time,H53*Costs!AN53,"")</f>
        <v/>
      </c>
      <c r="AH53" s="316" t="str">
        <f>IF(AH$225&lt;=time,I53*Costs!AO53,"")</f>
        <v/>
      </c>
      <c r="AI53" s="316" t="str">
        <f>IF(AI$225&lt;=time,J53*Costs!AP53,"")</f>
        <v/>
      </c>
      <c r="AJ53" s="316" t="str">
        <f>IF(AJ$225&lt;=time,K53*Costs!AQ53,"")</f>
        <v/>
      </c>
      <c r="AK53" s="316" t="str">
        <f>IF(AK$225&lt;=time,L53*Costs!AR53,"")</f>
        <v/>
      </c>
      <c r="AL53" s="316" t="str">
        <f>IF(AL$225&lt;=time,M53*Costs!AS53,"")</f>
        <v/>
      </c>
      <c r="AM53" s="316" t="str">
        <f>IF(AM$225&lt;=time,N53*Costs!AT53,"")</f>
        <v/>
      </c>
      <c r="AN53" s="316" t="str">
        <f>IF(AN$225&lt;=time,O53*Costs!AU53,"")</f>
        <v/>
      </c>
      <c r="AO53" s="316" t="str">
        <f>IF(AO$225&lt;=time,P53*Costs!AV53,"")</f>
        <v/>
      </c>
      <c r="AP53" s="316" t="str">
        <f>IF(AP$225&lt;=time,Q53*Costs!AW53,"")</f>
        <v/>
      </c>
      <c r="AQ53" s="316" t="str">
        <f>IF(AQ$225&lt;=time,R53*Costs!AX53,"")</f>
        <v/>
      </c>
      <c r="AR53" s="316" t="str">
        <f>IF(AR$225&lt;=time,S53*Costs!AY53,"")</f>
        <v/>
      </c>
      <c r="AS53" s="316" t="str">
        <f>IF(AS$225&lt;=time,T53*Costs!AZ53,"")</f>
        <v/>
      </c>
      <c r="AT53" s="316" t="str">
        <f>IF(AT$225&lt;=time,U53*Costs!BA53,"")</f>
        <v/>
      </c>
      <c r="AU53" s="316" t="str">
        <f>IF(AU$225&lt;=time,V53*Costs!BB53,"")</f>
        <v/>
      </c>
      <c r="AV53" s="316" t="str">
        <f>IF(AV$225&lt;=time,W53*Costs!BC53,"")</f>
        <v/>
      </c>
      <c r="AW53" s="316" t="str">
        <f>IF(AW$225&lt;=time,X53*Costs!BD53,"")</f>
        <v/>
      </c>
      <c r="AX53" s="316" t="str">
        <f>IF(AX$225&lt;=time,Y53*Costs!BE53,"")</f>
        <v/>
      </c>
      <c r="AY53" s="316" t="str">
        <f>IF(AY$225&lt;=time,Z53*Costs!BF53,"")</f>
        <v/>
      </c>
      <c r="AZ53" s="317">
        <f t="array" ref="AZ53">(SUM( IF(ISERROR(AA53:AY53),"", AA53:AY53)))/time</f>
        <v>0</v>
      </c>
      <c r="BA53" s="317">
        <f t="shared" si="0"/>
        <v>0</v>
      </c>
      <c r="BB53" s="318">
        <f t="shared" si="10"/>
        <v>0</v>
      </c>
      <c r="BC53" s="319">
        <v>9</v>
      </c>
      <c r="BE53" s="208" t="e">
        <f t="array" ref="BE53">STDEV(IF(AA53:AY53&lt;&gt;0,AA53:AY53))</f>
        <v>#DIV/0!</v>
      </c>
      <c r="BF53" s="208">
        <v>1.96</v>
      </c>
      <c r="BG53" s="208" t="e">
        <f t="shared" si="11"/>
        <v>#DIV/0!</v>
      </c>
      <c r="BH53" s="208">
        <f t="shared" si="12"/>
        <v>0</v>
      </c>
    </row>
    <row r="54" spans="1:60" hidden="1">
      <c r="A54" s="322" t="str">
        <f>Costs!A54</f>
        <v>Wages for Existing Employee 10</v>
      </c>
      <c r="B54" s="313"/>
      <c r="C54" s="313"/>
      <c r="D54" s="313"/>
      <c r="E54" s="313"/>
      <c r="F54" s="313"/>
      <c r="G54" s="313"/>
      <c r="H54" s="313"/>
      <c r="I54" s="313"/>
      <c r="J54" s="313"/>
      <c r="K54" s="313"/>
      <c r="L54" s="313"/>
      <c r="M54" s="313"/>
      <c r="N54" s="313"/>
      <c r="O54" s="313"/>
      <c r="P54" s="313"/>
      <c r="Q54" s="313"/>
      <c r="R54" s="313"/>
      <c r="S54" s="313"/>
      <c r="T54" s="313"/>
      <c r="U54" s="313"/>
      <c r="V54" s="313"/>
      <c r="W54" s="313"/>
      <c r="X54" s="313"/>
      <c r="Y54" s="313"/>
      <c r="Z54" s="314"/>
      <c r="AA54" s="315">
        <f>IF(AA$225&lt;=time,B54*Costs!AH54,"")</f>
        <v>0</v>
      </c>
      <c r="AB54" s="316">
        <f>IF(AB$225&lt;=time,C54*Costs!AI54,"")</f>
        <v>0</v>
      </c>
      <c r="AC54" s="316">
        <f>IF(AC$225&lt;=time,D54*Costs!AJ54,"")</f>
        <v>0</v>
      </c>
      <c r="AD54" s="316">
        <f>IF(AD$225&lt;=time,E54*Costs!AK54,"")</f>
        <v>0</v>
      </c>
      <c r="AE54" s="316">
        <f>IF(AE$225&lt;=time,F54*Costs!AL54,"")</f>
        <v>0</v>
      </c>
      <c r="AF54" s="316" t="str">
        <f>IF(AF$225&lt;=time,G54*Costs!AM54,"")</f>
        <v/>
      </c>
      <c r="AG54" s="316" t="str">
        <f>IF(AG$225&lt;=time,H54*Costs!AN54,"")</f>
        <v/>
      </c>
      <c r="AH54" s="316" t="str">
        <f>IF(AH$225&lt;=time,I54*Costs!AO54,"")</f>
        <v/>
      </c>
      <c r="AI54" s="316" t="str">
        <f>IF(AI$225&lt;=time,J54*Costs!AP54,"")</f>
        <v/>
      </c>
      <c r="AJ54" s="316" t="str">
        <f>IF(AJ$225&lt;=time,K54*Costs!AQ54,"")</f>
        <v/>
      </c>
      <c r="AK54" s="316" t="str">
        <f>IF(AK$225&lt;=time,L54*Costs!AR54,"")</f>
        <v/>
      </c>
      <c r="AL54" s="316" t="str">
        <f>IF(AL$225&lt;=time,M54*Costs!AS54,"")</f>
        <v/>
      </c>
      <c r="AM54" s="316" t="str">
        <f>IF(AM$225&lt;=time,N54*Costs!AT54,"")</f>
        <v/>
      </c>
      <c r="AN54" s="316" t="str">
        <f>IF(AN$225&lt;=time,O54*Costs!AU54,"")</f>
        <v/>
      </c>
      <c r="AO54" s="316" t="str">
        <f>IF(AO$225&lt;=time,P54*Costs!AV54,"")</f>
        <v/>
      </c>
      <c r="AP54" s="316" t="str">
        <f>IF(AP$225&lt;=time,Q54*Costs!AW54,"")</f>
        <v/>
      </c>
      <c r="AQ54" s="316" t="str">
        <f>IF(AQ$225&lt;=time,R54*Costs!AX54,"")</f>
        <v/>
      </c>
      <c r="AR54" s="316" t="str">
        <f>IF(AR$225&lt;=time,S54*Costs!AY54,"")</f>
        <v/>
      </c>
      <c r="AS54" s="316" t="str">
        <f>IF(AS$225&lt;=time,T54*Costs!AZ54,"")</f>
        <v/>
      </c>
      <c r="AT54" s="316" t="str">
        <f>IF(AT$225&lt;=time,U54*Costs!BA54,"")</f>
        <v/>
      </c>
      <c r="AU54" s="316" t="str">
        <f>IF(AU$225&lt;=time,V54*Costs!BB54,"")</f>
        <v/>
      </c>
      <c r="AV54" s="316" t="str">
        <f>IF(AV$225&lt;=time,W54*Costs!BC54,"")</f>
        <v/>
      </c>
      <c r="AW54" s="316" t="str">
        <f>IF(AW$225&lt;=time,X54*Costs!BD54,"")</f>
        <v/>
      </c>
      <c r="AX54" s="316" t="str">
        <f>IF(AX$225&lt;=time,Y54*Costs!BE54,"")</f>
        <v/>
      </c>
      <c r="AY54" s="316" t="str">
        <f>IF(AY$225&lt;=time,Z54*Costs!BF54,"")</f>
        <v/>
      </c>
      <c r="AZ54" s="317">
        <f t="array" ref="AZ54">(SUM( IF(ISERROR(AA54:AY54),"", AA54:AY54)))/time</f>
        <v>0</v>
      </c>
      <c r="BA54" s="317">
        <f t="shared" si="0"/>
        <v>0</v>
      </c>
      <c r="BB54" s="318">
        <f t="shared" si="10"/>
        <v>0</v>
      </c>
      <c r="BC54" s="319">
        <v>10</v>
      </c>
      <c r="BE54" s="208" t="e">
        <f t="array" ref="BE54">STDEV(IF(AA54:AY54&lt;&gt;0,AA54:AY54))</f>
        <v>#DIV/0!</v>
      </c>
      <c r="BF54" s="208">
        <v>1.96</v>
      </c>
      <c r="BG54" s="208" t="e">
        <f t="shared" si="11"/>
        <v>#DIV/0!</v>
      </c>
      <c r="BH54" s="208">
        <f t="shared" si="12"/>
        <v>0</v>
      </c>
    </row>
    <row r="55" spans="1:60" s="11" customFormat="1">
      <c r="A55" s="234" t="s">
        <v>15</v>
      </c>
      <c r="B55" s="323"/>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4"/>
      <c r="AA55" s="234"/>
      <c r="AB55" s="323"/>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BA55" s="323"/>
      <c r="BB55" s="211"/>
    </row>
    <row r="56" spans="1:60">
      <c r="A56" s="31" t="str">
        <f>Costs!A56</f>
        <v>Hiring New Staff 1</v>
      </c>
      <c r="B56" s="865"/>
      <c r="C56" s="865"/>
      <c r="D56" s="865"/>
      <c r="E56" s="313"/>
      <c r="F56" s="313"/>
      <c r="G56" s="313"/>
      <c r="H56" s="313"/>
      <c r="I56" s="313"/>
      <c r="J56" s="313"/>
      <c r="K56" s="313"/>
      <c r="L56" s="313"/>
      <c r="M56" s="313"/>
      <c r="N56" s="313"/>
      <c r="O56" s="313"/>
      <c r="P56" s="313"/>
      <c r="Q56" s="313"/>
      <c r="R56" s="313"/>
      <c r="S56" s="313"/>
      <c r="T56" s="313"/>
      <c r="U56" s="313"/>
      <c r="V56" s="313"/>
      <c r="W56" s="313"/>
      <c r="X56" s="313"/>
      <c r="Y56" s="313"/>
      <c r="Z56" s="314"/>
      <c r="AA56" s="315">
        <f>IF(AA$225&lt;=time,B56*Costs!AH56,"")</f>
        <v>0</v>
      </c>
      <c r="AB56" s="316">
        <f>IF(AB$225&lt;=time,C56*Costs!AI56,"")</f>
        <v>0</v>
      </c>
      <c r="AC56" s="316">
        <f>IF(AC$225&lt;=time,D56*Costs!AJ56,"")</f>
        <v>0</v>
      </c>
      <c r="AD56" s="316">
        <f>IF(AD$225&lt;=time,E56*Costs!AK56,"")</f>
        <v>0</v>
      </c>
      <c r="AE56" s="316">
        <f>IF(AE$225&lt;=time,F56*Costs!AL56,"")</f>
        <v>0</v>
      </c>
      <c r="AF56" s="316" t="str">
        <f>IF(AF$225&lt;=time,G56*Costs!AM56,"")</f>
        <v/>
      </c>
      <c r="AG56" s="316" t="str">
        <f>IF(AG$225&lt;=time,H56*Costs!AN56,"")</f>
        <v/>
      </c>
      <c r="AH56" s="316" t="str">
        <f>IF(AH$225&lt;=time,I56*Costs!AO56,"")</f>
        <v/>
      </c>
      <c r="AI56" s="316" t="str">
        <f>IF(AI$225&lt;=time,J56*Costs!AP56,"")</f>
        <v/>
      </c>
      <c r="AJ56" s="316" t="str">
        <f>IF(AJ$225&lt;=time,K56*Costs!AQ56,"")</f>
        <v/>
      </c>
      <c r="AK56" s="316" t="str">
        <f>IF(AK$225&lt;=time,L56*Costs!AR56,"")</f>
        <v/>
      </c>
      <c r="AL56" s="316" t="str">
        <f>IF(AL$225&lt;=time,M56*Costs!AS56,"")</f>
        <v/>
      </c>
      <c r="AM56" s="316" t="str">
        <f>IF(AM$225&lt;=time,N56*Costs!AT56,"")</f>
        <v/>
      </c>
      <c r="AN56" s="316" t="str">
        <f>IF(AN$225&lt;=time,O56*Costs!AU56,"")</f>
        <v/>
      </c>
      <c r="AO56" s="316" t="str">
        <f>IF(AO$225&lt;=time,P56*Costs!AV56,"")</f>
        <v/>
      </c>
      <c r="AP56" s="316" t="str">
        <f>IF(AP$225&lt;=time,Q56*Costs!AW56,"")</f>
        <v/>
      </c>
      <c r="AQ56" s="316" t="str">
        <f>IF(AQ$225&lt;=time,R56*Costs!AX56,"")</f>
        <v/>
      </c>
      <c r="AR56" s="316" t="str">
        <f>IF(AR$225&lt;=time,S56*Costs!AY56,"")</f>
        <v/>
      </c>
      <c r="AS56" s="316" t="str">
        <f>IF(AS$225&lt;=time,T56*Costs!AZ56,"")</f>
        <v/>
      </c>
      <c r="AT56" s="316" t="str">
        <f>IF(AT$225&lt;=time,U56*Costs!BA56,"")</f>
        <v/>
      </c>
      <c r="AU56" s="316" t="str">
        <f>IF(AU$225&lt;=time,V56*Costs!BB56,"")</f>
        <v/>
      </c>
      <c r="AV56" s="316" t="str">
        <f>IF(AV$225&lt;=time,W56*Costs!BC56,"")</f>
        <v/>
      </c>
      <c r="AW56" s="316" t="str">
        <f>IF(AW$225&lt;=time,X56*Costs!BD56,"")</f>
        <v/>
      </c>
      <c r="AX56" s="316" t="str">
        <f>IF(AX$225&lt;=time,Y56*Costs!BE56,"")</f>
        <v/>
      </c>
      <c r="AY56" s="316" t="str">
        <f>IF(AY$225&lt;=time,Z56*Costs!BF56,"")</f>
        <v/>
      </c>
      <c r="AZ56" s="317">
        <f t="array" ref="AZ56">(SUM( IF(ISERROR(AA56:AY56),"", AA56:AY56)))/time</f>
        <v>0</v>
      </c>
      <c r="BA56" s="317">
        <f t="shared" si="0"/>
        <v>0</v>
      </c>
      <c r="BB56" s="318">
        <f t="shared" ref="BB56:BB65" si="13">IF(BH56&gt;0,AZ56+BG56,AZ56)</f>
        <v>0</v>
      </c>
      <c r="BC56" s="319">
        <v>1</v>
      </c>
      <c r="BE56" s="208" t="e">
        <f t="array" ref="BE56">STDEV(IF(AA56:AY56&lt;&gt;0,AA56:AY56))</f>
        <v>#DIV/0!</v>
      </c>
      <c r="BF56" s="208">
        <v>1.96</v>
      </c>
      <c r="BG56" s="208" t="e">
        <f t="shared" ref="BG56:BG65" si="14">(BF56*BE56)/(time^0.5)</f>
        <v>#DIV/0!</v>
      </c>
      <c r="BH56" s="208">
        <f t="shared" ref="BH56:BH65" si="15">IFERROR(BE56,0)</f>
        <v>0</v>
      </c>
    </row>
    <row r="57" spans="1:60" hidden="1">
      <c r="A57" s="320" t="str">
        <f>Costs!A57</f>
        <v>Hiring New Staff 2</v>
      </c>
      <c r="B57" s="313"/>
      <c r="C57" s="313"/>
      <c r="D57" s="313"/>
      <c r="E57" s="313"/>
      <c r="F57" s="313"/>
      <c r="G57" s="313"/>
      <c r="H57" s="313"/>
      <c r="I57" s="313"/>
      <c r="J57" s="313"/>
      <c r="K57" s="313"/>
      <c r="L57" s="313"/>
      <c r="M57" s="313"/>
      <c r="N57" s="313"/>
      <c r="O57" s="313"/>
      <c r="P57" s="313"/>
      <c r="Q57" s="313"/>
      <c r="R57" s="313"/>
      <c r="S57" s="313"/>
      <c r="T57" s="313"/>
      <c r="U57" s="313"/>
      <c r="V57" s="313"/>
      <c r="W57" s="313"/>
      <c r="X57" s="313"/>
      <c r="Y57" s="313"/>
      <c r="Z57" s="314"/>
      <c r="AA57" s="315">
        <f>IF(AA$225&lt;=time,B57*Costs!AH57,"")</f>
        <v>0</v>
      </c>
      <c r="AB57" s="316">
        <f>IF(AB$225&lt;=time,C57*Costs!AI57,"")</f>
        <v>0</v>
      </c>
      <c r="AC57" s="316">
        <f>IF(AC$225&lt;=time,D57*Costs!AJ57,"")</f>
        <v>0</v>
      </c>
      <c r="AD57" s="316">
        <f>IF(AD$225&lt;=time,E57*Costs!AK57,"")</f>
        <v>0</v>
      </c>
      <c r="AE57" s="316">
        <f>IF(AE$225&lt;=time,F57*Costs!AL57,"")</f>
        <v>0</v>
      </c>
      <c r="AF57" s="316" t="str">
        <f>IF(AF$225&lt;=time,G57*Costs!AM57,"")</f>
        <v/>
      </c>
      <c r="AG57" s="316" t="str">
        <f>IF(AG$225&lt;=time,H57*Costs!AN57,"")</f>
        <v/>
      </c>
      <c r="AH57" s="316" t="str">
        <f>IF(AH$225&lt;=time,I57*Costs!AO57,"")</f>
        <v/>
      </c>
      <c r="AI57" s="316" t="str">
        <f>IF(AI$225&lt;=time,J57*Costs!AP57,"")</f>
        <v/>
      </c>
      <c r="AJ57" s="316" t="str">
        <f>IF(AJ$225&lt;=time,K57*Costs!AQ57,"")</f>
        <v/>
      </c>
      <c r="AK57" s="316" t="str">
        <f>IF(AK$225&lt;=time,L57*Costs!AR57,"")</f>
        <v/>
      </c>
      <c r="AL57" s="316" t="str">
        <f>IF(AL$225&lt;=time,M57*Costs!AS57,"")</f>
        <v/>
      </c>
      <c r="AM57" s="316" t="str">
        <f>IF(AM$225&lt;=time,N57*Costs!AT57,"")</f>
        <v/>
      </c>
      <c r="AN57" s="316" t="str">
        <f>IF(AN$225&lt;=time,O57*Costs!AU57,"")</f>
        <v/>
      </c>
      <c r="AO57" s="316" t="str">
        <f>IF(AO$225&lt;=time,P57*Costs!AV57,"")</f>
        <v/>
      </c>
      <c r="AP57" s="316" t="str">
        <f>IF(AP$225&lt;=time,Q57*Costs!AW57,"")</f>
        <v/>
      </c>
      <c r="AQ57" s="316" t="str">
        <f>IF(AQ$225&lt;=time,R57*Costs!AX57,"")</f>
        <v/>
      </c>
      <c r="AR57" s="316" t="str">
        <f>IF(AR$225&lt;=time,S57*Costs!AY57,"")</f>
        <v/>
      </c>
      <c r="AS57" s="316" t="str">
        <f>IF(AS$225&lt;=time,T57*Costs!AZ57,"")</f>
        <v/>
      </c>
      <c r="AT57" s="316" t="str">
        <f>IF(AT$225&lt;=time,U57*Costs!BA57,"")</f>
        <v/>
      </c>
      <c r="AU57" s="316" t="str">
        <f>IF(AU$225&lt;=time,V57*Costs!BB57,"")</f>
        <v/>
      </c>
      <c r="AV57" s="316" t="str">
        <f>IF(AV$225&lt;=time,W57*Costs!BC57,"")</f>
        <v/>
      </c>
      <c r="AW57" s="316" t="str">
        <f>IF(AW$225&lt;=time,X57*Costs!BD57,"")</f>
        <v/>
      </c>
      <c r="AX57" s="316" t="str">
        <f>IF(AX$225&lt;=time,Y57*Costs!BE57,"")</f>
        <v/>
      </c>
      <c r="AY57" s="316" t="str">
        <f>IF(AY$225&lt;=time,Z57*Costs!BF57,"")</f>
        <v/>
      </c>
      <c r="AZ57" s="317">
        <f t="array" ref="AZ57">(SUM( IF(ISERROR(AA57:AY57),"", AA57:AY57)))/time</f>
        <v>0</v>
      </c>
      <c r="BA57" s="317">
        <f t="shared" si="0"/>
        <v>0</v>
      </c>
      <c r="BB57" s="318">
        <f t="shared" si="13"/>
        <v>0</v>
      </c>
      <c r="BC57" s="319">
        <v>2</v>
      </c>
      <c r="BE57" s="208" t="e">
        <f t="array" ref="BE57">STDEV(IF(AA57:AY57&lt;&gt;0,AA57:AY57))</f>
        <v>#DIV/0!</v>
      </c>
      <c r="BF57" s="208">
        <v>1.96</v>
      </c>
      <c r="BG57" s="208" t="e">
        <f t="shared" si="14"/>
        <v>#DIV/0!</v>
      </c>
      <c r="BH57" s="208">
        <f t="shared" si="15"/>
        <v>0</v>
      </c>
    </row>
    <row r="58" spans="1:60" hidden="1">
      <c r="A58" s="320" t="str">
        <f>Costs!A58</f>
        <v>Hiring New Staff 3</v>
      </c>
      <c r="B58" s="313"/>
      <c r="C58" s="313"/>
      <c r="D58" s="313"/>
      <c r="E58" s="313"/>
      <c r="F58" s="313"/>
      <c r="G58" s="313"/>
      <c r="H58" s="313"/>
      <c r="I58" s="313"/>
      <c r="J58" s="313"/>
      <c r="K58" s="313"/>
      <c r="L58" s="313"/>
      <c r="M58" s="313"/>
      <c r="N58" s="313"/>
      <c r="O58" s="313"/>
      <c r="P58" s="313"/>
      <c r="Q58" s="313"/>
      <c r="R58" s="313"/>
      <c r="S58" s="313"/>
      <c r="T58" s="313"/>
      <c r="U58" s="313"/>
      <c r="V58" s="313"/>
      <c r="W58" s="313"/>
      <c r="X58" s="313"/>
      <c r="Y58" s="313"/>
      <c r="Z58" s="314"/>
      <c r="AA58" s="315">
        <f>IF(AA$225&lt;=time,B58*Costs!AH58,"")</f>
        <v>0</v>
      </c>
      <c r="AB58" s="316">
        <f>IF(AB$225&lt;=time,C58*Costs!AI58,"")</f>
        <v>0</v>
      </c>
      <c r="AC58" s="316">
        <f>IF(AC$225&lt;=time,D58*Costs!AJ58,"")</f>
        <v>0</v>
      </c>
      <c r="AD58" s="316">
        <f>IF(AD$225&lt;=time,E58*Costs!AK58,"")</f>
        <v>0</v>
      </c>
      <c r="AE58" s="316">
        <f>IF(AE$225&lt;=time,F58*Costs!AL58,"")</f>
        <v>0</v>
      </c>
      <c r="AF58" s="316" t="str">
        <f>IF(AF$225&lt;=time,G58*Costs!AM58,"")</f>
        <v/>
      </c>
      <c r="AG58" s="316" t="str">
        <f>IF(AG$225&lt;=time,H58*Costs!AN58,"")</f>
        <v/>
      </c>
      <c r="AH58" s="316" t="str">
        <f>IF(AH$225&lt;=time,I58*Costs!AO58,"")</f>
        <v/>
      </c>
      <c r="AI58" s="316" t="str">
        <f>IF(AI$225&lt;=time,J58*Costs!AP58,"")</f>
        <v/>
      </c>
      <c r="AJ58" s="316" t="str">
        <f>IF(AJ$225&lt;=time,K58*Costs!AQ58,"")</f>
        <v/>
      </c>
      <c r="AK58" s="316" t="str">
        <f>IF(AK$225&lt;=time,L58*Costs!AR58,"")</f>
        <v/>
      </c>
      <c r="AL58" s="316" t="str">
        <f>IF(AL$225&lt;=time,M58*Costs!AS58,"")</f>
        <v/>
      </c>
      <c r="AM58" s="316" t="str">
        <f>IF(AM$225&lt;=time,N58*Costs!AT58,"")</f>
        <v/>
      </c>
      <c r="AN58" s="316" t="str">
        <f>IF(AN$225&lt;=time,O58*Costs!AU58,"")</f>
        <v/>
      </c>
      <c r="AO58" s="316" t="str">
        <f>IF(AO$225&lt;=time,P58*Costs!AV58,"")</f>
        <v/>
      </c>
      <c r="AP58" s="316" t="str">
        <f>IF(AP$225&lt;=time,Q58*Costs!AW58,"")</f>
        <v/>
      </c>
      <c r="AQ58" s="316" t="str">
        <f>IF(AQ$225&lt;=time,R58*Costs!AX58,"")</f>
        <v/>
      </c>
      <c r="AR58" s="316" t="str">
        <f>IF(AR$225&lt;=time,S58*Costs!AY58,"")</f>
        <v/>
      </c>
      <c r="AS58" s="316" t="str">
        <f>IF(AS$225&lt;=time,T58*Costs!AZ58,"")</f>
        <v/>
      </c>
      <c r="AT58" s="316" t="str">
        <f>IF(AT$225&lt;=time,U58*Costs!BA58,"")</f>
        <v/>
      </c>
      <c r="AU58" s="316" t="str">
        <f>IF(AU$225&lt;=time,V58*Costs!BB58,"")</f>
        <v/>
      </c>
      <c r="AV58" s="316" t="str">
        <f>IF(AV$225&lt;=time,W58*Costs!BC58,"")</f>
        <v/>
      </c>
      <c r="AW58" s="316" t="str">
        <f>IF(AW$225&lt;=time,X58*Costs!BD58,"")</f>
        <v/>
      </c>
      <c r="AX58" s="316" t="str">
        <f>IF(AX$225&lt;=time,Y58*Costs!BE58,"")</f>
        <v/>
      </c>
      <c r="AY58" s="316" t="str">
        <f>IF(AY$225&lt;=time,Z58*Costs!BF58,"")</f>
        <v/>
      </c>
      <c r="AZ58" s="317">
        <f t="array" ref="AZ58">(SUM( IF(ISERROR(AA58:AY58),"", AA58:AY58)))/time</f>
        <v>0</v>
      </c>
      <c r="BA58" s="317">
        <f t="shared" si="0"/>
        <v>0</v>
      </c>
      <c r="BB58" s="318">
        <f t="shared" si="13"/>
        <v>0</v>
      </c>
      <c r="BC58" s="319">
        <v>3</v>
      </c>
      <c r="BE58" s="208" t="e">
        <f t="array" ref="BE58">STDEV(IF(AA58:AY58&lt;&gt;0,AA58:AY58))</f>
        <v>#DIV/0!</v>
      </c>
      <c r="BF58" s="208">
        <v>1.96</v>
      </c>
      <c r="BG58" s="208" t="e">
        <f t="shared" si="14"/>
        <v>#DIV/0!</v>
      </c>
      <c r="BH58" s="208">
        <f t="shared" si="15"/>
        <v>0</v>
      </c>
    </row>
    <row r="59" spans="1:60" hidden="1">
      <c r="A59" s="320" t="str">
        <f>Costs!A59</f>
        <v>Hiring New Staff 4</v>
      </c>
      <c r="B59" s="313"/>
      <c r="C59" s="313"/>
      <c r="D59" s="313"/>
      <c r="E59" s="313"/>
      <c r="F59" s="313"/>
      <c r="G59" s="313"/>
      <c r="H59" s="313"/>
      <c r="I59" s="313"/>
      <c r="J59" s="313"/>
      <c r="K59" s="313"/>
      <c r="L59" s="313"/>
      <c r="M59" s="313"/>
      <c r="N59" s="313"/>
      <c r="O59" s="313"/>
      <c r="P59" s="313"/>
      <c r="Q59" s="313"/>
      <c r="R59" s="313"/>
      <c r="S59" s="313"/>
      <c r="T59" s="313"/>
      <c r="U59" s="313"/>
      <c r="V59" s="313"/>
      <c r="W59" s="313"/>
      <c r="X59" s="313"/>
      <c r="Y59" s="313"/>
      <c r="Z59" s="314"/>
      <c r="AA59" s="315">
        <f>IF(AA$225&lt;=time,B59*Costs!AH59,"")</f>
        <v>0</v>
      </c>
      <c r="AB59" s="316">
        <f>IF(AB$225&lt;=time,C59*Costs!AI59,"")</f>
        <v>0</v>
      </c>
      <c r="AC59" s="316">
        <f>IF(AC$225&lt;=time,D59*Costs!AJ59,"")</f>
        <v>0</v>
      </c>
      <c r="AD59" s="316">
        <f>IF(AD$225&lt;=time,E59*Costs!AK59,"")</f>
        <v>0</v>
      </c>
      <c r="AE59" s="316">
        <f>IF(AE$225&lt;=time,F59*Costs!AL59,"")</f>
        <v>0</v>
      </c>
      <c r="AF59" s="316" t="str">
        <f>IF(AF$225&lt;=time,G59*Costs!AM59,"")</f>
        <v/>
      </c>
      <c r="AG59" s="316" t="str">
        <f>IF(AG$225&lt;=time,H59*Costs!AN59,"")</f>
        <v/>
      </c>
      <c r="AH59" s="316" t="str">
        <f>IF(AH$225&lt;=time,I59*Costs!AO59,"")</f>
        <v/>
      </c>
      <c r="AI59" s="316" t="str">
        <f>IF(AI$225&lt;=time,J59*Costs!AP59,"")</f>
        <v/>
      </c>
      <c r="AJ59" s="316" t="str">
        <f>IF(AJ$225&lt;=time,K59*Costs!AQ59,"")</f>
        <v/>
      </c>
      <c r="AK59" s="316" t="str">
        <f>IF(AK$225&lt;=time,L59*Costs!AR59,"")</f>
        <v/>
      </c>
      <c r="AL59" s="316" t="str">
        <f>IF(AL$225&lt;=time,M59*Costs!AS59,"")</f>
        <v/>
      </c>
      <c r="AM59" s="316" t="str">
        <f>IF(AM$225&lt;=time,N59*Costs!AT59,"")</f>
        <v/>
      </c>
      <c r="AN59" s="316" t="str">
        <f>IF(AN$225&lt;=time,O59*Costs!AU59,"")</f>
        <v/>
      </c>
      <c r="AO59" s="316" t="str">
        <f>IF(AO$225&lt;=time,P59*Costs!AV59,"")</f>
        <v/>
      </c>
      <c r="AP59" s="316" t="str">
        <f>IF(AP$225&lt;=time,Q59*Costs!AW59,"")</f>
        <v/>
      </c>
      <c r="AQ59" s="316" t="str">
        <f>IF(AQ$225&lt;=time,R59*Costs!AX59,"")</f>
        <v/>
      </c>
      <c r="AR59" s="316" t="str">
        <f>IF(AR$225&lt;=time,S59*Costs!AY59,"")</f>
        <v/>
      </c>
      <c r="AS59" s="316" t="str">
        <f>IF(AS$225&lt;=time,T59*Costs!AZ59,"")</f>
        <v/>
      </c>
      <c r="AT59" s="316" t="str">
        <f>IF(AT$225&lt;=time,U59*Costs!BA59,"")</f>
        <v/>
      </c>
      <c r="AU59" s="316" t="str">
        <f>IF(AU$225&lt;=time,V59*Costs!BB59,"")</f>
        <v/>
      </c>
      <c r="AV59" s="316" t="str">
        <f>IF(AV$225&lt;=time,W59*Costs!BC59,"")</f>
        <v/>
      </c>
      <c r="AW59" s="316" t="str">
        <f>IF(AW$225&lt;=time,X59*Costs!BD59,"")</f>
        <v/>
      </c>
      <c r="AX59" s="316" t="str">
        <f>IF(AX$225&lt;=time,Y59*Costs!BE59,"")</f>
        <v/>
      </c>
      <c r="AY59" s="316" t="str">
        <f>IF(AY$225&lt;=time,Z59*Costs!BF59,"")</f>
        <v/>
      </c>
      <c r="AZ59" s="317">
        <f t="array" ref="AZ59">(SUM( IF(ISERROR(AA59:AY59),"", AA59:AY59)))/time</f>
        <v>0</v>
      </c>
      <c r="BA59" s="317">
        <f t="shared" si="0"/>
        <v>0</v>
      </c>
      <c r="BB59" s="318">
        <f t="shared" si="13"/>
        <v>0</v>
      </c>
      <c r="BC59" s="319">
        <v>4</v>
      </c>
      <c r="BE59" s="208" t="e">
        <f t="array" ref="BE59">STDEV(IF(AA59:AY59&lt;&gt;0,AA59:AY59))</f>
        <v>#DIV/0!</v>
      </c>
      <c r="BF59" s="208">
        <v>1.96</v>
      </c>
      <c r="BG59" s="208" t="e">
        <f t="shared" si="14"/>
        <v>#DIV/0!</v>
      </c>
      <c r="BH59" s="208">
        <f t="shared" si="15"/>
        <v>0</v>
      </c>
    </row>
    <row r="60" spans="1:60" hidden="1">
      <c r="A60" s="320" t="str">
        <f>Costs!A60</f>
        <v>Hiring New Staff 5</v>
      </c>
      <c r="B60" s="313"/>
      <c r="C60" s="313"/>
      <c r="D60" s="313"/>
      <c r="E60" s="313"/>
      <c r="F60" s="313"/>
      <c r="G60" s="313"/>
      <c r="H60" s="313"/>
      <c r="I60" s="313"/>
      <c r="J60" s="313"/>
      <c r="K60" s="313"/>
      <c r="L60" s="313"/>
      <c r="M60" s="313"/>
      <c r="N60" s="313"/>
      <c r="O60" s="313"/>
      <c r="P60" s="313"/>
      <c r="Q60" s="313"/>
      <c r="R60" s="313"/>
      <c r="S60" s="313"/>
      <c r="T60" s="313"/>
      <c r="U60" s="313"/>
      <c r="V60" s="313"/>
      <c r="W60" s="313"/>
      <c r="X60" s="313"/>
      <c r="Y60" s="313"/>
      <c r="Z60" s="314"/>
      <c r="AA60" s="315">
        <f>IF(AA$225&lt;=time,B60*Costs!AH60,"")</f>
        <v>0</v>
      </c>
      <c r="AB60" s="316">
        <f>IF(AB$225&lt;=time,C60*Costs!AI60,"")</f>
        <v>0</v>
      </c>
      <c r="AC60" s="316">
        <f>IF(AC$225&lt;=time,D60*Costs!AJ60,"")</f>
        <v>0</v>
      </c>
      <c r="AD60" s="316">
        <f>IF(AD$225&lt;=time,E60*Costs!AK60,"")</f>
        <v>0</v>
      </c>
      <c r="AE60" s="316">
        <f>IF(AE$225&lt;=time,F60*Costs!AL60,"")</f>
        <v>0</v>
      </c>
      <c r="AF60" s="316" t="str">
        <f>IF(AF$225&lt;=time,G60*Costs!AM60,"")</f>
        <v/>
      </c>
      <c r="AG60" s="316" t="str">
        <f>IF(AG$225&lt;=time,H60*Costs!AN60,"")</f>
        <v/>
      </c>
      <c r="AH60" s="316" t="str">
        <f>IF(AH$225&lt;=time,I60*Costs!AO60,"")</f>
        <v/>
      </c>
      <c r="AI60" s="316" t="str">
        <f>IF(AI$225&lt;=time,J60*Costs!AP60,"")</f>
        <v/>
      </c>
      <c r="AJ60" s="316" t="str">
        <f>IF(AJ$225&lt;=time,K60*Costs!AQ60,"")</f>
        <v/>
      </c>
      <c r="AK60" s="316" t="str">
        <f>IF(AK$225&lt;=time,L60*Costs!AR60,"")</f>
        <v/>
      </c>
      <c r="AL60" s="316" t="str">
        <f>IF(AL$225&lt;=time,M60*Costs!AS60,"")</f>
        <v/>
      </c>
      <c r="AM60" s="316" t="str">
        <f>IF(AM$225&lt;=time,N60*Costs!AT60,"")</f>
        <v/>
      </c>
      <c r="AN60" s="316" t="str">
        <f>IF(AN$225&lt;=time,O60*Costs!AU60,"")</f>
        <v/>
      </c>
      <c r="AO60" s="316" t="str">
        <f>IF(AO$225&lt;=time,P60*Costs!AV60,"")</f>
        <v/>
      </c>
      <c r="AP60" s="316" t="str">
        <f>IF(AP$225&lt;=time,Q60*Costs!AW60,"")</f>
        <v/>
      </c>
      <c r="AQ60" s="316" t="str">
        <f>IF(AQ$225&lt;=time,R60*Costs!AX60,"")</f>
        <v/>
      </c>
      <c r="AR60" s="316" t="str">
        <f>IF(AR$225&lt;=time,S60*Costs!AY60,"")</f>
        <v/>
      </c>
      <c r="AS60" s="316" t="str">
        <f>IF(AS$225&lt;=time,T60*Costs!AZ60,"")</f>
        <v/>
      </c>
      <c r="AT60" s="316" t="str">
        <f>IF(AT$225&lt;=time,U60*Costs!BA60,"")</f>
        <v/>
      </c>
      <c r="AU60" s="316" t="str">
        <f>IF(AU$225&lt;=time,V60*Costs!BB60,"")</f>
        <v/>
      </c>
      <c r="AV60" s="316" t="str">
        <f>IF(AV$225&lt;=time,W60*Costs!BC60,"")</f>
        <v/>
      </c>
      <c r="AW60" s="316" t="str">
        <f>IF(AW$225&lt;=time,X60*Costs!BD60,"")</f>
        <v/>
      </c>
      <c r="AX60" s="316" t="str">
        <f>IF(AX$225&lt;=time,Y60*Costs!BE60,"")</f>
        <v/>
      </c>
      <c r="AY60" s="316" t="str">
        <f>IF(AY$225&lt;=time,Z60*Costs!BF60,"")</f>
        <v/>
      </c>
      <c r="AZ60" s="317">
        <f t="array" ref="AZ60">(SUM( IF(ISERROR(AA60:AY60),"", AA60:AY60)))/time</f>
        <v>0</v>
      </c>
      <c r="BA60" s="317">
        <f t="shared" si="0"/>
        <v>0</v>
      </c>
      <c r="BB60" s="318">
        <f t="shared" si="13"/>
        <v>0</v>
      </c>
      <c r="BC60" s="319">
        <v>5</v>
      </c>
      <c r="BE60" s="208" t="e">
        <f t="array" ref="BE60">STDEV(IF(AA60:AY60&lt;&gt;0,AA60:AY60))</f>
        <v>#DIV/0!</v>
      </c>
      <c r="BF60" s="208">
        <v>1.96</v>
      </c>
      <c r="BG60" s="208" t="e">
        <f t="shared" si="14"/>
        <v>#DIV/0!</v>
      </c>
      <c r="BH60" s="208">
        <f t="shared" si="15"/>
        <v>0</v>
      </c>
    </row>
    <row r="61" spans="1:60" hidden="1">
      <c r="A61" s="320" t="str">
        <f>Costs!A61</f>
        <v>Hiring New Staff 6</v>
      </c>
      <c r="B61" s="313"/>
      <c r="C61" s="313"/>
      <c r="D61" s="313"/>
      <c r="E61" s="313"/>
      <c r="F61" s="313"/>
      <c r="G61" s="313"/>
      <c r="H61" s="313"/>
      <c r="I61" s="313"/>
      <c r="J61" s="313"/>
      <c r="K61" s="313"/>
      <c r="L61" s="313"/>
      <c r="M61" s="313"/>
      <c r="N61" s="313"/>
      <c r="O61" s="313"/>
      <c r="P61" s="313"/>
      <c r="Q61" s="313"/>
      <c r="R61" s="313"/>
      <c r="S61" s="313"/>
      <c r="T61" s="313"/>
      <c r="U61" s="313"/>
      <c r="V61" s="313"/>
      <c r="W61" s="313"/>
      <c r="X61" s="313"/>
      <c r="Y61" s="313"/>
      <c r="Z61" s="314"/>
      <c r="AA61" s="315">
        <f>IF(AA$225&lt;=time,B61*Costs!AH61,"")</f>
        <v>0</v>
      </c>
      <c r="AB61" s="316">
        <f>IF(AB$225&lt;=time,C61*Costs!AI61,"")</f>
        <v>0</v>
      </c>
      <c r="AC61" s="316">
        <f>IF(AC$225&lt;=time,D61*Costs!AJ61,"")</f>
        <v>0</v>
      </c>
      <c r="AD61" s="316">
        <f>IF(AD$225&lt;=time,E61*Costs!AK61,"")</f>
        <v>0</v>
      </c>
      <c r="AE61" s="316">
        <f>IF(AE$225&lt;=time,F61*Costs!AL61,"")</f>
        <v>0</v>
      </c>
      <c r="AF61" s="316" t="str">
        <f>IF(AF$225&lt;=time,G61*Costs!AM61,"")</f>
        <v/>
      </c>
      <c r="AG61" s="316" t="str">
        <f>IF(AG$225&lt;=time,H61*Costs!AN61,"")</f>
        <v/>
      </c>
      <c r="AH61" s="316" t="str">
        <f>IF(AH$225&lt;=time,I61*Costs!AO61,"")</f>
        <v/>
      </c>
      <c r="AI61" s="316" t="str">
        <f>IF(AI$225&lt;=time,J61*Costs!AP61,"")</f>
        <v/>
      </c>
      <c r="AJ61" s="316" t="str">
        <f>IF(AJ$225&lt;=time,K61*Costs!AQ61,"")</f>
        <v/>
      </c>
      <c r="AK61" s="316" t="str">
        <f>IF(AK$225&lt;=time,L61*Costs!AR61,"")</f>
        <v/>
      </c>
      <c r="AL61" s="316" t="str">
        <f>IF(AL$225&lt;=time,M61*Costs!AS61,"")</f>
        <v/>
      </c>
      <c r="AM61" s="316" t="str">
        <f>IF(AM$225&lt;=time,N61*Costs!AT61,"")</f>
        <v/>
      </c>
      <c r="AN61" s="316" t="str">
        <f>IF(AN$225&lt;=time,O61*Costs!AU61,"")</f>
        <v/>
      </c>
      <c r="AO61" s="316" t="str">
        <f>IF(AO$225&lt;=time,P61*Costs!AV61,"")</f>
        <v/>
      </c>
      <c r="AP61" s="316" t="str">
        <f>IF(AP$225&lt;=time,Q61*Costs!AW61,"")</f>
        <v/>
      </c>
      <c r="AQ61" s="316" t="str">
        <f>IF(AQ$225&lt;=time,R61*Costs!AX61,"")</f>
        <v/>
      </c>
      <c r="AR61" s="316" t="str">
        <f>IF(AR$225&lt;=time,S61*Costs!AY61,"")</f>
        <v/>
      </c>
      <c r="AS61" s="316" t="str">
        <f>IF(AS$225&lt;=time,T61*Costs!AZ61,"")</f>
        <v/>
      </c>
      <c r="AT61" s="316" t="str">
        <f>IF(AT$225&lt;=time,U61*Costs!BA61,"")</f>
        <v/>
      </c>
      <c r="AU61" s="316" t="str">
        <f>IF(AU$225&lt;=time,V61*Costs!BB61,"")</f>
        <v/>
      </c>
      <c r="AV61" s="316" t="str">
        <f>IF(AV$225&lt;=time,W61*Costs!BC61,"")</f>
        <v/>
      </c>
      <c r="AW61" s="316" t="str">
        <f>IF(AW$225&lt;=time,X61*Costs!BD61,"")</f>
        <v/>
      </c>
      <c r="AX61" s="316" t="str">
        <f>IF(AX$225&lt;=time,Y61*Costs!BE61,"")</f>
        <v/>
      </c>
      <c r="AY61" s="316" t="str">
        <f>IF(AY$225&lt;=time,Z61*Costs!BF61,"")</f>
        <v/>
      </c>
      <c r="AZ61" s="317">
        <f t="array" ref="AZ61">(SUM( IF(ISERROR(AA61:AY61),"", AA61:AY61)))/time</f>
        <v>0</v>
      </c>
      <c r="BA61" s="317">
        <f t="shared" si="0"/>
        <v>0</v>
      </c>
      <c r="BB61" s="318">
        <f t="shared" si="13"/>
        <v>0</v>
      </c>
      <c r="BC61" s="319">
        <v>6</v>
      </c>
      <c r="BE61" s="208" t="e">
        <f t="array" ref="BE61">STDEV(IF(AA61:AY61&lt;&gt;0,AA61:AY61))</f>
        <v>#DIV/0!</v>
      </c>
      <c r="BF61" s="208">
        <v>1.96</v>
      </c>
      <c r="BG61" s="208" t="e">
        <f t="shared" si="14"/>
        <v>#DIV/0!</v>
      </c>
      <c r="BH61" s="208">
        <f t="shared" si="15"/>
        <v>0</v>
      </c>
    </row>
    <row r="62" spans="1:60" hidden="1">
      <c r="A62" s="320" t="str">
        <f>Costs!A62</f>
        <v>Hiring New Staff 7</v>
      </c>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4"/>
      <c r="AA62" s="315">
        <f>IF(AA$225&lt;=time,B62*Costs!AH62,"")</f>
        <v>0</v>
      </c>
      <c r="AB62" s="316">
        <f>IF(AB$225&lt;=time,C62*Costs!AI62,"")</f>
        <v>0</v>
      </c>
      <c r="AC62" s="316">
        <f>IF(AC$225&lt;=time,D62*Costs!AJ62,"")</f>
        <v>0</v>
      </c>
      <c r="AD62" s="316">
        <f>IF(AD$225&lt;=time,E62*Costs!AK62,"")</f>
        <v>0</v>
      </c>
      <c r="AE62" s="316">
        <f>IF(AE$225&lt;=time,F62*Costs!AL62,"")</f>
        <v>0</v>
      </c>
      <c r="AF62" s="316" t="str">
        <f>IF(AF$225&lt;=time,G62*Costs!AM62,"")</f>
        <v/>
      </c>
      <c r="AG62" s="316" t="str">
        <f>IF(AG$225&lt;=time,H62*Costs!AN62,"")</f>
        <v/>
      </c>
      <c r="AH62" s="316" t="str">
        <f>IF(AH$225&lt;=time,I62*Costs!AO62,"")</f>
        <v/>
      </c>
      <c r="AI62" s="316" t="str">
        <f>IF(AI$225&lt;=time,J62*Costs!AP62,"")</f>
        <v/>
      </c>
      <c r="AJ62" s="316" t="str">
        <f>IF(AJ$225&lt;=time,K62*Costs!AQ62,"")</f>
        <v/>
      </c>
      <c r="AK62" s="316" t="str">
        <f>IF(AK$225&lt;=time,L62*Costs!AR62,"")</f>
        <v/>
      </c>
      <c r="AL62" s="316" t="str">
        <f>IF(AL$225&lt;=time,M62*Costs!AS62,"")</f>
        <v/>
      </c>
      <c r="AM62" s="316" t="str">
        <f>IF(AM$225&lt;=time,N62*Costs!AT62,"")</f>
        <v/>
      </c>
      <c r="AN62" s="316" t="str">
        <f>IF(AN$225&lt;=time,O62*Costs!AU62,"")</f>
        <v/>
      </c>
      <c r="AO62" s="316" t="str">
        <f>IF(AO$225&lt;=time,P62*Costs!AV62,"")</f>
        <v/>
      </c>
      <c r="AP62" s="316" t="str">
        <f>IF(AP$225&lt;=time,Q62*Costs!AW62,"")</f>
        <v/>
      </c>
      <c r="AQ62" s="316" t="str">
        <f>IF(AQ$225&lt;=time,R62*Costs!AX62,"")</f>
        <v/>
      </c>
      <c r="AR62" s="316" t="str">
        <f>IF(AR$225&lt;=time,S62*Costs!AY62,"")</f>
        <v/>
      </c>
      <c r="AS62" s="316" t="str">
        <f>IF(AS$225&lt;=time,T62*Costs!AZ62,"")</f>
        <v/>
      </c>
      <c r="AT62" s="316" t="str">
        <f>IF(AT$225&lt;=time,U62*Costs!BA62,"")</f>
        <v/>
      </c>
      <c r="AU62" s="316" t="str">
        <f>IF(AU$225&lt;=time,V62*Costs!BB62,"")</f>
        <v/>
      </c>
      <c r="AV62" s="316" t="str">
        <f>IF(AV$225&lt;=time,W62*Costs!BC62,"")</f>
        <v/>
      </c>
      <c r="AW62" s="316" t="str">
        <f>IF(AW$225&lt;=time,X62*Costs!BD62,"")</f>
        <v/>
      </c>
      <c r="AX62" s="316" t="str">
        <f>IF(AX$225&lt;=time,Y62*Costs!BE62,"")</f>
        <v/>
      </c>
      <c r="AY62" s="316" t="str">
        <f>IF(AY$225&lt;=time,Z62*Costs!BF62,"")</f>
        <v/>
      </c>
      <c r="AZ62" s="317">
        <f t="array" ref="AZ62">(SUM( IF(ISERROR(AA62:AY62),"", AA62:AY62)))/time</f>
        <v>0</v>
      </c>
      <c r="BA62" s="317">
        <f t="shared" si="0"/>
        <v>0</v>
      </c>
      <c r="BB62" s="318">
        <f t="shared" si="13"/>
        <v>0</v>
      </c>
      <c r="BC62" s="319">
        <v>7</v>
      </c>
      <c r="BE62" s="208" t="e">
        <f t="array" ref="BE62">STDEV(IF(AA62:AY62&lt;&gt;0,AA62:AY62))</f>
        <v>#DIV/0!</v>
      </c>
      <c r="BF62" s="208">
        <v>1.96</v>
      </c>
      <c r="BG62" s="208" t="e">
        <f t="shared" si="14"/>
        <v>#DIV/0!</v>
      </c>
      <c r="BH62" s="208">
        <f t="shared" si="15"/>
        <v>0</v>
      </c>
    </row>
    <row r="63" spans="1:60" hidden="1">
      <c r="A63" s="320" t="str">
        <f>Costs!A63</f>
        <v>Hiring New Staff 8</v>
      </c>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4"/>
      <c r="AA63" s="315">
        <f>IF(AA$225&lt;=time,B63*Costs!AH63,"")</f>
        <v>0</v>
      </c>
      <c r="AB63" s="316">
        <f>IF(AB$225&lt;=time,C63*Costs!AI63,"")</f>
        <v>0</v>
      </c>
      <c r="AC63" s="316">
        <f>IF(AC$225&lt;=time,D63*Costs!AJ63,"")</f>
        <v>0</v>
      </c>
      <c r="AD63" s="316">
        <f>IF(AD$225&lt;=time,E63*Costs!AK63,"")</f>
        <v>0</v>
      </c>
      <c r="AE63" s="316">
        <f>IF(AE$225&lt;=time,F63*Costs!AL63,"")</f>
        <v>0</v>
      </c>
      <c r="AF63" s="316" t="str">
        <f>IF(AF$225&lt;=time,G63*Costs!AM63,"")</f>
        <v/>
      </c>
      <c r="AG63" s="316" t="str">
        <f>IF(AG$225&lt;=time,H63*Costs!AN63,"")</f>
        <v/>
      </c>
      <c r="AH63" s="316" t="str">
        <f>IF(AH$225&lt;=time,I63*Costs!AO63,"")</f>
        <v/>
      </c>
      <c r="AI63" s="316" t="str">
        <f>IF(AI$225&lt;=time,J63*Costs!AP63,"")</f>
        <v/>
      </c>
      <c r="AJ63" s="316" t="str">
        <f>IF(AJ$225&lt;=time,K63*Costs!AQ63,"")</f>
        <v/>
      </c>
      <c r="AK63" s="316" t="str">
        <f>IF(AK$225&lt;=time,L63*Costs!AR63,"")</f>
        <v/>
      </c>
      <c r="AL63" s="316" t="str">
        <f>IF(AL$225&lt;=time,M63*Costs!AS63,"")</f>
        <v/>
      </c>
      <c r="AM63" s="316" t="str">
        <f>IF(AM$225&lt;=time,N63*Costs!AT63,"")</f>
        <v/>
      </c>
      <c r="AN63" s="316" t="str">
        <f>IF(AN$225&lt;=time,O63*Costs!AU63,"")</f>
        <v/>
      </c>
      <c r="AO63" s="316" t="str">
        <f>IF(AO$225&lt;=time,P63*Costs!AV63,"")</f>
        <v/>
      </c>
      <c r="AP63" s="316" t="str">
        <f>IF(AP$225&lt;=time,Q63*Costs!AW63,"")</f>
        <v/>
      </c>
      <c r="AQ63" s="316" t="str">
        <f>IF(AQ$225&lt;=time,R63*Costs!AX63,"")</f>
        <v/>
      </c>
      <c r="AR63" s="316" t="str">
        <f>IF(AR$225&lt;=time,S63*Costs!AY63,"")</f>
        <v/>
      </c>
      <c r="AS63" s="316" t="str">
        <f>IF(AS$225&lt;=time,T63*Costs!AZ63,"")</f>
        <v/>
      </c>
      <c r="AT63" s="316" t="str">
        <f>IF(AT$225&lt;=time,U63*Costs!BA63,"")</f>
        <v/>
      </c>
      <c r="AU63" s="316" t="str">
        <f>IF(AU$225&lt;=time,V63*Costs!BB63,"")</f>
        <v/>
      </c>
      <c r="AV63" s="316" t="str">
        <f>IF(AV$225&lt;=time,W63*Costs!BC63,"")</f>
        <v/>
      </c>
      <c r="AW63" s="316" t="str">
        <f>IF(AW$225&lt;=time,X63*Costs!BD63,"")</f>
        <v/>
      </c>
      <c r="AX63" s="316" t="str">
        <f>IF(AX$225&lt;=time,Y63*Costs!BE63,"")</f>
        <v/>
      </c>
      <c r="AY63" s="316" t="str">
        <f>IF(AY$225&lt;=time,Z63*Costs!BF63,"")</f>
        <v/>
      </c>
      <c r="AZ63" s="317">
        <f t="array" ref="AZ63">(SUM( IF(ISERROR(AA63:AY63),"", AA63:AY63)))/time</f>
        <v>0</v>
      </c>
      <c r="BA63" s="317">
        <f t="shared" si="0"/>
        <v>0</v>
      </c>
      <c r="BB63" s="318">
        <f t="shared" si="13"/>
        <v>0</v>
      </c>
      <c r="BC63" s="319">
        <v>8</v>
      </c>
      <c r="BE63" s="208" t="e">
        <f t="array" ref="BE63">STDEV(IF(AA63:AY63&lt;&gt;0,AA63:AY63))</f>
        <v>#DIV/0!</v>
      </c>
      <c r="BF63" s="208">
        <v>1.96</v>
      </c>
      <c r="BG63" s="208" t="e">
        <f t="shared" si="14"/>
        <v>#DIV/0!</v>
      </c>
      <c r="BH63" s="208">
        <f t="shared" si="15"/>
        <v>0</v>
      </c>
    </row>
    <row r="64" spans="1:60" hidden="1">
      <c r="A64" s="320" t="str">
        <f>Costs!A64</f>
        <v>Hiring New Staff 9</v>
      </c>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4"/>
      <c r="AA64" s="315">
        <f>IF(AA$225&lt;=time,B64*Costs!AH64,"")</f>
        <v>0</v>
      </c>
      <c r="AB64" s="316">
        <f>IF(AB$225&lt;=time,C64*Costs!AI64,"")</f>
        <v>0</v>
      </c>
      <c r="AC64" s="316">
        <f>IF(AC$225&lt;=time,D64*Costs!AJ64,"")</f>
        <v>0</v>
      </c>
      <c r="AD64" s="316">
        <f>IF(AD$225&lt;=time,E64*Costs!AK64,"")</f>
        <v>0</v>
      </c>
      <c r="AE64" s="316">
        <f>IF(AE$225&lt;=time,F64*Costs!AL64,"")</f>
        <v>0</v>
      </c>
      <c r="AF64" s="316" t="str">
        <f>IF(AF$225&lt;=time,G64*Costs!AM64,"")</f>
        <v/>
      </c>
      <c r="AG64" s="316" t="str">
        <f>IF(AG$225&lt;=time,H64*Costs!AN64,"")</f>
        <v/>
      </c>
      <c r="AH64" s="316" t="str">
        <f>IF(AH$225&lt;=time,I64*Costs!AO64,"")</f>
        <v/>
      </c>
      <c r="AI64" s="316" t="str">
        <f>IF(AI$225&lt;=time,J64*Costs!AP64,"")</f>
        <v/>
      </c>
      <c r="AJ64" s="316" t="str">
        <f>IF(AJ$225&lt;=time,K64*Costs!AQ64,"")</f>
        <v/>
      </c>
      <c r="AK64" s="316" t="str">
        <f>IF(AK$225&lt;=time,L64*Costs!AR64,"")</f>
        <v/>
      </c>
      <c r="AL64" s="316" t="str">
        <f>IF(AL$225&lt;=time,M64*Costs!AS64,"")</f>
        <v/>
      </c>
      <c r="AM64" s="316" t="str">
        <f>IF(AM$225&lt;=time,N64*Costs!AT64,"")</f>
        <v/>
      </c>
      <c r="AN64" s="316" t="str">
        <f>IF(AN$225&lt;=time,O64*Costs!AU64,"")</f>
        <v/>
      </c>
      <c r="AO64" s="316" t="str">
        <f>IF(AO$225&lt;=time,P64*Costs!AV64,"")</f>
        <v/>
      </c>
      <c r="AP64" s="316" t="str">
        <f>IF(AP$225&lt;=time,Q64*Costs!AW64,"")</f>
        <v/>
      </c>
      <c r="AQ64" s="316" t="str">
        <f>IF(AQ$225&lt;=time,R64*Costs!AX64,"")</f>
        <v/>
      </c>
      <c r="AR64" s="316" t="str">
        <f>IF(AR$225&lt;=time,S64*Costs!AY64,"")</f>
        <v/>
      </c>
      <c r="AS64" s="316" t="str">
        <f>IF(AS$225&lt;=time,T64*Costs!AZ64,"")</f>
        <v/>
      </c>
      <c r="AT64" s="316" t="str">
        <f>IF(AT$225&lt;=time,U64*Costs!BA64,"")</f>
        <v/>
      </c>
      <c r="AU64" s="316" t="str">
        <f>IF(AU$225&lt;=time,V64*Costs!BB64,"")</f>
        <v/>
      </c>
      <c r="AV64" s="316" t="str">
        <f>IF(AV$225&lt;=time,W64*Costs!BC64,"")</f>
        <v/>
      </c>
      <c r="AW64" s="316" t="str">
        <f>IF(AW$225&lt;=time,X64*Costs!BD64,"")</f>
        <v/>
      </c>
      <c r="AX64" s="316" t="str">
        <f>IF(AX$225&lt;=time,Y64*Costs!BE64,"")</f>
        <v/>
      </c>
      <c r="AY64" s="316" t="str">
        <f>IF(AY$225&lt;=time,Z64*Costs!BF64,"")</f>
        <v/>
      </c>
      <c r="AZ64" s="317">
        <f t="array" ref="AZ64">(SUM( IF(ISERROR(AA64:AY64),"", AA64:AY64)))/time</f>
        <v>0</v>
      </c>
      <c r="BA64" s="317">
        <f t="shared" si="0"/>
        <v>0</v>
      </c>
      <c r="BB64" s="318">
        <f t="shared" si="13"/>
        <v>0</v>
      </c>
      <c r="BC64" s="319">
        <v>9</v>
      </c>
      <c r="BE64" s="208" t="e">
        <f t="array" ref="BE64">STDEV(IF(AA64:AY64&lt;&gt;0,AA64:AY64))</f>
        <v>#DIV/0!</v>
      </c>
      <c r="BF64" s="208">
        <v>1.96</v>
      </c>
      <c r="BG64" s="208" t="e">
        <f t="shared" si="14"/>
        <v>#DIV/0!</v>
      </c>
      <c r="BH64" s="208">
        <f t="shared" si="15"/>
        <v>0</v>
      </c>
    </row>
    <row r="65" spans="1:60" hidden="1">
      <c r="A65" s="320" t="str">
        <f>Costs!A65</f>
        <v>Hiring New Staff 10</v>
      </c>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4"/>
      <c r="AA65" s="315">
        <f>IF(AA$225&lt;=time,B65*Costs!AH65,"")</f>
        <v>0</v>
      </c>
      <c r="AB65" s="316">
        <f>IF(AB$225&lt;=time,C65*Costs!AI65,"")</f>
        <v>0</v>
      </c>
      <c r="AC65" s="316">
        <f>IF(AC$225&lt;=time,D65*Costs!AJ65,"")</f>
        <v>0</v>
      </c>
      <c r="AD65" s="316">
        <f>IF(AD$225&lt;=time,E65*Costs!AK65,"")</f>
        <v>0</v>
      </c>
      <c r="AE65" s="316">
        <f>IF(AE$225&lt;=time,F65*Costs!AL65,"")</f>
        <v>0</v>
      </c>
      <c r="AF65" s="316" t="str">
        <f>IF(AF$225&lt;=time,G65*Costs!AM65,"")</f>
        <v/>
      </c>
      <c r="AG65" s="316" t="str">
        <f>IF(AG$225&lt;=time,H65*Costs!AN65,"")</f>
        <v/>
      </c>
      <c r="AH65" s="316" t="str">
        <f>IF(AH$225&lt;=time,I65*Costs!AO65,"")</f>
        <v/>
      </c>
      <c r="AI65" s="316" t="str">
        <f>IF(AI$225&lt;=time,J65*Costs!AP65,"")</f>
        <v/>
      </c>
      <c r="AJ65" s="316" t="str">
        <f>IF(AJ$225&lt;=time,K65*Costs!AQ65,"")</f>
        <v/>
      </c>
      <c r="AK65" s="316" t="str">
        <f>IF(AK$225&lt;=time,L65*Costs!AR65,"")</f>
        <v/>
      </c>
      <c r="AL65" s="316" t="str">
        <f>IF(AL$225&lt;=time,M65*Costs!AS65,"")</f>
        <v/>
      </c>
      <c r="AM65" s="316" t="str">
        <f>IF(AM$225&lt;=time,N65*Costs!AT65,"")</f>
        <v/>
      </c>
      <c r="AN65" s="316" t="str">
        <f>IF(AN$225&lt;=time,O65*Costs!AU65,"")</f>
        <v/>
      </c>
      <c r="AO65" s="316" t="str">
        <f>IF(AO$225&lt;=time,P65*Costs!AV65,"")</f>
        <v/>
      </c>
      <c r="AP65" s="316" t="str">
        <f>IF(AP$225&lt;=time,Q65*Costs!AW65,"")</f>
        <v/>
      </c>
      <c r="AQ65" s="316" t="str">
        <f>IF(AQ$225&lt;=time,R65*Costs!AX65,"")</f>
        <v/>
      </c>
      <c r="AR65" s="316" t="str">
        <f>IF(AR$225&lt;=time,S65*Costs!AY65,"")</f>
        <v/>
      </c>
      <c r="AS65" s="316" t="str">
        <f>IF(AS$225&lt;=time,T65*Costs!AZ65,"")</f>
        <v/>
      </c>
      <c r="AT65" s="316" t="str">
        <f>IF(AT$225&lt;=time,U65*Costs!BA65,"")</f>
        <v/>
      </c>
      <c r="AU65" s="316" t="str">
        <f>IF(AU$225&lt;=time,V65*Costs!BB65,"")</f>
        <v/>
      </c>
      <c r="AV65" s="316" t="str">
        <f>IF(AV$225&lt;=time,W65*Costs!BC65,"")</f>
        <v/>
      </c>
      <c r="AW65" s="316" t="str">
        <f>IF(AW$225&lt;=time,X65*Costs!BD65,"")</f>
        <v/>
      </c>
      <c r="AX65" s="316" t="str">
        <f>IF(AX$225&lt;=time,Y65*Costs!BE65,"")</f>
        <v/>
      </c>
      <c r="AY65" s="316" t="str">
        <f>IF(AY$225&lt;=time,Z65*Costs!BF65,"")</f>
        <v/>
      </c>
      <c r="AZ65" s="317">
        <f t="array" ref="AZ65">(SUM( IF(ISERROR(AA65:AY65),"", AA65:AY65)))/time</f>
        <v>0</v>
      </c>
      <c r="BA65" s="317">
        <f t="shared" si="0"/>
        <v>0</v>
      </c>
      <c r="BB65" s="318">
        <f t="shared" si="13"/>
        <v>0</v>
      </c>
      <c r="BC65" s="319">
        <v>10</v>
      </c>
      <c r="BE65" s="208" t="e">
        <f t="array" ref="BE65">STDEV(IF(AA65:AY65&lt;&gt;0,AA65:AY65))</f>
        <v>#DIV/0!</v>
      </c>
      <c r="BF65" s="208">
        <v>1.96</v>
      </c>
      <c r="BG65" s="208" t="e">
        <f t="shared" si="14"/>
        <v>#DIV/0!</v>
      </c>
      <c r="BH65" s="208">
        <f t="shared" si="15"/>
        <v>0</v>
      </c>
    </row>
    <row r="66" spans="1:60" s="11" customFormat="1">
      <c r="A66" s="16" t="s">
        <v>16</v>
      </c>
      <c r="B66" s="29"/>
      <c r="C66" s="29"/>
      <c r="D66" s="29"/>
      <c r="E66" s="29"/>
      <c r="F66" s="29"/>
      <c r="G66" s="29"/>
      <c r="H66" s="29"/>
      <c r="I66" s="29"/>
      <c r="J66" s="29"/>
      <c r="K66" s="29"/>
      <c r="L66" s="29"/>
      <c r="M66" s="29"/>
      <c r="N66" s="29"/>
      <c r="O66" s="29"/>
      <c r="P66" s="29"/>
      <c r="Q66" s="29"/>
      <c r="R66" s="29"/>
      <c r="S66" s="29"/>
      <c r="T66" s="29"/>
      <c r="U66" s="29"/>
      <c r="V66" s="29"/>
      <c r="W66" s="29"/>
      <c r="X66" s="29"/>
      <c r="Y66" s="29"/>
      <c r="Z66" s="30"/>
      <c r="AA66" s="16"/>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BB66" s="211"/>
    </row>
    <row r="67" spans="1:60">
      <c r="A67" s="32" t="str">
        <f>Costs!A67</f>
        <v>Volunteers 1</v>
      </c>
      <c r="B67" s="865"/>
      <c r="C67" s="865"/>
      <c r="D67" s="865"/>
      <c r="E67" s="313"/>
      <c r="F67" s="313"/>
      <c r="G67" s="313"/>
      <c r="H67" s="313"/>
      <c r="I67" s="313"/>
      <c r="J67" s="313"/>
      <c r="K67" s="313"/>
      <c r="L67" s="313"/>
      <c r="M67" s="313"/>
      <c r="N67" s="313"/>
      <c r="O67" s="313"/>
      <c r="P67" s="313"/>
      <c r="Q67" s="313"/>
      <c r="R67" s="313"/>
      <c r="S67" s="313"/>
      <c r="T67" s="313"/>
      <c r="U67" s="313"/>
      <c r="V67" s="313"/>
      <c r="W67" s="313"/>
      <c r="X67" s="313"/>
      <c r="Y67" s="313"/>
      <c r="Z67" s="314"/>
      <c r="AA67" s="315">
        <f>IF(AA$225&lt;=time,B67*Costs!AH67,"")</f>
        <v>0</v>
      </c>
      <c r="AB67" s="316">
        <f>IF(AB$225&lt;=time,C67*Costs!AI67,"")</f>
        <v>0</v>
      </c>
      <c r="AC67" s="316">
        <f>IF(AC$225&lt;=time,D67*Costs!AJ67,"")</f>
        <v>0</v>
      </c>
      <c r="AD67" s="316">
        <f>IF(AD$225&lt;=time,E67*Costs!AK67,"")</f>
        <v>0</v>
      </c>
      <c r="AE67" s="316">
        <f>IF(AE$225&lt;=time,F67*Costs!AL67,"")</f>
        <v>0</v>
      </c>
      <c r="AF67" s="316" t="str">
        <f>IF(AF$225&lt;=time,G67*Costs!AM67,"")</f>
        <v/>
      </c>
      <c r="AG67" s="316" t="str">
        <f>IF(AG$225&lt;=time,H67*Costs!AN67,"")</f>
        <v/>
      </c>
      <c r="AH67" s="316" t="str">
        <f>IF(AH$225&lt;=time,I67*Costs!AO67,"")</f>
        <v/>
      </c>
      <c r="AI67" s="316" t="str">
        <f>IF(AI$225&lt;=time,J67*Costs!AP67,"")</f>
        <v/>
      </c>
      <c r="AJ67" s="316" t="str">
        <f>IF(AJ$225&lt;=time,K67*Costs!AQ67,"")</f>
        <v/>
      </c>
      <c r="AK67" s="316" t="str">
        <f>IF(AK$225&lt;=time,L67*Costs!AR67,"")</f>
        <v/>
      </c>
      <c r="AL67" s="316" t="str">
        <f>IF(AL$225&lt;=time,M67*Costs!AS67,"")</f>
        <v/>
      </c>
      <c r="AM67" s="316" t="str">
        <f>IF(AM$225&lt;=time,N67*Costs!AT67,"")</f>
        <v/>
      </c>
      <c r="AN67" s="316" t="str">
        <f>IF(AN$225&lt;=time,O67*Costs!AU67,"")</f>
        <v/>
      </c>
      <c r="AO67" s="316" t="str">
        <f>IF(AO$225&lt;=time,P67*Costs!AV67,"")</f>
        <v/>
      </c>
      <c r="AP67" s="316" t="str">
        <f>IF(AP$225&lt;=time,Q67*Costs!AW67,"")</f>
        <v/>
      </c>
      <c r="AQ67" s="316" t="str">
        <f>IF(AQ$225&lt;=time,R67*Costs!AX67,"")</f>
        <v/>
      </c>
      <c r="AR67" s="316" t="str">
        <f>IF(AR$225&lt;=time,S67*Costs!AY67,"")</f>
        <v/>
      </c>
      <c r="AS67" s="316" t="str">
        <f>IF(AS$225&lt;=time,T67*Costs!AZ67,"")</f>
        <v/>
      </c>
      <c r="AT67" s="316" t="str">
        <f>IF(AT$225&lt;=time,U67*Costs!BA67,"")</f>
        <v/>
      </c>
      <c r="AU67" s="316" t="str">
        <f>IF(AU$225&lt;=time,V67*Costs!BB67,"")</f>
        <v/>
      </c>
      <c r="AV67" s="316" t="str">
        <f>IF(AV$225&lt;=time,W67*Costs!BC67,"")</f>
        <v/>
      </c>
      <c r="AW67" s="316" t="str">
        <f>IF(AW$225&lt;=time,X67*Costs!BD67,"")</f>
        <v/>
      </c>
      <c r="AX67" s="316" t="str">
        <f>IF(AX$225&lt;=time,Y67*Costs!BE67,"")</f>
        <v/>
      </c>
      <c r="AY67" s="316" t="str">
        <f>IF(AY$225&lt;=time,Z67*Costs!BF67,"")</f>
        <v/>
      </c>
      <c r="AZ67" s="317">
        <f t="array" ref="AZ67">(SUM( IF(ISERROR(AA67:AY67),"", AA67:AY67)))/time</f>
        <v>0</v>
      </c>
      <c r="BA67" s="317">
        <f t="shared" si="0"/>
        <v>0</v>
      </c>
      <c r="BB67" s="318">
        <f t="shared" ref="BB67:BB76" si="16">IF(BH67&gt;0,AZ67+BG67,AZ67)</f>
        <v>0</v>
      </c>
      <c r="BC67" s="319">
        <v>1</v>
      </c>
      <c r="BE67" s="208" t="e">
        <f t="array" ref="BE67">STDEV(IF(AA67:AY67&lt;&gt;0,AA67:AY67))</f>
        <v>#DIV/0!</v>
      </c>
      <c r="BF67" s="208">
        <v>1.96</v>
      </c>
      <c r="BG67" s="208" t="e">
        <f t="shared" ref="BG67:BG76" si="17">(BF67*BE67)/(time^0.5)</f>
        <v>#DIV/0!</v>
      </c>
      <c r="BH67" s="208">
        <f t="shared" ref="BH67:BH76" si="18">IFERROR(BE67,0)</f>
        <v>0</v>
      </c>
    </row>
    <row r="68" spans="1:60" hidden="1">
      <c r="A68" s="322" t="str">
        <f>Costs!A68</f>
        <v>Volunteers 2</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4"/>
      <c r="AA68" s="315">
        <f>IF(AA$225&lt;=time,B68*Costs!AH68,"")</f>
        <v>0</v>
      </c>
      <c r="AB68" s="316">
        <f>IF(AB$225&lt;=time,C68*Costs!AI68,"")</f>
        <v>0</v>
      </c>
      <c r="AC68" s="316">
        <f>IF(AC$225&lt;=time,D68*Costs!AJ68,"")</f>
        <v>0</v>
      </c>
      <c r="AD68" s="316">
        <f>IF(AD$225&lt;=time,E68*Costs!AK68,"")</f>
        <v>0</v>
      </c>
      <c r="AE68" s="316">
        <f>IF(AE$225&lt;=time,F68*Costs!AL68,"")</f>
        <v>0</v>
      </c>
      <c r="AF68" s="316" t="str">
        <f>IF(AF$225&lt;=time,G68*Costs!AM68,"")</f>
        <v/>
      </c>
      <c r="AG68" s="316" t="str">
        <f>IF(AG$225&lt;=time,H68*Costs!AN68,"")</f>
        <v/>
      </c>
      <c r="AH68" s="316" t="str">
        <f>IF(AH$225&lt;=time,I68*Costs!AO68,"")</f>
        <v/>
      </c>
      <c r="AI68" s="316" t="str">
        <f>IF(AI$225&lt;=time,J68*Costs!AP68,"")</f>
        <v/>
      </c>
      <c r="AJ68" s="316" t="str">
        <f>IF(AJ$225&lt;=time,K68*Costs!AQ68,"")</f>
        <v/>
      </c>
      <c r="AK68" s="316" t="str">
        <f>IF(AK$225&lt;=time,L68*Costs!AR68,"")</f>
        <v/>
      </c>
      <c r="AL68" s="316" t="str">
        <f>IF(AL$225&lt;=time,M68*Costs!AS68,"")</f>
        <v/>
      </c>
      <c r="AM68" s="316" t="str">
        <f>IF(AM$225&lt;=time,N68*Costs!AT68,"")</f>
        <v/>
      </c>
      <c r="AN68" s="316" t="str">
        <f>IF(AN$225&lt;=time,O68*Costs!AU68,"")</f>
        <v/>
      </c>
      <c r="AO68" s="316" t="str">
        <f>IF(AO$225&lt;=time,P68*Costs!AV68,"")</f>
        <v/>
      </c>
      <c r="AP68" s="316" t="str">
        <f>IF(AP$225&lt;=time,Q68*Costs!AW68,"")</f>
        <v/>
      </c>
      <c r="AQ68" s="316" t="str">
        <f>IF(AQ$225&lt;=time,R68*Costs!AX68,"")</f>
        <v/>
      </c>
      <c r="AR68" s="316" t="str">
        <f>IF(AR$225&lt;=time,S68*Costs!AY68,"")</f>
        <v/>
      </c>
      <c r="AS68" s="316" t="str">
        <f>IF(AS$225&lt;=time,T68*Costs!AZ68,"")</f>
        <v/>
      </c>
      <c r="AT68" s="316" t="str">
        <f>IF(AT$225&lt;=time,U68*Costs!BA68,"")</f>
        <v/>
      </c>
      <c r="AU68" s="316" t="str">
        <f>IF(AU$225&lt;=time,V68*Costs!BB68,"")</f>
        <v/>
      </c>
      <c r="AV68" s="316" t="str">
        <f>IF(AV$225&lt;=time,W68*Costs!BC68,"")</f>
        <v/>
      </c>
      <c r="AW68" s="316" t="str">
        <f>IF(AW$225&lt;=time,X68*Costs!BD68,"")</f>
        <v/>
      </c>
      <c r="AX68" s="316" t="str">
        <f>IF(AX$225&lt;=time,Y68*Costs!BE68,"")</f>
        <v/>
      </c>
      <c r="AY68" s="316" t="str">
        <f>IF(AY$225&lt;=time,Z68*Costs!BF68,"")</f>
        <v/>
      </c>
      <c r="AZ68" s="317">
        <f t="array" ref="AZ68">(SUM( IF(ISERROR(AA68:AY68),"", AA68:AY68)))/time</f>
        <v>0</v>
      </c>
      <c r="BA68" s="317">
        <f t="shared" si="0"/>
        <v>0</v>
      </c>
      <c r="BB68" s="318">
        <f t="shared" si="16"/>
        <v>0</v>
      </c>
      <c r="BC68" s="319">
        <v>2</v>
      </c>
      <c r="BE68" s="208" t="e">
        <f t="array" ref="BE68">STDEV(IF(AA68:AY68&lt;&gt;0,AA68:AY68))</f>
        <v>#DIV/0!</v>
      </c>
      <c r="BF68" s="208">
        <v>1.96</v>
      </c>
      <c r="BG68" s="208" t="e">
        <f t="shared" si="17"/>
        <v>#DIV/0!</v>
      </c>
      <c r="BH68" s="208">
        <f t="shared" si="18"/>
        <v>0</v>
      </c>
    </row>
    <row r="69" spans="1:60" hidden="1">
      <c r="A69" s="322" t="str">
        <f>Costs!A69</f>
        <v>Volunteers 3</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4"/>
      <c r="AA69" s="315">
        <f>IF(AA$225&lt;=time,B69*Costs!AH69,"")</f>
        <v>0</v>
      </c>
      <c r="AB69" s="316">
        <f>IF(AB$225&lt;=time,C69*Costs!AI69,"")</f>
        <v>0</v>
      </c>
      <c r="AC69" s="316">
        <f>IF(AC$225&lt;=time,D69*Costs!AJ69,"")</f>
        <v>0</v>
      </c>
      <c r="AD69" s="316">
        <f>IF(AD$225&lt;=time,E69*Costs!AK69,"")</f>
        <v>0</v>
      </c>
      <c r="AE69" s="316">
        <f>IF(AE$225&lt;=time,F69*Costs!AL69,"")</f>
        <v>0</v>
      </c>
      <c r="AF69" s="316" t="str">
        <f>IF(AF$225&lt;=time,G69*Costs!AM69,"")</f>
        <v/>
      </c>
      <c r="AG69" s="316" t="str">
        <f>IF(AG$225&lt;=time,H69*Costs!AN69,"")</f>
        <v/>
      </c>
      <c r="AH69" s="316" t="str">
        <f>IF(AH$225&lt;=time,I69*Costs!AO69,"")</f>
        <v/>
      </c>
      <c r="AI69" s="316" t="str">
        <f>IF(AI$225&lt;=time,J69*Costs!AP69,"")</f>
        <v/>
      </c>
      <c r="AJ69" s="316" t="str">
        <f>IF(AJ$225&lt;=time,K69*Costs!AQ69,"")</f>
        <v/>
      </c>
      <c r="AK69" s="316" t="str">
        <f>IF(AK$225&lt;=time,L69*Costs!AR69,"")</f>
        <v/>
      </c>
      <c r="AL69" s="316" t="str">
        <f>IF(AL$225&lt;=time,M69*Costs!AS69,"")</f>
        <v/>
      </c>
      <c r="AM69" s="316" t="str">
        <f>IF(AM$225&lt;=time,N69*Costs!AT69,"")</f>
        <v/>
      </c>
      <c r="AN69" s="316" t="str">
        <f>IF(AN$225&lt;=time,O69*Costs!AU69,"")</f>
        <v/>
      </c>
      <c r="AO69" s="316" t="str">
        <f>IF(AO$225&lt;=time,P69*Costs!AV69,"")</f>
        <v/>
      </c>
      <c r="AP69" s="316" t="str">
        <f>IF(AP$225&lt;=time,Q69*Costs!AW69,"")</f>
        <v/>
      </c>
      <c r="AQ69" s="316" t="str">
        <f>IF(AQ$225&lt;=time,R69*Costs!AX69,"")</f>
        <v/>
      </c>
      <c r="AR69" s="316" t="str">
        <f>IF(AR$225&lt;=time,S69*Costs!AY69,"")</f>
        <v/>
      </c>
      <c r="AS69" s="316" t="str">
        <f>IF(AS$225&lt;=time,T69*Costs!AZ69,"")</f>
        <v/>
      </c>
      <c r="AT69" s="316" t="str">
        <f>IF(AT$225&lt;=time,U69*Costs!BA69,"")</f>
        <v/>
      </c>
      <c r="AU69" s="316" t="str">
        <f>IF(AU$225&lt;=time,V69*Costs!BB69,"")</f>
        <v/>
      </c>
      <c r="AV69" s="316" t="str">
        <f>IF(AV$225&lt;=time,W69*Costs!BC69,"")</f>
        <v/>
      </c>
      <c r="AW69" s="316" t="str">
        <f>IF(AW$225&lt;=time,X69*Costs!BD69,"")</f>
        <v/>
      </c>
      <c r="AX69" s="316" t="str">
        <f>IF(AX$225&lt;=time,Y69*Costs!BE69,"")</f>
        <v/>
      </c>
      <c r="AY69" s="316" t="str">
        <f>IF(AY$225&lt;=time,Z69*Costs!BF69,"")</f>
        <v/>
      </c>
      <c r="AZ69" s="317">
        <f t="array" ref="AZ69">(SUM( IF(ISERROR(AA69:AY69),"", AA69:AY69)))/time</f>
        <v>0</v>
      </c>
      <c r="BA69" s="317">
        <f t="shared" si="0"/>
        <v>0</v>
      </c>
      <c r="BB69" s="318">
        <f t="shared" si="16"/>
        <v>0</v>
      </c>
      <c r="BC69" s="319">
        <v>3</v>
      </c>
      <c r="BE69" s="208" t="e">
        <f t="array" ref="BE69">STDEV(IF(AA69:AY69&lt;&gt;0,AA69:AY69))</f>
        <v>#DIV/0!</v>
      </c>
      <c r="BF69" s="208">
        <v>1.96</v>
      </c>
      <c r="BG69" s="208" t="e">
        <f t="shared" si="17"/>
        <v>#DIV/0!</v>
      </c>
      <c r="BH69" s="208">
        <f t="shared" si="18"/>
        <v>0</v>
      </c>
    </row>
    <row r="70" spans="1:60" hidden="1">
      <c r="A70" s="322" t="str">
        <f>Costs!A70</f>
        <v>Volunteers 4</v>
      </c>
      <c r="B70" s="313"/>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4"/>
      <c r="AA70" s="315">
        <f>IF(AA$225&lt;=time,B70*Costs!AH70,"")</f>
        <v>0</v>
      </c>
      <c r="AB70" s="316">
        <f>IF(AB$225&lt;=time,C70*Costs!AI70,"")</f>
        <v>0</v>
      </c>
      <c r="AC70" s="316">
        <f>IF(AC$225&lt;=time,D70*Costs!AJ70,"")</f>
        <v>0</v>
      </c>
      <c r="AD70" s="316">
        <f>IF(AD$225&lt;=time,E70*Costs!AK70,"")</f>
        <v>0</v>
      </c>
      <c r="AE70" s="316">
        <f>IF(AE$225&lt;=time,F70*Costs!AL70,"")</f>
        <v>0</v>
      </c>
      <c r="AF70" s="316" t="str">
        <f>IF(AF$225&lt;=time,G70*Costs!AM70,"")</f>
        <v/>
      </c>
      <c r="AG70" s="316" t="str">
        <f>IF(AG$225&lt;=time,H70*Costs!AN70,"")</f>
        <v/>
      </c>
      <c r="AH70" s="316" t="str">
        <f>IF(AH$225&lt;=time,I70*Costs!AO70,"")</f>
        <v/>
      </c>
      <c r="AI70" s="316" t="str">
        <f>IF(AI$225&lt;=time,J70*Costs!AP70,"")</f>
        <v/>
      </c>
      <c r="AJ70" s="316" t="str">
        <f>IF(AJ$225&lt;=time,K70*Costs!AQ70,"")</f>
        <v/>
      </c>
      <c r="AK70" s="316" t="str">
        <f>IF(AK$225&lt;=time,L70*Costs!AR70,"")</f>
        <v/>
      </c>
      <c r="AL70" s="316" t="str">
        <f>IF(AL$225&lt;=time,M70*Costs!AS70,"")</f>
        <v/>
      </c>
      <c r="AM70" s="316" t="str">
        <f>IF(AM$225&lt;=time,N70*Costs!AT70,"")</f>
        <v/>
      </c>
      <c r="AN70" s="316" t="str">
        <f>IF(AN$225&lt;=time,O70*Costs!AU70,"")</f>
        <v/>
      </c>
      <c r="AO70" s="316" t="str">
        <f>IF(AO$225&lt;=time,P70*Costs!AV70,"")</f>
        <v/>
      </c>
      <c r="AP70" s="316" t="str">
        <f>IF(AP$225&lt;=time,Q70*Costs!AW70,"")</f>
        <v/>
      </c>
      <c r="AQ70" s="316" t="str">
        <f>IF(AQ$225&lt;=time,R70*Costs!AX70,"")</f>
        <v/>
      </c>
      <c r="AR70" s="316" t="str">
        <f>IF(AR$225&lt;=time,S70*Costs!AY70,"")</f>
        <v/>
      </c>
      <c r="AS70" s="316" t="str">
        <f>IF(AS$225&lt;=time,T70*Costs!AZ70,"")</f>
        <v/>
      </c>
      <c r="AT70" s="316" t="str">
        <f>IF(AT$225&lt;=time,U70*Costs!BA70,"")</f>
        <v/>
      </c>
      <c r="AU70" s="316" t="str">
        <f>IF(AU$225&lt;=time,V70*Costs!BB70,"")</f>
        <v/>
      </c>
      <c r="AV70" s="316" t="str">
        <f>IF(AV$225&lt;=time,W70*Costs!BC70,"")</f>
        <v/>
      </c>
      <c r="AW70" s="316" t="str">
        <f>IF(AW$225&lt;=time,X70*Costs!BD70,"")</f>
        <v/>
      </c>
      <c r="AX70" s="316" t="str">
        <f>IF(AX$225&lt;=time,Y70*Costs!BE70,"")</f>
        <v/>
      </c>
      <c r="AY70" s="316" t="str">
        <f>IF(AY$225&lt;=time,Z70*Costs!BF70,"")</f>
        <v/>
      </c>
      <c r="AZ70" s="317">
        <f t="array" ref="AZ70">(SUM( IF(ISERROR(AA70:AY70),"", AA70:AY70)))/time</f>
        <v>0</v>
      </c>
      <c r="BA70" s="317">
        <f t="shared" si="0"/>
        <v>0</v>
      </c>
      <c r="BB70" s="318">
        <f t="shared" si="16"/>
        <v>0</v>
      </c>
      <c r="BC70" s="319">
        <v>4</v>
      </c>
      <c r="BE70" s="208" t="e">
        <f t="array" ref="BE70">STDEV(IF(AA70:AY70&lt;&gt;0,AA70:AY70))</f>
        <v>#DIV/0!</v>
      </c>
      <c r="BF70" s="208">
        <v>1.96</v>
      </c>
      <c r="BG70" s="208" t="e">
        <f t="shared" si="17"/>
        <v>#DIV/0!</v>
      </c>
      <c r="BH70" s="208">
        <f t="shared" si="18"/>
        <v>0</v>
      </c>
    </row>
    <row r="71" spans="1:60" hidden="1">
      <c r="A71" s="322" t="str">
        <f>Costs!A71</f>
        <v>Volunteers 5</v>
      </c>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4"/>
      <c r="AA71" s="315">
        <f>IF(AA$225&lt;=time,B71*Costs!AH71,"")</f>
        <v>0</v>
      </c>
      <c r="AB71" s="316">
        <f>IF(AB$225&lt;=time,C71*Costs!AI71,"")</f>
        <v>0</v>
      </c>
      <c r="AC71" s="316">
        <f>IF(AC$225&lt;=time,D71*Costs!AJ71,"")</f>
        <v>0</v>
      </c>
      <c r="AD71" s="316">
        <f>IF(AD$225&lt;=time,E71*Costs!AK71,"")</f>
        <v>0</v>
      </c>
      <c r="AE71" s="316">
        <f>IF(AE$225&lt;=time,F71*Costs!AL71,"")</f>
        <v>0</v>
      </c>
      <c r="AF71" s="316" t="str">
        <f>IF(AF$225&lt;=time,G71*Costs!AM71,"")</f>
        <v/>
      </c>
      <c r="AG71" s="316" t="str">
        <f>IF(AG$225&lt;=time,H71*Costs!AN71,"")</f>
        <v/>
      </c>
      <c r="AH71" s="316" t="str">
        <f>IF(AH$225&lt;=time,I71*Costs!AO71,"")</f>
        <v/>
      </c>
      <c r="AI71" s="316" t="str">
        <f>IF(AI$225&lt;=time,J71*Costs!AP71,"")</f>
        <v/>
      </c>
      <c r="AJ71" s="316" t="str">
        <f>IF(AJ$225&lt;=time,K71*Costs!AQ71,"")</f>
        <v/>
      </c>
      <c r="AK71" s="316" t="str">
        <f>IF(AK$225&lt;=time,L71*Costs!AR71,"")</f>
        <v/>
      </c>
      <c r="AL71" s="316" t="str">
        <f>IF(AL$225&lt;=time,M71*Costs!AS71,"")</f>
        <v/>
      </c>
      <c r="AM71" s="316" t="str">
        <f>IF(AM$225&lt;=time,N71*Costs!AT71,"")</f>
        <v/>
      </c>
      <c r="AN71" s="316" t="str">
        <f>IF(AN$225&lt;=time,O71*Costs!AU71,"")</f>
        <v/>
      </c>
      <c r="AO71" s="316" t="str">
        <f>IF(AO$225&lt;=time,P71*Costs!AV71,"")</f>
        <v/>
      </c>
      <c r="AP71" s="316" t="str">
        <f>IF(AP$225&lt;=time,Q71*Costs!AW71,"")</f>
        <v/>
      </c>
      <c r="AQ71" s="316" t="str">
        <f>IF(AQ$225&lt;=time,R71*Costs!AX71,"")</f>
        <v/>
      </c>
      <c r="AR71" s="316" t="str">
        <f>IF(AR$225&lt;=time,S71*Costs!AY71,"")</f>
        <v/>
      </c>
      <c r="AS71" s="316" t="str">
        <f>IF(AS$225&lt;=time,T71*Costs!AZ71,"")</f>
        <v/>
      </c>
      <c r="AT71" s="316" t="str">
        <f>IF(AT$225&lt;=time,U71*Costs!BA71,"")</f>
        <v/>
      </c>
      <c r="AU71" s="316" t="str">
        <f>IF(AU$225&lt;=time,V71*Costs!BB71,"")</f>
        <v/>
      </c>
      <c r="AV71" s="316" t="str">
        <f>IF(AV$225&lt;=time,W71*Costs!BC71,"")</f>
        <v/>
      </c>
      <c r="AW71" s="316" t="str">
        <f>IF(AW$225&lt;=time,X71*Costs!BD71,"")</f>
        <v/>
      </c>
      <c r="AX71" s="316" t="str">
        <f>IF(AX$225&lt;=time,Y71*Costs!BE71,"")</f>
        <v/>
      </c>
      <c r="AY71" s="316" t="str">
        <f>IF(AY$225&lt;=time,Z71*Costs!BF71,"")</f>
        <v/>
      </c>
      <c r="AZ71" s="317">
        <f t="array" ref="AZ71">(SUM( IF(ISERROR(AA71:AY71),"", AA71:AY71)))/time</f>
        <v>0</v>
      </c>
      <c r="BA71" s="317">
        <f t="shared" si="0"/>
        <v>0</v>
      </c>
      <c r="BB71" s="318">
        <f t="shared" si="16"/>
        <v>0</v>
      </c>
      <c r="BC71" s="319">
        <v>5</v>
      </c>
      <c r="BE71" s="208" t="e">
        <f t="array" ref="BE71">STDEV(IF(AA71:AY71&lt;&gt;0,AA71:AY71))</f>
        <v>#DIV/0!</v>
      </c>
      <c r="BF71" s="208">
        <v>1.96</v>
      </c>
      <c r="BG71" s="208" t="e">
        <f t="shared" si="17"/>
        <v>#DIV/0!</v>
      </c>
      <c r="BH71" s="208">
        <f t="shared" si="18"/>
        <v>0</v>
      </c>
    </row>
    <row r="72" spans="1:60" hidden="1">
      <c r="A72" s="322" t="str">
        <f>Costs!A72</f>
        <v>Volunteers 6</v>
      </c>
      <c r="B72" s="313"/>
      <c r="C72" s="313"/>
      <c r="D72" s="313"/>
      <c r="E72" s="313"/>
      <c r="F72" s="313"/>
      <c r="G72" s="313"/>
      <c r="H72" s="313"/>
      <c r="I72" s="313"/>
      <c r="J72" s="313"/>
      <c r="K72" s="313"/>
      <c r="L72" s="313"/>
      <c r="M72" s="313"/>
      <c r="N72" s="313"/>
      <c r="O72" s="313"/>
      <c r="P72" s="313"/>
      <c r="Q72" s="313"/>
      <c r="R72" s="313"/>
      <c r="S72" s="313"/>
      <c r="T72" s="313"/>
      <c r="U72" s="313"/>
      <c r="V72" s="313"/>
      <c r="W72" s="313"/>
      <c r="X72" s="313"/>
      <c r="Y72" s="313"/>
      <c r="Z72" s="314"/>
      <c r="AA72" s="315">
        <f>IF(AA$225&lt;=time,B72*Costs!AH72,"")</f>
        <v>0</v>
      </c>
      <c r="AB72" s="316">
        <f>IF(AB$225&lt;=time,C72*Costs!AI72,"")</f>
        <v>0</v>
      </c>
      <c r="AC72" s="316">
        <f>IF(AC$225&lt;=time,D72*Costs!AJ72,"")</f>
        <v>0</v>
      </c>
      <c r="AD72" s="316">
        <f>IF(AD$225&lt;=time,E72*Costs!AK72,"")</f>
        <v>0</v>
      </c>
      <c r="AE72" s="316">
        <f>IF(AE$225&lt;=time,F72*Costs!AL72,"")</f>
        <v>0</v>
      </c>
      <c r="AF72" s="316" t="str">
        <f>IF(AF$225&lt;=time,G72*Costs!AM72,"")</f>
        <v/>
      </c>
      <c r="AG72" s="316" t="str">
        <f>IF(AG$225&lt;=time,H72*Costs!AN72,"")</f>
        <v/>
      </c>
      <c r="AH72" s="316" t="str">
        <f>IF(AH$225&lt;=time,I72*Costs!AO72,"")</f>
        <v/>
      </c>
      <c r="AI72" s="316" t="str">
        <f>IF(AI$225&lt;=time,J72*Costs!AP72,"")</f>
        <v/>
      </c>
      <c r="AJ72" s="316" t="str">
        <f>IF(AJ$225&lt;=time,K72*Costs!AQ72,"")</f>
        <v/>
      </c>
      <c r="AK72" s="316" t="str">
        <f>IF(AK$225&lt;=time,L72*Costs!AR72,"")</f>
        <v/>
      </c>
      <c r="AL72" s="316" t="str">
        <f>IF(AL$225&lt;=time,M72*Costs!AS72,"")</f>
        <v/>
      </c>
      <c r="AM72" s="316" t="str">
        <f>IF(AM$225&lt;=time,N72*Costs!AT72,"")</f>
        <v/>
      </c>
      <c r="AN72" s="316" t="str">
        <f>IF(AN$225&lt;=time,O72*Costs!AU72,"")</f>
        <v/>
      </c>
      <c r="AO72" s="316" t="str">
        <f>IF(AO$225&lt;=time,P72*Costs!AV72,"")</f>
        <v/>
      </c>
      <c r="AP72" s="316" t="str">
        <f>IF(AP$225&lt;=time,Q72*Costs!AW72,"")</f>
        <v/>
      </c>
      <c r="AQ72" s="316" t="str">
        <f>IF(AQ$225&lt;=time,R72*Costs!AX72,"")</f>
        <v/>
      </c>
      <c r="AR72" s="316" t="str">
        <f>IF(AR$225&lt;=time,S72*Costs!AY72,"")</f>
        <v/>
      </c>
      <c r="AS72" s="316" t="str">
        <f>IF(AS$225&lt;=time,T72*Costs!AZ72,"")</f>
        <v/>
      </c>
      <c r="AT72" s="316" t="str">
        <f>IF(AT$225&lt;=time,U72*Costs!BA72,"")</f>
        <v/>
      </c>
      <c r="AU72" s="316" t="str">
        <f>IF(AU$225&lt;=time,V72*Costs!BB72,"")</f>
        <v/>
      </c>
      <c r="AV72" s="316" t="str">
        <f>IF(AV$225&lt;=time,W72*Costs!BC72,"")</f>
        <v/>
      </c>
      <c r="AW72" s="316" t="str">
        <f>IF(AW$225&lt;=time,X72*Costs!BD72,"")</f>
        <v/>
      </c>
      <c r="AX72" s="316" t="str">
        <f>IF(AX$225&lt;=time,Y72*Costs!BE72,"")</f>
        <v/>
      </c>
      <c r="AY72" s="316" t="str">
        <f>IF(AY$225&lt;=time,Z72*Costs!BF72,"")</f>
        <v/>
      </c>
      <c r="AZ72" s="317">
        <f t="array" ref="AZ72">(SUM( IF(ISERROR(AA72:AY72),"", AA72:AY72)))/time</f>
        <v>0</v>
      </c>
      <c r="BA72" s="317">
        <f t="shared" si="0"/>
        <v>0</v>
      </c>
      <c r="BB72" s="318">
        <f t="shared" si="16"/>
        <v>0</v>
      </c>
      <c r="BC72" s="319">
        <v>6</v>
      </c>
      <c r="BE72" s="208" t="e">
        <f t="array" ref="BE72">STDEV(IF(AA72:AY72&lt;&gt;0,AA72:AY72))</f>
        <v>#DIV/0!</v>
      </c>
      <c r="BF72" s="208">
        <v>1.96</v>
      </c>
      <c r="BG72" s="208" t="e">
        <f t="shared" si="17"/>
        <v>#DIV/0!</v>
      </c>
      <c r="BH72" s="208">
        <f t="shared" si="18"/>
        <v>0</v>
      </c>
    </row>
    <row r="73" spans="1:60" hidden="1">
      <c r="A73" s="322" t="str">
        <f>Costs!A73</f>
        <v>Volunteers 7</v>
      </c>
      <c r="B73" s="313"/>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4"/>
      <c r="AA73" s="315">
        <f>IF(AA$225&lt;=time,B73*Costs!AH73,"")</f>
        <v>0</v>
      </c>
      <c r="AB73" s="316">
        <f>IF(AB$225&lt;=time,C73*Costs!AI73,"")</f>
        <v>0</v>
      </c>
      <c r="AC73" s="316">
        <f>IF(AC$225&lt;=time,D73*Costs!AJ73,"")</f>
        <v>0</v>
      </c>
      <c r="AD73" s="316">
        <f>IF(AD$225&lt;=time,E73*Costs!AK73,"")</f>
        <v>0</v>
      </c>
      <c r="AE73" s="316">
        <f>IF(AE$225&lt;=time,F73*Costs!AL73,"")</f>
        <v>0</v>
      </c>
      <c r="AF73" s="316" t="str">
        <f>IF(AF$225&lt;=time,G73*Costs!AM73,"")</f>
        <v/>
      </c>
      <c r="AG73" s="316" t="str">
        <f>IF(AG$225&lt;=time,H73*Costs!AN73,"")</f>
        <v/>
      </c>
      <c r="AH73" s="316" t="str">
        <f>IF(AH$225&lt;=time,I73*Costs!AO73,"")</f>
        <v/>
      </c>
      <c r="AI73" s="316" t="str">
        <f>IF(AI$225&lt;=time,J73*Costs!AP73,"")</f>
        <v/>
      </c>
      <c r="AJ73" s="316" t="str">
        <f>IF(AJ$225&lt;=time,K73*Costs!AQ73,"")</f>
        <v/>
      </c>
      <c r="AK73" s="316" t="str">
        <f>IF(AK$225&lt;=time,L73*Costs!AR73,"")</f>
        <v/>
      </c>
      <c r="AL73" s="316" t="str">
        <f>IF(AL$225&lt;=time,M73*Costs!AS73,"")</f>
        <v/>
      </c>
      <c r="AM73" s="316" t="str">
        <f>IF(AM$225&lt;=time,N73*Costs!AT73,"")</f>
        <v/>
      </c>
      <c r="AN73" s="316" t="str">
        <f>IF(AN$225&lt;=time,O73*Costs!AU73,"")</f>
        <v/>
      </c>
      <c r="AO73" s="316" t="str">
        <f>IF(AO$225&lt;=time,P73*Costs!AV73,"")</f>
        <v/>
      </c>
      <c r="AP73" s="316" t="str">
        <f>IF(AP$225&lt;=time,Q73*Costs!AW73,"")</f>
        <v/>
      </c>
      <c r="AQ73" s="316" t="str">
        <f>IF(AQ$225&lt;=time,R73*Costs!AX73,"")</f>
        <v/>
      </c>
      <c r="AR73" s="316" t="str">
        <f>IF(AR$225&lt;=time,S73*Costs!AY73,"")</f>
        <v/>
      </c>
      <c r="AS73" s="316" t="str">
        <f>IF(AS$225&lt;=time,T73*Costs!AZ73,"")</f>
        <v/>
      </c>
      <c r="AT73" s="316" t="str">
        <f>IF(AT$225&lt;=time,U73*Costs!BA73,"")</f>
        <v/>
      </c>
      <c r="AU73" s="316" t="str">
        <f>IF(AU$225&lt;=time,V73*Costs!BB73,"")</f>
        <v/>
      </c>
      <c r="AV73" s="316" t="str">
        <f>IF(AV$225&lt;=time,W73*Costs!BC73,"")</f>
        <v/>
      </c>
      <c r="AW73" s="316" t="str">
        <f>IF(AW$225&lt;=time,X73*Costs!BD73,"")</f>
        <v/>
      </c>
      <c r="AX73" s="316" t="str">
        <f>IF(AX$225&lt;=time,Y73*Costs!BE73,"")</f>
        <v/>
      </c>
      <c r="AY73" s="316" t="str">
        <f>IF(AY$225&lt;=time,Z73*Costs!BF73,"")</f>
        <v/>
      </c>
      <c r="AZ73" s="317">
        <f t="array" ref="AZ73">(SUM( IF(ISERROR(AA73:AY73),"", AA73:AY73)))/time</f>
        <v>0</v>
      </c>
      <c r="BA73" s="317">
        <f t="shared" ref="BA73:BA136" si="19">IF(BH73&gt;0,IF(AZ73-BG73&gt;0,AZ73-BG73,0), AZ73)</f>
        <v>0</v>
      </c>
      <c r="BB73" s="318">
        <f t="shared" si="16"/>
        <v>0</v>
      </c>
      <c r="BC73" s="319">
        <v>7</v>
      </c>
      <c r="BE73" s="208" t="e">
        <f t="array" ref="BE73">STDEV(IF(AA73:AY73&lt;&gt;0,AA73:AY73))</f>
        <v>#DIV/0!</v>
      </c>
      <c r="BF73" s="208">
        <v>1.96</v>
      </c>
      <c r="BG73" s="208" t="e">
        <f t="shared" si="17"/>
        <v>#DIV/0!</v>
      </c>
      <c r="BH73" s="208">
        <f t="shared" si="18"/>
        <v>0</v>
      </c>
    </row>
    <row r="74" spans="1:60" hidden="1">
      <c r="A74" s="322" t="str">
        <f>Costs!A74</f>
        <v>Volunteers 8</v>
      </c>
      <c r="B74" s="313"/>
      <c r="C74" s="313"/>
      <c r="D74" s="313"/>
      <c r="E74" s="313"/>
      <c r="F74" s="313"/>
      <c r="G74" s="313"/>
      <c r="H74" s="313"/>
      <c r="I74" s="313"/>
      <c r="J74" s="313"/>
      <c r="K74" s="313"/>
      <c r="L74" s="313"/>
      <c r="M74" s="313"/>
      <c r="N74" s="313"/>
      <c r="O74" s="313"/>
      <c r="P74" s="313"/>
      <c r="Q74" s="313"/>
      <c r="R74" s="313"/>
      <c r="S74" s="313"/>
      <c r="T74" s="313"/>
      <c r="U74" s="313"/>
      <c r="V74" s="313"/>
      <c r="W74" s="313"/>
      <c r="X74" s="313"/>
      <c r="Y74" s="313"/>
      <c r="Z74" s="314"/>
      <c r="AA74" s="315">
        <f>IF(AA$225&lt;=time,B74*Costs!AH74,"")</f>
        <v>0</v>
      </c>
      <c r="AB74" s="316">
        <f>IF(AB$225&lt;=time,C74*Costs!AI74,"")</f>
        <v>0</v>
      </c>
      <c r="AC74" s="316">
        <f>IF(AC$225&lt;=time,D74*Costs!AJ74,"")</f>
        <v>0</v>
      </c>
      <c r="AD74" s="316">
        <f>IF(AD$225&lt;=time,E74*Costs!AK74,"")</f>
        <v>0</v>
      </c>
      <c r="AE74" s="316">
        <f>IF(AE$225&lt;=time,F74*Costs!AL74,"")</f>
        <v>0</v>
      </c>
      <c r="AF74" s="316" t="str">
        <f>IF(AF$225&lt;=time,G74*Costs!AM74,"")</f>
        <v/>
      </c>
      <c r="AG74" s="316" t="str">
        <f>IF(AG$225&lt;=time,H74*Costs!AN74,"")</f>
        <v/>
      </c>
      <c r="AH74" s="316" t="str">
        <f>IF(AH$225&lt;=time,I74*Costs!AO74,"")</f>
        <v/>
      </c>
      <c r="AI74" s="316" t="str">
        <f>IF(AI$225&lt;=time,J74*Costs!AP74,"")</f>
        <v/>
      </c>
      <c r="AJ74" s="316" t="str">
        <f>IF(AJ$225&lt;=time,K74*Costs!AQ74,"")</f>
        <v/>
      </c>
      <c r="AK74" s="316" t="str">
        <f>IF(AK$225&lt;=time,L74*Costs!AR74,"")</f>
        <v/>
      </c>
      <c r="AL74" s="316" t="str">
        <f>IF(AL$225&lt;=time,M74*Costs!AS74,"")</f>
        <v/>
      </c>
      <c r="AM74" s="316" t="str">
        <f>IF(AM$225&lt;=time,N74*Costs!AT74,"")</f>
        <v/>
      </c>
      <c r="AN74" s="316" t="str">
        <f>IF(AN$225&lt;=time,O74*Costs!AU74,"")</f>
        <v/>
      </c>
      <c r="AO74" s="316" t="str">
        <f>IF(AO$225&lt;=time,P74*Costs!AV74,"")</f>
        <v/>
      </c>
      <c r="AP74" s="316" t="str">
        <f>IF(AP$225&lt;=time,Q74*Costs!AW74,"")</f>
        <v/>
      </c>
      <c r="AQ74" s="316" t="str">
        <f>IF(AQ$225&lt;=time,R74*Costs!AX74,"")</f>
        <v/>
      </c>
      <c r="AR74" s="316" t="str">
        <f>IF(AR$225&lt;=time,S74*Costs!AY74,"")</f>
        <v/>
      </c>
      <c r="AS74" s="316" t="str">
        <f>IF(AS$225&lt;=time,T74*Costs!AZ74,"")</f>
        <v/>
      </c>
      <c r="AT74" s="316" t="str">
        <f>IF(AT$225&lt;=time,U74*Costs!BA74,"")</f>
        <v/>
      </c>
      <c r="AU74" s="316" t="str">
        <f>IF(AU$225&lt;=time,V74*Costs!BB74,"")</f>
        <v/>
      </c>
      <c r="AV74" s="316" t="str">
        <f>IF(AV$225&lt;=time,W74*Costs!BC74,"")</f>
        <v/>
      </c>
      <c r="AW74" s="316" t="str">
        <f>IF(AW$225&lt;=time,X74*Costs!BD74,"")</f>
        <v/>
      </c>
      <c r="AX74" s="316" t="str">
        <f>IF(AX$225&lt;=time,Y74*Costs!BE74,"")</f>
        <v/>
      </c>
      <c r="AY74" s="316" t="str">
        <f>IF(AY$225&lt;=time,Z74*Costs!BF74,"")</f>
        <v/>
      </c>
      <c r="AZ74" s="317">
        <f t="array" ref="AZ74">(SUM( IF(ISERROR(AA74:AY74),"", AA74:AY74)))/time</f>
        <v>0</v>
      </c>
      <c r="BA74" s="317">
        <f t="shared" si="19"/>
        <v>0</v>
      </c>
      <c r="BB74" s="318">
        <f t="shared" si="16"/>
        <v>0</v>
      </c>
      <c r="BC74" s="319">
        <v>8</v>
      </c>
      <c r="BE74" s="208" t="e">
        <f t="array" ref="BE74">STDEV(IF(AA74:AY74&lt;&gt;0,AA74:AY74))</f>
        <v>#DIV/0!</v>
      </c>
      <c r="BF74" s="208">
        <v>1.96</v>
      </c>
      <c r="BG74" s="208" t="e">
        <f t="shared" si="17"/>
        <v>#DIV/0!</v>
      </c>
      <c r="BH74" s="208">
        <f t="shared" si="18"/>
        <v>0</v>
      </c>
    </row>
    <row r="75" spans="1:60" hidden="1">
      <c r="A75" s="322" t="str">
        <f>Costs!A75</f>
        <v>Volunteers 9</v>
      </c>
      <c r="B75" s="313"/>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4"/>
      <c r="AA75" s="315">
        <f>IF(AA$225&lt;=time,B75*Costs!AH75,"")</f>
        <v>0</v>
      </c>
      <c r="AB75" s="316">
        <f>IF(AB$225&lt;=time,C75*Costs!AI75,"")</f>
        <v>0</v>
      </c>
      <c r="AC75" s="316">
        <f>IF(AC$225&lt;=time,D75*Costs!AJ75,"")</f>
        <v>0</v>
      </c>
      <c r="AD75" s="316">
        <f>IF(AD$225&lt;=time,E75*Costs!AK75,"")</f>
        <v>0</v>
      </c>
      <c r="AE75" s="316">
        <f>IF(AE$225&lt;=time,F75*Costs!AL75,"")</f>
        <v>0</v>
      </c>
      <c r="AF75" s="316" t="str">
        <f>IF(AF$225&lt;=time,G75*Costs!AM75,"")</f>
        <v/>
      </c>
      <c r="AG75" s="316" t="str">
        <f>IF(AG$225&lt;=time,H75*Costs!AN75,"")</f>
        <v/>
      </c>
      <c r="AH75" s="316" t="str">
        <f>IF(AH$225&lt;=time,I75*Costs!AO75,"")</f>
        <v/>
      </c>
      <c r="AI75" s="316" t="str">
        <f>IF(AI$225&lt;=time,J75*Costs!AP75,"")</f>
        <v/>
      </c>
      <c r="AJ75" s="316" t="str">
        <f>IF(AJ$225&lt;=time,K75*Costs!AQ75,"")</f>
        <v/>
      </c>
      <c r="AK75" s="316" t="str">
        <f>IF(AK$225&lt;=time,L75*Costs!AR75,"")</f>
        <v/>
      </c>
      <c r="AL75" s="316" t="str">
        <f>IF(AL$225&lt;=time,M75*Costs!AS75,"")</f>
        <v/>
      </c>
      <c r="AM75" s="316" t="str">
        <f>IF(AM$225&lt;=time,N75*Costs!AT75,"")</f>
        <v/>
      </c>
      <c r="AN75" s="316" t="str">
        <f>IF(AN$225&lt;=time,O75*Costs!AU75,"")</f>
        <v/>
      </c>
      <c r="AO75" s="316" t="str">
        <f>IF(AO$225&lt;=time,P75*Costs!AV75,"")</f>
        <v/>
      </c>
      <c r="AP75" s="316" t="str">
        <f>IF(AP$225&lt;=time,Q75*Costs!AW75,"")</f>
        <v/>
      </c>
      <c r="AQ75" s="316" t="str">
        <f>IF(AQ$225&lt;=time,R75*Costs!AX75,"")</f>
        <v/>
      </c>
      <c r="AR75" s="316" t="str">
        <f>IF(AR$225&lt;=time,S75*Costs!AY75,"")</f>
        <v/>
      </c>
      <c r="AS75" s="316" t="str">
        <f>IF(AS$225&lt;=time,T75*Costs!AZ75,"")</f>
        <v/>
      </c>
      <c r="AT75" s="316" t="str">
        <f>IF(AT$225&lt;=time,U75*Costs!BA75,"")</f>
        <v/>
      </c>
      <c r="AU75" s="316" t="str">
        <f>IF(AU$225&lt;=time,V75*Costs!BB75,"")</f>
        <v/>
      </c>
      <c r="AV75" s="316" t="str">
        <f>IF(AV$225&lt;=time,W75*Costs!BC75,"")</f>
        <v/>
      </c>
      <c r="AW75" s="316" t="str">
        <f>IF(AW$225&lt;=time,X75*Costs!BD75,"")</f>
        <v/>
      </c>
      <c r="AX75" s="316" t="str">
        <f>IF(AX$225&lt;=time,Y75*Costs!BE75,"")</f>
        <v/>
      </c>
      <c r="AY75" s="316" t="str">
        <f>IF(AY$225&lt;=time,Z75*Costs!BF75,"")</f>
        <v/>
      </c>
      <c r="AZ75" s="317">
        <f t="array" ref="AZ75">(SUM( IF(ISERROR(AA75:AY75),"", AA75:AY75)))/time</f>
        <v>0</v>
      </c>
      <c r="BA75" s="317">
        <f t="shared" si="19"/>
        <v>0</v>
      </c>
      <c r="BB75" s="318">
        <f t="shared" si="16"/>
        <v>0</v>
      </c>
      <c r="BC75" s="319">
        <v>9</v>
      </c>
      <c r="BE75" s="208" t="e">
        <f t="array" ref="BE75">STDEV(IF(AA75:AY75&lt;&gt;0,AA75:AY75))</f>
        <v>#DIV/0!</v>
      </c>
      <c r="BF75" s="208">
        <v>1.96</v>
      </c>
      <c r="BG75" s="208" t="e">
        <f t="shared" si="17"/>
        <v>#DIV/0!</v>
      </c>
      <c r="BH75" s="208">
        <f t="shared" si="18"/>
        <v>0</v>
      </c>
    </row>
    <row r="76" spans="1:60" hidden="1">
      <c r="A76" s="322" t="str">
        <f>Costs!A76</f>
        <v>Volunteers 10</v>
      </c>
      <c r="B76" s="313"/>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4"/>
      <c r="AA76" s="315">
        <f>IF(AA$225&lt;=time,B76*Costs!AH76,"")</f>
        <v>0</v>
      </c>
      <c r="AB76" s="316">
        <f>IF(AB$225&lt;=time,C76*Costs!AI76,"")</f>
        <v>0</v>
      </c>
      <c r="AC76" s="316">
        <f>IF(AC$225&lt;=time,D76*Costs!AJ76,"")</f>
        <v>0</v>
      </c>
      <c r="AD76" s="316">
        <f>IF(AD$225&lt;=time,E76*Costs!AK76,"")</f>
        <v>0</v>
      </c>
      <c r="AE76" s="316">
        <f>IF(AE$225&lt;=time,F76*Costs!AL76,"")</f>
        <v>0</v>
      </c>
      <c r="AF76" s="316" t="str">
        <f>IF(AF$225&lt;=time,G76*Costs!AM76,"")</f>
        <v/>
      </c>
      <c r="AG76" s="316" t="str">
        <f>IF(AG$225&lt;=time,H76*Costs!AN76,"")</f>
        <v/>
      </c>
      <c r="AH76" s="316" t="str">
        <f>IF(AH$225&lt;=time,I76*Costs!AO76,"")</f>
        <v/>
      </c>
      <c r="AI76" s="316" t="str">
        <f>IF(AI$225&lt;=time,J76*Costs!AP76,"")</f>
        <v/>
      </c>
      <c r="AJ76" s="316" t="str">
        <f>IF(AJ$225&lt;=time,K76*Costs!AQ76,"")</f>
        <v/>
      </c>
      <c r="AK76" s="316" t="str">
        <f>IF(AK$225&lt;=time,L76*Costs!AR76,"")</f>
        <v/>
      </c>
      <c r="AL76" s="316" t="str">
        <f>IF(AL$225&lt;=time,M76*Costs!AS76,"")</f>
        <v/>
      </c>
      <c r="AM76" s="316" t="str">
        <f>IF(AM$225&lt;=time,N76*Costs!AT76,"")</f>
        <v/>
      </c>
      <c r="AN76" s="316" t="str">
        <f>IF(AN$225&lt;=time,O76*Costs!AU76,"")</f>
        <v/>
      </c>
      <c r="AO76" s="316" t="str">
        <f>IF(AO$225&lt;=time,P76*Costs!AV76,"")</f>
        <v/>
      </c>
      <c r="AP76" s="316" t="str">
        <f>IF(AP$225&lt;=time,Q76*Costs!AW76,"")</f>
        <v/>
      </c>
      <c r="AQ76" s="316" t="str">
        <f>IF(AQ$225&lt;=time,R76*Costs!AX76,"")</f>
        <v/>
      </c>
      <c r="AR76" s="316" t="str">
        <f>IF(AR$225&lt;=time,S76*Costs!AY76,"")</f>
        <v/>
      </c>
      <c r="AS76" s="316" t="str">
        <f>IF(AS$225&lt;=time,T76*Costs!AZ76,"")</f>
        <v/>
      </c>
      <c r="AT76" s="316" t="str">
        <f>IF(AT$225&lt;=time,U76*Costs!BA76,"")</f>
        <v/>
      </c>
      <c r="AU76" s="316" t="str">
        <f>IF(AU$225&lt;=time,V76*Costs!BB76,"")</f>
        <v/>
      </c>
      <c r="AV76" s="316" t="str">
        <f>IF(AV$225&lt;=time,W76*Costs!BC76,"")</f>
        <v/>
      </c>
      <c r="AW76" s="316" t="str">
        <f>IF(AW$225&lt;=time,X76*Costs!BD76,"")</f>
        <v/>
      </c>
      <c r="AX76" s="316" t="str">
        <f>IF(AX$225&lt;=time,Y76*Costs!BE76,"")</f>
        <v/>
      </c>
      <c r="AY76" s="316" t="str">
        <f>IF(AY$225&lt;=time,Z76*Costs!BF76,"")</f>
        <v/>
      </c>
      <c r="AZ76" s="317">
        <f t="array" ref="AZ76">(SUM( IF(ISERROR(AA76:AY76),"", AA76:AY76)))/time</f>
        <v>0</v>
      </c>
      <c r="BA76" s="317">
        <f t="shared" si="19"/>
        <v>0</v>
      </c>
      <c r="BB76" s="318">
        <f t="shared" si="16"/>
        <v>0</v>
      </c>
      <c r="BC76" s="319">
        <v>10</v>
      </c>
      <c r="BE76" s="208" t="e">
        <f t="array" ref="BE76">STDEV(IF(AA76:AY76&lt;&gt;0,AA76:AY76))</f>
        <v>#DIV/0!</v>
      </c>
      <c r="BF76" s="208">
        <v>1.96</v>
      </c>
      <c r="BG76" s="208" t="e">
        <f t="shared" si="17"/>
        <v>#DIV/0!</v>
      </c>
      <c r="BH76" s="208">
        <f t="shared" si="18"/>
        <v>0</v>
      </c>
    </row>
    <row r="77" spans="1:60" s="11" customFormat="1">
      <c r="A77" s="233" t="s">
        <v>285</v>
      </c>
      <c r="B77" s="96"/>
      <c r="C77" s="96"/>
      <c r="D77" s="96"/>
      <c r="E77" s="96"/>
      <c r="F77" s="96"/>
      <c r="G77" s="96"/>
      <c r="H77" s="96"/>
      <c r="I77" s="96"/>
      <c r="J77" s="96"/>
      <c r="K77" s="96"/>
      <c r="L77" s="96"/>
      <c r="M77" s="96"/>
      <c r="N77" s="96"/>
      <c r="O77" s="96"/>
      <c r="P77" s="96"/>
      <c r="Q77" s="96"/>
      <c r="R77" s="96"/>
      <c r="S77" s="96"/>
      <c r="T77" s="96"/>
      <c r="U77" s="96"/>
      <c r="V77" s="96"/>
      <c r="W77" s="96"/>
      <c r="X77" s="96"/>
      <c r="Y77" s="96"/>
      <c r="Z77" s="321"/>
      <c r="AA77" s="233"/>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BB77" s="211"/>
    </row>
    <row r="78" spans="1:60">
      <c r="A78" s="32" t="str">
        <f>Costs!A78</f>
        <v>Supplies 1</v>
      </c>
      <c r="B78" s="865"/>
      <c r="C78" s="865"/>
      <c r="D78" s="865"/>
      <c r="E78" s="313"/>
      <c r="F78" s="313"/>
      <c r="G78" s="313"/>
      <c r="H78" s="313"/>
      <c r="I78" s="313"/>
      <c r="J78" s="313"/>
      <c r="K78" s="313"/>
      <c r="L78" s="313"/>
      <c r="M78" s="313"/>
      <c r="N78" s="313"/>
      <c r="O78" s="313"/>
      <c r="P78" s="313"/>
      <c r="Q78" s="313"/>
      <c r="R78" s="313"/>
      <c r="S78" s="313"/>
      <c r="T78" s="313"/>
      <c r="U78" s="313"/>
      <c r="V78" s="313"/>
      <c r="W78" s="313"/>
      <c r="X78" s="313"/>
      <c r="Y78" s="313"/>
      <c r="Z78" s="314"/>
      <c r="AA78" s="315">
        <f>IF(AA$225&lt;=time,B78*Costs!AH78,"")</f>
        <v>0</v>
      </c>
      <c r="AB78" s="316">
        <f>IF(AB$225&lt;=time,C78*Costs!AI78,"")</f>
        <v>0</v>
      </c>
      <c r="AC78" s="316">
        <f>IF(AC$225&lt;=time,D78*Costs!AJ78,"")</f>
        <v>0</v>
      </c>
      <c r="AD78" s="316">
        <f>IF(AD$225&lt;=time,E78*Costs!AK78,"")</f>
        <v>0</v>
      </c>
      <c r="AE78" s="316">
        <f>IF(AE$225&lt;=time,F78*Costs!AL78,"")</f>
        <v>0</v>
      </c>
      <c r="AF78" s="316" t="str">
        <f>IF(AF$225&lt;=time,G78*Costs!AM78,"")</f>
        <v/>
      </c>
      <c r="AG78" s="316" t="str">
        <f>IF(AG$225&lt;=time,H78*Costs!AN78,"")</f>
        <v/>
      </c>
      <c r="AH78" s="316" t="str">
        <f>IF(AH$225&lt;=time,I78*Costs!AO78,"")</f>
        <v/>
      </c>
      <c r="AI78" s="316" t="str">
        <f>IF(AI$225&lt;=time,J78*Costs!AP78,"")</f>
        <v/>
      </c>
      <c r="AJ78" s="316" t="str">
        <f>IF(AJ$225&lt;=time,K78*Costs!AQ78,"")</f>
        <v/>
      </c>
      <c r="AK78" s="316" t="str">
        <f>IF(AK$225&lt;=time,L78*Costs!AR78,"")</f>
        <v/>
      </c>
      <c r="AL78" s="316" t="str">
        <f>IF(AL$225&lt;=time,M78*Costs!AS78,"")</f>
        <v/>
      </c>
      <c r="AM78" s="316" t="str">
        <f>IF(AM$225&lt;=time,N78*Costs!AT78,"")</f>
        <v/>
      </c>
      <c r="AN78" s="316" t="str">
        <f>IF(AN$225&lt;=time,O78*Costs!AU78,"")</f>
        <v/>
      </c>
      <c r="AO78" s="316" t="str">
        <f>IF(AO$225&lt;=time,P78*Costs!AV78,"")</f>
        <v/>
      </c>
      <c r="AP78" s="316" t="str">
        <f>IF(AP$225&lt;=time,Q78*Costs!AW78,"")</f>
        <v/>
      </c>
      <c r="AQ78" s="316" t="str">
        <f>IF(AQ$225&lt;=time,R78*Costs!AX78,"")</f>
        <v/>
      </c>
      <c r="AR78" s="316" t="str">
        <f>IF(AR$225&lt;=time,S78*Costs!AY78,"")</f>
        <v/>
      </c>
      <c r="AS78" s="316" t="str">
        <f>IF(AS$225&lt;=time,T78*Costs!AZ78,"")</f>
        <v/>
      </c>
      <c r="AT78" s="316" t="str">
        <f>IF(AT$225&lt;=time,U78*Costs!BA78,"")</f>
        <v/>
      </c>
      <c r="AU78" s="316" t="str">
        <f>IF(AU$225&lt;=time,V78*Costs!BB78,"")</f>
        <v/>
      </c>
      <c r="AV78" s="316" t="str">
        <f>IF(AV$225&lt;=time,W78*Costs!BC78,"")</f>
        <v/>
      </c>
      <c r="AW78" s="316" t="str">
        <f>IF(AW$225&lt;=time,X78*Costs!BD78,"")</f>
        <v/>
      </c>
      <c r="AX78" s="316" t="str">
        <f>IF(AX$225&lt;=time,Y78*Costs!BE78,"")</f>
        <v/>
      </c>
      <c r="AY78" s="316" t="str">
        <f>IF(AY$225&lt;=time,Z78*Costs!BF78,"")</f>
        <v/>
      </c>
      <c r="AZ78" s="317">
        <f t="array" ref="AZ78">(SUM( IF(ISERROR(AA78:AY78),"", AA78:AY78)))/time</f>
        <v>0</v>
      </c>
      <c r="BA78" s="317">
        <f t="shared" si="19"/>
        <v>0</v>
      </c>
      <c r="BB78" s="318">
        <f t="shared" ref="BB78:BB87" si="20">IF(BH78&gt;0,AZ78+BG78,AZ78)</f>
        <v>0</v>
      </c>
      <c r="BC78" s="319">
        <v>1</v>
      </c>
      <c r="BE78" s="208" t="e">
        <f t="array" ref="BE78">STDEV(IF(AA78:AY78&lt;&gt;0,AA78:AY78))</f>
        <v>#DIV/0!</v>
      </c>
      <c r="BF78" s="208">
        <v>1.96</v>
      </c>
      <c r="BG78" s="208" t="e">
        <f t="shared" ref="BG78:BG87" si="21">(BF78*BE78)/(time^0.5)</f>
        <v>#DIV/0!</v>
      </c>
      <c r="BH78" s="208">
        <f t="shared" ref="BH78:BH87" si="22">IFERROR(BE78,0)</f>
        <v>0</v>
      </c>
    </row>
    <row r="79" spans="1:60" hidden="1">
      <c r="A79" s="322" t="str">
        <f>Costs!A79</f>
        <v>Supplies 2</v>
      </c>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4"/>
      <c r="AA79" s="315">
        <f>IF(AA$225&lt;=time,B79*Costs!AH79,"")</f>
        <v>0</v>
      </c>
      <c r="AB79" s="316">
        <f>IF(AB$225&lt;=time,C79*Costs!AI79,"")</f>
        <v>0</v>
      </c>
      <c r="AC79" s="316">
        <f>IF(AC$225&lt;=time,D79*Costs!AJ79,"")</f>
        <v>0</v>
      </c>
      <c r="AD79" s="316">
        <f>IF(AD$225&lt;=time,E79*Costs!AK79,"")</f>
        <v>0</v>
      </c>
      <c r="AE79" s="316">
        <f>IF(AE$225&lt;=time,F79*Costs!AL79,"")</f>
        <v>0</v>
      </c>
      <c r="AF79" s="316" t="str">
        <f>IF(AF$225&lt;=time,G79*Costs!AM79,"")</f>
        <v/>
      </c>
      <c r="AG79" s="316" t="str">
        <f>IF(AG$225&lt;=time,H79*Costs!AN79,"")</f>
        <v/>
      </c>
      <c r="AH79" s="316" t="str">
        <f>IF(AH$225&lt;=time,I79*Costs!AO79,"")</f>
        <v/>
      </c>
      <c r="AI79" s="316" t="str">
        <f>IF(AI$225&lt;=time,J79*Costs!AP79,"")</f>
        <v/>
      </c>
      <c r="AJ79" s="316" t="str">
        <f>IF(AJ$225&lt;=time,K79*Costs!AQ79,"")</f>
        <v/>
      </c>
      <c r="AK79" s="316" t="str">
        <f>IF(AK$225&lt;=time,L79*Costs!AR79,"")</f>
        <v/>
      </c>
      <c r="AL79" s="316" t="str">
        <f>IF(AL$225&lt;=time,M79*Costs!AS79,"")</f>
        <v/>
      </c>
      <c r="AM79" s="316" t="str">
        <f>IF(AM$225&lt;=time,N79*Costs!AT79,"")</f>
        <v/>
      </c>
      <c r="AN79" s="316" t="str">
        <f>IF(AN$225&lt;=time,O79*Costs!AU79,"")</f>
        <v/>
      </c>
      <c r="AO79" s="316" t="str">
        <f>IF(AO$225&lt;=time,P79*Costs!AV79,"")</f>
        <v/>
      </c>
      <c r="AP79" s="316" t="str">
        <f>IF(AP$225&lt;=time,Q79*Costs!AW79,"")</f>
        <v/>
      </c>
      <c r="AQ79" s="316" t="str">
        <f>IF(AQ$225&lt;=time,R79*Costs!AX79,"")</f>
        <v/>
      </c>
      <c r="AR79" s="316" t="str">
        <f>IF(AR$225&lt;=time,S79*Costs!AY79,"")</f>
        <v/>
      </c>
      <c r="AS79" s="316" t="str">
        <f>IF(AS$225&lt;=time,T79*Costs!AZ79,"")</f>
        <v/>
      </c>
      <c r="AT79" s="316" t="str">
        <f>IF(AT$225&lt;=time,U79*Costs!BA79,"")</f>
        <v/>
      </c>
      <c r="AU79" s="316" t="str">
        <f>IF(AU$225&lt;=time,V79*Costs!BB79,"")</f>
        <v/>
      </c>
      <c r="AV79" s="316" t="str">
        <f>IF(AV$225&lt;=time,W79*Costs!BC79,"")</f>
        <v/>
      </c>
      <c r="AW79" s="316" t="str">
        <f>IF(AW$225&lt;=time,X79*Costs!BD79,"")</f>
        <v/>
      </c>
      <c r="AX79" s="316" t="str">
        <f>IF(AX$225&lt;=time,Y79*Costs!BE79,"")</f>
        <v/>
      </c>
      <c r="AY79" s="316" t="str">
        <f>IF(AY$225&lt;=time,Z79*Costs!BF79,"")</f>
        <v/>
      </c>
      <c r="AZ79" s="317">
        <f t="array" ref="AZ79">(SUM( IF(ISERROR(AA79:AY79),"", AA79:AY79)))/time</f>
        <v>0</v>
      </c>
      <c r="BA79" s="317">
        <f t="shared" si="19"/>
        <v>0</v>
      </c>
      <c r="BB79" s="318">
        <f t="shared" si="20"/>
        <v>0</v>
      </c>
      <c r="BC79" s="319">
        <v>2</v>
      </c>
      <c r="BE79" s="208" t="e">
        <f t="array" ref="BE79">STDEV(IF(AA79:AY79&lt;&gt;0,AA79:AY79))</f>
        <v>#DIV/0!</v>
      </c>
      <c r="BF79" s="208">
        <v>1.96</v>
      </c>
      <c r="BG79" s="208" t="e">
        <f t="shared" si="21"/>
        <v>#DIV/0!</v>
      </c>
      <c r="BH79" s="208">
        <f t="shared" si="22"/>
        <v>0</v>
      </c>
    </row>
    <row r="80" spans="1:60" hidden="1">
      <c r="A80" s="322" t="str">
        <f>Costs!A80</f>
        <v>Supplies 3</v>
      </c>
      <c r="B80" s="313"/>
      <c r="C80" s="313"/>
      <c r="D80" s="313"/>
      <c r="E80" s="313"/>
      <c r="F80" s="313"/>
      <c r="G80" s="313"/>
      <c r="H80" s="313"/>
      <c r="I80" s="313"/>
      <c r="J80" s="313"/>
      <c r="K80" s="313"/>
      <c r="L80" s="313"/>
      <c r="M80" s="313"/>
      <c r="N80" s="313"/>
      <c r="O80" s="313"/>
      <c r="P80" s="313"/>
      <c r="Q80" s="313"/>
      <c r="R80" s="313"/>
      <c r="S80" s="313"/>
      <c r="T80" s="313"/>
      <c r="U80" s="313"/>
      <c r="V80" s="313"/>
      <c r="W80" s="313"/>
      <c r="X80" s="313"/>
      <c r="Y80" s="313"/>
      <c r="Z80" s="314"/>
      <c r="AA80" s="315">
        <f>IF(AA$225&lt;=time,B80*Costs!AH80,"")</f>
        <v>0</v>
      </c>
      <c r="AB80" s="316">
        <f>IF(AB$225&lt;=time,C80*Costs!AI80,"")</f>
        <v>0</v>
      </c>
      <c r="AC80" s="316">
        <f>IF(AC$225&lt;=time,D80*Costs!AJ80,"")</f>
        <v>0</v>
      </c>
      <c r="AD80" s="316">
        <f>IF(AD$225&lt;=time,E80*Costs!AK80,"")</f>
        <v>0</v>
      </c>
      <c r="AE80" s="316">
        <f>IF(AE$225&lt;=time,F80*Costs!AL80,"")</f>
        <v>0</v>
      </c>
      <c r="AF80" s="316" t="str">
        <f>IF(AF$225&lt;=time,G80*Costs!AM80,"")</f>
        <v/>
      </c>
      <c r="AG80" s="316" t="str">
        <f>IF(AG$225&lt;=time,H80*Costs!AN80,"")</f>
        <v/>
      </c>
      <c r="AH80" s="316" t="str">
        <f>IF(AH$225&lt;=time,I80*Costs!AO80,"")</f>
        <v/>
      </c>
      <c r="AI80" s="316" t="str">
        <f>IF(AI$225&lt;=time,J80*Costs!AP80,"")</f>
        <v/>
      </c>
      <c r="AJ80" s="316" t="str">
        <f>IF(AJ$225&lt;=time,K80*Costs!AQ80,"")</f>
        <v/>
      </c>
      <c r="AK80" s="316" t="str">
        <f>IF(AK$225&lt;=time,L80*Costs!AR80,"")</f>
        <v/>
      </c>
      <c r="AL80" s="316" t="str">
        <f>IF(AL$225&lt;=time,M80*Costs!AS80,"")</f>
        <v/>
      </c>
      <c r="AM80" s="316" t="str">
        <f>IF(AM$225&lt;=time,N80*Costs!AT80,"")</f>
        <v/>
      </c>
      <c r="AN80" s="316" t="str">
        <f>IF(AN$225&lt;=time,O80*Costs!AU80,"")</f>
        <v/>
      </c>
      <c r="AO80" s="316" t="str">
        <f>IF(AO$225&lt;=time,P80*Costs!AV80,"")</f>
        <v/>
      </c>
      <c r="AP80" s="316" t="str">
        <f>IF(AP$225&lt;=time,Q80*Costs!AW80,"")</f>
        <v/>
      </c>
      <c r="AQ80" s="316" t="str">
        <f>IF(AQ$225&lt;=time,R80*Costs!AX80,"")</f>
        <v/>
      </c>
      <c r="AR80" s="316" t="str">
        <f>IF(AR$225&lt;=time,S80*Costs!AY80,"")</f>
        <v/>
      </c>
      <c r="AS80" s="316" t="str">
        <f>IF(AS$225&lt;=time,T80*Costs!AZ80,"")</f>
        <v/>
      </c>
      <c r="AT80" s="316" t="str">
        <f>IF(AT$225&lt;=time,U80*Costs!BA80,"")</f>
        <v/>
      </c>
      <c r="AU80" s="316" t="str">
        <f>IF(AU$225&lt;=time,V80*Costs!BB80,"")</f>
        <v/>
      </c>
      <c r="AV80" s="316" t="str">
        <f>IF(AV$225&lt;=time,W80*Costs!BC80,"")</f>
        <v/>
      </c>
      <c r="AW80" s="316" t="str">
        <f>IF(AW$225&lt;=time,X80*Costs!BD80,"")</f>
        <v/>
      </c>
      <c r="AX80" s="316" t="str">
        <f>IF(AX$225&lt;=time,Y80*Costs!BE80,"")</f>
        <v/>
      </c>
      <c r="AY80" s="316" t="str">
        <f>IF(AY$225&lt;=time,Z80*Costs!BF80,"")</f>
        <v/>
      </c>
      <c r="AZ80" s="317">
        <f t="array" ref="AZ80">(SUM( IF(ISERROR(AA80:AY80),"", AA80:AY80)))/time</f>
        <v>0</v>
      </c>
      <c r="BA80" s="317">
        <f t="shared" si="19"/>
        <v>0</v>
      </c>
      <c r="BB80" s="318">
        <f t="shared" si="20"/>
        <v>0</v>
      </c>
      <c r="BC80" s="319">
        <v>3</v>
      </c>
      <c r="BE80" s="208" t="e">
        <f t="array" ref="BE80">STDEV(IF(AA80:AY80&lt;&gt;0,AA80:AY80))</f>
        <v>#DIV/0!</v>
      </c>
      <c r="BF80" s="208">
        <v>1.96</v>
      </c>
      <c r="BG80" s="208" t="e">
        <f t="shared" si="21"/>
        <v>#DIV/0!</v>
      </c>
      <c r="BH80" s="208">
        <f t="shared" si="22"/>
        <v>0</v>
      </c>
    </row>
    <row r="81" spans="1:60" hidden="1">
      <c r="A81" s="322" t="str">
        <f>Costs!A81</f>
        <v>Supplies 4</v>
      </c>
      <c r="B81" s="313"/>
      <c r="C81" s="313"/>
      <c r="D81" s="313"/>
      <c r="E81" s="313"/>
      <c r="F81" s="313"/>
      <c r="G81" s="313"/>
      <c r="H81" s="313"/>
      <c r="I81" s="313"/>
      <c r="J81" s="313"/>
      <c r="K81" s="313"/>
      <c r="L81" s="313"/>
      <c r="M81" s="313"/>
      <c r="N81" s="313"/>
      <c r="O81" s="313"/>
      <c r="P81" s="313"/>
      <c r="Q81" s="313"/>
      <c r="R81" s="313"/>
      <c r="S81" s="313"/>
      <c r="T81" s="313"/>
      <c r="U81" s="313"/>
      <c r="V81" s="313"/>
      <c r="W81" s="313"/>
      <c r="X81" s="313"/>
      <c r="Y81" s="313"/>
      <c r="Z81" s="314"/>
      <c r="AA81" s="315">
        <f>IF(AA$225&lt;=time,B81*Costs!AH81,"")</f>
        <v>0</v>
      </c>
      <c r="AB81" s="316">
        <f>IF(AB$225&lt;=time,C81*Costs!AI81,"")</f>
        <v>0</v>
      </c>
      <c r="AC81" s="316">
        <f>IF(AC$225&lt;=time,D81*Costs!AJ81,"")</f>
        <v>0</v>
      </c>
      <c r="AD81" s="316">
        <f>IF(AD$225&lt;=time,E81*Costs!AK81,"")</f>
        <v>0</v>
      </c>
      <c r="AE81" s="316">
        <f>IF(AE$225&lt;=time,F81*Costs!AL81,"")</f>
        <v>0</v>
      </c>
      <c r="AF81" s="316" t="str">
        <f>IF(AF$225&lt;=time,G81*Costs!AM81,"")</f>
        <v/>
      </c>
      <c r="AG81" s="316" t="str">
        <f>IF(AG$225&lt;=time,H81*Costs!AN81,"")</f>
        <v/>
      </c>
      <c r="AH81" s="316" t="str">
        <f>IF(AH$225&lt;=time,I81*Costs!AO81,"")</f>
        <v/>
      </c>
      <c r="AI81" s="316" t="str">
        <f>IF(AI$225&lt;=time,J81*Costs!AP81,"")</f>
        <v/>
      </c>
      <c r="AJ81" s="316" t="str">
        <f>IF(AJ$225&lt;=time,K81*Costs!AQ81,"")</f>
        <v/>
      </c>
      <c r="AK81" s="316" t="str">
        <f>IF(AK$225&lt;=time,L81*Costs!AR81,"")</f>
        <v/>
      </c>
      <c r="AL81" s="316" t="str">
        <f>IF(AL$225&lt;=time,M81*Costs!AS81,"")</f>
        <v/>
      </c>
      <c r="AM81" s="316" t="str">
        <f>IF(AM$225&lt;=time,N81*Costs!AT81,"")</f>
        <v/>
      </c>
      <c r="AN81" s="316" t="str">
        <f>IF(AN$225&lt;=time,O81*Costs!AU81,"")</f>
        <v/>
      </c>
      <c r="AO81" s="316" t="str">
        <f>IF(AO$225&lt;=time,P81*Costs!AV81,"")</f>
        <v/>
      </c>
      <c r="AP81" s="316" t="str">
        <f>IF(AP$225&lt;=time,Q81*Costs!AW81,"")</f>
        <v/>
      </c>
      <c r="AQ81" s="316" t="str">
        <f>IF(AQ$225&lt;=time,R81*Costs!AX81,"")</f>
        <v/>
      </c>
      <c r="AR81" s="316" t="str">
        <f>IF(AR$225&lt;=time,S81*Costs!AY81,"")</f>
        <v/>
      </c>
      <c r="AS81" s="316" t="str">
        <f>IF(AS$225&lt;=time,T81*Costs!AZ81,"")</f>
        <v/>
      </c>
      <c r="AT81" s="316" t="str">
        <f>IF(AT$225&lt;=time,U81*Costs!BA81,"")</f>
        <v/>
      </c>
      <c r="AU81" s="316" t="str">
        <f>IF(AU$225&lt;=time,V81*Costs!BB81,"")</f>
        <v/>
      </c>
      <c r="AV81" s="316" t="str">
        <f>IF(AV$225&lt;=time,W81*Costs!BC81,"")</f>
        <v/>
      </c>
      <c r="AW81" s="316" t="str">
        <f>IF(AW$225&lt;=time,X81*Costs!BD81,"")</f>
        <v/>
      </c>
      <c r="AX81" s="316" t="str">
        <f>IF(AX$225&lt;=time,Y81*Costs!BE81,"")</f>
        <v/>
      </c>
      <c r="AY81" s="316" t="str">
        <f>IF(AY$225&lt;=time,Z81*Costs!BF81,"")</f>
        <v/>
      </c>
      <c r="AZ81" s="317">
        <f t="array" ref="AZ81">(SUM( IF(ISERROR(AA81:AY81),"", AA81:AY81)))/time</f>
        <v>0</v>
      </c>
      <c r="BA81" s="317">
        <f t="shared" si="19"/>
        <v>0</v>
      </c>
      <c r="BB81" s="318">
        <f t="shared" si="20"/>
        <v>0</v>
      </c>
      <c r="BC81" s="319">
        <v>4</v>
      </c>
      <c r="BE81" s="208" t="e">
        <f t="array" ref="BE81">STDEV(IF(AA81:AY81&lt;&gt;0,AA81:AY81))</f>
        <v>#DIV/0!</v>
      </c>
      <c r="BF81" s="208">
        <v>1.96</v>
      </c>
      <c r="BG81" s="208" t="e">
        <f t="shared" si="21"/>
        <v>#DIV/0!</v>
      </c>
      <c r="BH81" s="208">
        <f t="shared" si="22"/>
        <v>0</v>
      </c>
    </row>
    <row r="82" spans="1:60" hidden="1">
      <c r="A82" s="322" t="str">
        <f>Costs!A82</f>
        <v>Supplies 5</v>
      </c>
      <c r="B82" s="313"/>
      <c r="C82" s="313"/>
      <c r="D82" s="313"/>
      <c r="E82" s="313"/>
      <c r="F82" s="313"/>
      <c r="G82" s="313"/>
      <c r="H82" s="313"/>
      <c r="I82" s="313"/>
      <c r="J82" s="313"/>
      <c r="K82" s="313"/>
      <c r="L82" s="313"/>
      <c r="M82" s="313"/>
      <c r="N82" s="313"/>
      <c r="O82" s="313"/>
      <c r="P82" s="313"/>
      <c r="Q82" s="313"/>
      <c r="R82" s="313"/>
      <c r="S82" s="313"/>
      <c r="T82" s="313"/>
      <c r="U82" s="313"/>
      <c r="V82" s="313"/>
      <c r="W82" s="313"/>
      <c r="X82" s="313"/>
      <c r="Y82" s="313"/>
      <c r="Z82" s="314"/>
      <c r="AA82" s="315">
        <f>IF(AA$225&lt;=time,B82*Costs!AH82,"")</f>
        <v>0</v>
      </c>
      <c r="AB82" s="316">
        <f>IF(AB$225&lt;=time,C82*Costs!AI82,"")</f>
        <v>0</v>
      </c>
      <c r="AC82" s="316">
        <f>IF(AC$225&lt;=time,D82*Costs!AJ82,"")</f>
        <v>0</v>
      </c>
      <c r="AD82" s="316">
        <f>IF(AD$225&lt;=time,E82*Costs!AK82,"")</f>
        <v>0</v>
      </c>
      <c r="AE82" s="316">
        <f>IF(AE$225&lt;=time,F82*Costs!AL82,"")</f>
        <v>0</v>
      </c>
      <c r="AF82" s="316" t="str">
        <f>IF(AF$225&lt;=time,G82*Costs!AM82,"")</f>
        <v/>
      </c>
      <c r="AG82" s="316" t="str">
        <f>IF(AG$225&lt;=time,H82*Costs!AN82,"")</f>
        <v/>
      </c>
      <c r="AH82" s="316" t="str">
        <f>IF(AH$225&lt;=time,I82*Costs!AO82,"")</f>
        <v/>
      </c>
      <c r="AI82" s="316" t="str">
        <f>IF(AI$225&lt;=time,J82*Costs!AP82,"")</f>
        <v/>
      </c>
      <c r="AJ82" s="316" t="str">
        <f>IF(AJ$225&lt;=time,K82*Costs!AQ82,"")</f>
        <v/>
      </c>
      <c r="AK82" s="316" t="str">
        <f>IF(AK$225&lt;=time,L82*Costs!AR82,"")</f>
        <v/>
      </c>
      <c r="AL82" s="316" t="str">
        <f>IF(AL$225&lt;=time,M82*Costs!AS82,"")</f>
        <v/>
      </c>
      <c r="AM82" s="316" t="str">
        <f>IF(AM$225&lt;=time,N82*Costs!AT82,"")</f>
        <v/>
      </c>
      <c r="AN82" s="316" t="str">
        <f>IF(AN$225&lt;=time,O82*Costs!AU82,"")</f>
        <v/>
      </c>
      <c r="AO82" s="316" t="str">
        <f>IF(AO$225&lt;=time,P82*Costs!AV82,"")</f>
        <v/>
      </c>
      <c r="AP82" s="316" t="str">
        <f>IF(AP$225&lt;=time,Q82*Costs!AW82,"")</f>
        <v/>
      </c>
      <c r="AQ82" s="316" t="str">
        <f>IF(AQ$225&lt;=time,R82*Costs!AX82,"")</f>
        <v/>
      </c>
      <c r="AR82" s="316" t="str">
        <f>IF(AR$225&lt;=time,S82*Costs!AY82,"")</f>
        <v/>
      </c>
      <c r="AS82" s="316" t="str">
        <f>IF(AS$225&lt;=time,T82*Costs!AZ82,"")</f>
        <v/>
      </c>
      <c r="AT82" s="316" t="str">
        <f>IF(AT$225&lt;=time,U82*Costs!BA82,"")</f>
        <v/>
      </c>
      <c r="AU82" s="316" t="str">
        <f>IF(AU$225&lt;=time,V82*Costs!BB82,"")</f>
        <v/>
      </c>
      <c r="AV82" s="316" t="str">
        <f>IF(AV$225&lt;=time,W82*Costs!BC82,"")</f>
        <v/>
      </c>
      <c r="AW82" s="316" t="str">
        <f>IF(AW$225&lt;=time,X82*Costs!BD82,"")</f>
        <v/>
      </c>
      <c r="AX82" s="316" t="str">
        <f>IF(AX$225&lt;=time,Y82*Costs!BE82,"")</f>
        <v/>
      </c>
      <c r="AY82" s="316" t="str">
        <f>IF(AY$225&lt;=time,Z82*Costs!BF82,"")</f>
        <v/>
      </c>
      <c r="AZ82" s="317">
        <f t="array" ref="AZ82">(SUM( IF(ISERROR(AA82:AY82),"", AA82:AY82)))/time</f>
        <v>0</v>
      </c>
      <c r="BA82" s="317">
        <f t="shared" si="19"/>
        <v>0</v>
      </c>
      <c r="BB82" s="318">
        <f t="shared" si="20"/>
        <v>0</v>
      </c>
      <c r="BC82" s="319">
        <v>5</v>
      </c>
      <c r="BE82" s="208" t="e">
        <f t="array" ref="BE82">STDEV(IF(AA82:AY82&lt;&gt;0,AA82:AY82))</f>
        <v>#DIV/0!</v>
      </c>
      <c r="BF82" s="208">
        <v>1.96</v>
      </c>
      <c r="BG82" s="208" t="e">
        <f t="shared" si="21"/>
        <v>#DIV/0!</v>
      </c>
      <c r="BH82" s="208">
        <f t="shared" si="22"/>
        <v>0</v>
      </c>
    </row>
    <row r="83" spans="1:60" hidden="1">
      <c r="A83" s="322" t="str">
        <f>Costs!A83</f>
        <v>Supplies 6</v>
      </c>
      <c r="B83" s="313"/>
      <c r="C83" s="313"/>
      <c r="D83" s="313"/>
      <c r="E83" s="313"/>
      <c r="F83" s="313"/>
      <c r="G83" s="313"/>
      <c r="H83" s="313"/>
      <c r="I83" s="313"/>
      <c r="J83" s="313"/>
      <c r="K83" s="313"/>
      <c r="L83" s="313"/>
      <c r="M83" s="313"/>
      <c r="N83" s="313"/>
      <c r="O83" s="313"/>
      <c r="P83" s="313"/>
      <c r="Q83" s="313"/>
      <c r="R83" s="313"/>
      <c r="S83" s="313"/>
      <c r="T83" s="313"/>
      <c r="U83" s="313"/>
      <c r="V83" s="313"/>
      <c r="W83" s="313"/>
      <c r="X83" s="313"/>
      <c r="Y83" s="313"/>
      <c r="Z83" s="314"/>
      <c r="AA83" s="315">
        <f>IF(AA$225&lt;=time,B83*Costs!AH83,"")</f>
        <v>0</v>
      </c>
      <c r="AB83" s="316">
        <f>IF(AB$225&lt;=time,C83*Costs!AI83,"")</f>
        <v>0</v>
      </c>
      <c r="AC83" s="316">
        <f>IF(AC$225&lt;=time,D83*Costs!AJ83,"")</f>
        <v>0</v>
      </c>
      <c r="AD83" s="316">
        <f>IF(AD$225&lt;=time,E83*Costs!AK83,"")</f>
        <v>0</v>
      </c>
      <c r="AE83" s="316">
        <f>IF(AE$225&lt;=time,F83*Costs!AL83,"")</f>
        <v>0</v>
      </c>
      <c r="AF83" s="316" t="str">
        <f>IF(AF$225&lt;=time,G83*Costs!AM83,"")</f>
        <v/>
      </c>
      <c r="AG83" s="316" t="str">
        <f>IF(AG$225&lt;=time,H83*Costs!AN83,"")</f>
        <v/>
      </c>
      <c r="AH83" s="316" t="str">
        <f>IF(AH$225&lt;=time,I83*Costs!AO83,"")</f>
        <v/>
      </c>
      <c r="AI83" s="316" t="str">
        <f>IF(AI$225&lt;=time,J83*Costs!AP83,"")</f>
        <v/>
      </c>
      <c r="AJ83" s="316" t="str">
        <f>IF(AJ$225&lt;=time,K83*Costs!AQ83,"")</f>
        <v/>
      </c>
      <c r="AK83" s="316" t="str">
        <f>IF(AK$225&lt;=time,L83*Costs!AR83,"")</f>
        <v/>
      </c>
      <c r="AL83" s="316" t="str">
        <f>IF(AL$225&lt;=time,M83*Costs!AS83,"")</f>
        <v/>
      </c>
      <c r="AM83" s="316" t="str">
        <f>IF(AM$225&lt;=time,N83*Costs!AT83,"")</f>
        <v/>
      </c>
      <c r="AN83" s="316" t="str">
        <f>IF(AN$225&lt;=time,O83*Costs!AU83,"")</f>
        <v/>
      </c>
      <c r="AO83" s="316" t="str">
        <f>IF(AO$225&lt;=time,P83*Costs!AV83,"")</f>
        <v/>
      </c>
      <c r="AP83" s="316" t="str">
        <f>IF(AP$225&lt;=time,Q83*Costs!AW83,"")</f>
        <v/>
      </c>
      <c r="AQ83" s="316" t="str">
        <f>IF(AQ$225&lt;=time,R83*Costs!AX83,"")</f>
        <v/>
      </c>
      <c r="AR83" s="316" t="str">
        <f>IF(AR$225&lt;=time,S83*Costs!AY83,"")</f>
        <v/>
      </c>
      <c r="AS83" s="316" t="str">
        <f>IF(AS$225&lt;=time,T83*Costs!AZ83,"")</f>
        <v/>
      </c>
      <c r="AT83" s="316" t="str">
        <f>IF(AT$225&lt;=time,U83*Costs!BA83,"")</f>
        <v/>
      </c>
      <c r="AU83" s="316" t="str">
        <f>IF(AU$225&lt;=time,V83*Costs!BB83,"")</f>
        <v/>
      </c>
      <c r="AV83" s="316" t="str">
        <f>IF(AV$225&lt;=time,W83*Costs!BC83,"")</f>
        <v/>
      </c>
      <c r="AW83" s="316" t="str">
        <f>IF(AW$225&lt;=time,X83*Costs!BD83,"")</f>
        <v/>
      </c>
      <c r="AX83" s="316" t="str">
        <f>IF(AX$225&lt;=time,Y83*Costs!BE83,"")</f>
        <v/>
      </c>
      <c r="AY83" s="316" t="str">
        <f>IF(AY$225&lt;=time,Z83*Costs!BF83,"")</f>
        <v/>
      </c>
      <c r="AZ83" s="317">
        <f t="array" ref="AZ83">(SUM( IF(ISERROR(AA83:AY83),"", AA83:AY83)))/time</f>
        <v>0</v>
      </c>
      <c r="BA83" s="317">
        <f t="shared" si="19"/>
        <v>0</v>
      </c>
      <c r="BB83" s="318">
        <f t="shared" si="20"/>
        <v>0</v>
      </c>
      <c r="BC83" s="319">
        <v>6</v>
      </c>
      <c r="BE83" s="208" t="e">
        <f t="array" ref="BE83">STDEV(IF(AA83:AY83&lt;&gt;0,AA83:AY83))</f>
        <v>#DIV/0!</v>
      </c>
      <c r="BF83" s="208">
        <v>1.96</v>
      </c>
      <c r="BG83" s="208" t="e">
        <f t="shared" si="21"/>
        <v>#DIV/0!</v>
      </c>
      <c r="BH83" s="208">
        <f t="shared" si="22"/>
        <v>0</v>
      </c>
    </row>
    <row r="84" spans="1:60" hidden="1">
      <c r="A84" s="322" t="str">
        <f>Costs!A84</f>
        <v>Supplies 7</v>
      </c>
      <c r="B84" s="313"/>
      <c r="C84" s="313"/>
      <c r="D84" s="313"/>
      <c r="E84" s="313"/>
      <c r="F84" s="313"/>
      <c r="G84" s="313"/>
      <c r="H84" s="313"/>
      <c r="I84" s="313"/>
      <c r="J84" s="313"/>
      <c r="K84" s="313"/>
      <c r="L84" s="313"/>
      <c r="M84" s="313"/>
      <c r="N84" s="313"/>
      <c r="O84" s="313"/>
      <c r="P84" s="313"/>
      <c r="Q84" s="313"/>
      <c r="R84" s="313"/>
      <c r="S84" s="313"/>
      <c r="T84" s="313"/>
      <c r="U84" s="313"/>
      <c r="V84" s="313"/>
      <c r="W84" s="313"/>
      <c r="X84" s="313"/>
      <c r="Y84" s="313"/>
      <c r="Z84" s="314"/>
      <c r="AA84" s="315">
        <f>IF(AA$225&lt;=time,B84*Costs!AH84,"")</f>
        <v>0</v>
      </c>
      <c r="AB84" s="316">
        <f>IF(AB$225&lt;=time,C84*Costs!AI84,"")</f>
        <v>0</v>
      </c>
      <c r="AC84" s="316">
        <f>IF(AC$225&lt;=time,D84*Costs!AJ84,"")</f>
        <v>0</v>
      </c>
      <c r="AD84" s="316">
        <f>IF(AD$225&lt;=time,E84*Costs!AK84,"")</f>
        <v>0</v>
      </c>
      <c r="AE84" s="316">
        <f>IF(AE$225&lt;=time,F84*Costs!AL84,"")</f>
        <v>0</v>
      </c>
      <c r="AF84" s="316" t="str">
        <f>IF(AF$225&lt;=time,G84*Costs!AM84,"")</f>
        <v/>
      </c>
      <c r="AG84" s="316" t="str">
        <f>IF(AG$225&lt;=time,H84*Costs!AN84,"")</f>
        <v/>
      </c>
      <c r="AH84" s="316" t="str">
        <f>IF(AH$225&lt;=time,I84*Costs!AO84,"")</f>
        <v/>
      </c>
      <c r="AI84" s="316" t="str">
        <f>IF(AI$225&lt;=time,J84*Costs!AP84,"")</f>
        <v/>
      </c>
      <c r="AJ84" s="316" t="str">
        <f>IF(AJ$225&lt;=time,K84*Costs!AQ84,"")</f>
        <v/>
      </c>
      <c r="AK84" s="316" t="str">
        <f>IF(AK$225&lt;=time,L84*Costs!AR84,"")</f>
        <v/>
      </c>
      <c r="AL84" s="316" t="str">
        <f>IF(AL$225&lt;=time,M84*Costs!AS84,"")</f>
        <v/>
      </c>
      <c r="AM84" s="316" t="str">
        <f>IF(AM$225&lt;=time,N84*Costs!AT84,"")</f>
        <v/>
      </c>
      <c r="AN84" s="316" t="str">
        <f>IF(AN$225&lt;=time,O84*Costs!AU84,"")</f>
        <v/>
      </c>
      <c r="AO84" s="316" t="str">
        <f>IF(AO$225&lt;=time,P84*Costs!AV84,"")</f>
        <v/>
      </c>
      <c r="AP84" s="316" t="str">
        <f>IF(AP$225&lt;=time,Q84*Costs!AW84,"")</f>
        <v/>
      </c>
      <c r="AQ84" s="316" t="str">
        <f>IF(AQ$225&lt;=time,R84*Costs!AX84,"")</f>
        <v/>
      </c>
      <c r="AR84" s="316" t="str">
        <f>IF(AR$225&lt;=time,S84*Costs!AY84,"")</f>
        <v/>
      </c>
      <c r="AS84" s="316" t="str">
        <f>IF(AS$225&lt;=time,T84*Costs!AZ84,"")</f>
        <v/>
      </c>
      <c r="AT84" s="316" t="str">
        <f>IF(AT$225&lt;=time,U84*Costs!BA84,"")</f>
        <v/>
      </c>
      <c r="AU84" s="316" t="str">
        <f>IF(AU$225&lt;=time,V84*Costs!BB84,"")</f>
        <v/>
      </c>
      <c r="AV84" s="316" t="str">
        <f>IF(AV$225&lt;=time,W84*Costs!BC84,"")</f>
        <v/>
      </c>
      <c r="AW84" s="316" t="str">
        <f>IF(AW$225&lt;=time,X84*Costs!BD84,"")</f>
        <v/>
      </c>
      <c r="AX84" s="316" t="str">
        <f>IF(AX$225&lt;=time,Y84*Costs!BE84,"")</f>
        <v/>
      </c>
      <c r="AY84" s="316" t="str">
        <f>IF(AY$225&lt;=time,Z84*Costs!BF84,"")</f>
        <v/>
      </c>
      <c r="AZ84" s="317">
        <f t="array" ref="AZ84">(SUM( IF(ISERROR(AA84:AY84),"", AA84:AY84)))/time</f>
        <v>0</v>
      </c>
      <c r="BA84" s="317">
        <f t="shared" si="19"/>
        <v>0</v>
      </c>
      <c r="BB84" s="318">
        <f t="shared" si="20"/>
        <v>0</v>
      </c>
      <c r="BC84" s="319">
        <v>7</v>
      </c>
      <c r="BE84" s="208" t="e">
        <f t="array" ref="BE84">STDEV(IF(AA84:AY84&lt;&gt;0,AA84:AY84))</f>
        <v>#DIV/0!</v>
      </c>
      <c r="BF84" s="208">
        <v>1.96</v>
      </c>
      <c r="BG84" s="208" t="e">
        <f t="shared" si="21"/>
        <v>#DIV/0!</v>
      </c>
      <c r="BH84" s="208">
        <f t="shared" si="22"/>
        <v>0</v>
      </c>
    </row>
    <row r="85" spans="1:60" hidden="1">
      <c r="A85" s="322" t="str">
        <f>Costs!A85</f>
        <v>Supplies 8</v>
      </c>
      <c r="B85" s="313"/>
      <c r="C85" s="313"/>
      <c r="D85" s="313"/>
      <c r="E85" s="313"/>
      <c r="F85" s="313"/>
      <c r="G85" s="313"/>
      <c r="H85" s="313"/>
      <c r="I85" s="313"/>
      <c r="J85" s="313"/>
      <c r="K85" s="313"/>
      <c r="L85" s="313"/>
      <c r="M85" s="313"/>
      <c r="N85" s="313"/>
      <c r="O85" s="313"/>
      <c r="P85" s="313"/>
      <c r="Q85" s="313"/>
      <c r="R85" s="313"/>
      <c r="S85" s="313"/>
      <c r="T85" s="313"/>
      <c r="U85" s="313"/>
      <c r="V85" s="313"/>
      <c r="W85" s="313"/>
      <c r="X85" s="313"/>
      <c r="Y85" s="313"/>
      <c r="Z85" s="314"/>
      <c r="AA85" s="315">
        <f>IF(AA$225&lt;=time,B85*Costs!AH85,"")</f>
        <v>0</v>
      </c>
      <c r="AB85" s="316">
        <f>IF(AB$225&lt;=time,C85*Costs!AI85,"")</f>
        <v>0</v>
      </c>
      <c r="AC85" s="316">
        <f>IF(AC$225&lt;=time,D85*Costs!AJ85,"")</f>
        <v>0</v>
      </c>
      <c r="AD85" s="316">
        <f>IF(AD$225&lt;=time,E85*Costs!AK85,"")</f>
        <v>0</v>
      </c>
      <c r="AE85" s="316">
        <f>IF(AE$225&lt;=time,F85*Costs!AL85,"")</f>
        <v>0</v>
      </c>
      <c r="AF85" s="316" t="str">
        <f>IF(AF$225&lt;=time,G85*Costs!AM85,"")</f>
        <v/>
      </c>
      <c r="AG85" s="316" t="str">
        <f>IF(AG$225&lt;=time,H85*Costs!AN85,"")</f>
        <v/>
      </c>
      <c r="AH85" s="316" t="str">
        <f>IF(AH$225&lt;=time,I85*Costs!AO85,"")</f>
        <v/>
      </c>
      <c r="AI85" s="316" t="str">
        <f>IF(AI$225&lt;=time,J85*Costs!AP85,"")</f>
        <v/>
      </c>
      <c r="AJ85" s="316" t="str">
        <f>IF(AJ$225&lt;=time,K85*Costs!AQ85,"")</f>
        <v/>
      </c>
      <c r="AK85" s="316" t="str">
        <f>IF(AK$225&lt;=time,L85*Costs!AR85,"")</f>
        <v/>
      </c>
      <c r="AL85" s="316" t="str">
        <f>IF(AL$225&lt;=time,M85*Costs!AS85,"")</f>
        <v/>
      </c>
      <c r="AM85" s="316" t="str">
        <f>IF(AM$225&lt;=time,N85*Costs!AT85,"")</f>
        <v/>
      </c>
      <c r="AN85" s="316" t="str">
        <f>IF(AN$225&lt;=time,O85*Costs!AU85,"")</f>
        <v/>
      </c>
      <c r="AO85" s="316" t="str">
        <f>IF(AO$225&lt;=time,P85*Costs!AV85,"")</f>
        <v/>
      </c>
      <c r="AP85" s="316" t="str">
        <f>IF(AP$225&lt;=time,Q85*Costs!AW85,"")</f>
        <v/>
      </c>
      <c r="AQ85" s="316" t="str">
        <f>IF(AQ$225&lt;=time,R85*Costs!AX85,"")</f>
        <v/>
      </c>
      <c r="AR85" s="316" t="str">
        <f>IF(AR$225&lt;=time,S85*Costs!AY85,"")</f>
        <v/>
      </c>
      <c r="AS85" s="316" t="str">
        <f>IF(AS$225&lt;=time,T85*Costs!AZ85,"")</f>
        <v/>
      </c>
      <c r="AT85" s="316" t="str">
        <f>IF(AT$225&lt;=time,U85*Costs!BA85,"")</f>
        <v/>
      </c>
      <c r="AU85" s="316" t="str">
        <f>IF(AU$225&lt;=time,V85*Costs!BB85,"")</f>
        <v/>
      </c>
      <c r="AV85" s="316" t="str">
        <f>IF(AV$225&lt;=time,W85*Costs!BC85,"")</f>
        <v/>
      </c>
      <c r="AW85" s="316" t="str">
        <f>IF(AW$225&lt;=time,X85*Costs!BD85,"")</f>
        <v/>
      </c>
      <c r="AX85" s="316" t="str">
        <f>IF(AX$225&lt;=time,Y85*Costs!BE85,"")</f>
        <v/>
      </c>
      <c r="AY85" s="316" t="str">
        <f>IF(AY$225&lt;=time,Z85*Costs!BF85,"")</f>
        <v/>
      </c>
      <c r="AZ85" s="317">
        <f t="array" ref="AZ85">(SUM( IF(ISERROR(AA85:AY85),"", AA85:AY85)))/time</f>
        <v>0</v>
      </c>
      <c r="BA85" s="317">
        <f t="shared" si="19"/>
        <v>0</v>
      </c>
      <c r="BB85" s="318">
        <f t="shared" si="20"/>
        <v>0</v>
      </c>
      <c r="BC85" s="319">
        <v>8</v>
      </c>
      <c r="BE85" s="208" t="e">
        <f t="array" ref="BE85">STDEV(IF(AA85:AY85&lt;&gt;0,AA85:AY85))</f>
        <v>#DIV/0!</v>
      </c>
      <c r="BF85" s="208">
        <v>1.96</v>
      </c>
      <c r="BG85" s="208" t="e">
        <f t="shared" si="21"/>
        <v>#DIV/0!</v>
      </c>
      <c r="BH85" s="208">
        <f t="shared" si="22"/>
        <v>0</v>
      </c>
    </row>
    <row r="86" spans="1:60" hidden="1">
      <c r="A86" s="322" t="str">
        <f>Costs!A86</f>
        <v>Supplies 9</v>
      </c>
      <c r="B86" s="313"/>
      <c r="C86" s="313"/>
      <c r="D86" s="313"/>
      <c r="E86" s="313"/>
      <c r="F86" s="313"/>
      <c r="G86" s="313"/>
      <c r="H86" s="313"/>
      <c r="I86" s="313"/>
      <c r="J86" s="313"/>
      <c r="K86" s="313"/>
      <c r="L86" s="313"/>
      <c r="M86" s="313"/>
      <c r="N86" s="313"/>
      <c r="O86" s="313"/>
      <c r="P86" s="313"/>
      <c r="Q86" s="313"/>
      <c r="R86" s="313"/>
      <c r="S86" s="313"/>
      <c r="T86" s="313"/>
      <c r="U86" s="313"/>
      <c r="V86" s="313"/>
      <c r="W86" s="313"/>
      <c r="X86" s="313"/>
      <c r="Y86" s="313"/>
      <c r="Z86" s="314"/>
      <c r="AA86" s="315">
        <f>IF(AA$225&lt;=time,B86*Costs!AH86,"")</f>
        <v>0</v>
      </c>
      <c r="AB86" s="316">
        <f>IF(AB$225&lt;=time,C86*Costs!AI86,"")</f>
        <v>0</v>
      </c>
      <c r="AC86" s="316">
        <f>IF(AC$225&lt;=time,D86*Costs!AJ86,"")</f>
        <v>0</v>
      </c>
      <c r="AD86" s="316">
        <f>IF(AD$225&lt;=time,E86*Costs!AK86,"")</f>
        <v>0</v>
      </c>
      <c r="AE86" s="316">
        <f>IF(AE$225&lt;=time,F86*Costs!AL86,"")</f>
        <v>0</v>
      </c>
      <c r="AF86" s="316" t="str">
        <f>IF(AF$225&lt;=time,G86*Costs!AM86,"")</f>
        <v/>
      </c>
      <c r="AG86" s="316" t="str">
        <f>IF(AG$225&lt;=time,H86*Costs!AN86,"")</f>
        <v/>
      </c>
      <c r="AH86" s="316" t="str">
        <f>IF(AH$225&lt;=time,I86*Costs!AO86,"")</f>
        <v/>
      </c>
      <c r="AI86" s="316" t="str">
        <f>IF(AI$225&lt;=time,J86*Costs!AP86,"")</f>
        <v/>
      </c>
      <c r="AJ86" s="316" t="str">
        <f>IF(AJ$225&lt;=time,K86*Costs!AQ86,"")</f>
        <v/>
      </c>
      <c r="AK86" s="316" t="str">
        <f>IF(AK$225&lt;=time,L86*Costs!AR86,"")</f>
        <v/>
      </c>
      <c r="AL86" s="316" t="str">
        <f>IF(AL$225&lt;=time,M86*Costs!AS86,"")</f>
        <v/>
      </c>
      <c r="AM86" s="316" t="str">
        <f>IF(AM$225&lt;=time,N86*Costs!AT86,"")</f>
        <v/>
      </c>
      <c r="AN86" s="316" t="str">
        <f>IF(AN$225&lt;=time,O86*Costs!AU86,"")</f>
        <v/>
      </c>
      <c r="AO86" s="316" t="str">
        <f>IF(AO$225&lt;=time,P86*Costs!AV86,"")</f>
        <v/>
      </c>
      <c r="AP86" s="316" t="str">
        <f>IF(AP$225&lt;=time,Q86*Costs!AW86,"")</f>
        <v/>
      </c>
      <c r="AQ86" s="316" t="str">
        <f>IF(AQ$225&lt;=time,R86*Costs!AX86,"")</f>
        <v/>
      </c>
      <c r="AR86" s="316" t="str">
        <f>IF(AR$225&lt;=time,S86*Costs!AY86,"")</f>
        <v/>
      </c>
      <c r="AS86" s="316" t="str">
        <f>IF(AS$225&lt;=time,T86*Costs!AZ86,"")</f>
        <v/>
      </c>
      <c r="AT86" s="316" t="str">
        <f>IF(AT$225&lt;=time,U86*Costs!BA86,"")</f>
        <v/>
      </c>
      <c r="AU86" s="316" t="str">
        <f>IF(AU$225&lt;=time,V86*Costs!BB86,"")</f>
        <v/>
      </c>
      <c r="AV86" s="316" t="str">
        <f>IF(AV$225&lt;=time,W86*Costs!BC86,"")</f>
        <v/>
      </c>
      <c r="AW86" s="316" t="str">
        <f>IF(AW$225&lt;=time,X86*Costs!BD86,"")</f>
        <v/>
      </c>
      <c r="AX86" s="316" t="str">
        <f>IF(AX$225&lt;=time,Y86*Costs!BE86,"")</f>
        <v/>
      </c>
      <c r="AY86" s="316" t="str">
        <f>IF(AY$225&lt;=time,Z86*Costs!BF86,"")</f>
        <v/>
      </c>
      <c r="AZ86" s="317">
        <f t="array" ref="AZ86">(SUM( IF(ISERROR(AA86:AY86),"", AA86:AY86)))/time</f>
        <v>0</v>
      </c>
      <c r="BA86" s="317">
        <f t="shared" si="19"/>
        <v>0</v>
      </c>
      <c r="BB86" s="318">
        <f t="shared" si="20"/>
        <v>0</v>
      </c>
      <c r="BC86" s="319">
        <v>9</v>
      </c>
      <c r="BE86" s="208" t="e">
        <f t="array" ref="BE86">STDEV(IF(AA86:AY86&lt;&gt;0,AA86:AY86))</f>
        <v>#DIV/0!</v>
      </c>
      <c r="BF86" s="208">
        <v>1.96</v>
      </c>
      <c r="BG86" s="208" t="e">
        <f t="shared" si="21"/>
        <v>#DIV/0!</v>
      </c>
      <c r="BH86" s="208">
        <f t="shared" si="22"/>
        <v>0</v>
      </c>
    </row>
    <row r="87" spans="1:60" hidden="1">
      <c r="A87" s="322" t="str">
        <f>Costs!A87</f>
        <v>Supplies 10</v>
      </c>
      <c r="B87" s="313"/>
      <c r="C87" s="313"/>
      <c r="D87" s="313"/>
      <c r="E87" s="313"/>
      <c r="F87" s="313"/>
      <c r="G87" s="313"/>
      <c r="H87" s="313"/>
      <c r="I87" s="313"/>
      <c r="J87" s="313"/>
      <c r="K87" s="313"/>
      <c r="L87" s="313"/>
      <c r="M87" s="313"/>
      <c r="N87" s="313"/>
      <c r="O87" s="313"/>
      <c r="P87" s="313"/>
      <c r="Q87" s="313"/>
      <c r="R87" s="313"/>
      <c r="S87" s="313"/>
      <c r="T87" s="313"/>
      <c r="U87" s="313"/>
      <c r="V87" s="313"/>
      <c r="W87" s="313"/>
      <c r="X87" s="313"/>
      <c r="Y87" s="313"/>
      <c r="Z87" s="314"/>
      <c r="AA87" s="315">
        <f>IF(AA$225&lt;=time,B87*Costs!AH87,"")</f>
        <v>0</v>
      </c>
      <c r="AB87" s="316">
        <f>IF(AB$225&lt;=time,C87*Costs!AI87,"")</f>
        <v>0</v>
      </c>
      <c r="AC87" s="316">
        <f>IF(AC$225&lt;=time,D87*Costs!AJ87,"")</f>
        <v>0</v>
      </c>
      <c r="AD87" s="316">
        <f>IF(AD$225&lt;=time,E87*Costs!AK87,"")</f>
        <v>0</v>
      </c>
      <c r="AE87" s="316">
        <f>IF(AE$225&lt;=time,F87*Costs!AL87,"")</f>
        <v>0</v>
      </c>
      <c r="AF87" s="316" t="str">
        <f>IF(AF$225&lt;=time,G87*Costs!AM87,"")</f>
        <v/>
      </c>
      <c r="AG87" s="316" t="str">
        <f>IF(AG$225&lt;=time,H87*Costs!AN87,"")</f>
        <v/>
      </c>
      <c r="AH87" s="316" t="str">
        <f>IF(AH$225&lt;=time,I87*Costs!AO87,"")</f>
        <v/>
      </c>
      <c r="AI87" s="316" t="str">
        <f>IF(AI$225&lt;=time,J87*Costs!AP87,"")</f>
        <v/>
      </c>
      <c r="AJ87" s="316" t="str">
        <f>IF(AJ$225&lt;=time,K87*Costs!AQ87,"")</f>
        <v/>
      </c>
      <c r="AK87" s="316" t="str">
        <f>IF(AK$225&lt;=time,L87*Costs!AR87,"")</f>
        <v/>
      </c>
      <c r="AL87" s="316" t="str">
        <f>IF(AL$225&lt;=time,M87*Costs!AS87,"")</f>
        <v/>
      </c>
      <c r="AM87" s="316" t="str">
        <f>IF(AM$225&lt;=time,N87*Costs!AT87,"")</f>
        <v/>
      </c>
      <c r="AN87" s="316" t="str">
        <f>IF(AN$225&lt;=time,O87*Costs!AU87,"")</f>
        <v/>
      </c>
      <c r="AO87" s="316" t="str">
        <f>IF(AO$225&lt;=time,P87*Costs!AV87,"")</f>
        <v/>
      </c>
      <c r="AP87" s="316" t="str">
        <f>IF(AP$225&lt;=time,Q87*Costs!AW87,"")</f>
        <v/>
      </c>
      <c r="AQ87" s="316" t="str">
        <f>IF(AQ$225&lt;=time,R87*Costs!AX87,"")</f>
        <v/>
      </c>
      <c r="AR87" s="316" t="str">
        <f>IF(AR$225&lt;=time,S87*Costs!AY87,"")</f>
        <v/>
      </c>
      <c r="AS87" s="316" t="str">
        <f>IF(AS$225&lt;=time,T87*Costs!AZ87,"")</f>
        <v/>
      </c>
      <c r="AT87" s="316" t="str">
        <f>IF(AT$225&lt;=time,U87*Costs!BA87,"")</f>
        <v/>
      </c>
      <c r="AU87" s="316" t="str">
        <f>IF(AU$225&lt;=time,V87*Costs!BB87,"")</f>
        <v/>
      </c>
      <c r="AV87" s="316" t="str">
        <f>IF(AV$225&lt;=time,W87*Costs!BC87,"")</f>
        <v/>
      </c>
      <c r="AW87" s="316" t="str">
        <f>IF(AW$225&lt;=time,X87*Costs!BD87,"")</f>
        <v/>
      </c>
      <c r="AX87" s="316" t="str">
        <f>IF(AX$225&lt;=time,Y87*Costs!BE87,"")</f>
        <v/>
      </c>
      <c r="AY87" s="316" t="str">
        <f>IF(AY$225&lt;=time,Z87*Costs!BF87,"")</f>
        <v/>
      </c>
      <c r="AZ87" s="317">
        <f t="array" ref="AZ87">(SUM( IF(ISERROR(AA87:AY87),"", AA87:AY87)))/time</f>
        <v>0</v>
      </c>
      <c r="BA87" s="317">
        <f t="shared" si="19"/>
        <v>0</v>
      </c>
      <c r="BB87" s="318">
        <f t="shared" si="20"/>
        <v>0</v>
      </c>
      <c r="BC87" s="319">
        <v>10</v>
      </c>
      <c r="BE87" s="208" t="e">
        <f t="array" ref="BE87">STDEV(IF(AA87:AY87&lt;&gt;0,AA87:AY87))</f>
        <v>#DIV/0!</v>
      </c>
      <c r="BF87" s="208">
        <v>1.96</v>
      </c>
      <c r="BG87" s="208" t="e">
        <f t="shared" si="21"/>
        <v>#DIV/0!</v>
      </c>
      <c r="BH87" s="208">
        <f t="shared" si="22"/>
        <v>0</v>
      </c>
    </row>
    <row r="88" spans="1:60" s="11" customFormat="1">
      <c r="A88" s="233" t="s">
        <v>286</v>
      </c>
      <c r="B88" s="96"/>
      <c r="C88" s="96"/>
      <c r="D88" s="96"/>
      <c r="E88" s="96"/>
      <c r="F88" s="96"/>
      <c r="G88" s="96"/>
      <c r="H88" s="96"/>
      <c r="I88" s="96"/>
      <c r="J88" s="96"/>
      <c r="K88" s="96"/>
      <c r="L88" s="96"/>
      <c r="M88" s="96"/>
      <c r="N88" s="96"/>
      <c r="O88" s="96"/>
      <c r="P88" s="96"/>
      <c r="Q88" s="96"/>
      <c r="R88" s="96"/>
      <c r="S88" s="96"/>
      <c r="T88" s="96"/>
      <c r="U88" s="96"/>
      <c r="V88" s="96"/>
      <c r="W88" s="96"/>
      <c r="X88" s="96"/>
      <c r="Y88" s="96"/>
      <c r="Z88" s="321"/>
      <c r="AA88" s="233"/>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BB88" s="211"/>
    </row>
    <row r="89" spans="1:60">
      <c r="A89" s="32" t="str">
        <f>Costs!A89</f>
        <v>Services 1</v>
      </c>
      <c r="B89" s="865"/>
      <c r="C89" s="865"/>
      <c r="D89" s="865"/>
      <c r="E89" s="313"/>
      <c r="F89" s="313"/>
      <c r="G89" s="313"/>
      <c r="H89" s="313"/>
      <c r="I89" s="313"/>
      <c r="J89" s="313"/>
      <c r="K89" s="313"/>
      <c r="L89" s="313"/>
      <c r="M89" s="313"/>
      <c r="N89" s="313"/>
      <c r="O89" s="313"/>
      <c r="P89" s="313"/>
      <c r="Q89" s="313"/>
      <c r="R89" s="313"/>
      <c r="S89" s="313"/>
      <c r="T89" s="313"/>
      <c r="U89" s="313"/>
      <c r="V89" s="313"/>
      <c r="W89" s="313"/>
      <c r="X89" s="313"/>
      <c r="Y89" s="313"/>
      <c r="Z89" s="314"/>
      <c r="AA89" s="315">
        <f>IF(AA$225&lt;=time,B89*Costs!AH89,"")</f>
        <v>0</v>
      </c>
      <c r="AB89" s="316">
        <f>IF(AB$225&lt;=time,C89*Costs!AI89,"")</f>
        <v>0</v>
      </c>
      <c r="AC89" s="316">
        <f>IF(AC$225&lt;=time,D89*Costs!AJ89,"")</f>
        <v>0</v>
      </c>
      <c r="AD89" s="316">
        <f>IF(AD$225&lt;=time,E89*Costs!AK89,"")</f>
        <v>0</v>
      </c>
      <c r="AE89" s="316">
        <f>IF(AE$225&lt;=time,F89*Costs!AL89,"")</f>
        <v>0</v>
      </c>
      <c r="AF89" s="316" t="str">
        <f>IF(AF$225&lt;=time,G89*Costs!AM89,"")</f>
        <v/>
      </c>
      <c r="AG89" s="316" t="str">
        <f>IF(AG$225&lt;=time,H89*Costs!AN89,"")</f>
        <v/>
      </c>
      <c r="AH89" s="316" t="str">
        <f>IF(AH$225&lt;=time,I89*Costs!AO89,"")</f>
        <v/>
      </c>
      <c r="AI89" s="316" t="str">
        <f>IF(AI$225&lt;=time,J89*Costs!AP89,"")</f>
        <v/>
      </c>
      <c r="AJ89" s="316" t="str">
        <f>IF(AJ$225&lt;=time,K89*Costs!AQ89,"")</f>
        <v/>
      </c>
      <c r="AK89" s="316" t="str">
        <f>IF(AK$225&lt;=time,L89*Costs!AR89,"")</f>
        <v/>
      </c>
      <c r="AL89" s="316" t="str">
        <f>IF(AL$225&lt;=time,M89*Costs!AS89,"")</f>
        <v/>
      </c>
      <c r="AM89" s="316" t="str">
        <f>IF(AM$225&lt;=time,N89*Costs!AT89,"")</f>
        <v/>
      </c>
      <c r="AN89" s="316" t="str">
        <f>IF(AN$225&lt;=time,O89*Costs!AU89,"")</f>
        <v/>
      </c>
      <c r="AO89" s="316" t="str">
        <f>IF(AO$225&lt;=time,P89*Costs!AV89,"")</f>
        <v/>
      </c>
      <c r="AP89" s="316" t="str">
        <f>IF(AP$225&lt;=time,Q89*Costs!AW89,"")</f>
        <v/>
      </c>
      <c r="AQ89" s="316" t="str">
        <f>IF(AQ$225&lt;=time,R89*Costs!AX89,"")</f>
        <v/>
      </c>
      <c r="AR89" s="316" t="str">
        <f>IF(AR$225&lt;=time,S89*Costs!AY89,"")</f>
        <v/>
      </c>
      <c r="AS89" s="316" t="str">
        <f>IF(AS$225&lt;=time,T89*Costs!AZ89,"")</f>
        <v/>
      </c>
      <c r="AT89" s="316" t="str">
        <f>IF(AT$225&lt;=time,U89*Costs!BA89,"")</f>
        <v/>
      </c>
      <c r="AU89" s="316" t="str">
        <f>IF(AU$225&lt;=time,V89*Costs!BB89,"")</f>
        <v/>
      </c>
      <c r="AV89" s="316" t="str">
        <f>IF(AV$225&lt;=time,W89*Costs!BC89,"")</f>
        <v/>
      </c>
      <c r="AW89" s="316" t="str">
        <f>IF(AW$225&lt;=time,X89*Costs!BD89,"")</f>
        <v/>
      </c>
      <c r="AX89" s="316" t="str">
        <f>IF(AX$225&lt;=time,Y89*Costs!BE89,"")</f>
        <v/>
      </c>
      <c r="AY89" s="316" t="str">
        <f>IF(AY$225&lt;=time,Z89*Costs!BF89,"")</f>
        <v/>
      </c>
      <c r="AZ89" s="317">
        <f t="array" ref="AZ89">(SUM( IF(ISERROR(AA89:AY89),"", AA89:AY89)))/time</f>
        <v>0</v>
      </c>
      <c r="BA89" s="317">
        <f t="shared" si="19"/>
        <v>0</v>
      </c>
      <c r="BB89" s="318">
        <f t="shared" ref="BB89:BB98" si="23">IF(BH89&gt;0,AZ89+BG89,AZ89)</f>
        <v>0</v>
      </c>
      <c r="BC89" s="319">
        <v>1</v>
      </c>
      <c r="BE89" s="208" t="e">
        <f t="array" ref="BE89">STDEV(IF(AA89:AY89&lt;&gt;0,AA89:AY89))</f>
        <v>#DIV/0!</v>
      </c>
      <c r="BF89" s="208">
        <v>1.96</v>
      </c>
      <c r="BG89" s="208" t="e">
        <f t="shared" ref="BG89:BG98" si="24">(BF89*BE89)/(time^0.5)</f>
        <v>#DIV/0!</v>
      </c>
      <c r="BH89" s="208">
        <f t="shared" ref="BH89:BH98" si="25">IFERROR(BE89,0)</f>
        <v>0</v>
      </c>
    </row>
    <row r="90" spans="1:60" hidden="1">
      <c r="A90" s="322" t="str">
        <f>Costs!A90</f>
        <v>Services 2</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4"/>
      <c r="AA90" s="315">
        <f>IF(AA$225&lt;=time,B90*Costs!AH90,"")</f>
        <v>0</v>
      </c>
      <c r="AB90" s="316">
        <f>IF(AB$225&lt;=time,C90*Costs!AI90,"")</f>
        <v>0</v>
      </c>
      <c r="AC90" s="316">
        <f>IF(AC$225&lt;=time,D90*Costs!AJ90,"")</f>
        <v>0</v>
      </c>
      <c r="AD90" s="316">
        <f>IF(AD$225&lt;=time,E90*Costs!AK90,"")</f>
        <v>0</v>
      </c>
      <c r="AE90" s="316">
        <f>IF(AE$225&lt;=time,F90*Costs!AL90,"")</f>
        <v>0</v>
      </c>
      <c r="AF90" s="316" t="str">
        <f>IF(AF$225&lt;=time,G90*Costs!AM90,"")</f>
        <v/>
      </c>
      <c r="AG90" s="316" t="str">
        <f>IF(AG$225&lt;=time,H90*Costs!AN90,"")</f>
        <v/>
      </c>
      <c r="AH90" s="316" t="str">
        <f>IF(AH$225&lt;=time,I90*Costs!AO90,"")</f>
        <v/>
      </c>
      <c r="AI90" s="316" t="str">
        <f>IF(AI$225&lt;=time,J90*Costs!AP90,"")</f>
        <v/>
      </c>
      <c r="AJ90" s="316" t="str">
        <f>IF(AJ$225&lt;=time,K90*Costs!AQ90,"")</f>
        <v/>
      </c>
      <c r="AK90" s="316" t="str">
        <f>IF(AK$225&lt;=time,L90*Costs!AR90,"")</f>
        <v/>
      </c>
      <c r="AL90" s="316" t="str">
        <f>IF(AL$225&lt;=time,M90*Costs!AS90,"")</f>
        <v/>
      </c>
      <c r="AM90" s="316" t="str">
        <f>IF(AM$225&lt;=time,N90*Costs!AT90,"")</f>
        <v/>
      </c>
      <c r="AN90" s="316" t="str">
        <f>IF(AN$225&lt;=time,O90*Costs!AU90,"")</f>
        <v/>
      </c>
      <c r="AO90" s="316" t="str">
        <f>IF(AO$225&lt;=time,P90*Costs!AV90,"")</f>
        <v/>
      </c>
      <c r="AP90" s="316" t="str">
        <f>IF(AP$225&lt;=time,Q90*Costs!AW90,"")</f>
        <v/>
      </c>
      <c r="AQ90" s="316" t="str">
        <f>IF(AQ$225&lt;=time,R90*Costs!AX90,"")</f>
        <v/>
      </c>
      <c r="AR90" s="316" t="str">
        <f>IF(AR$225&lt;=time,S90*Costs!AY90,"")</f>
        <v/>
      </c>
      <c r="AS90" s="316" t="str">
        <f>IF(AS$225&lt;=time,T90*Costs!AZ90,"")</f>
        <v/>
      </c>
      <c r="AT90" s="316" t="str">
        <f>IF(AT$225&lt;=time,U90*Costs!BA90,"")</f>
        <v/>
      </c>
      <c r="AU90" s="316" t="str">
        <f>IF(AU$225&lt;=time,V90*Costs!BB90,"")</f>
        <v/>
      </c>
      <c r="AV90" s="316" t="str">
        <f>IF(AV$225&lt;=time,W90*Costs!BC90,"")</f>
        <v/>
      </c>
      <c r="AW90" s="316" t="str">
        <f>IF(AW$225&lt;=time,X90*Costs!BD90,"")</f>
        <v/>
      </c>
      <c r="AX90" s="316" t="str">
        <f>IF(AX$225&lt;=time,Y90*Costs!BE90,"")</f>
        <v/>
      </c>
      <c r="AY90" s="316" t="str">
        <f>IF(AY$225&lt;=time,Z90*Costs!BF90,"")</f>
        <v/>
      </c>
      <c r="AZ90" s="317">
        <f t="array" ref="AZ90">(SUM( IF(ISERROR(AA90:AY90),"", AA90:AY90)))/time</f>
        <v>0</v>
      </c>
      <c r="BA90" s="317">
        <f t="shared" si="19"/>
        <v>0</v>
      </c>
      <c r="BB90" s="318">
        <f t="shared" si="23"/>
        <v>0</v>
      </c>
      <c r="BC90" s="319">
        <v>2</v>
      </c>
      <c r="BE90" s="208" t="e">
        <f t="array" ref="BE90">STDEV(IF(AA90:AY90&lt;&gt;0,AA90:AY90))</f>
        <v>#DIV/0!</v>
      </c>
      <c r="BF90" s="208">
        <v>1.96</v>
      </c>
      <c r="BG90" s="208" t="e">
        <f t="shared" si="24"/>
        <v>#DIV/0!</v>
      </c>
      <c r="BH90" s="208">
        <f t="shared" si="25"/>
        <v>0</v>
      </c>
    </row>
    <row r="91" spans="1:60" hidden="1">
      <c r="A91" s="322" t="str">
        <f>Costs!A91</f>
        <v>Services 3</v>
      </c>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4"/>
      <c r="AA91" s="315">
        <f>IF(AA$225&lt;=time,B91*Costs!AH91,"")</f>
        <v>0</v>
      </c>
      <c r="AB91" s="316">
        <f>IF(AB$225&lt;=time,C91*Costs!AI91,"")</f>
        <v>0</v>
      </c>
      <c r="AC91" s="316">
        <f>IF(AC$225&lt;=time,D91*Costs!AJ91,"")</f>
        <v>0</v>
      </c>
      <c r="AD91" s="316">
        <f>IF(AD$225&lt;=time,E91*Costs!AK91,"")</f>
        <v>0</v>
      </c>
      <c r="AE91" s="316">
        <f>IF(AE$225&lt;=time,F91*Costs!AL91,"")</f>
        <v>0</v>
      </c>
      <c r="AF91" s="316" t="str">
        <f>IF(AF$225&lt;=time,G91*Costs!AM91,"")</f>
        <v/>
      </c>
      <c r="AG91" s="316" t="str">
        <f>IF(AG$225&lt;=time,H91*Costs!AN91,"")</f>
        <v/>
      </c>
      <c r="AH91" s="316" t="str">
        <f>IF(AH$225&lt;=time,I91*Costs!AO91,"")</f>
        <v/>
      </c>
      <c r="AI91" s="316" t="str">
        <f>IF(AI$225&lt;=time,J91*Costs!AP91,"")</f>
        <v/>
      </c>
      <c r="AJ91" s="316" t="str">
        <f>IF(AJ$225&lt;=time,K91*Costs!AQ91,"")</f>
        <v/>
      </c>
      <c r="AK91" s="316" t="str">
        <f>IF(AK$225&lt;=time,L91*Costs!AR91,"")</f>
        <v/>
      </c>
      <c r="AL91" s="316" t="str">
        <f>IF(AL$225&lt;=time,M91*Costs!AS91,"")</f>
        <v/>
      </c>
      <c r="AM91" s="316" t="str">
        <f>IF(AM$225&lt;=time,N91*Costs!AT91,"")</f>
        <v/>
      </c>
      <c r="AN91" s="316" t="str">
        <f>IF(AN$225&lt;=time,O91*Costs!AU91,"")</f>
        <v/>
      </c>
      <c r="AO91" s="316" t="str">
        <f>IF(AO$225&lt;=time,P91*Costs!AV91,"")</f>
        <v/>
      </c>
      <c r="AP91" s="316" t="str">
        <f>IF(AP$225&lt;=time,Q91*Costs!AW91,"")</f>
        <v/>
      </c>
      <c r="AQ91" s="316" t="str">
        <f>IF(AQ$225&lt;=time,R91*Costs!AX91,"")</f>
        <v/>
      </c>
      <c r="AR91" s="316" t="str">
        <f>IF(AR$225&lt;=time,S91*Costs!AY91,"")</f>
        <v/>
      </c>
      <c r="AS91" s="316" t="str">
        <f>IF(AS$225&lt;=time,T91*Costs!AZ91,"")</f>
        <v/>
      </c>
      <c r="AT91" s="316" t="str">
        <f>IF(AT$225&lt;=time,U91*Costs!BA91,"")</f>
        <v/>
      </c>
      <c r="AU91" s="316" t="str">
        <f>IF(AU$225&lt;=time,V91*Costs!BB91,"")</f>
        <v/>
      </c>
      <c r="AV91" s="316" t="str">
        <f>IF(AV$225&lt;=time,W91*Costs!BC91,"")</f>
        <v/>
      </c>
      <c r="AW91" s="316" t="str">
        <f>IF(AW$225&lt;=time,X91*Costs!BD91,"")</f>
        <v/>
      </c>
      <c r="AX91" s="316" t="str">
        <f>IF(AX$225&lt;=time,Y91*Costs!BE91,"")</f>
        <v/>
      </c>
      <c r="AY91" s="316" t="str">
        <f>IF(AY$225&lt;=time,Z91*Costs!BF91,"")</f>
        <v/>
      </c>
      <c r="AZ91" s="317">
        <f t="array" ref="AZ91">(SUM( IF(ISERROR(AA91:AY91),"", AA91:AY91)))/time</f>
        <v>0</v>
      </c>
      <c r="BA91" s="317">
        <f t="shared" si="19"/>
        <v>0</v>
      </c>
      <c r="BB91" s="318">
        <f t="shared" si="23"/>
        <v>0</v>
      </c>
      <c r="BC91" s="319">
        <v>3</v>
      </c>
      <c r="BE91" s="208" t="e">
        <f t="array" ref="BE91">STDEV(IF(AA91:AY91&lt;&gt;0,AA91:AY91))</f>
        <v>#DIV/0!</v>
      </c>
      <c r="BF91" s="208">
        <v>1.96</v>
      </c>
      <c r="BG91" s="208" t="e">
        <f t="shared" si="24"/>
        <v>#DIV/0!</v>
      </c>
      <c r="BH91" s="208">
        <f t="shared" si="25"/>
        <v>0</v>
      </c>
    </row>
    <row r="92" spans="1:60" hidden="1">
      <c r="A92" s="322" t="str">
        <f>Costs!A92</f>
        <v>Services 4</v>
      </c>
      <c r="B92" s="313"/>
      <c r="C92" s="313"/>
      <c r="D92" s="313"/>
      <c r="E92" s="313"/>
      <c r="F92" s="313"/>
      <c r="G92" s="313"/>
      <c r="H92" s="313"/>
      <c r="I92" s="313"/>
      <c r="J92" s="313"/>
      <c r="K92" s="313"/>
      <c r="L92" s="313"/>
      <c r="M92" s="313"/>
      <c r="N92" s="313"/>
      <c r="O92" s="313"/>
      <c r="P92" s="313"/>
      <c r="Q92" s="313"/>
      <c r="R92" s="313"/>
      <c r="S92" s="313"/>
      <c r="T92" s="313"/>
      <c r="U92" s="313"/>
      <c r="V92" s="313"/>
      <c r="W92" s="313"/>
      <c r="X92" s="313"/>
      <c r="Y92" s="313"/>
      <c r="Z92" s="314"/>
      <c r="AA92" s="315">
        <f>IF(AA$225&lt;=time,B92*Costs!AH92,"")</f>
        <v>0</v>
      </c>
      <c r="AB92" s="316">
        <f>IF(AB$225&lt;=time,C92*Costs!AI92,"")</f>
        <v>0</v>
      </c>
      <c r="AC92" s="316">
        <f>IF(AC$225&lt;=time,D92*Costs!AJ92,"")</f>
        <v>0</v>
      </c>
      <c r="AD92" s="316">
        <f>IF(AD$225&lt;=time,E92*Costs!AK92,"")</f>
        <v>0</v>
      </c>
      <c r="AE92" s="316">
        <f>IF(AE$225&lt;=time,F92*Costs!AL92,"")</f>
        <v>0</v>
      </c>
      <c r="AF92" s="316" t="str">
        <f>IF(AF$225&lt;=time,G92*Costs!AM92,"")</f>
        <v/>
      </c>
      <c r="AG92" s="316" t="str">
        <f>IF(AG$225&lt;=time,H92*Costs!AN92,"")</f>
        <v/>
      </c>
      <c r="AH92" s="316" t="str">
        <f>IF(AH$225&lt;=time,I92*Costs!AO92,"")</f>
        <v/>
      </c>
      <c r="AI92" s="316" t="str">
        <f>IF(AI$225&lt;=time,J92*Costs!AP92,"")</f>
        <v/>
      </c>
      <c r="AJ92" s="316" t="str">
        <f>IF(AJ$225&lt;=time,K92*Costs!AQ92,"")</f>
        <v/>
      </c>
      <c r="AK92" s="316" t="str">
        <f>IF(AK$225&lt;=time,L92*Costs!AR92,"")</f>
        <v/>
      </c>
      <c r="AL92" s="316" t="str">
        <f>IF(AL$225&lt;=time,M92*Costs!AS92,"")</f>
        <v/>
      </c>
      <c r="AM92" s="316" t="str">
        <f>IF(AM$225&lt;=time,N92*Costs!AT92,"")</f>
        <v/>
      </c>
      <c r="AN92" s="316" t="str">
        <f>IF(AN$225&lt;=time,O92*Costs!AU92,"")</f>
        <v/>
      </c>
      <c r="AO92" s="316" t="str">
        <f>IF(AO$225&lt;=time,P92*Costs!AV92,"")</f>
        <v/>
      </c>
      <c r="AP92" s="316" t="str">
        <f>IF(AP$225&lt;=time,Q92*Costs!AW92,"")</f>
        <v/>
      </c>
      <c r="AQ92" s="316" t="str">
        <f>IF(AQ$225&lt;=time,R92*Costs!AX92,"")</f>
        <v/>
      </c>
      <c r="AR92" s="316" t="str">
        <f>IF(AR$225&lt;=time,S92*Costs!AY92,"")</f>
        <v/>
      </c>
      <c r="AS92" s="316" t="str">
        <f>IF(AS$225&lt;=time,T92*Costs!AZ92,"")</f>
        <v/>
      </c>
      <c r="AT92" s="316" t="str">
        <f>IF(AT$225&lt;=time,U92*Costs!BA92,"")</f>
        <v/>
      </c>
      <c r="AU92" s="316" t="str">
        <f>IF(AU$225&lt;=time,V92*Costs!BB92,"")</f>
        <v/>
      </c>
      <c r="AV92" s="316" t="str">
        <f>IF(AV$225&lt;=time,W92*Costs!BC92,"")</f>
        <v/>
      </c>
      <c r="AW92" s="316" t="str">
        <f>IF(AW$225&lt;=time,X92*Costs!BD92,"")</f>
        <v/>
      </c>
      <c r="AX92" s="316" t="str">
        <f>IF(AX$225&lt;=time,Y92*Costs!BE92,"")</f>
        <v/>
      </c>
      <c r="AY92" s="316" t="str">
        <f>IF(AY$225&lt;=time,Z92*Costs!BF92,"")</f>
        <v/>
      </c>
      <c r="AZ92" s="317">
        <f t="array" ref="AZ92">(SUM( IF(ISERROR(AA92:AY92),"", AA92:AY92)))/time</f>
        <v>0</v>
      </c>
      <c r="BA92" s="317">
        <f t="shared" si="19"/>
        <v>0</v>
      </c>
      <c r="BB92" s="318">
        <f t="shared" si="23"/>
        <v>0</v>
      </c>
      <c r="BC92" s="319">
        <v>4</v>
      </c>
      <c r="BE92" s="208" t="e">
        <f t="array" ref="BE92">STDEV(IF(AA92:AY92&lt;&gt;0,AA92:AY92))</f>
        <v>#DIV/0!</v>
      </c>
      <c r="BF92" s="208">
        <v>1.96</v>
      </c>
      <c r="BG92" s="208" t="e">
        <f t="shared" si="24"/>
        <v>#DIV/0!</v>
      </c>
      <c r="BH92" s="208">
        <f t="shared" si="25"/>
        <v>0</v>
      </c>
    </row>
    <row r="93" spans="1:60" hidden="1">
      <c r="A93" s="322" t="str">
        <f>Costs!A93</f>
        <v>Services 5</v>
      </c>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4"/>
      <c r="AA93" s="315">
        <f>IF(AA$225&lt;=time,B93*Costs!AH93,"")</f>
        <v>0</v>
      </c>
      <c r="AB93" s="316">
        <f>IF(AB$225&lt;=time,C93*Costs!AI93,"")</f>
        <v>0</v>
      </c>
      <c r="AC93" s="316">
        <f>IF(AC$225&lt;=time,D93*Costs!AJ93,"")</f>
        <v>0</v>
      </c>
      <c r="AD93" s="316">
        <f>IF(AD$225&lt;=time,E93*Costs!AK93,"")</f>
        <v>0</v>
      </c>
      <c r="AE93" s="316">
        <f>IF(AE$225&lt;=time,F93*Costs!AL93,"")</f>
        <v>0</v>
      </c>
      <c r="AF93" s="316" t="str">
        <f>IF(AF$225&lt;=time,G93*Costs!AM93,"")</f>
        <v/>
      </c>
      <c r="AG93" s="316" t="str">
        <f>IF(AG$225&lt;=time,H93*Costs!AN93,"")</f>
        <v/>
      </c>
      <c r="AH93" s="316" t="str">
        <f>IF(AH$225&lt;=time,I93*Costs!AO93,"")</f>
        <v/>
      </c>
      <c r="AI93" s="316" t="str">
        <f>IF(AI$225&lt;=time,J93*Costs!AP93,"")</f>
        <v/>
      </c>
      <c r="AJ93" s="316" t="str">
        <f>IF(AJ$225&lt;=time,K93*Costs!AQ93,"")</f>
        <v/>
      </c>
      <c r="AK93" s="316" t="str">
        <f>IF(AK$225&lt;=time,L93*Costs!AR93,"")</f>
        <v/>
      </c>
      <c r="AL93" s="316" t="str">
        <f>IF(AL$225&lt;=time,M93*Costs!AS93,"")</f>
        <v/>
      </c>
      <c r="AM93" s="316" t="str">
        <f>IF(AM$225&lt;=time,N93*Costs!AT93,"")</f>
        <v/>
      </c>
      <c r="AN93" s="316" t="str">
        <f>IF(AN$225&lt;=time,O93*Costs!AU93,"")</f>
        <v/>
      </c>
      <c r="AO93" s="316" t="str">
        <f>IF(AO$225&lt;=time,P93*Costs!AV93,"")</f>
        <v/>
      </c>
      <c r="AP93" s="316" t="str">
        <f>IF(AP$225&lt;=time,Q93*Costs!AW93,"")</f>
        <v/>
      </c>
      <c r="AQ93" s="316" t="str">
        <f>IF(AQ$225&lt;=time,R93*Costs!AX93,"")</f>
        <v/>
      </c>
      <c r="AR93" s="316" t="str">
        <f>IF(AR$225&lt;=time,S93*Costs!AY93,"")</f>
        <v/>
      </c>
      <c r="AS93" s="316" t="str">
        <f>IF(AS$225&lt;=time,T93*Costs!AZ93,"")</f>
        <v/>
      </c>
      <c r="AT93" s="316" t="str">
        <f>IF(AT$225&lt;=time,U93*Costs!BA93,"")</f>
        <v/>
      </c>
      <c r="AU93" s="316" t="str">
        <f>IF(AU$225&lt;=time,V93*Costs!BB93,"")</f>
        <v/>
      </c>
      <c r="AV93" s="316" t="str">
        <f>IF(AV$225&lt;=time,W93*Costs!BC93,"")</f>
        <v/>
      </c>
      <c r="AW93" s="316" t="str">
        <f>IF(AW$225&lt;=time,X93*Costs!BD93,"")</f>
        <v/>
      </c>
      <c r="AX93" s="316" t="str">
        <f>IF(AX$225&lt;=time,Y93*Costs!BE93,"")</f>
        <v/>
      </c>
      <c r="AY93" s="316" t="str">
        <f>IF(AY$225&lt;=time,Z93*Costs!BF93,"")</f>
        <v/>
      </c>
      <c r="AZ93" s="317">
        <f t="array" ref="AZ93">(SUM( IF(ISERROR(AA93:AY93),"", AA93:AY93)))/time</f>
        <v>0</v>
      </c>
      <c r="BA93" s="317">
        <f t="shared" si="19"/>
        <v>0</v>
      </c>
      <c r="BB93" s="318">
        <f t="shared" si="23"/>
        <v>0</v>
      </c>
      <c r="BC93" s="319">
        <v>5</v>
      </c>
      <c r="BE93" s="208" t="e">
        <f t="array" ref="BE93">STDEV(IF(AA93:AY93&lt;&gt;0,AA93:AY93))</f>
        <v>#DIV/0!</v>
      </c>
      <c r="BF93" s="208">
        <v>1.96</v>
      </c>
      <c r="BG93" s="208" t="e">
        <f t="shared" si="24"/>
        <v>#DIV/0!</v>
      </c>
      <c r="BH93" s="208">
        <f t="shared" si="25"/>
        <v>0</v>
      </c>
    </row>
    <row r="94" spans="1:60" hidden="1">
      <c r="A94" s="322" t="str">
        <f>Costs!A94</f>
        <v>Services 6</v>
      </c>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4"/>
      <c r="AA94" s="315">
        <f>IF(AA$225&lt;=time,B94*Costs!AH94,"")</f>
        <v>0</v>
      </c>
      <c r="AB94" s="316">
        <f>IF(AB$225&lt;=time,C94*Costs!AI94,"")</f>
        <v>0</v>
      </c>
      <c r="AC94" s="316">
        <f>IF(AC$225&lt;=time,D94*Costs!AJ94,"")</f>
        <v>0</v>
      </c>
      <c r="AD94" s="316">
        <f>IF(AD$225&lt;=time,E94*Costs!AK94,"")</f>
        <v>0</v>
      </c>
      <c r="AE94" s="316">
        <f>IF(AE$225&lt;=time,F94*Costs!AL94,"")</f>
        <v>0</v>
      </c>
      <c r="AF94" s="316" t="str">
        <f>IF(AF$225&lt;=time,G94*Costs!AM94,"")</f>
        <v/>
      </c>
      <c r="AG94" s="316" t="str">
        <f>IF(AG$225&lt;=time,H94*Costs!AN94,"")</f>
        <v/>
      </c>
      <c r="AH94" s="316" t="str">
        <f>IF(AH$225&lt;=time,I94*Costs!AO94,"")</f>
        <v/>
      </c>
      <c r="AI94" s="316" t="str">
        <f>IF(AI$225&lt;=time,J94*Costs!AP94,"")</f>
        <v/>
      </c>
      <c r="AJ94" s="316" t="str">
        <f>IF(AJ$225&lt;=time,K94*Costs!AQ94,"")</f>
        <v/>
      </c>
      <c r="AK94" s="316" t="str">
        <f>IF(AK$225&lt;=time,L94*Costs!AR94,"")</f>
        <v/>
      </c>
      <c r="AL94" s="316" t="str">
        <f>IF(AL$225&lt;=time,M94*Costs!AS94,"")</f>
        <v/>
      </c>
      <c r="AM94" s="316" t="str">
        <f>IF(AM$225&lt;=time,N94*Costs!AT94,"")</f>
        <v/>
      </c>
      <c r="AN94" s="316" t="str">
        <f>IF(AN$225&lt;=time,O94*Costs!AU94,"")</f>
        <v/>
      </c>
      <c r="AO94" s="316" t="str">
        <f>IF(AO$225&lt;=time,P94*Costs!AV94,"")</f>
        <v/>
      </c>
      <c r="AP94" s="316" t="str">
        <f>IF(AP$225&lt;=time,Q94*Costs!AW94,"")</f>
        <v/>
      </c>
      <c r="AQ94" s="316" t="str">
        <f>IF(AQ$225&lt;=time,R94*Costs!AX94,"")</f>
        <v/>
      </c>
      <c r="AR94" s="316" t="str">
        <f>IF(AR$225&lt;=time,S94*Costs!AY94,"")</f>
        <v/>
      </c>
      <c r="AS94" s="316" t="str">
        <f>IF(AS$225&lt;=time,T94*Costs!AZ94,"")</f>
        <v/>
      </c>
      <c r="AT94" s="316" t="str">
        <f>IF(AT$225&lt;=time,U94*Costs!BA94,"")</f>
        <v/>
      </c>
      <c r="AU94" s="316" t="str">
        <f>IF(AU$225&lt;=time,V94*Costs!BB94,"")</f>
        <v/>
      </c>
      <c r="AV94" s="316" t="str">
        <f>IF(AV$225&lt;=time,W94*Costs!BC94,"")</f>
        <v/>
      </c>
      <c r="AW94" s="316" t="str">
        <f>IF(AW$225&lt;=time,X94*Costs!BD94,"")</f>
        <v/>
      </c>
      <c r="AX94" s="316" t="str">
        <f>IF(AX$225&lt;=time,Y94*Costs!BE94,"")</f>
        <v/>
      </c>
      <c r="AY94" s="316" t="str">
        <f>IF(AY$225&lt;=time,Z94*Costs!BF94,"")</f>
        <v/>
      </c>
      <c r="AZ94" s="317">
        <f t="array" ref="AZ94">(SUM( IF(ISERROR(AA94:AY94),"", AA94:AY94)))/time</f>
        <v>0</v>
      </c>
      <c r="BA94" s="317">
        <f t="shared" si="19"/>
        <v>0</v>
      </c>
      <c r="BB94" s="318">
        <f t="shared" si="23"/>
        <v>0</v>
      </c>
      <c r="BC94" s="319">
        <v>6</v>
      </c>
      <c r="BE94" s="208" t="e">
        <f t="array" ref="BE94">STDEV(IF(AA94:AY94&lt;&gt;0,AA94:AY94))</f>
        <v>#DIV/0!</v>
      </c>
      <c r="BF94" s="208">
        <v>1.96</v>
      </c>
      <c r="BG94" s="208" t="e">
        <f t="shared" si="24"/>
        <v>#DIV/0!</v>
      </c>
      <c r="BH94" s="208">
        <f t="shared" si="25"/>
        <v>0</v>
      </c>
    </row>
    <row r="95" spans="1:60" hidden="1">
      <c r="A95" s="322" t="str">
        <f>Costs!A95</f>
        <v>Services 7</v>
      </c>
      <c r="B95" s="313"/>
      <c r="C95" s="313"/>
      <c r="D95" s="313"/>
      <c r="E95" s="313"/>
      <c r="F95" s="313"/>
      <c r="G95" s="313"/>
      <c r="H95" s="313"/>
      <c r="I95" s="313"/>
      <c r="J95" s="313"/>
      <c r="K95" s="313"/>
      <c r="L95" s="313"/>
      <c r="M95" s="313"/>
      <c r="N95" s="313"/>
      <c r="O95" s="313"/>
      <c r="P95" s="313"/>
      <c r="Q95" s="313"/>
      <c r="R95" s="313"/>
      <c r="S95" s="313"/>
      <c r="T95" s="313"/>
      <c r="U95" s="313"/>
      <c r="V95" s="313"/>
      <c r="W95" s="313"/>
      <c r="X95" s="313"/>
      <c r="Y95" s="313"/>
      <c r="Z95" s="314"/>
      <c r="AA95" s="315">
        <f>IF(AA$225&lt;=time,B95*Costs!AH95,"")</f>
        <v>0</v>
      </c>
      <c r="AB95" s="316">
        <f>IF(AB$225&lt;=time,C95*Costs!AI95,"")</f>
        <v>0</v>
      </c>
      <c r="AC95" s="316">
        <f>IF(AC$225&lt;=time,D95*Costs!AJ95,"")</f>
        <v>0</v>
      </c>
      <c r="AD95" s="316">
        <f>IF(AD$225&lt;=time,E95*Costs!AK95,"")</f>
        <v>0</v>
      </c>
      <c r="AE95" s="316">
        <f>IF(AE$225&lt;=time,F95*Costs!AL95,"")</f>
        <v>0</v>
      </c>
      <c r="AF95" s="316" t="str">
        <f>IF(AF$225&lt;=time,G95*Costs!AM95,"")</f>
        <v/>
      </c>
      <c r="AG95" s="316" t="str">
        <f>IF(AG$225&lt;=time,H95*Costs!AN95,"")</f>
        <v/>
      </c>
      <c r="AH95" s="316" t="str">
        <f>IF(AH$225&lt;=time,I95*Costs!AO95,"")</f>
        <v/>
      </c>
      <c r="AI95" s="316" t="str">
        <f>IF(AI$225&lt;=time,J95*Costs!AP95,"")</f>
        <v/>
      </c>
      <c r="AJ95" s="316" t="str">
        <f>IF(AJ$225&lt;=time,K95*Costs!AQ95,"")</f>
        <v/>
      </c>
      <c r="AK95" s="316" t="str">
        <f>IF(AK$225&lt;=time,L95*Costs!AR95,"")</f>
        <v/>
      </c>
      <c r="AL95" s="316" t="str">
        <f>IF(AL$225&lt;=time,M95*Costs!AS95,"")</f>
        <v/>
      </c>
      <c r="AM95" s="316" t="str">
        <f>IF(AM$225&lt;=time,N95*Costs!AT95,"")</f>
        <v/>
      </c>
      <c r="AN95" s="316" t="str">
        <f>IF(AN$225&lt;=time,O95*Costs!AU95,"")</f>
        <v/>
      </c>
      <c r="AO95" s="316" t="str">
        <f>IF(AO$225&lt;=time,P95*Costs!AV95,"")</f>
        <v/>
      </c>
      <c r="AP95" s="316" t="str">
        <f>IF(AP$225&lt;=time,Q95*Costs!AW95,"")</f>
        <v/>
      </c>
      <c r="AQ95" s="316" t="str">
        <f>IF(AQ$225&lt;=time,R95*Costs!AX95,"")</f>
        <v/>
      </c>
      <c r="AR95" s="316" t="str">
        <f>IF(AR$225&lt;=time,S95*Costs!AY95,"")</f>
        <v/>
      </c>
      <c r="AS95" s="316" t="str">
        <f>IF(AS$225&lt;=time,T95*Costs!AZ95,"")</f>
        <v/>
      </c>
      <c r="AT95" s="316" t="str">
        <f>IF(AT$225&lt;=time,U95*Costs!BA95,"")</f>
        <v/>
      </c>
      <c r="AU95" s="316" t="str">
        <f>IF(AU$225&lt;=time,V95*Costs!BB95,"")</f>
        <v/>
      </c>
      <c r="AV95" s="316" t="str">
        <f>IF(AV$225&lt;=time,W95*Costs!BC95,"")</f>
        <v/>
      </c>
      <c r="AW95" s="316" t="str">
        <f>IF(AW$225&lt;=time,X95*Costs!BD95,"")</f>
        <v/>
      </c>
      <c r="AX95" s="316" t="str">
        <f>IF(AX$225&lt;=time,Y95*Costs!BE95,"")</f>
        <v/>
      </c>
      <c r="AY95" s="316" t="str">
        <f>IF(AY$225&lt;=time,Z95*Costs!BF95,"")</f>
        <v/>
      </c>
      <c r="AZ95" s="317">
        <f t="array" ref="AZ95">(SUM( IF(ISERROR(AA95:AY95),"", AA95:AY95)))/time</f>
        <v>0</v>
      </c>
      <c r="BA95" s="317">
        <f t="shared" si="19"/>
        <v>0</v>
      </c>
      <c r="BB95" s="318">
        <f t="shared" si="23"/>
        <v>0</v>
      </c>
      <c r="BC95" s="319">
        <v>7</v>
      </c>
      <c r="BE95" s="208" t="e">
        <f t="array" ref="BE95">STDEV(IF(AA95:AY95&lt;&gt;0,AA95:AY95))</f>
        <v>#DIV/0!</v>
      </c>
      <c r="BF95" s="208">
        <v>1.96</v>
      </c>
      <c r="BG95" s="208" t="e">
        <f t="shared" si="24"/>
        <v>#DIV/0!</v>
      </c>
      <c r="BH95" s="208">
        <f t="shared" si="25"/>
        <v>0</v>
      </c>
    </row>
    <row r="96" spans="1:60" hidden="1">
      <c r="A96" s="322" t="str">
        <f>Costs!A96</f>
        <v>Services 8</v>
      </c>
      <c r="B96" s="313"/>
      <c r="C96" s="313"/>
      <c r="D96" s="313"/>
      <c r="E96" s="313"/>
      <c r="F96" s="313"/>
      <c r="G96" s="313"/>
      <c r="H96" s="313"/>
      <c r="I96" s="313"/>
      <c r="J96" s="313"/>
      <c r="K96" s="313"/>
      <c r="L96" s="313"/>
      <c r="M96" s="313"/>
      <c r="N96" s="313"/>
      <c r="O96" s="313"/>
      <c r="P96" s="313"/>
      <c r="Q96" s="313"/>
      <c r="R96" s="313"/>
      <c r="S96" s="313"/>
      <c r="T96" s="313"/>
      <c r="U96" s="313"/>
      <c r="V96" s="313"/>
      <c r="W96" s="313"/>
      <c r="X96" s="313"/>
      <c r="Y96" s="313"/>
      <c r="Z96" s="314"/>
      <c r="AA96" s="315">
        <f>IF(AA$225&lt;=time,B96*Costs!AH96,"")</f>
        <v>0</v>
      </c>
      <c r="AB96" s="316">
        <f>IF(AB$225&lt;=time,C96*Costs!AI96,"")</f>
        <v>0</v>
      </c>
      <c r="AC96" s="316">
        <f>IF(AC$225&lt;=time,D96*Costs!AJ96,"")</f>
        <v>0</v>
      </c>
      <c r="AD96" s="316">
        <f>IF(AD$225&lt;=time,E96*Costs!AK96,"")</f>
        <v>0</v>
      </c>
      <c r="AE96" s="316">
        <f>IF(AE$225&lt;=time,F96*Costs!AL96,"")</f>
        <v>0</v>
      </c>
      <c r="AF96" s="316" t="str">
        <f>IF(AF$225&lt;=time,G96*Costs!AM96,"")</f>
        <v/>
      </c>
      <c r="AG96" s="316" t="str">
        <f>IF(AG$225&lt;=time,H96*Costs!AN96,"")</f>
        <v/>
      </c>
      <c r="AH96" s="316" t="str">
        <f>IF(AH$225&lt;=time,I96*Costs!AO96,"")</f>
        <v/>
      </c>
      <c r="AI96" s="316" t="str">
        <f>IF(AI$225&lt;=time,J96*Costs!AP96,"")</f>
        <v/>
      </c>
      <c r="AJ96" s="316" t="str">
        <f>IF(AJ$225&lt;=time,K96*Costs!AQ96,"")</f>
        <v/>
      </c>
      <c r="AK96" s="316" t="str">
        <f>IF(AK$225&lt;=time,L96*Costs!AR96,"")</f>
        <v/>
      </c>
      <c r="AL96" s="316" t="str">
        <f>IF(AL$225&lt;=time,M96*Costs!AS96,"")</f>
        <v/>
      </c>
      <c r="AM96" s="316" t="str">
        <f>IF(AM$225&lt;=time,N96*Costs!AT96,"")</f>
        <v/>
      </c>
      <c r="AN96" s="316" t="str">
        <f>IF(AN$225&lt;=time,O96*Costs!AU96,"")</f>
        <v/>
      </c>
      <c r="AO96" s="316" t="str">
        <f>IF(AO$225&lt;=time,P96*Costs!AV96,"")</f>
        <v/>
      </c>
      <c r="AP96" s="316" t="str">
        <f>IF(AP$225&lt;=time,Q96*Costs!AW96,"")</f>
        <v/>
      </c>
      <c r="AQ96" s="316" t="str">
        <f>IF(AQ$225&lt;=time,R96*Costs!AX96,"")</f>
        <v/>
      </c>
      <c r="AR96" s="316" t="str">
        <f>IF(AR$225&lt;=time,S96*Costs!AY96,"")</f>
        <v/>
      </c>
      <c r="AS96" s="316" t="str">
        <f>IF(AS$225&lt;=time,T96*Costs!AZ96,"")</f>
        <v/>
      </c>
      <c r="AT96" s="316" t="str">
        <f>IF(AT$225&lt;=time,U96*Costs!BA96,"")</f>
        <v/>
      </c>
      <c r="AU96" s="316" t="str">
        <f>IF(AU$225&lt;=time,V96*Costs!BB96,"")</f>
        <v/>
      </c>
      <c r="AV96" s="316" t="str">
        <f>IF(AV$225&lt;=time,W96*Costs!BC96,"")</f>
        <v/>
      </c>
      <c r="AW96" s="316" t="str">
        <f>IF(AW$225&lt;=time,X96*Costs!BD96,"")</f>
        <v/>
      </c>
      <c r="AX96" s="316" t="str">
        <f>IF(AX$225&lt;=time,Y96*Costs!BE96,"")</f>
        <v/>
      </c>
      <c r="AY96" s="316" t="str">
        <f>IF(AY$225&lt;=time,Z96*Costs!BF96,"")</f>
        <v/>
      </c>
      <c r="AZ96" s="317">
        <f t="array" ref="AZ96">(SUM( IF(ISERROR(AA96:AY96),"", AA96:AY96)))/time</f>
        <v>0</v>
      </c>
      <c r="BA96" s="317">
        <f t="shared" si="19"/>
        <v>0</v>
      </c>
      <c r="BB96" s="318">
        <f t="shared" si="23"/>
        <v>0</v>
      </c>
      <c r="BC96" s="319">
        <v>8</v>
      </c>
      <c r="BE96" s="208" t="e">
        <f t="array" ref="BE96">STDEV(IF(AA96:AY96&lt;&gt;0,AA96:AY96))</f>
        <v>#DIV/0!</v>
      </c>
      <c r="BF96" s="208">
        <v>1.96</v>
      </c>
      <c r="BG96" s="208" t="e">
        <f t="shared" si="24"/>
        <v>#DIV/0!</v>
      </c>
      <c r="BH96" s="208">
        <f t="shared" si="25"/>
        <v>0</v>
      </c>
    </row>
    <row r="97" spans="1:60" hidden="1">
      <c r="A97" s="322" t="str">
        <f>Costs!A97</f>
        <v>Services 9</v>
      </c>
      <c r="B97" s="313"/>
      <c r="C97" s="313"/>
      <c r="D97" s="313"/>
      <c r="E97" s="313"/>
      <c r="F97" s="313"/>
      <c r="G97" s="313"/>
      <c r="H97" s="313"/>
      <c r="I97" s="313"/>
      <c r="J97" s="313"/>
      <c r="K97" s="313"/>
      <c r="L97" s="313"/>
      <c r="M97" s="313"/>
      <c r="N97" s="313"/>
      <c r="O97" s="313"/>
      <c r="P97" s="313"/>
      <c r="Q97" s="313"/>
      <c r="R97" s="313"/>
      <c r="S97" s="313"/>
      <c r="T97" s="313"/>
      <c r="U97" s="313"/>
      <c r="V97" s="313"/>
      <c r="W97" s="313"/>
      <c r="X97" s="313"/>
      <c r="Y97" s="313"/>
      <c r="Z97" s="314"/>
      <c r="AA97" s="315">
        <f>IF(AA$225&lt;=time,B97*Costs!AH97,"")</f>
        <v>0</v>
      </c>
      <c r="AB97" s="316">
        <f>IF(AB$225&lt;=time,C97*Costs!AI97,"")</f>
        <v>0</v>
      </c>
      <c r="AC97" s="316">
        <f>IF(AC$225&lt;=time,D97*Costs!AJ97,"")</f>
        <v>0</v>
      </c>
      <c r="AD97" s="316">
        <f>IF(AD$225&lt;=time,E97*Costs!AK97,"")</f>
        <v>0</v>
      </c>
      <c r="AE97" s="316">
        <f>IF(AE$225&lt;=time,F97*Costs!AL97,"")</f>
        <v>0</v>
      </c>
      <c r="AF97" s="316" t="str">
        <f>IF(AF$225&lt;=time,G97*Costs!AM97,"")</f>
        <v/>
      </c>
      <c r="AG97" s="316" t="str">
        <f>IF(AG$225&lt;=time,H97*Costs!AN97,"")</f>
        <v/>
      </c>
      <c r="AH97" s="316" t="str">
        <f>IF(AH$225&lt;=time,I97*Costs!AO97,"")</f>
        <v/>
      </c>
      <c r="AI97" s="316" t="str">
        <f>IF(AI$225&lt;=time,J97*Costs!AP97,"")</f>
        <v/>
      </c>
      <c r="AJ97" s="316" t="str">
        <f>IF(AJ$225&lt;=time,K97*Costs!AQ97,"")</f>
        <v/>
      </c>
      <c r="AK97" s="316" t="str">
        <f>IF(AK$225&lt;=time,L97*Costs!AR97,"")</f>
        <v/>
      </c>
      <c r="AL97" s="316" t="str">
        <f>IF(AL$225&lt;=time,M97*Costs!AS97,"")</f>
        <v/>
      </c>
      <c r="AM97" s="316" t="str">
        <f>IF(AM$225&lt;=time,N97*Costs!AT97,"")</f>
        <v/>
      </c>
      <c r="AN97" s="316" t="str">
        <f>IF(AN$225&lt;=time,O97*Costs!AU97,"")</f>
        <v/>
      </c>
      <c r="AO97" s="316" t="str">
        <f>IF(AO$225&lt;=time,P97*Costs!AV97,"")</f>
        <v/>
      </c>
      <c r="AP97" s="316" t="str">
        <f>IF(AP$225&lt;=time,Q97*Costs!AW97,"")</f>
        <v/>
      </c>
      <c r="AQ97" s="316" t="str">
        <f>IF(AQ$225&lt;=time,R97*Costs!AX97,"")</f>
        <v/>
      </c>
      <c r="AR97" s="316" t="str">
        <f>IF(AR$225&lt;=time,S97*Costs!AY97,"")</f>
        <v/>
      </c>
      <c r="AS97" s="316" t="str">
        <f>IF(AS$225&lt;=time,T97*Costs!AZ97,"")</f>
        <v/>
      </c>
      <c r="AT97" s="316" t="str">
        <f>IF(AT$225&lt;=time,U97*Costs!BA97,"")</f>
        <v/>
      </c>
      <c r="AU97" s="316" t="str">
        <f>IF(AU$225&lt;=time,V97*Costs!BB97,"")</f>
        <v/>
      </c>
      <c r="AV97" s="316" t="str">
        <f>IF(AV$225&lt;=time,W97*Costs!BC97,"")</f>
        <v/>
      </c>
      <c r="AW97" s="316" t="str">
        <f>IF(AW$225&lt;=time,X97*Costs!BD97,"")</f>
        <v/>
      </c>
      <c r="AX97" s="316" t="str">
        <f>IF(AX$225&lt;=time,Y97*Costs!BE97,"")</f>
        <v/>
      </c>
      <c r="AY97" s="316" t="str">
        <f>IF(AY$225&lt;=time,Z97*Costs!BF97,"")</f>
        <v/>
      </c>
      <c r="AZ97" s="317">
        <f t="array" ref="AZ97">(SUM( IF(ISERROR(AA97:AY97),"", AA97:AY97)))/time</f>
        <v>0</v>
      </c>
      <c r="BA97" s="317">
        <f t="shared" si="19"/>
        <v>0</v>
      </c>
      <c r="BB97" s="318">
        <f t="shared" si="23"/>
        <v>0</v>
      </c>
      <c r="BC97" s="319">
        <v>9</v>
      </c>
      <c r="BE97" s="208" t="e">
        <f t="array" ref="BE97">STDEV(IF(AA97:AY97&lt;&gt;0,AA97:AY97))</f>
        <v>#DIV/0!</v>
      </c>
      <c r="BF97" s="208">
        <v>1.96</v>
      </c>
      <c r="BG97" s="208" t="e">
        <f t="shared" si="24"/>
        <v>#DIV/0!</v>
      </c>
      <c r="BH97" s="208">
        <f t="shared" si="25"/>
        <v>0</v>
      </c>
    </row>
    <row r="98" spans="1:60" hidden="1">
      <c r="A98" s="322" t="str">
        <f>Costs!A98</f>
        <v>Services 10</v>
      </c>
      <c r="B98" s="313"/>
      <c r="C98" s="313"/>
      <c r="D98" s="313"/>
      <c r="E98" s="313"/>
      <c r="F98" s="313"/>
      <c r="G98" s="313"/>
      <c r="H98" s="313"/>
      <c r="I98" s="313"/>
      <c r="J98" s="313"/>
      <c r="K98" s="313"/>
      <c r="L98" s="313"/>
      <c r="M98" s="313"/>
      <c r="N98" s="313"/>
      <c r="O98" s="313"/>
      <c r="P98" s="313"/>
      <c r="Q98" s="313"/>
      <c r="R98" s="313"/>
      <c r="S98" s="313"/>
      <c r="T98" s="313"/>
      <c r="U98" s="313"/>
      <c r="V98" s="313"/>
      <c r="W98" s="313"/>
      <c r="X98" s="313"/>
      <c r="Y98" s="313"/>
      <c r="Z98" s="314"/>
      <c r="AA98" s="315">
        <f>IF(AA$225&lt;=time,B98*Costs!AH98,"")</f>
        <v>0</v>
      </c>
      <c r="AB98" s="316">
        <f>IF(AB$225&lt;=time,C98*Costs!AI98,"")</f>
        <v>0</v>
      </c>
      <c r="AC98" s="316">
        <f>IF(AC$225&lt;=time,D98*Costs!AJ98,"")</f>
        <v>0</v>
      </c>
      <c r="AD98" s="316">
        <f>IF(AD$225&lt;=time,E98*Costs!AK98,"")</f>
        <v>0</v>
      </c>
      <c r="AE98" s="316">
        <f>IF(AE$225&lt;=time,F98*Costs!AL98,"")</f>
        <v>0</v>
      </c>
      <c r="AF98" s="316" t="str">
        <f>IF(AF$225&lt;=time,G98*Costs!AM98,"")</f>
        <v/>
      </c>
      <c r="AG98" s="316" t="str">
        <f>IF(AG$225&lt;=time,H98*Costs!AN98,"")</f>
        <v/>
      </c>
      <c r="AH98" s="316" t="str">
        <f>IF(AH$225&lt;=time,I98*Costs!AO98,"")</f>
        <v/>
      </c>
      <c r="AI98" s="316" t="str">
        <f>IF(AI$225&lt;=time,J98*Costs!AP98,"")</f>
        <v/>
      </c>
      <c r="AJ98" s="316" t="str">
        <f>IF(AJ$225&lt;=time,K98*Costs!AQ98,"")</f>
        <v/>
      </c>
      <c r="AK98" s="316" t="str">
        <f>IF(AK$225&lt;=time,L98*Costs!AR98,"")</f>
        <v/>
      </c>
      <c r="AL98" s="316" t="str">
        <f>IF(AL$225&lt;=time,M98*Costs!AS98,"")</f>
        <v/>
      </c>
      <c r="AM98" s="316" t="str">
        <f>IF(AM$225&lt;=time,N98*Costs!AT98,"")</f>
        <v/>
      </c>
      <c r="AN98" s="316" t="str">
        <f>IF(AN$225&lt;=time,O98*Costs!AU98,"")</f>
        <v/>
      </c>
      <c r="AO98" s="316" t="str">
        <f>IF(AO$225&lt;=time,P98*Costs!AV98,"")</f>
        <v/>
      </c>
      <c r="AP98" s="316" t="str">
        <f>IF(AP$225&lt;=time,Q98*Costs!AW98,"")</f>
        <v/>
      </c>
      <c r="AQ98" s="316" t="str">
        <f>IF(AQ$225&lt;=time,R98*Costs!AX98,"")</f>
        <v/>
      </c>
      <c r="AR98" s="316" t="str">
        <f>IF(AR$225&lt;=time,S98*Costs!AY98,"")</f>
        <v/>
      </c>
      <c r="AS98" s="316" t="str">
        <f>IF(AS$225&lt;=time,T98*Costs!AZ98,"")</f>
        <v/>
      </c>
      <c r="AT98" s="316" t="str">
        <f>IF(AT$225&lt;=time,U98*Costs!BA98,"")</f>
        <v/>
      </c>
      <c r="AU98" s="316" t="str">
        <f>IF(AU$225&lt;=time,V98*Costs!BB98,"")</f>
        <v/>
      </c>
      <c r="AV98" s="316" t="str">
        <f>IF(AV$225&lt;=time,W98*Costs!BC98,"")</f>
        <v/>
      </c>
      <c r="AW98" s="316" t="str">
        <f>IF(AW$225&lt;=time,X98*Costs!BD98,"")</f>
        <v/>
      </c>
      <c r="AX98" s="316" t="str">
        <f>IF(AX$225&lt;=time,Y98*Costs!BE98,"")</f>
        <v/>
      </c>
      <c r="AY98" s="316" t="str">
        <f>IF(AY$225&lt;=time,Z98*Costs!BF98,"")</f>
        <v/>
      </c>
      <c r="AZ98" s="317">
        <f t="array" ref="AZ98">(SUM( IF(ISERROR(AA98:AY98),"", AA98:AY98)))/time</f>
        <v>0</v>
      </c>
      <c r="BA98" s="317">
        <f t="shared" si="19"/>
        <v>0</v>
      </c>
      <c r="BB98" s="318">
        <f t="shared" si="23"/>
        <v>0</v>
      </c>
      <c r="BC98" s="319">
        <v>10</v>
      </c>
      <c r="BE98" s="208" t="e">
        <f t="array" ref="BE98">STDEV(IF(AA98:AY98&lt;&gt;0,AA98:AY98))</f>
        <v>#DIV/0!</v>
      </c>
      <c r="BF98" s="208">
        <v>1.96</v>
      </c>
      <c r="BG98" s="208" t="e">
        <f t="shared" si="24"/>
        <v>#DIV/0!</v>
      </c>
      <c r="BH98" s="208">
        <f t="shared" si="25"/>
        <v>0</v>
      </c>
    </row>
    <row r="99" spans="1:60" s="11" customFormat="1">
      <c r="A99" s="233" t="s">
        <v>192</v>
      </c>
      <c r="B99" s="96"/>
      <c r="C99" s="96"/>
      <c r="D99" s="96"/>
      <c r="E99" s="96"/>
      <c r="F99" s="96"/>
      <c r="G99" s="96"/>
      <c r="H99" s="96"/>
      <c r="I99" s="96"/>
      <c r="J99" s="96"/>
      <c r="K99" s="96"/>
      <c r="L99" s="96"/>
      <c r="M99" s="96"/>
      <c r="N99" s="96"/>
      <c r="O99" s="96"/>
      <c r="P99" s="96"/>
      <c r="Q99" s="96"/>
      <c r="R99" s="96"/>
      <c r="S99" s="96"/>
      <c r="T99" s="96"/>
      <c r="U99" s="96"/>
      <c r="V99" s="96"/>
      <c r="W99" s="96"/>
      <c r="X99" s="96"/>
      <c r="Y99" s="96"/>
      <c r="Z99" s="321"/>
      <c r="AA99" s="233"/>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BB99" s="211"/>
    </row>
    <row r="100" spans="1:60" s="11" customFormat="1">
      <c r="A100" s="234" t="s">
        <v>431</v>
      </c>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4"/>
      <c r="AA100" s="234"/>
      <c r="AB100" s="323"/>
      <c r="AC100" s="323"/>
      <c r="AD100" s="323"/>
      <c r="AE100" s="323"/>
      <c r="AF100" s="323"/>
      <c r="AG100" s="323"/>
      <c r="AH100" s="323"/>
      <c r="AI100" s="323"/>
      <c r="AJ100" s="323"/>
      <c r="AK100" s="323"/>
      <c r="AL100" s="323"/>
      <c r="AM100" s="323"/>
      <c r="AN100" s="323"/>
      <c r="AO100" s="323"/>
      <c r="AP100" s="323"/>
      <c r="AQ100" s="323"/>
      <c r="AR100" s="323"/>
      <c r="AS100" s="323"/>
      <c r="AT100" s="323"/>
      <c r="AU100" s="323"/>
      <c r="AV100" s="323"/>
      <c r="AW100" s="323"/>
      <c r="AX100" s="323"/>
      <c r="AY100" s="323"/>
      <c r="BB100" s="211"/>
    </row>
    <row r="101" spans="1:60">
      <c r="A101" s="32" t="str">
        <f>Costs!A101</f>
        <v>Wages for Existing Employee/Group of Employees 1</v>
      </c>
      <c r="B101" s="865"/>
      <c r="C101" s="865"/>
      <c r="D101" s="865"/>
      <c r="E101" s="313"/>
      <c r="F101" s="313"/>
      <c r="G101" s="313"/>
      <c r="H101" s="313"/>
      <c r="I101" s="313"/>
      <c r="J101" s="313"/>
      <c r="K101" s="313"/>
      <c r="L101" s="313"/>
      <c r="M101" s="313"/>
      <c r="N101" s="313"/>
      <c r="O101" s="313"/>
      <c r="P101" s="313"/>
      <c r="Q101" s="313"/>
      <c r="R101" s="313"/>
      <c r="S101" s="313"/>
      <c r="T101" s="313"/>
      <c r="U101" s="313"/>
      <c r="V101" s="313"/>
      <c r="W101" s="313"/>
      <c r="X101" s="313"/>
      <c r="Y101" s="313"/>
      <c r="Z101" s="314"/>
      <c r="AA101" s="315">
        <f>IF(AA$225&lt;=time,B101*Costs!AH101,"")</f>
        <v>0</v>
      </c>
      <c r="AB101" s="316">
        <f>IF(AB$225&lt;=time,C101*Costs!AI101,"")</f>
        <v>0</v>
      </c>
      <c r="AC101" s="316">
        <f>IF(AC$225&lt;=time,D101*Costs!AJ101,"")</f>
        <v>0</v>
      </c>
      <c r="AD101" s="316">
        <f>IF(AD$225&lt;=time,E101*Costs!AK101,"")</f>
        <v>0</v>
      </c>
      <c r="AE101" s="316">
        <f>IF(AE$225&lt;=time,F101*Costs!AL101,"")</f>
        <v>0</v>
      </c>
      <c r="AF101" s="316" t="str">
        <f>IF(AF$225&lt;=time,G101*Costs!AM101,"")</f>
        <v/>
      </c>
      <c r="AG101" s="316" t="str">
        <f>IF(AG$225&lt;=time,H101*Costs!AN101,"")</f>
        <v/>
      </c>
      <c r="AH101" s="316" t="str">
        <f>IF(AH$225&lt;=time,I101*Costs!AO101,"")</f>
        <v/>
      </c>
      <c r="AI101" s="316" t="str">
        <f>IF(AI$225&lt;=time,J101*Costs!AP101,"")</f>
        <v/>
      </c>
      <c r="AJ101" s="316" t="str">
        <f>IF(AJ$225&lt;=time,K101*Costs!AQ101,"")</f>
        <v/>
      </c>
      <c r="AK101" s="316" t="str">
        <f>IF(AK$225&lt;=time,L101*Costs!AR101,"")</f>
        <v/>
      </c>
      <c r="AL101" s="316" t="str">
        <f>IF(AL$225&lt;=time,M101*Costs!AS101,"")</f>
        <v/>
      </c>
      <c r="AM101" s="316" t="str">
        <f>IF(AM$225&lt;=time,N101*Costs!AT101,"")</f>
        <v/>
      </c>
      <c r="AN101" s="316" t="str">
        <f>IF(AN$225&lt;=time,O101*Costs!AU101,"")</f>
        <v/>
      </c>
      <c r="AO101" s="316" t="str">
        <f>IF(AO$225&lt;=time,P101*Costs!AV101,"")</f>
        <v/>
      </c>
      <c r="AP101" s="316" t="str">
        <f>IF(AP$225&lt;=time,Q101*Costs!AW101,"")</f>
        <v/>
      </c>
      <c r="AQ101" s="316" t="str">
        <f>IF(AQ$225&lt;=time,R101*Costs!AX101,"")</f>
        <v/>
      </c>
      <c r="AR101" s="316" t="str">
        <f>IF(AR$225&lt;=time,S101*Costs!AY101,"")</f>
        <v/>
      </c>
      <c r="AS101" s="316" t="str">
        <f>IF(AS$225&lt;=time,T101*Costs!AZ101,"")</f>
        <v/>
      </c>
      <c r="AT101" s="316" t="str">
        <f>IF(AT$225&lt;=time,U101*Costs!BA101,"")</f>
        <v/>
      </c>
      <c r="AU101" s="316" t="str">
        <f>IF(AU$225&lt;=time,V101*Costs!BB101,"")</f>
        <v/>
      </c>
      <c r="AV101" s="316" t="str">
        <f>IF(AV$225&lt;=time,W101*Costs!BC101,"")</f>
        <v/>
      </c>
      <c r="AW101" s="316" t="str">
        <f>IF(AW$225&lt;=time,X101*Costs!BD101,"")</f>
        <v/>
      </c>
      <c r="AX101" s="316" t="str">
        <f>IF(AX$225&lt;=time,Y101*Costs!BE101,"")</f>
        <v/>
      </c>
      <c r="AY101" s="316" t="str">
        <f>IF(AY$225&lt;=time,Z101*Costs!BF101,"")</f>
        <v/>
      </c>
      <c r="AZ101" s="317">
        <f t="array" ref="AZ101">(SUM( IF(ISERROR(AA101:AY101),"", AA101:AY101)))/time</f>
        <v>0</v>
      </c>
      <c r="BA101" s="317">
        <f t="shared" si="19"/>
        <v>0</v>
      </c>
      <c r="BB101" s="318">
        <f t="shared" ref="BB101:BB110" si="26">IF(BH101&gt;0,AZ101+BG101,AZ101)</f>
        <v>0</v>
      </c>
      <c r="BC101" s="319">
        <v>1</v>
      </c>
      <c r="BE101" s="208" t="e">
        <f t="array" ref="BE101">STDEV(IF(AA101:AY101&lt;&gt;0,AA101:AY101))</f>
        <v>#DIV/0!</v>
      </c>
      <c r="BF101" s="208">
        <v>1.96</v>
      </c>
      <c r="BG101" s="208" t="e">
        <f t="shared" ref="BG101:BG110" si="27">(BF101*BE101)/(time^0.5)</f>
        <v>#DIV/0!</v>
      </c>
      <c r="BH101" s="208">
        <f t="shared" ref="BH101:BH110" si="28">IFERROR(BE101,0)</f>
        <v>0</v>
      </c>
    </row>
    <row r="102" spans="1:60" hidden="1">
      <c r="A102" s="322" t="str">
        <f>Costs!A102</f>
        <v>Wages for Existing Employee/Group of Employees 2</v>
      </c>
      <c r="B102" s="313"/>
      <c r="C102" s="313"/>
      <c r="D102" s="313"/>
      <c r="E102" s="313"/>
      <c r="F102" s="313"/>
      <c r="G102" s="313"/>
      <c r="H102" s="313"/>
      <c r="I102" s="313"/>
      <c r="J102" s="313"/>
      <c r="K102" s="313"/>
      <c r="L102" s="313"/>
      <c r="M102" s="313"/>
      <c r="N102" s="313"/>
      <c r="O102" s="313"/>
      <c r="P102" s="313"/>
      <c r="Q102" s="313"/>
      <c r="R102" s="313"/>
      <c r="S102" s="313"/>
      <c r="T102" s="313"/>
      <c r="U102" s="313"/>
      <c r="V102" s="313"/>
      <c r="W102" s="313"/>
      <c r="X102" s="313"/>
      <c r="Y102" s="313"/>
      <c r="Z102" s="314"/>
      <c r="AA102" s="315">
        <f>IF(AA$225&lt;=time,B102*Costs!AH102,"")</f>
        <v>0</v>
      </c>
      <c r="AB102" s="316">
        <f>IF(AB$225&lt;=time,C102*Costs!AI102,"")</f>
        <v>0</v>
      </c>
      <c r="AC102" s="316">
        <f>IF(AC$225&lt;=time,D102*Costs!AJ102,"")</f>
        <v>0</v>
      </c>
      <c r="AD102" s="316">
        <f>IF(AD$225&lt;=time,E102*Costs!AK102,"")</f>
        <v>0</v>
      </c>
      <c r="AE102" s="316">
        <f>IF(AE$225&lt;=time,F102*Costs!AL102,"")</f>
        <v>0</v>
      </c>
      <c r="AF102" s="316" t="str">
        <f>IF(AF$225&lt;=time,G102*Costs!AM102,"")</f>
        <v/>
      </c>
      <c r="AG102" s="316" t="str">
        <f>IF(AG$225&lt;=time,H102*Costs!AN102,"")</f>
        <v/>
      </c>
      <c r="AH102" s="316" t="str">
        <f>IF(AH$225&lt;=time,I102*Costs!AO102,"")</f>
        <v/>
      </c>
      <c r="AI102" s="316" t="str">
        <f>IF(AI$225&lt;=time,J102*Costs!AP102,"")</f>
        <v/>
      </c>
      <c r="AJ102" s="316" t="str">
        <f>IF(AJ$225&lt;=time,K102*Costs!AQ102,"")</f>
        <v/>
      </c>
      <c r="AK102" s="316" t="str">
        <f>IF(AK$225&lt;=time,L102*Costs!AR102,"")</f>
        <v/>
      </c>
      <c r="AL102" s="316" t="str">
        <f>IF(AL$225&lt;=time,M102*Costs!AS102,"")</f>
        <v/>
      </c>
      <c r="AM102" s="316" t="str">
        <f>IF(AM$225&lt;=time,N102*Costs!AT102,"")</f>
        <v/>
      </c>
      <c r="AN102" s="316" t="str">
        <f>IF(AN$225&lt;=time,O102*Costs!AU102,"")</f>
        <v/>
      </c>
      <c r="AO102" s="316" t="str">
        <f>IF(AO$225&lt;=time,P102*Costs!AV102,"")</f>
        <v/>
      </c>
      <c r="AP102" s="316" t="str">
        <f>IF(AP$225&lt;=time,Q102*Costs!AW102,"")</f>
        <v/>
      </c>
      <c r="AQ102" s="316" t="str">
        <f>IF(AQ$225&lt;=time,R102*Costs!AX102,"")</f>
        <v/>
      </c>
      <c r="AR102" s="316" t="str">
        <f>IF(AR$225&lt;=time,S102*Costs!AY102,"")</f>
        <v/>
      </c>
      <c r="AS102" s="316" t="str">
        <f>IF(AS$225&lt;=time,T102*Costs!AZ102,"")</f>
        <v/>
      </c>
      <c r="AT102" s="316" t="str">
        <f>IF(AT$225&lt;=time,U102*Costs!BA102,"")</f>
        <v/>
      </c>
      <c r="AU102" s="316" t="str">
        <f>IF(AU$225&lt;=time,V102*Costs!BB102,"")</f>
        <v/>
      </c>
      <c r="AV102" s="316" t="str">
        <f>IF(AV$225&lt;=time,W102*Costs!BC102,"")</f>
        <v/>
      </c>
      <c r="AW102" s="316" t="str">
        <f>IF(AW$225&lt;=time,X102*Costs!BD102,"")</f>
        <v/>
      </c>
      <c r="AX102" s="316" t="str">
        <f>IF(AX$225&lt;=time,Y102*Costs!BE102,"")</f>
        <v/>
      </c>
      <c r="AY102" s="316" t="str">
        <f>IF(AY$225&lt;=time,Z102*Costs!BF102,"")</f>
        <v/>
      </c>
      <c r="AZ102" s="317">
        <f t="array" ref="AZ102">(SUM( IF(ISERROR(AA102:AY102),"", AA102:AY102)))/time</f>
        <v>0</v>
      </c>
      <c r="BA102" s="317">
        <f t="shared" si="19"/>
        <v>0</v>
      </c>
      <c r="BB102" s="318">
        <f t="shared" si="26"/>
        <v>0</v>
      </c>
      <c r="BC102" s="319">
        <v>2</v>
      </c>
      <c r="BE102" s="208" t="e">
        <f t="array" ref="BE102">STDEV(IF(AA102:AY102&lt;&gt;0,AA102:AY102))</f>
        <v>#DIV/0!</v>
      </c>
      <c r="BF102" s="208">
        <v>1.96</v>
      </c>
      <c r="BG102" s="208" t="e">
        <f t="shared" si="27"/>
        <v>#DIV/0!</v>
      </c>
      <c r="BH102" s="208">
        <f t="shared" si="28"/>
        <v>0</v>
      </c>
    </row>
    <row r="103" spans="1:60" hidden="1">
      <c r="A103" s="322" t="str">
        <f>Costs!A103</f>
        <v>Wages for Existing Employee/Group of Employees 3</v>
      </c>
      <c r="B103" s="313"/>
      <c r="C103" s="313"/>
      <c r="D103" s="313"/>
      <c r="E103" s="313"/>
      <c r="F103" s="313"/>
      <c r="G103" s="313"/>
      <c r="H103" s="313"/>
      <c r="I103" s="313"/>
      <c r="J103" s="313"/>
      <c r="K103" s="313"/>
      <c r="L103" s="313"/>
      <c r="M103" s="313"/>
      <c r="N103" s="313"/>
      <c r="O103" s="313"/>
      <c r="P103" s="313"/>
      <c r="Q103" s="313"/>
      <c r="R103" s="313"/>
      <c r="S103" s="313"/>
      <c r="T103" s="313"/>
      <c r="U103" s="313"/>
      <c r="V103" s="313"/>
      <c r="W103" s="313"/>
      <c r="X103" s="313"/>
      <c r="Y103" s="313"/>
      <c r="Z103" s="314"/>
      <c r="AA103" s="315">
        <f>IF(AA$225&lt;=time,B103*Costs!AH103,"")</f>
        <v>0</v>
      </c>
      <c r="AB103" s="316">
        <f>IF(AB$225&lt;=time,C103*Costs!AI103,"")</f>
        <v>0</v>
      </c>
      <c r="AC103" s="316">
        <f>IF(AC$225&lt;=time,D103*Costs!AJ103,"")</f>
        <v>0</v>
      </c>
      <c r="AD103" s="316">
        <f>IF(AD$225&lt;=time,E103*Costs!AK103,"")</f>
        <v>0</v>
      </c>
      <c r="AE103" s="316">
        <f>IF(AE$225&lt;=time,F103*Costs!AL103,"")</f>
        <v>0</v>
      </c>
      <c r="AF103" s="316" t="str">
        <f>IF(AF$225&lt;=time,G103*Costs!AM103,"")</f>
        <v/>
      </c>
      <c r="AG103" s="316" t="str">
        <f>IF(AG$225&lt;=time,H103*Costs!AN103,"")</f>
        <v/>
      </c>
      <c r="AH103" s="316" t="str">
        <f>IF(AH$225&lt;=time,I103*Costs!AO103,"")</f>
        <v/>
      </c>
      <c r="AI103" s="316" t="str">
        <f>IF(AI$225&lt;=time,J103*Costs!AP103,"")</f>
        <v/>
      </c>
      <c r="AJ103" s="316" t="str">
        <f>IF(AJ$225&lt;=time,K103*Costs!AQ103,"")</f>
        <v/>
      </c>
      <c r="AK103" s="316" t="str">
        <f>IF(AK$225&lt;=time,L103*Costs!AR103,"")</f>
        <v/>
      </c>
      <c r="AL103" s="316" t="str">
        <f>IF(AL$225&lt;=time,M103*Costs!AS103,"")</f>
        <v/>
      </c>
      <c r="AM103" s="316" t="str">
        <f>IF(AM$225&lt;=time,N103*Costs!AT103,"")</f>
        <v/>
      </c>
      <c r="AN103" s="316" t="str">
        <f>IF(AN$225&lt;=time,O103*Costs!AU103,"")</f>
        <v/>
      </c>
      <c r="AO103" s="316" t="str">
        <f>IF(AO$225&lt;=time,P103*Costs!AV103,"")</f>
        <v/>
      </c>
      <c r="AP103" s="316" t="str">
        <f>IF(AP$225&lt;=time,Q103*Costs!AW103,"")</f>
        <v/>
      </c>
      <c r="AQ103" s="316" t="str">
        <f>IF(AQ$225&lt;=time,R103*Costs!AX103,"")</f>
        <v/>
      </c>
      <c r="AR103" s="316" t="str">
        <f>IF(AR$225&lt;=time,S103*Costs!AY103,"")</f>
        <v/>
      </c>
      <c r="AS103" s="316" t="str">
        <f>IF(AS$225&lt;=time,T103*Costs!AZ103,"")</f>
        <v/>
      </c>
      <c r="AT103" s="316" t="str">
        <f>IF(AT$225&lt;=time,U103*Costs!BA103,"")</f>
        <v/>
      </c>
      <c r="AU103" s="316" t="str">
        <f>IF(AU$225&lt;=time,V103*Costs!BB103,"")</f>
        <v/>
      </c>
      <c r="AV103" s="316" t="str">
        <f>IF(AV$225&lt;=time,W103*Costs!BC103,"")</f>
        <v/>
      </c>
      <c r="AW103" s="316" t="str">
        <f>IF(AW$225&lt;=time,X103*Costs!BD103,"")</f>
        <v/>
      </c>
      <c r="AX103" s="316" t="str">
        <f>IF(AX$225&lt;=time,Y103*Costs!BE103,"")</f>
        <v/>
      </c>
      <c r="AY103" s="316" t="str">
        <f>IF(AY$225&lt;=time,Z103*Costs!BF103,"")</f>
        <v/>
      </c>
      <c r="AZ103" s="317">
        <f t="array" ref="AZ103">(SUM( IF(ISERROR(AA103:AY103),"", AA103:AY103)))/time</f>
        <v>0</v>
      </c>
      <c r="BA103" s="317">
        <f t="shared" si="19"/>
        <v>0</v>
      </c>
      <c r="BB103" s="318">
        <f t="shared" si="26"/>
        <v>0</v>
      </c>
      <c r="BC103" s="319">
        <v>3</v>
      </c>
      <c r="BE103" s="208" t="e">
        <f t="array" ref="BE103">STDEV(IF(AA103:AY103&lt;&gt;0,AA103:AY103))</f>
        <v>#DIV/0!</v>
      </c>
      <c r="BF103" s="208">
        <v>1.96</v>
      </c>
      <c r="BG103" s="208" t="e">
        <f t="shared" si="27"/>
        <v>#DIV/0!</v>
      </c>
      <c r="BH103" s="208">
        <f t="shared" si="28"/>
        <v>0</v>
      </c>
    </row>
    <row r="104" spans="1:60" hidden="1">
      <c r="A104" s="322" t="str">
        <f>Costs!A104</f>
        <v>Wages for Existing Employee/Group of Employees 4</v>
      </c>
      <c r="B104" s="313"/>
      <c r="C104" s="313"/>
      <c r="D104" s="313"/>
      <c r="E104" s="313"/>
      <c r="F104" s="313"/>
      <c r="G104" s="313"/>
      <c r="H104" s="313"/>
      <c r="I104" s="313"/>
      <c r="J104" s="313"/>
      <c r="K104" s="313"/>
      <c r="L104" s="313"/>
      <c r="M104" s="313"/>
      <c r="N104" s="313"/>
      <c r="O104" s="313"/>
      <c r="P104" s="313"/>
      <c r="Q104" s="313"/>
      <c r="R104" s="313"/>
      <c r="S104" s="313"/>
      <c r="T104" s="313"/>
      <c r="U104" s="313"/>
      <c r="V104" s="313"/>
      <c r="W104" s="313"/>
      <c r="X104" s="313"/>
      <c r="Y104" s="313"/>
      <c r="Z104" s="314"/>
      <c r="AA104" s="315">
        <f>IF(AA$225&lt;=time,B104*Costs!AH104,"")</f>
        <v>0</v>
      </c>
      <c r="AB104" s="316">
        <f>IF(AB$225&lt;=time,C104*Costs!AI104,"")</f>
        <v>0</v>
      </c>
      <c r="AC104" s="316">
        <f>IF(AC$225&lt;=time,D104*Costs!AJ104,"")</f>
        <v>0</v>
      </c>
      <c r="AD104" s="316">
        <f>IF(AD$225&lt;=time,E104*Costs!AK104,"")</f>
        <v>0</v>
      </c>
      <c r="AE104" s="316">
        <f>IF(AE$225&lt;=time,F104*Costs!AL104,"")</f>
        <v>0</v>
      </c>
      <c r="AF104" s="316" t="str">
        <f>IF(AF$225&lt;=time,G104*Costs!AM104,"")</f>
        <v/>
      </c>
      <c r="AG104" s="316" t="str">
        <f>IF(AG$225&lt;=time,H104*Costs!AN104,"")</f>
        <v/>
      </c>
      <c r="AH104" s="316" t="str">
        <f>IF(AH$225&lt;=time,I104*Costs!AO104,"")</f>
        <v/>
      </c>
      <c r="AI104" s="316" t="str">
        <f>IF(AI$225&lt;=time,J104*Costs!AP104,"")</f>
        <v/>
      </c>
      <c r="AJ104" s="316" t="str">
        <f>IF(AJ$225&lt;=time,K104*Costs!AQ104,"")</f>
        <v/>
      </c>
      <c r="AK104" s="316" t="str">
        <f>IF(AK$225&lt;=time,L104*Costs!AR104,"")</f>
        <v/>
      </c>
      <c r="AL104" s="316" t="str">
        <f>IF(AL$225&lt;=time,M104*Costs!AS104,"")</f>
        <v/>
      </c>
      <c r="AM104" s="316" t="str">
        <f>IF(AM$225&lt;=time,N104*Costs!AT104,"")</f>
        <v/>
      </c>
      <c r="AN104" s="316" t="str">
        <f>IF(AN$225&lt;=time,O104*Costs!AU104,"")</f>
        <v/>
      </c>
      <c r="AO104" s="316" t="str">
        <f>IF(AO$225&lt;=time,P104*Costs!AV104,"")</f>
        <v/>
      </c>
      <c r="AP104" s="316" t="str">
        <f>IF(AP$225&lt;=time,Q104*Costs!AW104,"")</f>
        <v/>
      </c>
      <c r="AQ104" s="316" t="str">
        <f>IF(AQ$225&lt;=time,R104*Costs!AX104,"")</f>
        <v/>
      </c>
      <c r="AR104" s="316" t="str">
        <f>IF(AR$225&lt;=time,S104*Costs!AY104,"")</f>
        <v/>
      </c>
      <c r="AS104" s="316" t="str">
        <f>IF(AS$225&lt;=time,T104*Costs!AZ104,"")</f>
        <v/>
      </c>
      <c r="AT104" s="316" t="str">
        <f>IF(AT$225&lt;=time,U104*Costs!BA104,"")</f>
        <v/>
      </c>
      <c r="AU104" s="316" t="str">
        <f>IF(AU$225&lt;=time,V104*Costs!BB104,"")</f>
        <v/>
      </c>
      <c r="AV104" s="316" t="str">
        <f>IF(AV$225&lt;=time,W104*Costs!BC104,"")</f>
        <v/>
      </c>
      <c r="AW104" s="316" t="str">
        <f>IF(AW$225&lt;=time,X104*Costs!BD104,"")</f>
        <v/>
      </c>
      <c r="AX104" s="316" t="str">
        <f>IF(AX$225&lt;=time,Y104*Costs!BE104,"")</f>
        <v/>
      </c>
      <c r="AY104" s="316" t="str">
        <f>IF(AY$225&lt;=time,Z104*Costs!BF104,"")</f>
        <v/>
      </c>
      <c r="AZ104" s="317">
        <f t="array" ref="AZ104">(SUM( IF(ISERROR(AA104:AY104),"", AA104:AY104)))/time</f>
        <v>0</v>
      </c>
      <c r="BA104" s="317">
        <f t="shared" si="19"/>
        <v>0</v>
      </c>
      <c r="BB104" s="318">
        <f t="shared" si="26"/>
        <v>0</v>
      </c>
      <c r="BC104" s="319">
        <v>4</v>
      </c>
      <c r="BE104" s="208" t="e">
        <f t="array" ref="BE104">STDEV(IF(AA104:AY104&lt;&gt;0,AA104:AY104))</f>
        <v>#DIV/0!</v>
      </c>
      <c r="BF104" s="208">
        <v>1.96</v>
      </c>
      <c r="BG104" s="208" t="e">
        <f t="shared" si="27"/>
        <v>#DIV/0!</v>
      </c>
      <c r="BH104" s="208">
        <f t="shared" si="28"/>
        <v>0</v>
      </c>
    </row>
    <row r="105" spans="1:60" hidden="1">
      <c r="A105" s="322" t="str">
        <f>Costs!A105</f>
        <v>Wages for Existing Employee/Group of Employees 5</v>
      </c>
      <c r="B105" s="313"/>
      <c r="C105" s="313"/>
      <c r="D105" s="313"/>
      <c r="E105" s="313"/>
      <c r="F105" s="313"/>
      <c r="G105" s="313"/>
      <c r="H105" s="313"/>
      <c r="I105" s="313"/>
      <c r="J105" s="313"/>
      <c r="K105" s="313"/>
      <c r="L105" s="313"/>
      <c r="M105" s="313"/>
      <c r="N105" s="313"/>
      <c r="O105" s="313"/>
      <c r="P105" s="313"/>
      <c r="Q105" s="313"/>
      <c r="R105" s="313"/>
      <c r="S105" s="313"/>
      <c r="T105" s="313"/>
      <c r="U105" s="313"/>
      <c r="V105" s="313"/>
      <c r="W105" s="313"/>
      <c r="X105" s="313"/>
      <c r="Y105" s="313"/>
      <c r="Z105" s="314"/>
      <c r="AA105" s="315">
        <f>IF(AA$225&lt;=time,B105*Costs!AH105,"")</f>
        <v>0</v>
      </c>
      <c r="AB105" s="316">
        <f>IF(AB$225&lt;=time,C105*Costs!AI105,"")</f>
        <v>0</v>
      </c>
      <c r="AC105" s="316">
        <f>IF(AC$225&lt;=time,D105*Costs!AJ105,"")</f>
        <v>0</v>
      </c>
      <c r="AD105" s="316">
        <f>IF(AD$225&lt;=time,E105*Costs!AK105,"")</f>
        <v>0</v>
      </c>
      <c r="AE105" s="316">
        <f>IF(AE$225&lt;=time,F105*Costs!AL105,"")</f>
        <v>0</v>
      </c>
      <c r="AF105" s="316" t="str">
        <f>IF(AF$225&lt;=time,G105*Costs!AM105,"")</f>
        <v/>
      </c>
      <c r="AG105" s="316" t="str">
        <f>IF(AG$225&lt;=time,H105*Costs!AN105,"")</f>
        <v/>
      </c>
      <c r="AH105" s="316" t="str">
        <f>IF(AH$225&lt;=time,I105*Costs!AO105,"")</f>
        <v/>
      </c>
      <c r="AI105" s="316" t="str">
        <f>IF(AI$225&lt;=time,J105*Costs!AP105,"")</f>
        <v/>
      </c>
      <c r="AJ105" s="316" t="str">
        <f>IF(AJ$225&lt;=time,K105*Costs!AQ105,"")</f>
        <v/>
      </c>
      <c r="AK105" s="316" t="str">
        <f>IF(AK$225&lt;=time,L105*Costs!AR105,"")</f>
        <v/>
      </c>
      <c r="AL105" s="316" t="str">
        <f>IF(AL$225&lt;=time,M105*Costs!AS105,"")</f>
        <v/>
      </c>
      <c r="AM105" s="316" t="str">
        <f>IF(AM$225&lt;=time,N105*Costs!AT105,"")</f>
        <v/>
      </c>
      <c r="AN105" s="316" t="str">
        <f>IF(AN$225&lt;=time,O105*Costs!AU105,"")</f>
        <v/>
      </c>
      <c r="AO105" s="316" t="str">
        <f>IF(AO$225&lt;=time,P105*Costs!AV105,"")</f>
        <v/>
      </c>
      <c r="AP105" s="316" t="str">
        <f>IF(AP$225&lt;=time,Q105*Costs!AW105,"")</f>
        <v/>
      </c>
      <c r="AQ105" s="316" t="str">
        <f>IF(AQ$225&lt;=time,R105*Costs!AX105,"")</f>
        <v/>
      </c>
      <c r="AR105" s="316" t="str">
        <f>IF(AR$225&lt;=time,S105*Costs!AY105,"")</f>
        <v/>
      </c>
      <c r="AS105" s="316" t="str">
        <f>IF(AS$225&lt;=time,T105*Costs!AZ105,"")</f>
        <v/>
      </c>
      <c r="AT105" s="316" t="str">
        <f>IF(AT$225&lt;=time,U105*Costs!BA105,"")</f>
        <v/>
      </c>
      <c r="AU105" s="316" t="str">
        <f>IF(AU$225&lt;=time,V105*Costs!BB105,"")</f>
        <v/>
      </c>
      <c r="AV105" s="316" t="str">
        <f>IF(AV$225&lt;=time,W105*Costs!BC105,"")</f>
        <v/>
      </c>
      <c r="AW105" s="316" t="str">
        <f>IF(AW$225&lt;=time,X105*Costs!BD105,"")</f>
        <v/>
      </c>
      <c r="AX105" s="316" t="str">
        <f>IF(AX$225&lt;=time,Y105*Costs!BE105,"")</f>
        <v/>
      </c>
      <c r="AY105" s="316" t="str">
        <f>IF(AY$225&lt;=time,Z105*Costs!BF105,"")</f>
        <v/>
      </c>
      <c r="AZ105" s="317">
        <f t="array" ref="AZ105">(SUM( IF(ISERROR(AA105:AY105),"", AA105:AY105)))/time</f>
        <v>0</v>
      </c>
      <c r="BA105" s="317">
        <f t="shared" si="19"/>
        <v>0</v>
      </c>
      <c r="BB105" s="318">
        <f t="shared" si="26"/>
        <v>0</v>
      </c>
      <c r="BC105" s="319">
        <v>5</v>
      </c>
      <c r="BE105" s="208" t="e">
        <f t="array" ref="BE105">STDEV(IF(AA105:AY105&lt;&gt;0,AA105:AY105))</f>
        <v>#DIV/0!</v>
      </c>
      <c r="BF105" s="208">
        <v>1.96</v>
      </c>
      <c r="BG105" s="208" t="e">
        <f t="shared" si="27"/>
        <v>#DIV/0!</v>
      </c>
      <c r="BH105" s="208">
        <f t="shared" si="28"/>
        <v>0</v>
      </c>
    </row>
    <row r="106" spans="1:60" hidden="1">
      <c r="A106" s="322" t="str">
        <f>Costs!A106</f>
        <v>Wages for Existing Employee/Group of Employees 6</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4"/>
      <c r="AA106" s="315">
        <f>IF(AA$225&lt;=time,B106*Costs!AH106,"")</f>
        <v>0</v>
      </c>
      <c r="AB106" s="316">
        <f>IF(AB$225&lt;=time,C106*Costs!AI106,"")</f>
        <v>0</v>
      </c>
      <c r="AC106" s="316">
        <f>IF(AC$225&lt;=time,D106*Costs!AJ106,"")</f>
        <v>0</v>
      </c>
      <c r="AD106" s="316">
        <f>IF(AD$225&lt;=time,E106*Costs!AK106,"")</f>
        <v>0</v>
      </c>
      <c r="AE106" s="316">
        <f>IF(AE$225&lt;=time,F106*Costs!AL106,"")</f>
        <v>0</v>
      </c>
      <c r="AF106" s="316" t="str">
        <f>IF(AF$225&lt;=time,G106*Costs!AM106,"")</f>
        <v/>
      </c>
      <c r="AG106" s="316" t="str">
        <f>IF(AG$225&lt;=time,H106*Costs!AN106,"")</f>
        <v/>
      </c>
      <c r="AH106" s="316" t="str">
        <f>IF(AH$225&lt;=time,I106*Costs!AO106,"")</f>
        <v/>
      </c>
      <c r="AI106" s="316" t="str">
        <f>IF(AI$225&lt;=time,J106*Costs!AP106,"")</f>
        <v/>
      </c>
      <c r="AJ106" s="316" t="str">
        <f>IF(AJ$225&lt;=time,K106*Costs!AQ106,"")</f>
        <v/>
      </c>
      <c r="AK106" s="316" t="str">
        <f>IF(AK$225&lt;=time,L106*Costs!AR106,"")</f>
        <v/>
      </c>
      <c r="AL106" s="316" t="str">
        <f>IF(AL$225&lt;=time,M106*Costs!AS106,"")</f>
        <v/>
      </c>
      <c r="AM106" s="316" t="str">
        <f>IF(AM$225&lt;=time,N106*Costs!AT106,"")</f>
        <v/>
      </c>
      <c r="AN106" s="316" t="str">
        <f>IF(AN$225&lt;=time,O106*Costs!AU106,"")</f>
        <v/>
      </c>
      <c r="AO106" s="316" t="str">
        <f>IF(AO$225&lt;=time,P106*Costs!AV106,"")</f>
        <v/>
      </c>
      <c r="AP106" s="316" t="str">
        <f>IF(AP$225&lt;=time,Q106*Costs!AW106,"")</f>
        <v/>
      </c>
      <c r="AQ106" s="316" t="str">
        <f>IF(AQ$225&lt;=time,R106*Costs!AX106,"")</f>
        <v/>
      </c>
      <c r="AR106" s="316" t="str">
        <f>IF(AR$225&lt;=time,S106*Costs!AY106,"")</f>
        <v/>
      </c>
      <c r="AS106" s="316" t="str">
        <f>IF(AS$225&lt;=time,T106*Costs!AZ106,"")</f>
        <v/>
      </c>
      <c r="AT106" s="316" t="str">
        <f>IF(AT$225&lt;=time,U106*Costs!BA106,"")</f>
        <v/>
      </c>
      <c r="AU106" s="316" t="str">
        <f>IF(AU$225&lt;=time,V106*Costs!BB106,"")</f>
        <v/>
      </c>
      <c r="AV106" s="316" t="str">
        <f>IF(AV$225&lt;=time,W106*Costs!BC106,"")</f>
        <v/>
      </c>
      <c r="AW106" s="316" t="str">
        <f>IF(AW$225&lt;=time,X106*Costs!BD106,"")</f>
        <v/>
      </c>
      <c r="AX106" s="316" t="str">
        <f>IF(AX$225&lt;=time,Y106*Costs!BE106,"")</f>
        <v/>
      </c>
      <c r="AY106" s="316" t="str">
        <f>IF(AY$225&lt;=time,Z106*Costs!BF106,"")</f>
        <v/>
      </c>
      <c r="AZ106" s="317">
        <f t="array" ref="AZ106">(SUM( IF(ISERROR(AA106:AY106),"", AA106:AY106)))/time</f>
        <v>0</v>
      </c>
      <c r="BA106" s="317">
        <f t="shared" si="19"/>
        <v>0</v>
      </c>
      <c r="BB106" s="318">
        <f t="shared" si="26"/>
        <v>0</v>
      </c>
      <c r="BC106" s="319">
        <v>6</v>
      </c>
      <c r="BE106" s="208" t="e">
        <f t="array" ref="BE106">STDEV(IF(AA106:AY106&lt;&gt;0,AA106:AY106))</f>
        <v>#DIV/0!</v>
      </c>
      <c r="BF106" s="208">
        <v>1.96</v>
      </c>
      <c r="BG106" s="208" t="e">
        <f t="shared" si="27"/>
        <v>#DIV/0!</v>
      </c>
      <c r="BH106" s="208">
        <f t="shared" si="28"/>
        <v>0</v>
      </c>
    </row>
    <row r="107" spans="1:60" hidden="1">
      <c r="A107" s="322" t="str">
        <f>Costs!A107</f>
        <v>Wages for Existing Employee/Group of Employees 7</v>
      </c>
      <c r="B107" s="313"/>
      <c r="C107" s="313"/>
      <c r="D107" s="313"/>
      <c r="E107" s="313"/>
      <c r="F107" s="313"/>
      <c r="G107" s="313"/>
      <c r="H107" s="313"/>
      <c r="I107" s="313"/>
      <c r="J107" s="313"/>
      <c r="K107" s="313"/>
      <c r="L107" s="313"/>
      <c r="M107" s="313"/>
      <c r="N107" s="313"/>
      <c r="O107" s="313"/>
      <c r="P107" s="313"/>
      <c r="Q107" s="313"/>
      <c r="R107" s="313"/>
      <c r="S107" s="313"/>
      <c r="T107" s="313"/>
      <c r="U107" s="313"/>
      <c r="V107" s="313"/>
      <c r="W107" s="313"/>
      <c r="X107" s="313"/>
      <c r="Y107" s="313"/>
      <c r="Z107" s="314"/>
      <c r="AA107" s="315">
        <f>IF(AA$225&lt;=time,B107*Costs!AH107,"")</f>
        <v>0</v>
      </c>
      <c r="AB107" s="316">
        <f>IF(AB$225&lt;=time,C107*Costs!AI107,"")</f>
        <v>0</v>
      </c>
      <c r="AC107" s="316">
        <f>IF(AC$225&lt;=time,D107*Costs!AJ107,"")</f>
        <v>0</v>
      </c>
      <c r="AD107" s="316">
        <f>IF(AD$225&lt;=time,E107*Costs!AK107,"")</f>
        <v>0</v>
      </c>
      <c r="AE107" s="316">
        <f>IF(AE$225&lt;=time,F107*Costs!AL107,"")</f>
        <v>0</v>
      </c>
      <c r="AF107" s="316" t="str">
        <f>IF(AF$225&lt;=time,G107*Costs!AM107,"")</f>
        <v/>
      </c>
      <c r="AG107" s="316" t="str">
        <f>IF(AG$225&lt;=time,H107*Costs!AN107,"")</f>
        <v/>
      </c>
      <c r="AH107" s="316" t="str">
        <f>IF(AH$225&lt;=time,I107*Costs!AO107,"")</f>
        <v/>
      </c>
      <c r="AI107" s="316" t="str">
        <f>IF(AI$225&lt;=time,J107*Costs!AP107,"")</f>
        <v/>
      </c>
      <c r="AJ107" s="316" t="str">
        <f>IF(AJ$225&lt;=time,K107*Costs!AQ107,"")</f>
        <v/>
      </c>
      <c r="AK107" s="316" t="str">
        <f>IF(AK$225&lt;=time,L107*Costs!AR107,"")</f>
        <v/>
      </c>
      <c r="AL107" s="316" t="str">
        <f>IF(AL$225&lt;=time,M107*Costs!AS107,"")</f>
        <v/>
      </c>
      <c r="AM107" s="316" t="str">
        <f>IF(AM$225&lt;=time,N107*Costs!AT107,"")</f>
        <v/>
      </c>
      <c r="AN107" s="316" t="str">
        <f>IF(AN$225&lt;=time,O107*Costs!AU107,"")</f>
        <v/>
      </c>
      <c r="AO107" s="316" t="str">
        <f>IF(AO$225&lt;=time,P107*Costs!AV107,"")</f>
        <v/>
      </c>
      <c r="AP107" s="316" t="str">
        <f>IF(AP$225&lt;=time,Q107*Costs!AW107,"")</f>
        <v/>
      </c>
      <c r="AQ107" s="316" t="str">
        <f>IF(AQ$225&lt;=time,R107*Costs!AX107,"")</f>
        <v/>
      </c>
      <c r="AR107" s="316" t="str">
        <f>IF(AR$225&lt;=time,S107*Costs!AY107,"")</f>
        <v/>
      </c>
      <c r="AS107" s="316" t="str">
        <f>IF(AS$225&lt;=time,T107*Costs!AZ107,"")</f>
        <v/>
      </c>
      <c r="AT107" s="316" t="str">
        <f>IF(AT$225&lt;=time,U107*Costs!BA107,"")</f>
        <v/>
      </c>
      <c r="AU107" s="316" t="str">
        <f>IF(AU$225&lt;=time,V107*Costs!BB107,"")</f>
        <v/>
      </c>
      <c r="AV107" s="316" t="str">
        <f>IF(AV$225&lt;=time,W107*Costs!BC107,"")</f>
        <v/>
      </c>
      <c r="AW107" s="316" t="str">
        <f>IF(AW$225&lt;=time,X107*Costs!BD107,"")</f>
        <v/>
      </c>
      <c r="AX107" s="316" t="str">
        <f>IF(AX$225&lt;=time,Y107*Costs!BE107,"")</f>
        <v/>
      </c>
      <c r="AY107" s="316" t="str">
        <f>IF(AY$225&lt;=time,Z107*Costs!BF107,"")</f>
        <v/>
      </c>
      <c r="AZ107" s="317">
        <f t="array" ref="AZ107">(SUM( IF(ISERROR(AA107:AY107),"", AA107:AY107)))/time</f>
        <v>0</v>
      </c>
      <c r="BA107" s="317">
        <f t="shared" si="19"/>
        <v>0</v>
      </c>
      <c r="BB107" s="318">
        <f t="shared" si="26"/>
        <v>0</v>
      </c>
      <c r="BC107" s="319">
        <v>7</v>
      </c>
      <c r="BE107" s="208" t="e">
        <f t="array" ref="BE107">STDEV(IF(AA107:AY107&lt;&gt;0,AA107:AY107))</f>
        <v>#DIV/0!</v>
      </c>
      <c r="BF107" s="208">
        <v>1.96</v>
      </c>
      <c r="BG107" s="208" t="e">
        <f t="shared" si="27"/>
        <v>#DIV/0!</v>
      </c>
      <c r="BH107" s="208">
        <f t="shared" si="28"/>
        <v>0</v>
      </c>
    </row>
    <row r="108" spans="1:60" hidden="1">
      <c r="A108" s="322" t="str">
        <f>Costs!A108</f>
        <v>Wages for Existing Employee/Group of Employees 8</v>
      </c>
      <c r="B108" s="313"/>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4"/>
      <c r="AA108" s="315">
        <f>IF(AA$225&lt;=time,B108*Costs!AH108,"")</f>
        <v>0</v>
      </c>
      <c r="AB108" s="316">
        <f>IF(AB$225&lt;=time,C108*Costs!AI108,"")</f>
        <v>0</v>
      </c>
      <c r="AC108" s="316">
        <f>IF(AC$225&lt;=time,D108*Costs!AJ108,"")</f>
        <v>0</v>
      </c>
      <c r="AD108" s="316">
        <f>IF(AD$225&lt;=time,E108*Costs!AK108,"")</f>
        <v>0</v>
      </c>
      <c r="AE108" s="316">
        <f>IF(AE$225&lt;=time,F108*Costs!AL108,"")</f>
        <v>0</v>
      </c>
      <c r="AF108" s="316" t="str">
        <f>IF(AF$225&lt;=time,G108*Costs!AM108,"")</f>
        <v/>
      </c>
      <c r="AG108" s="316" t="str">
        <f>IF(AG$225&lt;=time,H108*Costs!AN108,"")</f>
        <v/>
      </c>
      <c r="AH108" s="316" t="str">
        <f>IF(AH$225&lt;=time,I108*Costs!AO108,"")</f>
        <v/>
      </c>
      <c r="AI108" s="316" t="str">
        <f>IF(AI$225&lt;=time,J108*Costs!AP108,"")</f>
        <v/>
      </c>
      <c r="AJ108" s="316" t="str">
        <f>IF(AJ$225&lt;=time,K108*Costs!AQ108,"")</f>
        <v/>
      </c>
      <c r="AK108" s="316" t="str">
        <f>IF(AK$225&lt;=time,L108*Costs!AR108,"")</f>
        <v/>
      </c>
      <c r="AL108" s="316" t="str">
        <f>IF(AL$225&lt;=time,M108*Costs!AS108,"")</f>
        <v/>
      </c>
      <c r="AM108" s="316" t="str">
        <f>IF(AM$225&lt;=time,N108*Costs!AT108,"")</f>
        <v/>
      </c>
      <c r="AN108" s="316" t="str">
        <f>IF(AN$225&lt;=time,O108*Costs!AU108,"")</f>
        <v/>
      </c>
      <c r="AO108" s="316" t="str">
        <f>IF(AO$225&lt;=time,P108*Costs!AV108,"")</f>
        <v/>
      </c>
      <c r="AP108" s="316" t="str">
        <f>IF(AP$225&lt;=time,Q108*Costs!AW108,"")</f>
        <v/>
      </c>
      <c r="AQ108" s="316" t="str">
        <f>IF(AQ$225&lt;=time,R108*Costs!AX108,"")</f>
        <v/>
      </c>
      <c r="AR108" s="316" t="str">
        <f>IF(AR$225&lt;=time,S108*Costs!AY108,"")</f>
        <v/>
      </c>
      <c r="AS108" s="316" t="str">
        <f>IF(AS$225&lt;=time,T108*Costs!AZ108,"")</f>
        <v/>
      </c>
      <c r="AT108" s="316" t="str">
        <f>IF(AT$225&lt;=time,U108*Costs!BA108,"")</f>
        <v/>
      </c>
      <c r="AU108" s="316" t="str">
        <f>IF(AU$225&lt;=time,V108*Costs!BB108,"")</f>
        <v/>
      </c>
      <c r="AV108" s="316" t="str">
        <f>IF(AV$225&lt;=time,W108*Costs!BC108,"")</f>
        <v/>
      </c>
      <c r="AW108" s="316" t="str">
        <f>IF(AW$225&lt;=time,X108*Costs!BD108,"")</f>
        <v/>
      </c>
      <c r="AX108" s="316" t="str">
        <f>IF(AX$225&lt;=time,Y108*Costs!BE108,"")</f>
        <v/>
      </c>
      <c r="AY108" s="316" t="str">
        <f>IF(AY$225&lt;=time,Z108*Costs!BF108,"")</f>
        <v/>
      </c>
      <c r="AZ108" s="317">
        <f t="array" ref="AZ108">(SUM( IF(ISERROR(AA108:AY108),"", AA108:AY108)))/time</f>
        <v>0</v>
      </c>
      <c r="BA108" s="317">
        <f t="shared" si="19"/>
        <v>0</v>
      </c>
      <c r="BB108" s="318">
        <f t="shared" si="26"/>
        <v>0</v>
      </c>
      <c r="BC108" s="319">
        <v>8</v>
      </c>
      <c r="BE108" s="208" t="e">
        <f t="array" ref="BE108">STDEV(IF(AA108:AY108&lt;&gt;0,AA108:AY108))</f>
        <v>#DIV/0!</v>
      </c>
      <c r="BF108" s="208">
        <v>1.96</v>
      </c>
      <c r="BG108" s="208" t="e">
        <f t="shared" si="27"/>
        <v>#DIV/0!</v>
      </c>
      <c r="BH108" s="208">
        <f t="shared" si="28"/>
        <v>0</v>
      </c>
    </row>
    <row r="109" spans="1:60" hidden="1">
      <c r="A109" s="322" t="str">
        <f>Costs!A109</f>
        <v>Wages for Existing Employee/Group of Employees 9</v>
      </c>
      <c r="B109" s="313"/>
      <c r="C109" s="313"/>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4"/>
      <c r="AA109" s="315">
        <f>IF(AA$225&lt;=time,B109*Costs!AH109,"")</f>
        <v>0</v>
      </c>
      <c r="AB109" s="316">
        <f>IF(AB$225&lt;=time,C109*Costs!AI109,"")</f>
        <v>0</v>
      </c>
      <c r="AC109" s="316">
        <f>IF(AC$225&lt;=time,D109*Costs!AJ109,"")</f>
        <v>0</v>
      </c>
      <c r="AD109" s="316">
        <f>IF(AD$225&lt;=time,E109*Costs!AK109,"")</f>
        <v>0</v>
      </c>
      <c r="AE109" s="316">
        <f>IF(AE$225&lt;=time,F109*Costs!AL109,"")</f>
        <v>0</v>
      </c>
      <c r="AF109" s="316" t="str">
        <f>IF(AF$225&lt;=time,G109*Costs!AM109,"")</f>
        <v/>
      </c>
      <c r="AG109" s="316" t="str">
        <f>IF(AG$225&lt;=time,H109*Costs!AN109,"")</f>
        <v/>
      </c>
      <c r="AH109" s="316" t="str">
        <f>IF(AH$225&lt;=time,I109*Costs!AO109,"")</f>
        <v/>
      </c>
      <c r="AI109" s="316" t="str">
        <f>IF(AI$225&lt;=time,J109*Costs!AP109,"")</f>
        <v/>
      </c>
      <c r="AJ109" s="316" t="str">
        <f>IF(AJ$225&lt;=time,K109*Costs!AQ109,"")</f>
        <v/>
      </c>
      <c r="AK109" s="316" t="str">
        <f>IF(AK$225&lt;=time,L109*Costs!AR109,"")</f>
        <v/>
      </c>
      <c r="AL109" s="316" t="str">
        <f>IF(AL$225&lt;=time,M109*Costs!AS109,"")</f>
        <v/>
      </c>
      <c r="AM109" s="316" t="str">
        <f>IF(AM$225&lt;=time,N109*Costs!AT109,"")</f>
        <v/>
      </c>
      <c r="AN109" s="316" t="str">
        <f>IF(AN$225&lt;=time,O109*Costs!AU109,"")</f>
        <v/>
      </c>
      <c r="AO109" s="316" t="str">
        <f>IF(AO$225&lt;=time,P109*Costs!AV109,"")</f>
        <v/>
      </c>
      <c r="AP109" s="316" t="str">
        <f>IF(AP$225&lt;=time,Q109*Costs!AW109,"")</f>
        <v/>
      </c>
      <c r="AQ109" s="316" t="str">
        <f>IF(AQ$225&lt;=time,R109*Costs!AX109,"")</f>
        <v/>
      </c>
      <c r="AR109" s="316" t="str">
        <f>IF(AR$225&lt;=time,S109*Costs!AY109,"")</f>
        <v/>
      </c>
      <c r="AS109" s="316" t="str">
        <f>IF(AS$225&lt;=time,T109*Costs!AZ109,"")</f>
        <v/>
      </c>
      <c r="AT109" s="316" t="str">
        <f>IF(AT$225&lt;=time,U109*Costs!BA109,"")</f>
        <v/>
      </c>
      <c r="AU109" s="316" t="str">
        <f>IF(AU$225&lt;=time,V109*Costs!BB109,"")</f>
        <v/>
      </c>
      <c r="AV109" s="316" t="str">
        <f>IF(AV$225&lt;=time,W109*Costs!BC109,"")</f>
        <v/>
      </c>
      <c r="AW109" s="316" t="str">
        <f>IF(AW$225&lt;=time,X109*Costs!BD109,"")</f>
        <v/>
      </c>
      <c r="AX109" s="316" t="str">
        <f>IF(AX$225&lt;=time,Y109*Costs!BE109,"")</f>
        <v/>
      </c>
      <c r="AY109" s="316" t="str">
        <f>IF(AY$225&lt;=time,Z109*Costs!BF109,"")</f>
        <v/>
      </c>
      <c r="AZ109" s="317">
        <f t="array" ref="AZ109">(SUM( IF(ISERROR(AA109:AY109),"", AA109:AY109)))/time</f>
        <v>0</v>
      </c>
      <c r="BA109" s="317">
        <f t="shared" si="19"/>
        <v>0</v>
      </c>
      <c r="BB109" s="318">
        <f t="shared" si="26"/>
        <v>0</v>
      </c>
      <c r="BC109" s="319">
        <v>9</v>
      </c>
      <c r="BE109" s="208" t="e">
        <f t="array" ref="BE109">STDEV(IF(AA109:AY109&lt;&gt;0,AA109:AY109))</f>
        <v>#DIV/0!</v>
      </c>
      <c r="BF109" s="208">
        <v>1.96</v>
      </c>
      <c r="BG109" s="208" t="e">
        <f t="shared" si="27"/>
        <v>#DIV/0!</v>
      </c>
      <c r="BH109" s="208">
        <f t="shared" si="28"/>
        <v>0</v>
      </c>
    </row>
    <row r="110" spans="1:60" hidden="1">
      <c r="A110" s="322" t="str">
        <f>Costs!A110</f>
        <v>Wages for Existing Employee/Group of Employees 10</v>
      </c>
      <c r="B110" s="313"/>
      <c r="C110" s="313"/>
      <c r="D110" s="313"/>
      <c r="E110" s="313"/>
      <c r="F110" s="313"/>
      <c r="G110" s="313"/>
      <c r="H110" s="313"/>
      <c r="I110" s="313"/>
      <c r="J110" s="313"/>
      <c r="K110" s="313"/>
      <c r="L110" s="313"/>
      <c r="M110" s="313"/>
      <c r="N110" s="313"/>
      <c r="O110" s="313"/>
      <c r="P110" s="313"/>
      <c r="Q110" s="313"/>
      <c r="R110" s="313"/>
      <c r="S110" s="313"/>
      <c r="T110" s="313"/>
      <c r="U110" s="313"/>
      <c r="V110" s="313"/>
      <c r="W110" s="313"/>
      <c r="X110" s="313"/>
      <c r="Y110" s="313"/>
      <c r="Z110" s="314"/>
      <c r="AA110" s="315">
        <f>IF(AA$225&lt;=time,B110*Costs!AH110,"")</f>
        <v>0</v>
      </c>
      <c r="AB110" s="316">
        <f>IF(AB$225&lt;=time,C110*Costs!AI110,"")</f>
        <v>0</v>
      </c>
      <c r="AC110" s="316">
        <f>IF(AC$225&lt;=time,D110*Costs!AJ110,"")</f>
        <v>0</v>
      </c>
      <c r="AD110" s="316">
        <f>IF(AD$225&lt;=time,E110*Costs!AK110,"")</f>
        <v>0</v>
      </c>
      <c r="AE110" s="316">
        <f>IF(AE$225&lt;=time,F110*Costs!AL110,"")</f>
        <v>0</v>
      </c>
      <c r="AF110" s="316" t="str">
        <f>IF(AF$225&lt;=time,G110*Costs!AM110,"")</f>
        <v/>
      </c>
      <c r="AG110" s="316" t="str">
        <f>IF(AG$225&lt;=time,H110*Costs!AN110,"")</f>
        <v/>
      </c>
      <c r="AH110" s="316" t="str">
        <f>IF(AH$225&lt;=time,I110*Costs!AO110,"")</f>
        <v/>
      </c>
      <c r="AI110" s="316" t="str">
        <f>IF(AI$225&lt;=time,J110*Costs!AP110,"")</f>
        <v/>
      </c>
      <c r="AJ110" s="316" t="str">
        <f>IF(AJ$225&lt;=time,K110*Costs!AQ110,"")</f>
        <v/>
      </c>
      <c r="AK110" s="316" t="str">
        <f>IF(AK$225&lt;=time,L110*Costs!AR110,"")</f>
        <v/>
      </c>
      <c r="AL110" s="316" t="str">
        <f>IF(AL$225&lt;=time,M110*Costs!AS110,"")</f>
        <v/>
      </c>
      <c r="AM110" s="316" t="str">
        <f>IF(AM$225&lt;=time,N110*Costs!AT110,"")</f>
        <v/>
      </c>
      <c r="AN110" s="316" t="str">
        <f>IF(AN$225&lt;=time,O110*Costs!AU110,"")</f>
        <v/>
      </c>
      <c r="AO110" s="316" t="str">
        <f>IF(AO$225&lt;=time,P110*Costs!AV110,"")</f>
        <v/>
      </c>
      <c r="AP110" s="316" t="str">
        <f>IF(AP$225&lt;=time,Q110*Costs!AW110,"")</f>
        <v/>
      </c>
      <c r="AQ110" s="316" t="str">
        <f>IF(AQ$225&lt;=time,R110*Costs!AX110,"")</f>
        <v/>
      </c>
      <c r="AR110" s="316" t="str">
        <f>IF(AR$225&lt;=time,S110*Costs!AY110,"")</f>
        <v/>
      </c>
      <c r="AS110" s="316" t="str">
        <f>IF(AS$225&lt;=time,T110*Costs!AZ110,"")</f>
        <v/>
      </c>
      <c r="AT110" s="316" t="str">
        <f>IF(AT$225&lt;=time,U110*Costs!BA110,"")</f>
        <v/>
      </c>
      <c r="AU110" s="316" t="str">
        <f>IF(AU$225&lt;=time,V110*Costs!BB110,"")</f>
        <v/>
      </c>
      <c r="AV110" s="316" t="str">
        <f>IF(AV$225&lt;=time,W110*Costs!BC110,"")</f>
        <v/>
      </c>
      <c r="AW110" s="316" t="str">
        <f>IF(AW$225&lt;=time,X110*Costs!BD110,"")</f>
        <v/>
      </c>
      <c r="AX110" s="316" t="str">
        <f>IF(AX$225&lt;=time,Y110*Costs!BE110,"")</f>
        <v/>
      </c>
      <c r="AY110" s="316" t="str">
        <f>IF(AY$225&lt;=time,Z110*Costs!BF110,"")</f>
        <v/>
      </c>
      <c r="AZ110" s="317">
        <f t="array" ref="AZ110">(SUM( IF(ISERROR(AA110:AY110),"", AA110:AY110)))/time</f>
        <v>0</v>
      </c>
      <c r="BA110" s="317">
        <f t="shared" si="19"/>
        <v>0</v>
      </c>
      <c r="BB110" s="318">
        <f t="shared" si="26"/>
        <v>0</v>
      </c>
      <c r="BC110" s="319">
        <v>10</v>
      </c>
      <c r="BE110" s="208" t="e">
        <f t="array" ref="BE110">STDEV(IF(AA110:AY110&lt;&gt;0,AA110:AY110))</f>
        <v>#DIV/0!</v>
      </c>
      <c r="BF110" s="208">
        <v>1.96</v>
      </c>
      <c r="BG110" s="208" t="e">
        <f t="shared" si="27"/>
        <v>#DIV/0!</v>
      </c>
      <c r="BH110" s="208">
        <f t="shared" si="28"/>
        <v>0</v>
      </c>
    </row>
    <row r="111" spans="1:60" s="11" customFormat="1">
      <c r="A111" s="234" t="s">
        <v>15</v>
      </c>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4"/>
      <c r="AA111" s="234"/>
      <c r="AB111" s="323"/>
      <c r="AC111" s="323"/>
      <c r="AD111" s="323"/>
      <c r="AE111" s="323"/>
      <c r="AF111" s="323"/>
      <c r="AG111" s="323"/>
      <c r="AH111" s="323"/>
      <c r="AI111" s="323"/>
      <c r="AJ111" s="323"/>
      <c r="AK111" s="323"/>
      <c r="AL111" s="323"/>
      <c r="AM111" s="323"/>
      <c r="AN111" s="323"/>
      <c r="AO111" s="323"/>
      <c r="AP111" s="323"/>
      <c r="AQ111" s="323"/>
      <c r="AR111" s="323"/>
      <c r="AS111" s="323"/>
      <c r="AT111" s="323"/>
      <c r="AU111" s="323"/>
      <c r="AV111" s="323"/>
      <c r="AW111" s="323"/>
      <c r="AX111" s="323"/>
      <c r="AY111" s="323"/>
      <c r="BA111" s="323"/>
      <c r="BB111" s="211"/>
    </row>
    <row r="112" spans="1:60">
      <c r="A112" s="32" t="str">
        <f>Costs!A112</f>
        <v>Hiring New Staff 1</v>
      </c>
      <c r="B112" s="865"/>
      <c r="C112" s="865"/>
      <c r="D112" s="865"/>
      <c r="E112" s="313"/>
      <c r="F112" s="313"/>
      <c r="G112" s="313"/>
      <c r="H112" s="313"/>
      <c r="I112" s="313"/>
      <c r="J112" s="313"/>
      <c r="K112" s="313"/>
      <c r="L112" s="313"/>
      <c r="M112" s="313"/>
      <c r="N112" s="313"/>
      <c r="O112" s="313"/>
      <c r="P112" s="313"/>
      <c r="Q112" s="313"/>
      <c r="R112" s="313"/>
      <c r="S112" s="313"/>
      <c r="T112" s="313"/>
      <c r="U112" s="313"/>
      <c r="V112" s="313"/>
      <c r="W112" s="313"/>
      <c r="X112" s="313"/>
      <c r="Y112" s="313"/>
      <c r="Z112" s="314"/>
      <c r="AA112" s="315">
        <f>IF(AA$225&lt;=time,B112*Costs!AH112,"")</f>
        <v>0</v>
      </c>
      <c r="AB112" s="316">
        <f>IF(AB$225&lt;=time,C112*Costs!AI112,"")</f>
        <v>0</v>
      </c>
      <c r="AC112" s="316">
        <f>IF(AC$225&lt;=time,D112*Costs!AJ112,"")</f>
        <v>0</v>
      </c>
      <c r="AD112" s="316">
        <f>IF(AD$225&lt;=time,E112*Costs!AK112,"")</f>
        <v>0</v>
      </c>
      <c r="AE112" s="316">
        <f>IF(AE$225&lt;=time,F112*Costs!AL112,"")</f>
        <v>0</v>
      </c>
      <c r="AF112" s="316" t="str">
        <f>IF(AF$225&lt;=time,G112*Costs!AM112,"")</f>
        <v/>
      </c>
      <c r="AG112" s="316" t="str">
        <f>IF(AG$225&lt;=time,H112*Costs!AN112,"")</f>
        <v/>
      </c>
      <c r="AH112" s="316" t="str">
        <f>IF(AH$225&lt;=time,I112*Costs!AO112,"")</f>
        <v/>
      </c>
      <c r="AI112" s="316" t="str">
        <f>IF(AI$225&lt;=time,J112*Costs!AP112,"")</f>
        <v/>
      </c>
      <c r="AJ112" s="316" t="str">
        <f>IF(AJ$225&lt;=time,K112*Costs!AQ112,"")</f>
        <v/>
      </c>
      <c r="AK112" s="316" t="str">
        <f>IF(AK$225&lt;=time,L112*Costs!AR112,"")</f>
        <v/>
      </c>
      <c r="AL112" s="316" t="str">
        <f>IF(AL$225&lt;=time,M112*Costs!AS112,"")</f>
        <v/>
      </c>
      <c r="AM112" s="316" t="str">
        <f>IF(AM$225&lt;=time,N112*Costs!AT112,"")</f>
        <v/>
      </c>
      <c r="AN112" s="316" t="str">
        <f>IF(AN$225&lt;=time,O112*Costs!AU112,"")</f>
        <v/>
      </c>
      <c r="AO112" s="316" t="str">
        <f>IF(AO$225&lt;=time,P112*Costs!AV112,"")</f>
        <v/>
      </c>
      <c r="AP112" s="316" t="str">
        <f>IF(AP$225&lt;=time,Q112*Costs!AW112,"")</f>
        <v/>
      </c>
      <c r="AQ112" s="316" t="str">
        <f>IF(AQ$225&lt;=time,R112*Costs!AX112,"")</f>
        <v/>
      </c>
      <c r="AR112" s="316" t="str">
        <f>IF(AR$225&lt;=time,S112*Costs!AY112,"")</f>
        <v/>
      </c>
      <c r="AS112" s="316" t="str">
        <f>IF(AS$225&lt;=time,T112*Costs!AZ112,"")</f>
        <v/>
      </c>
      <c r="AT112" s="316" t="str">
        <f>IF(AT$225&lt;=time,U112*Costs!BA112,"")</f>
        <v/>
      </c>
      <c r="AU112" s="316" t="str">
        <f>IF(AU$225&lt;=time,V112*Costs!BB112,"")</f>
        <v/>
      </c>
      <c r="AV112" s="316" t="str">
        <f>IF(AV$225&lt;=time,W112*Costs!BC112,"")</f>
        <v/>
      </c>
      <c r="AW112" s="316" t="str">
        <f>IF(AW$225&lt;=time,X112*Costs!BD112,"")</f>
        <v/>
      </c>
      <c r="AX112" s="316" t="str">
        <f>IF(AX$225&lt;=time,Y112*Costs!BE112,"")</f>
        <v/>
      </c>
      <c r="AY112" s="316" t="str">
        <f>IF(AY$225&lt;=time,Z112*Costs!BF112,"")</f>
        <v/>
      </c>
      <c r="AZ112" s="317">
        <f t="array" ref="AZ112">(SUM( IF(ISERROR(AA112:AY112),"", AA112:AY112)))/time</f>
        <v>0</v>
      </c>
      <c r="BA112" s="317">
        <f t="shared" si="19"/>
        <v>0</v>
      </c>
      <c r="BB112" s="318">
        <f t="shared" ref="BB112:BB121" si="29">IF(BH112&gt;0,AZ112+BG112,AZ112)</f>
        <v>0</v>
      </c>
      <c r="BC112" s="319">
        <v>1</v>
      </c>
      <c r="BE112" s="208" t="e">
        <f t="array" ref="BE112">STDEV(IF(AA112:AY112&lt;&gt;0,AA112:AY112))</f>
        <v>#DIV/0!</v>
      </c>
      <c r="BF112" s="208">
        <v>1.96</v>
      </c>
      <c r="BG112" s="208" t="e">
        <f t="shared" ref="BG112:BG121" si="30">(BF112*BE112)/(time^0.5)</f>
        <v>#DIV/0!</v>
      </c>
      <c r="BH112" s="208">
        <f t="shared" ref="BH112:BH121" si="31">IFERROR(BE112,0)</f>
        <v>0</v>
      </c>
    </row>
    <row r="113" spans="1:60" hidden="1">
      <c r="A113" s="322" t="str">
        <f>Costs!A113</f>
        <v>Hiring New Staff 2</v>
      </c>
      <c r="B113" s="313"/>
      <c r="C113" s="313"/>
      <c r="D113" s="313"/>
      <c r="E113" s="313"/>
      <c r="F113" s="313"/>
      <c r="G113" s="313"/>
      <c r="H113" s="313"/>
      <c r="I113" s="313"/>
      <c r="J113" s="313"/>
      <c r="K113" s="313"/>
      <c r="L113" s="313"/>
      <c r="M113" s="313"/>
      <c r="N113" s="313"/>
      <c r="O113" s="313"/>
      <c r="P113" s="313"/>
      <c r="Q113" s="313"/>
      <c r="R113" s="313"/>
      <c r="S113" s="313"/>
      <c r="T113" s="313"/>
      <c r="U113" s="313"/>
      <c r="V113" s="313"/>
      <c r="W113" s="313"/>
      <c r="X113" s="313"/>
      <c r="Y113" s="313"/>
      <c r="Z113" s="314"/>
      <c r="AA113" s="315">
        <f>IF(AA$225&lt;=time,B113*Costs!AH113,"")</f>
        <v>0</v>
      </c>
      <c r="AB113" s="316">
        <f>IF(AB$225&lt;=time,C113*Costs!AI113,"")</f>
        <v>0</v>
      </c>
      <c r="AC113" s="316">
        <f>IF(AC$225&lt;=time,D113*Costs!AJ113,"")</f>
        <v>0</v>
      </c>
      <c r="AD113" s="316">
        <f>IF(AD$225&lt;=time,E113*Costs!AK113,"")</f>
        <v>0</v>
      </c>
      <c r="AE113" s="316">
        <f>IF(AE$225&lt;=time,F113*Costs!AL113,"")</f>
        <v>0</v>
      </c>
      <c r="AF113" s="316" t="str">
        <f>IF(AF$225&lt;=time,G113*Costs!AM113,"")</f>
        <v/>
      </c>
      <c r="AG113" s="316" t="str">
        <f>IF(AG$225&lt;=time,H113*Costs!AN113,"")</f>
        <v/>
      </c>
      <c r="AH113" s="316" t="str">
        <f>IF(AH$225&lt;=time,I113*Costs!AO113,"")</f>
        <v/>
      </c>
      <c r="AI113" s="316" t="str">
        <f>IF(AI$225&lt;=time,J113*Costs!AP113,"")</f>
        <v/>
      </c>
      <c r="AJ113" s="316" t="str">
        <f>IF(AJ$225&lt;=time,K113*Costs!AQ113,"")</f>
        <v/>
      </c>
      <c r="AK113" s="316" t="str">
        <f>IF(AK$225&lt;=time,L113*Costs!AR113,"")</f>
        <v/>
      </c>
      <c r="AL113" s="316" t="str">
        <f>IF(AL$225&lt;=time,M113*Costs!AS113,"")</f>
        <v/>
      </c>
      <c r="AM113" s="316" t="str">
        <f>IF(AM$225&lt;=time,N113*Costs!AT113,"")</f>
        <v/>
      </c>
      <c r="AN113" s="316" t="str">
        <f>IF(AN$225&lt;=time,O113*Costs!AU113,"")</f>
        <v/>
      </c>
      <c r="AO113" s="316" t="str">
        <f>IF(AO$225&lt;=time,P113*Costs!AV113,"")</f>
        <v/>
      </c>
      <c r="AP113" s="316" t="str">
        <f>IF(AP$225&lt;=time,Q113*Costs!AW113,"")</f>
        <v/>
      </c>
      <c r="AQ113" s="316" t="str">
        <f>IF(AQ$225&lt;=time,R113*Costs!AX113,"")</f>
        <v/>
      </c>
      <c r="AR113" s="316" t="str">
        <f>IF(AR$225&lt;=time,S113*Costs!AY113,"")</f>
        <v/>
      </c>
      <c r="AS113" s="316" t="str">
        <f>IF(AS$225&lt;=time,T113*Costs!AZ113,"")</f>
        <v/>
      </c>
      <c r="AT113" s="316" t="str">
        <f>IF(AT$225&lt;=time,U113*Costs!BA113,"")</f>
        <v/>
      </c>
      <c r="AU113" s="316" t="str">
        <f>IF(AU$225&lt;=time,V113*Costs!BB113,"")</f>
        <v/>
      </c>
      <c r="AV113" s="316" t="str">
        <f>IF(AV$225&lt;=time,W113*Costs!BC113,"")</f>
        <v/>
      </c>
      <c r="AW113" s="316" t="str">
        <f>IF(AW$225&lt;=time,X113*Costs!BD113,"")</f>
        <v/>
      </c>
      <c r="AX113" s="316" t="str">
        <f>IF(AX$225&lt;=time,Y113*Costs!BE113,"")</f>
        <v/>
      </c>
      <c r="AY113" s="316" t="str">
        <f>IF(AY$225&lt;=time,Z113*Costs!BF113,"")</f>
        <v/>
      </c>
      <c r="AZ113" s="317">
        <f t="array" ref="AZ113">(SUM( IF(ISERROR(AA113:AY113),"", AA113:AY113)))/time</f>
        <v>0</v>
      </c>
      <c r="BA113" s="317">
        <f t="shared" si="19"/>
        <v>0</v>
      </c>
      <c r="BB113" s="318">
        <f t="shared" si="29"/>
        <v>0</v>
      </c>
      <c r="BC113" s="319">
        <v>2</v>
      </c>
      <c r="BE113" s="208" t="e">
        <f t="array" ref="BE113">STDEV(IF(AA113:AY113&lt;&gt;0,AA113:AY113))</f>
        <v>#DIV/0!</v>
      </c>
      <c r="BF113" s="208">
        <v>1.96</v>
      </c>
      <c r="BG113" s="208" t="e">
        <f t="shared" si="30"/>
        <v>#DIV/0!</v>
      </c>
      <c r="BH113" s="208">
        <f t="shared" si="31"/>
        <v>0</v>
      </c>
    </row>
    <row r="114" spans="1:60" hidden="1">
      <c r="A114" s="322" t="str">
        <f>Costs!A114</f>
        <v>Hiring New Staff 3</v>
      </c>
      <c r="B114" s="313"/>
      <c r="C114" s="313"/>
      <c r="D114" s="313"/>
      <c r="E114" s="313"/>
      <c r="F114" s="313"/>
      <c r="G114" s="313"/>
      <c r="H114" s="313"/>
      <c r="I114" s="313"/>
      <c r="J114" s="313"/>
      <c r="K114" s="313"/>
      <c r="L114" s="313"/>
      <c r="M114" s="313"/>
      <c r="N114" s="313"/>
      <c r="O114" s="313"/>
      <c r="P114" s="313"/>
      <c r="Q114" s="313"/>
      <c r="R114" s="313"/>
      <c r="S114" s="313"/>
      <c r="T114" s="313"/>
      <c r="U114" s="313"/>
      <c r="V114" s="313"/>
      <c r="W114" s="313"/>
      <c r="X114" s="313"/>
      <c r="Y114" s="313"/>
      <c r="Z114" s="314"/>
      <c r="AA114" s="315">
        <f>IF(AA$225&lt;=time,B114*Costs!AH114,"")</f>
        <v>0</v>
      </c>
      <c r="AB114" s="316">
        <f>IF(AB$225&lt;=time,C114*Costs!AI114,"")</f>
        <v>0</v>
      </c>
      <c r="AC114" s="316">
        <f>IF(AC$225&lt;=time,D114*Costs!AJ114,"")</f>
        <v>0</v>
      </c>
      <c r="AD114" s="316">
        <f>IF(AD$225&lt;=time,E114*Costs!AK114,"")</f>
        <v>0</v>
      </c>
      <c r="AE114" s="316">
        <f>IF(AE$225&lt;=time,F114*Costs!AL114,"")</f>
        <v>0</v>
      </c>
      <c r="AF114" s="316" t="str">
        <f>IF(AF$225&lt;=time,G114*Costs!AM114,"")</f>
        <v/>
      </c>
      <c r="AG114" s="316" t="str">
        <f>IF(AG$225&lt;=time,H114*Costs!AN114,"")</f>
        <v/>
      </c>
      <c r="AH114" s="316" t="str">
        <f>IF(AH$225&lt;=time,I114*Costs!AO114,"")</f>
        <v/>
      </c>
      <c r="AI114" s="316" t="str">
        <f>IF(AI$225&lt;=time,J114*Costs!AP114,"")</f>
        <v/>
      </c>
      <c r="AJ114" s="316" t="str">
        <f>IF(AJ$225&lt;=time,K114*Costs!AQ114,"")</f>
        <v/>
      </c>
      <c r="AK114" s="316" t="str">
        <f>IF(AK$225&lt;=time,L114*Costs!AR114,"")</f>
        <v/>
      </c>
      <c r="AL114" s="316" t="str">
        <f>IF(AL$225&lt;=time,M114*Costs!AS114,"")</f>
        <v/>
      </c>
      <c r="AM114" s="316" t="str">
        <f>IF(AM$225&lt;=time,N114*Costs!AT114,"")</f>
        <v/>
      </c>
      <c r="AN114" s="316" t="str">
        <f>IF(AN$225&lt;=time,O114*Costs!AU114,"")</f>
        <v/>
      </c>
      <c r="AO114" s="316" t="str">
        <f>IF(AO$225&lt;=time,P114*Costs!AV114,"")</f>
        <v/>
      </c>
      <c r="AP114" s="316" t="str">
        <f>IF(AP$225&lt;=time,Q114*Costs!AW114,"")</f>
        <v/>
      </c>
      <c r="AQ114" s="316" t="str">
        <f>IF(AQ$225&lt;=time,R114*Costs!AX114,"")</f>
        <v/>
      </c>
      <c r="AR114" s="316" t="str">
        <f>IF(AR$225&lt;=time,S114*Costs!AY114,"")</f>
        <v/>
      </c>
      <c r="AS114" s="316" t="str">
        <f>IF(AS$225&lt;=time,T114*Costs!AZ114,"")</f>
        <v/>
      </c>
      <c r="AT114" s="316" t="str">
        <f>IF(AT$225&lt;=time,U114*Costs!BA114,"")</f>
        <v/>
      </c>
      <c r="AU114" s="316" t="str">
        <f>IF(AU$225&lt;=time,V114*Costs!BB114,"")</f>
        <v/>
      </c>
      <c r="AV114" s="316" t="str">
        <f>IF(AV$225&lt;=time,W114*Costs!BC114,"")</f>
        <v/>
      </c>
      <c r="AW114" s="316" t="str">
        <f>IF(AW$225&lt;=time,X114*Costs!BD114,"")</f>
        <v/>
      </c>
      <c r="AX114" s="316" t="str">
        <f>IF(AX$225&lt;=time,Y114*Costs!BE114,"")</f>
        <v/>
      </c>
      <c r="AY114" s="316" t="str">
        <f>IF(AY$225&lt;=time,Z114*Costs!BF114,"")</f>
        <v/>
      </c>
      <c r="AZ114" s="317">
        <f t="array" ref="AZ114">(SUM( IF(ISERROR(AA114:AY114),"", AA114:AY114)))/time</f>
        <v>0</v>
      </c>
      <c r="BA114" s="317">
        <f t="shared" si="19"/>
        <v>0</v>
      </c>
      <c r="BB114" s="318">
        <f t="shared" si="29"/>
        <v>0</v>
      </c>
      <c r="BC114" s="319">
        <v>3</v>
      </c>
      <c r="BE114" s="208" t="e">
        <f t="array" ref="BE114">STDEV(IF(AA114:AY114&lt;&gt;0,AA114:AY114))</f>
        <v>#DIV/0!</v>
      </c>
      <c r="BF114" s="208">
        <v>1.96</v>
      </c>
      <c r="BG114" s="208" t="e">
        <f t="shared" si="30"/>
        <v>#DIV/0!</v>
      </c>
      <c r="BH114" s="208">
        <f t="shared" si="31"/>
        <v>0</v>
      </c>
    </row>
    <row r="115" spans="1:60" hidden="1">
      <c r="A115" s="322" t="str">
        <f>Costs!A115</f>
        <v>Hiring New Staff 4</v>
      </c>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4"/>
      <c r="AA115" s="315">
        <f>IF(AA$225&lt;=time,B115*Costs!AH115,"")</f>
        <v>0</v>
      </c>
      <c r="AB115" s="316">
        <f>IF(AB$225&lt;=time,C115*Costs!AI115,"")</f>
        <v>0</v>
      </c>
      <c r="AC115" s="316">
        <f>IF(AC$225&lt;=time,D115*Costs!AJ115,"")</f>
        <v>0</v>
      </c>
      <c r="AD115" s="316">
        <f>IF(AD$225&lt;=time,E115*Costs!AK115,"")</f>
        <v>0</v>
      </c>
      <c r="AE115" s="316">
        <f>IF(AE$225&lt;=time,F115*Costs!AL115,"")</f>
        <v>0</v>
      </c>
      <c r="AF115" s="316" t="str">
        <f>IF(AF$225&lt;=time,G115*Costs!AM115,"")</f>
        <v/>
      </c>
      <c r="AG115" s="316" t="str">
        <f>IF(AG$225&lt;=time,H115*Costs!AN115,"")</f>
        <v/>
      </c>
      <c r="AH115" s="316" t="str">
        <f>IF(AH$225&lt;=time,I115*Costs!AO115,"")</f>
        <v/>
      </c>
      <c r="AI115" s="316" t="str">
        <f>IF(AI$225&lt;=time,J115*Costs!AP115,"")</f>
        <v/>
      </c>
      <c r="AJ115" s="316" t="str">
        <f>IF(AJ$225&lt;=time,K115*Costs!AQ115,"")</f>
        <v/>
      </c>
      <c r="AK115" s="316" t="str">
        <f>IF(AK$225&lt;=time,L115*Costs!AR115,"")</f>
        <v/>
      </c>
      <c r="AL115" s="316" t="str">
        <f>IF(AL$225&lt;=time,M115*Costs!AS115,"")</f>
        <v/>
      </c>
      <c r="AM115" s="316" t="str">
        <f>IF(AM$225&lt;=time,N115*Costs!AT115,"")</f>
        <v/>
      </c>
      <c r="AN115" s="316" t="str">
        <f>IF(AN$225&lt;=time,O115*Costs!AU115,"")</f>
        <v/>
      </c>
      <c r="AO115" s="316" t="str">
        <f>IF(AO$225&lt;=time,P115*Costs!AV115,"")</f>
        <v/>
      </c>
      <c r="AP115" s="316" t="str">
        <f>IF(AP$225&lt;=time,Q115*Costs!AW115,"")</f>
        <v/>
      </c>
      <c r="AQ115" s="316" t="str">
        <f>IF(AQ$225&lt;=time,R115*Costs!AX115,"")</f>
        <v/>
      </c>
      <c r="AR115" s="316" t="str">
        <f>IF(AR$225&lt;=time,S115*Costs!AY115,"")</f>
        <v/>
      </c>
      <c r="AS115" s="316" t="str">
        <f>IF(AS$225&lt;=time,T115*Costs!AZ115,"")</f>
        <v/>
      </c>
      <c r="AT115" s="316" t="str">
        <f>IF(AT$225&lt;=time,U115*Costs!BA115,"")</f>
        <v/>
      </c>
      <c r="AU115" s="316" t="str">
        <f>IF(AU$225&lt;=time,V115*Costs!BB115,"")</f>
        <v/>
      </c>
      <c r="AV115" s="316" t="str">
        <f>IF(AV$225&lt;=time,W115*Costs!BC115,"")</f>
        <v/>
      </c>
      <c r="AW115" s="316" t="str">
        <f>IF(AW$225&lt;=time,X115*Costs!BD115,"")</f>
        <v/>
      </c>
      <c r="AX115" s="316" t="str">
        <f>IF(AX$225&lt;=time,Y115*Costs!BE115,"")</f>
        <v/>
      </c>
      <c r="AY115" s="316" t="str">
        <f>IF(AY$225&lt;=time,Z115*Costs!BF115,"")</f>
        <v/>
      </c>
      <c r="AZ115" s="317">
        <f t="array" ref="AZ115">(SUM( IF(ISERROR(AA115:AY115),"", AA115:AY115)))/time</f>
        <v>0</v>
      </c>
      <c r="BA115" s="317">
        <f t="shared" si="19"/>
        <v>0</v>
      </c>
      <c r="BB115" s="318">
        <f t="shared" si="29"/>
        <v>0</v>
      </c>
      <c r="BC115" s="319">
        <v>4</v>
      </c>
      <c r="BE115" s="208" t="e">
        <f t="array" ref="BE115">STDEV(IF(AA115:AY115&lt;&gt;0,AA115:AY115))</f>
        <v>#DIV/0!</v>
      </c>
      <c r="BF115" s="208">
        <v>1.96</v>
      </c>
      <c r="BG115" s="208" t="e">
        <f t="shared" si="30"/>
        <v>#DIV/0!</v>
      </c>
      <c r="BH115" s="208">
        <f t="shared" si="31"/>
        <v>0</v>
      </c>
    </row>
    <row r="116" spans="1:60" hidden="1">
      <c r="A116" s="322" t="str">
        <f>Costs!A116</f>
        <v>Hiring New Staff 5</v>
      </c>
      <c r="B116" s="313"/>
      <c r="C116" s="313"/>
      <c r="D116" s="313"/>
      <c r="E116" s="313"/>
      <c r="F116" s="313"/>
      <c r="G116" s="313"/>
      <c r="H116" s="313"/>
      <c r="I116" s="313"/>
      <c r="J116" s="313"/>
      <c r="K116" s="313"/>
      <c r="L116" s="313"/>
      <c r="M116" s="313"/>
      <c r="N116" s="313"/>
      <c r="O116" s="313"/>
      <c r="P116" s="313"/>
      <c r="Q116" s="313"/>
      <c r="R116" s="313"/>
      <c r="S116" s="313"/>
      <c r="T116" s="313"/>
      <c r="U116" s="313"/>
      <c r="V116" s="313"/>
      <c r="W116" s="313"/>
      <c r="X116" s="313"/>
      <c r="Y116" s="313"/>
      <c r="Z116" s="314"/>
      <c r="AA116" s="315">
        <f>IF(AA$225&lt;=time,B116*Costs!AH116,"")</f>
        <v>0</v>
      </c>
      <c r="AB116" s="316">
        <f>IF(AB$225&lt;=time,C116*Costs!AI116,"")</f>
        <v>0</v>
      </c>
      <c r="AC116" s="316">
        <f>IF(AC$225&lt;=time,D116*Costs!AJ116,"")</f>
        <v>0</v>
      </c>
      <c r="AD116" s="316">
        <f>IF(AD$225&lt;=time,E116*Costs!AK116,"")</f>
        <v>0</v>
      </c>
      <c r="AE116" s="316">
        <f>IF(AE$225&lt;=time,F116*Costs!AL116,"")</f>
        <v>0</v>
      </c>
      <c r="AF116" s="316" t="str">
        <f>IF(AF$225&lt;=time,G116*Costs!AM116,"")</f>
        <v/>
      </c>
      <c r="AG116" s="316" t="str">
        <f>IF(AG$225&lt;=time,H116*Costs!AN116,"")</f>
        <v/>
      </c>
      <c r="AH116" s="316" t="str">
        <f>IF(AH$225&lt;=time,I116*Costs!AO116,"")</f>
        <v/>
      </c>
      <c r="AI116" s="316" t="str">
        <f>IF(AI$225&lt;=time,J116*Costs!AP116,"")</f>
        <v/>
      </c>
      <c r="AJ116" s="316" t="str">
        <f>IF(AJ$225&lt;=time,K116*Costs!AQ116,"")</f>
        <v/>
      </c>
      <c r="AK116" s="316" t="str">
        <f>IF(AK$225&lt;=time,L116*Costs!AR116,"")</f>
        <v/>
      </c>
      <c r="AL116" s="316" t="str">
        <f>IF(AL$225&lt;=time,M116*Costs!AS116,"")</f>
        <v/>
      </c>
      <c r="AM116" s="316" t="str">
        <f>IF(AM$225&lt;=time,N116*Costs!AT116,"")</f>
        <v/>
      </c>
      <c r="AN116" s="316" t="str">
        <f>IF(AN$225&lt;=time,O116*Costs!AU116,"")</f>
        <v/>
      </c>
      <c r="AO116" s="316" t="str">
        <f>IF(AO$225&lt;=time,P116*Costs!AV116,"")</f>
        <v/>
      </c>
      <c r="AP116" s="316" t="str">
        <f>IF(AP$225&lt;=time,Q116*Costs!AW116,"")</f>
        <v/>
      </c>
      <c r="AQ116" s="316" t="str">
        <f>IF(AQ$225&lt;=time,R116*Costs!AX116,"")</f>
        <v/>
      </c>
      <c r="AR116" s="316" t="str">
        <f>IF(AR$225&lt;=time,S116*Costs!AY116,"")</f>
        <v/>
      </c>
      <c r="AS116" s="316" t="str">
        <f>IF(AS$225&lt;=time,T116*Costs!AZ116,"")</f>
        <v/>
      </c>
      <c r="AT116" s="316" t="str">
        <f>IF(AT$225&lt;=time,U116*Costs!BA116,"")</f>
        <v/>
      </c>
      <c r="AU116" s="316" t="str">
        <f>IF(AU$225&lt;=time,V116*Costs!BB116,"")</f>
        <v/>
      </c>
      <c r="AV116" s="316" t="str">
        <f>IF(AV$225&lt;=time,W116*Costs!BC116,"")</f>
        <v/>
      </c>
      <c r="AW116" s="316" t="str">
        <f>IF(AW$225&lt;=time,X116*Costs!BD116,"")</f>
        <v/>
      </c>
      <c r="AX116" s="316" t="str">
        <f>IF(AX$225&lt;=time,Y116*Costs!BE116,"")</f>
        <v/>
      </c>
      <c r="AY116" s="316" t="str">
        <f>IF(AY$225&lt;=time,Z116*Costs!BF116,"")</f>
        <v/>
      </c>
      <c r="AZ116" s="317">
        <f t="array" ref="AZ116">(SUM( IF(ISERROR(AA116:AY116),"", AA116:AY116)))/time</f>
        <v>0</v>
      </c>
      <c r="BA116" s="317">
        <f t="shared" si="19"/>
        <v>0</v>
      </c>
      <c r="BB116" s="318">
        <f>IF(BH116&gt;0,AZ116+BG116,AZ116)</f>
        <v>0</v>
      </c>
      <c r="BC116" s="319">
        <v>5</v>
      </c>
      <c r="BE116" s="208" t="e">
        <f t="array" ref="BE116">STDEV(IF(AA116:AY116&lt;&gt;0,AA116:AY116))</f>
        <v>#DIV/0!</v>
      </c>
      <c r="BF116" s="208">
        <v>1.96</v>
      </c>
      <c r="BG116" s="208" t="e">
        <f t="shared" si="30"/>
        <v>#DIV/0!</v>
      </c>
      <c r="BH116" s="208">
        <f t="shared" si="31"/>
        <v>0</v>
      </c>
    </row>
    <row r="117" spans="1:60" hidden="1">
      <c r="A117" s="322" t="str">
        <f>Costs!A117</f>
        <v>Hiring New Staff 6</v>
      </c>
      <c r="B117" s="313"/>
      <c r="C117" s="313"/>
      <c r="D117" s="313"/>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4"/>
      <c r="AA117" s="315">
        <f>IF(AA$225&lt;=time,B117*Costs!AH117,"")</f>
        <v>0</v>
      </c>
      <c r="AB117" s="316">
        <f>IF(AB$225&lt;=time,C117*Costs!AI117,"")</f>
        <v>0</v>
      </c>
      <c r="AC117" s="316">
        <f>IF(AC$225&lt;=time,D117*Costs!AJ117,"")</f>
        <v>0</v>
      </c>
      <c r="AD117" s="316">
        <f>IF(AD$225&lt;=time,E117*Costs!AK117,"")</f>
        <v>0</v>
      </c>
      <c r="AE117" s="316">
        <f>IF(AE$225&lt;=time,F117*Costs!AL117,"")</f>
        <v>0</v>
      </c>
      <c r="AF117" s="316" t="str">
        <f>IF(AF$225&lt;=time,G117*Costs!AM117,"")</f>
        <v/>
      </c>
      <c r="AG117" s="316" t="str">
        <f>IF(AG$225&lt;=time,H117*Costs!AN117,"")</f>
        <v/>
      </c>
      <c r="AH117" s="316" t="str">
        <f>IF(AH$225&lt;=time,I117*Costs!AO117,"")</f>
        <v/>
      </c>
      <c r="AI117" s="316" t="str">
        <f>IF(AI$225&lt;=time,J117*Costs!AP117,"")</f>
        <v/>
      </c>
      <c r="AJ117" s="316" t="str">
        <f>IF(AJ$225&lt;=time,K117*Costs!AQ117,"")</f>
        <v/>
      </c>
      <c r="AK117" s="316" t="str">
        <f>IF(AK$225&lt;=time,L117*Costs!AR117,"")</f>
        <v/>
      </c>
      <c r="AL117" s="316" t="str">
        <f>IF(AL$225&lt;=time,M117*Costs!AS117,"")</f>
        <v/>
      </c>
      <c r="AM117" s="316" t="str">
        <f>IF(AM$225&lt;=time,N117*Costs!AT117,"")</f>
        <v/>
      </c>
      <c r="AN117" s="316" t="str">
        <f>IF(AN$225&lt;=time,O117*Costs!AU117,"")</f>
        <v/>
      </c>
      <c r="AO117" s="316" t="str">
        <f>IF(AO$225&lt;=time,P117*Costs!AV117,"")</f>
        <v/>
      </c>
      <c r="AP117" s="316" t="str">
        <f>IF(AP$225&lt;=time,Q117*Costs!AW117,"")</f>
        <v/>
      </c>
      <c r="AQ117" s="316" t="str">
        <f>IF(AQ$225&lt;=time,R117*Costs!AX117,"")</f>
        <v/>
      </c>
      <c r="AR117" s="316" t="str">
        <f>IF(AR$225&lt;=time,S117*Costs!AY117,"")</f>
        <v/>
      </c>
      <c r="AS117" s="316" t="str">
        <f>IF(AS$225&lt;=time,T117*Costs!AZ117,"")</f>
        <v/>
      </c>
      <c r="AT117" s="316" t="str">
        <f>IF(AT$225&lt;=time,U117*Costs!BA117,"")</f>
        <v/>
      </c>
      <c r="AU117" s="316" t="str">
        <f>IF(AU$225&lt;=time,V117*Costs!BB117,"")</f>
        <v/>
      </c>
      <c r="AV117" s="316" t="str">
        <f>IF(AV$225&lt;=time,W117*Costs!BC117,"")</f>
        <v/>
      </c>
      <c r="AW117" s="316" t="str">
        <f>IF(AW$225&lt;=time,X117*Costs!BD117,"")</f>
        <v/>
      </c>
      <c r="AX117" s="316" t="str">
        <f>IF(AX$225&lt;=time,Y117*Costs!BE117,"")</f>
        <v/>
      </c>
      <c r="AY117" s="316" t="str">
        <f>IF(AY$225&lt;=time,Z117*Costs!BF117,"")</f>
        <v/>
      </c>
      <c r="AZ117" s="317">
        <f t="array" ref="AZ117">(SUM( IF(ISERROR(AA117:AY117),"", AA117:AY117)))/time</f>
        <v>0</v>
      </c>
      <c r="BA117" s="317">
        <f t="shared" si="19"/>
        <v>0</v>
      </c>
      <c r="BB117" s="318">
        <f t="shared" si="29"/>
        <v>0</v>
      </c>
      <c r="BC117" s="319">
        <v>6</v>
      </c>
      <c r="BE117" s="208" t="e">
        <f t="array" ref="BE117">STDEV(IF(AA117:AY117&lt;&gt;0,AA117:AY117))</f>
        <v>#DIV/0!</v>
      </c>
      <c r="BF117" s="208">
        <v>1.96</v>
      </c>
      <c r="BG117" s="208" t="e">
        <f t="shared" si="30"/>
        <v>#DIV/0!</v>
      </c>
      <c r="BH117" s="208">
        <f t="shared" si="31"/>
        <v>0</v>
      </c>
    </row>
    <row r="118" spans="1:60" hidden="1">
      <c r="A118" s="322" t="str">
        <f>Costs!A118</f>
        <v>Hiring New Staff 7</v>
      </c>
      <c r="B118" s="313"/>
      <c r="C118" s="313"/>
      <c r="D118" s="313"/>
      <c r="E118" s="313"/>
      <c r="F118" s="313"/>
      <c r="G118" s="313"/>
      <c r="H118" s="313"/>
      <c r="I118" s="313"/>
      <c r="J118" s="313"/>
      <c r="K118" s="313"/>
      <c r="L118" s="313"/>
      <c r="M118" s="313"/>
      <c r="N118" s="313"/>
      <c r="O118" s="313"/>
      <c r="P118" s="313"/>
      <c r="Q118" s="313"/>
      <c r="R118" s="313"/>
      <c r="S118" s="313"/>
      <c r="T118" s="313"/>
      <c r="U118" s="313"/>
      <c r="V118" s="313"/>
      <c r="W118" s="313"/>
      <c r="X118" s="313"/>
      <c r="Y118" s="313"/>
      <c r="Z118" s="314"/>
      <c r="AA118" s="315">
        <f>IF(AA$225&lt;=time,B118*Costs!AH118,"")</f>
        <v>0</v>
      </c>
      <c r="AB118" s="316">
        <f>IF(AB$225&lt;=time,C118*Costs!AI118,"")</f>
        <v>0</v>
      </c>
      <c r="AC118" s="316">
        <f>IF(AC$225&lt;=time,D118*Costs!AJ118,"")</f>
        <v>0</v>
      </c>
      <c r="AD118" s="316">
        <f>IF(AD$225&lt;=time,E118*Costs!AK118,"")</f>
        <v>0</v>
      </c>
      <c r="AE118" s="316">
        <f>IF(AE$225&lt;=time,F118*Costs!AL118,"")</f>
        <v>0</v>
      </c>
      <c r="AF118" s="316" t="str">
        <f>IF(AF$225&lt;=time,G118*Costs!AM118,"")</f>
        <v/>
      </c>
      <c r="AG118" s="316" t="str">
        <f>IF(AG$225&lt;=time,H118*Costs!AN118,"")</f>
        <v/>
      </c>
      <c r="AH118" s="316" t="str">
        <f>IF(AH$225&lt;=time,I118*Costs!AO118,"")</f>
        <v/>
      </c>
      <c r="AI118" s="316" t="str">
        <f>IF(AI$225&lt;=time,J118*Costs!AP118,"")</f>
        <v/>
      </c>
      <c r="AJ118" s="316" t="str">
        <f>IF(AJ$225&lt;=time,K118*Costs!AQ118,"")</f>
        <v/>
      </c>
      <c r="AK118" s="316" t="str">
        <f>IF(AK$225&lt;=time,L118*Costs!AR118,"")</f>
        <v/>
      </c>
      <c r="AL118" s="316" t="str">
        <f>IF(AL$225&lt;=time,M118*Costs!AS118,"")</f>
        <v/>
      </c>
      <c r="AM118" s="316" t="str">
        <f>IF(AM$225&lt;=time,N118*Costs!AT118,"")</f>
        <v/>
      </c>
      <c r="AN118" s="316" t="str">
        <f>IF(AN$225&lt;=time,O118*Costs!AU118,"")</f>
        <v/>
      </c>
      <c r="AO118" s="316" t="str">
        <f>IF(AO$225&lt;=time,P118*Costs!AV118,"")</f>
        <v/>
      </c>
      <c r="AP118" s="316" t="str">
        <f>IF(AP$225&lt;=time,Q118*Costs!AW118,"")</f>
        <v/>
      </c>
      <c r="AQ118" s="316" t="str">
        <f>IF(AQ$225&lt;=time,R118*Costs!AX118,"")</f>
        <v/>
      </c>
      <c r="AR118" s="316" t="str">
        <f>IF(AR$225&lt;=time,S118*Costs!AY118,"")</f>
        <v/>
      </c>
      <c r="AS118" s="316" t="str">
        <f>IF(AS$225&lt;=time,T118*Costs!AZ118,"")</f>
        <v/>
      </c>
      <c r="AT118" s="316" t="str">
        <f>IF(AT$225&lt;=time,U118*Costs!BA118,"")</f>
        <v/>
      </c>
      <c r="AU118" s="316" t="str">
        <f>IF(AU$225&lt;=time,V118*Costs!BB118,"")</f>
        <v/>
      </c>
      <c r="AV118" s="316" t="str">
        <f>IF(AV$225&lt;=time,W118*Costs!BC118,"")</f>
        <v/>
      </c>
      <c r="AW118" s="316" t="str">
        <f>IF(AW$225&lt;=time,X118*Costs!BD118,"")</f>
        <v/>
      </c>
      <c r="AX118" s="316" t="str">
        <f>IF(AX$225&lt;=time,Y118*Costs!BE118,"")</f>
        <v/>
      </c>
      <c r="AY118" s="316" t="str">
        <f>IF(AY$225&lt;=time,Z118*Costs!BF118,"")</f>
        <v/>
      </c>
      <c r="AZ118" s="317">
        <f t="array" ref="AZ118">(SUM( IF(ISERROR(AA118:AY118),"", AA118:AY118)))/time</f>
        <v>0</v>
      </c>
      <c r="BA118" s="317">
        <f t="shared" si="19"/>
        <v>0</v>
      </c>
      <c r="BB118" s="318">
        <f t="shared" si="29"/>
        <v>0</v>
      </c>
      <c r="BC118" s="319">
        <v>7</v>
      </c>
      <c r="BE118" s="208" t="e">
        <f t="array" ref="BE118">STDEV(IF(AA118:AY118&lt;&gt;0,AA118:AY118))</f>
        <v>#DIV/0!</v>
      </c>
      <c r="BF118" s="208">
        <v>1.96</v>
      </c>
      <c r="BG118" s="208" t="e">
        <f t="shared" si="30"/>
        <v>#DIV/0!</v>
      </c>
      <c r="BH118" s="208">
        <f t="shared" si="31"/>
        <v>0</v>
      </c>
    </row>
    <row r="119" spans="1:60" hidden="1">
      <c r="A119" s="322" t="str">
        <f>Costs!A119</f>
        <v>Hiring New Staff 8</v>
      </c>
      <c r="B119" s="313"/>
      <c r="C119" s="313"/>
      <c r="D119" s="313"/>
      <c r="E119" s="313"/>
      <c r="F119" s="313"/>
      <c r="G119" s="313"/>
      <c r="H119" s="313"/>
      <c r="I119" s="313"/>
      <c r="J119" s="313"/>
      <c r="K119" s="313"/>
      <c r="L119" s="313"/>
      <c r="M119" s="313"/>
      <c r="N119" s="313"/>
      <c r="O119" s="313"/>
      <c r="P119" s="313"/>
      <c r="Q119" s="313"/>
      <c r="R119" s="313"/>
      <c r="S119" s="313"/>
      <c r="T119" s="313"/>
      <c r="U119" s="313"/>
      <c r="V119" s="313"/>
      <c r="W119" s="313"/>
      <c r="X119" s="313"/>
      <c r="Y119" s="313"/>
      <c r="Z119" s="314"/>
      <c r="AA119" s="315">
        <f>IF(AA$225&lt;=time,B119*Costs!AH119,"")</f>
        <v>0</v>
      </c>
      <c r="AB119" s="316">
        <f>IF(AB$225&lt;=time,C119*Costs!AI119,"")</f>
        <v>0</v>
      </c>
      <c r="AC119" s="316">
        <f>IF(AC$225&lt;=time,D119*Costs!AJ119,"")</f>
        <v>0</v>
      </c>
      <c r="AD119" s="316">
        <f>IF(AD$225&lt;=time,E119*Costs!AK119,"")</f>
        <v>0</v>
      </c>
      <c r="AE119" s="316">
        <f>IF(AE$225&lt;=time,F119*Costs!AL119,"")</f>
        <v>0</v>
      </c>
      <c r="AF119" s="316" t="str">
        <f>IF(AF$225&lt;=time,G119*Costs!AM119,"")</f>
        <v/>
      </c>
      <c r="AG119" s="316" t="str">
        <f>IF(AG$225&lt;=time,H119*Costs!AN119,"")</f>
        <v/>
      </c>
      <c r="AH119" s="316" t="str">
        <f>IF(AH$225&lt;=time,I119*Costs!AO119,"")</f>
        <v/>
      </c>
      <c r="AI119" s="316" t="str">
        <f>IF(AI$225&lt;=time,J119*Costs!AP119,"")</f>
        <v/>
      </c>
      <c r="AJ119" s="316" t="str">
        <f>IF(AJ$225&lt;=time,K119*Costs!AQ119,"")</f>
        <v/>
      </c>
      <c r="AK119" s="316" t="str">
        <f>IF(AK$225&lt;=time,L119*Costs!AR119,"")</f>
        <v/>
      </c>
      <c r="AL119" s="316" t="str">
        <f>IF(AL$225&lt;=time,M119*Costs!AS119,"")</f>
        <v/>
      </c>
      <c r="AM119" s="316" t="str">
        <f>IF(AM$225&lt;=time,N119*Costs!AT119,"")</f>
        <v/>
      </c>
      <c r="AN119" s="316" t="str">
        <f>IF(AN$225&lt;=time,O119*Costs!AU119,"")</f>
        <v/>
      </c>
      <c r="AO119" s="316" t="str">
        <f>IF(AO$225&lt;=time,P119*Costs!AV119,"")</f>
        <v/>
      </c>
      <c r="AP119" s="316" t="str">
        <f>IF(AP$225&lt;=time,Q119*Costs!AW119,"")</f>
        <v/>
      </c>
      <c r="AQ119" s="316" t="str">
        <f>IF(AQ$225&lt;=time,R119*Costs!AX119,"")</f>
        <v/>
      </c>
      <c r="AR119" s="316" t="str">
        <f>IF(AR$225&lt;=time,S119*Costs!AY119,"")</f>
        <v/>
      </c>
      <c r="AS119" s="316" t="str">
        <f>IF(AS$225&lt;=time,T119*Costs!AZ119,"")</f>
        <v/>
      </c>
      <c r="AT119" s="316" t="str">
        <f>IF(AT$225&lt;=time,U119*Costs!BA119,"")</f>
        <v/>
      </c>
      <c r="AU119" s="316" t="str">
        <f>IF(AU$225&lt;=time,V119*Costs!BB119,"")</f>
        <v/>
      </c>
      <c r="AV119" s="316" t="str">
        <f>IF(AV$225&lt;=time,W119*Costs!BC119,"")</f>
        <v/>
      </c>
      <c r="AW119" s="316" t="str">
        <f>IF(AW$225&lt;=time,X119*Costs!BD119,"")</f>
        <v/>
      </c>
      <c r="AX119" s="316" t="str">
        <f>IF(AX$225&lt;=time,Y119*Costs!BE119,"")</f>
        <v/>
      </c>
      <c r="AY119" s="316" t="str">
        <f>IF(AY$225&lt;=time,Z119*Costs!BF119,"")</f>
        <v/>
      </c>
      <c r="AZ119" s="317">
        <f t="array" ref="AZ119">(SUM( IF(ISERROR(AA119:AY119),"", AA119:AY119)))/time</f>
        <v>0</v>
      </c>
      <c r="BA119" s="317">
        <f t="shared" si="19"/>
        <v>0</v>
      </c>
      <c r="BB119" s="318">
        <f t="shared" si="29"/>
        <v>0</v>
      </c>
      <c r="BC119" s="319">
        <v>8</v>
      </c>
      <c r="BE119" s="208" t="e">
        <f t="array" ref="BE119">STDEV(IF(AA119:AY119&lt;&gt;0,AA119:AY119))</f>
        <v>#DIV/0!</v>
      </c>
      <c r="BF119" s="208">
        <v>1.96</v>
      </c>
      <c r="BG119" s="208" t="e">
        <f t="shared" si="30"/>
        <v>#DIV/0!</v>
      </c>
      <c r="BH119" s="208">
        <f t="shared" si="31"/>
        <v>0</v>
      </c>
    </row>
    <row r="120" spans="1:60" hidden="1">
      <c r="A120" s="322" t="str">
        <f>Costs!A120</f>
        <v>Hiring New Staff 9</v>
      </c>
      <c r="B120" s="313"/>
      <c r="C120" s="313"/>
      <c r="D120" s="313"/>
      <c r="E120" s="313"/>
      <c r="F120" s="313"/>
      <c r="G120" s="313"/>
      <c r="H120" s="313"/>
      <c r="I120" s="313"/>
      <c r="J120" s="313"/>
      <c r="K120" s="313"/>
      <c r="L120" s="313"/>
      <c r="M120" s="313"/>
      <c r="N120" s="313"/>
      <c r="O120" s="313"/>
      <c r="P120" s="313"/>
      <c r="Q120" s="313"/>
      <c r="R120" s="313"/>
      <c r="S120" s="313"/>
      <c r="T120" s="313"/>
      <c r="U120" s="313"/>
      <c r="V120" s="313"/>
      <c r="W120" s="313"/>
      <c r="X120" s="313"/>
      <c r="Y120" s="313"/>
      <c r="Z120" s="314"/>
      <c r="AA120" s="315">
        <f>IF(AA$225&lt;=time,B120*Costs!AH120,"")</f>
        <v>0</v>
      </c>
      <c r="AB120" s="316">
        <f>IF(AB$225&lt;=time,C120*Costs!AI120,"")</f>
        <v>0</v>
      </c>
      <c r="AC120" s="316">
        <f>IF(AC$225&lt;=time,D120*Costs!AJ120,"")</f>
        <v>0</v>
      </c>
      <c r="AD120" s="316">
        <f>IF(AD$225&lt;=time,E120*Costs!AK120,"")</f>
        <v>0</v>
      </c>
      <c r="AE120" s="316">
        <f>IF(AE$225&lt;=time,F120*Costs!AL120,"")</f>
        <v>0</v>
      </c>
      <c r="AF120" s="316" t="str">
        <f>IF(AF$225&lt;=time,G120*Costs!AM120,"")</f>
        <v/>
      </c>
      <c r="AG120" s="316" t="str">
        <f>IF(AG$225&lt;=time,H120*Costs!AN120,"")</f>
        <v/>
      </c>
      <c r="AH120" s="316" t="str">
        <f>IF(AH$225&lt;=time,I120*Costs!AO120,"")</f>
        <v/>
      </c>
      <c r="AI120" s="316" t="str">
        <f>IF(AI$225&lt;=time,J120*Costs!AP120,"")</f>
        <v/>
      </c>
      <c r="AJ120" s="316" t="str">
        <f>IF(AJ$225&lt;=time,K120*Costs!AQ120,"")</f>
        <v/>
      </c>
      <c r="AK120" s="316" t="str">
        <f>IF(AK$225&lt;=time,L120*Costs!AR120,"")</f>
        <v/>
      </c>
      <c r="AL120" s="316" t="str">
        <f>IF(AL$225&lt;=time,M120*Costs!AS120,"")</f>
        <v/>
      </c>
      <c r="AM120" s="316" t="str">
        <f>IF(AM$225&lt;=time,N120*Costs!AT120,"")</f>
        <v/>
      </c>
      <c r="AN120" s="316" t="str">
        <f>IF(AN$225&lt;=time,O120*Costs!AU120,"")</f>
        <v/>
      </c>
      <c r="AO120" s="316" t="str">
        <f>IF(AO$225&lt;=time,P120*Costs!AV120,"")</f>
        <v/>
      </c>
      <c r="AP120" s="316" t="str">
        <f>IF(AP$225&lt;=time,Q120*Costs!AW120,"")</f>
        <v/>
      </c>
      <c r="AQ120" s="316" t="str">
        <f>IF(AQ$225&lt;=time,R120*Costs!AX120,"")</f>
        <v/>
      </c>
      <c r="AR120" s="316" t="str">
        <f>IF(AR$225&lt;=time,S120*Costs!AY120,"")</f>
        <v/>
      </c>
      <c r="AS120" s="316" t="str">
        <f>IF(AS$225&lt;=time,T120*Costs!AZ120,"")</f>
        <v/>
      </c>
      <c r="AT120" s="316" t="str">
        <f>IF(AT$225&lt;=time,U120*Costs!BA120,"")</f>
        <v/>
      </c>
      <c r="AU120" s="316" t="str">
        <f>IF(AU$225&lt;=time,V120*Costs!BB120,"")</f>
        <v/>
      </c>
      <c r="AV120" s="316" t="str">
        <f>IF(AV$225&lt;=time,W120*Costs!BC120,"")</f>
        <v/>
      </c>
      <c r="AW120" s="316" t="str">
        <f>IF(AW$225&lt;=time,X120*Costs!BD120,"")</f>
        <v/>
      </c>
      <c r="AX120" s="316" t="str">
        <f>IF(AX$225&lt;=time,Y120*Costs!BE120,"")</f>
        <v/>
      </c>
      <c r="AY120" s="316" t="str">
        <f>IF(AY$225&lt;=time,Z120*Costs!BF120,"")</f>
        <v/>
      </c>
      <c r="AZ120" s="317">
        <f t="array" ref="AZ120">(SUM( IF(ISERROR(AA120:AY120),"", AA120:AY120)))/time</f>
        <v>0</v>
      </c>
      <c r="BA120" s="317">
        <f t="shared" si="19"/>
        <v>0</v>
      </c>
      <c r="BB120" s="318">
        <f t="shared" si="29"/>
        <v>0</v>
      </c>
      <c r="BC120" s="319">
        <v>9</v>
      </c>
      <c r="BE120" s="208" t="e">
        <f t="array" ref="BE120">STDEV(IF(AA120:AY120&lt;&gt;0,AA120:AY120))</f>
        <v>#DIV/0!</v>
      </c>
      <c r="BF120" s="208">
        <v>1.96</v>
      </c>
      <c r="BG120" s="208" t="e">
        <f t="shared" si="30"/>
        <v>#DIV/0!</v>
      </c>
      <c r="BH120" s="208">
        <f t="shared" si="31"/>
        <v>0</v>
      </c>
    </row>
    <row r="121" spans="1:60" hidden="1">
      <c r="A121" s="322" t="str">
        <f>Costs!A121</f>
        <v>Hiring New Staff 10</v>
      </c>
      <c r="B121" s="313"/>
      <c r="C121" s="313"/>
      <c r="D121" s="313"/>
      <c r="E121" s="313"/>
      <c r="F121" s="313"/>
      <c r="G121" s="313"/>
      <c r="H121" s="313"/>
      <c r="I121" s="313"/>
      <c r="J121" s="313"/>
      <c r="K121" s="313"/>
      <c r="L121" s="313"/>
      <c r="M121" s="313"/>
      <c r="N121" s="313"/>
      <c r="O121" s="313"/>
      <c r="P121" s="313"/>
      <c r="Q121" s="313"/>
      <c r="R121" s="313"/>
      <c r="S121" s="313"/>
      <c r="T121" s="313"/>
      <c r="U121" s="313"/>
      <c r="V121" s="313"/>
      <c r="W121" s="313"/>
      <c r="X121" s="313"/>
      <c r="Y121" s="313"/>
      <c r="Z121" s="314"/>
      <c r="AA121" s="315">
        <f>IF(AA$225&lt;=time,B121*Costs!AH121,"")</f>
        <v>0</v>
      </c>
      <c r="AB121" s="316">
        <f>IF(AB$225&lt;=time,C121*Costs!AI121,"")</f>
        <v>0</v>
      </c>
      <c r="AC121" s="316">
        <f>IF(AC$225&lt;=time,D121*Costs!AJ121,"")</f>
        <v>0</v>
      </c>
      <c r="AD121" s="316">
        <f>IF(AD$225&lt;=time,E121*Costs!AK121,"")</f>
        <v>0</v>
      </c>
      <c r="AE121" s="316">
        <f>IF(AE$225&lt;=time,F121*Costs!AL121,"")</f>
        <v>0</v>
      </c>
      <c r="AF121" s="316" t="str">
        <f>IF(AF$225&lt;=time,G121*Costs!AM121,"")</f>
        <v/>
      </c>
      <c r="AG121" s="316" t="str">
        <f>IF(AG$225&lt;=time,H121*Costs!AN121,"")</f>
        <v/>
      </c>
      <c r="AH121" s="316" t="str">
        <f>IF(AH$225&lt;=time,I121*Costs!AO121,"")</f>
        <v/>
      </c>
      <c r="AI121" s="316" t="str">
        <f>IF(AI$225&lt;=time,J121*Costs!AP121,"")</f>
        <v/>
      </c>
      <c r="AJ121" s="316" t="str">
        <f>IF(AJ$225&lt;=time,K121*Costs!AQ121,"")</f>
        <v/>
      </c>
      <c r="AK121" s="316" t="str">
        <f>IF(AK$225&lt;=time,L121*Costs!AR121,"")</f>
        <v/>
      </c>
      <c r="AL121" s="316" t="str">
        <f>IF(AL$225&lt;=time,M121*Costs!AS121,"")</f>
        <v/>
      </c>
      <c r="AM121" s="316" t="str">
        <f>IF(AM$225&lt;=time,N121*Costs!AT121,"")</f>
        <v/>
      </c>
      <c r="AN121" s="316" t="str">
        <f>IF(AN$225&lt;=time,O121*Costs!AU121,"")</f>
        <v/>
      </c>
      <c r="AO121" s="316" t="str">
        <f>IF(AO$225&lt;=time,P121*Costs!AV121,"")</f>
        <v/>
      </c>
      <c r="AP121" s="316" t="str">
        <f>IF(AP$225&lt;=time,Q121*Costs!AW121,"")</f>
        <v/>
      </c>
      <c r="AQ121" s="316" t="str">
        <f>IF(AQ$225&lt;=time,R121*Costs!AX121,"")</f>
        <v/>
      </c>
      <c r="AR121" s="316" t="str">
        <f>IF(AR$225&lt;=time,S121*Costs!AY121,"")</f>
        <v/>
      </c>
      <c r="AS121" s="316" t="str">
        <f>IF(AS$225&lt;=time,T121*Costs!AZ121,"")</f>
        <v/>
      </c>
      <c r="AT121" s="316" t="str">
        <f>IF(AT$225&lt;=time,U121*Costs!BA121,"")</f>
        <v/>
      </c>
      <c r="AU121" s="316" t="str">
        <f>IF(AU$225&lt;=time,V121*Costs!BB121,"")</f>
        <v/>
      </c>
      <c r="AV121" s="316" t="str">
        <f>IF(AV$225&lt;=time,W121*Costs!BC121,"")</f>
        <v/>
      </c>
      <c r="AW121" s="316" t="str">
        <f>IF(AW$225&lt;=time,X121*Costs!BD121,"")</f>
        <v/>
      </c>
      <c r="AX121" s="316" t="str">
        <f>IF(AX$225&lt;=time,Y121*Costs!BE121,"")</f>
        <v/>
      </c>
      <c r="AY121" s="316" t="str">
        <f>IF(AY$225&lt;=time,Z121*Costs!BF121,"")</f>
        <v/>
      </c>
      <c r="AZ121" s="317">
        <f t="array" ref="AZ121">(SUM( IF(ISERROR(AA121:AY121),"", AA121:AY121)))/time</f>
        <v>0</v>
      </c>
      <c r="BA121" s="317">
        <f t="shared" si="19"/>
        <v>0</v>
      </c>
      <c r="BB121" s="318">
        <f t="shared" si="29"/>
        <v>0</v>
      </c>
      <c r="BC121" s="319">
        <v>10</v>
      </c>
      <c r="BE121" s="208" t="e">
        <f t="array" ref="BE121">STDEV(IF(AA121:AY121&lt;&gt;0,AA121:AY121))</f>
        <v>#DIV/0!</v>
      </c>
      <c r="BF121" s="208">
        <v>1.96</v>
      </c>
      <c r="BG121" s="208" t="e">
        <f t="shared" si="30"/>
        <v>#DIV/0!</v>
      </c>
      <c r="BH121" s="208">
        <f t="shared" si="31"/>
        <v>0</v>
      </c>
    </row>
    <row r="122" spans="1:60" s="11" customFormat="1">
      <c r="A122" s="234" t="s">
        <v>16</v>
      </c>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4"/>
      <c r="AA122" s="234"/>
      <c r="AB122" s="323"/>
      <c r="AC122" s="323"/>
      <c r="AD122" s="323"/>
      <c r="AE122" s="323"/>
      <c r="AF122" s="323"/>
      <c r="AG122" s="323"/>
      <c r="AH122" s="323"/>
      <c r="AI122" s="323"/>
      <c r="AJ122" s="323"/>
      <c r="AK122" s="323"/>
      <c r="AL122" s="323"/>
      <c r="AM122" s="323"/>
      <c r="AN122" s="323"/>
      <c r="AO122" s="323"/>
      <c r="AP122" s="323"/>
      <c r="AQ122" s="323"/>
      <c r="AR122" s="323"/>
      <c r="AS122" s="323"/>
      <c r="AT122" s="323"/>
      <c r="AU122" s="323"/>
      <c r="AV122" s="323"/>
      <c r="AW122" s="323"/>
      <c r="AX122" s="323"/>
      <c r="AY122" s="323"/>
      <c r="BB122" s="211"/>
    </row>
    <row r="123" spans="1:60">
      <c r="A123" s="32" t="str">
        <f>Costs!A123</f>
        <v>Volunteers 1</v>
      </c>
      <c r="B123" s="865"/>
      <c r="C123" s="865"/>
      <c r="D123" s="865"/>
      <c r="E123" s="313"/>
      <c r="F123" s="313"/>
      <c r="G123" s="313"/>
      <c r="H123" s="313"/>
      <c r="I123" s="313"/>
      <c r="J123" s="313"/>
      <c r="K123" s="313"/>
      <c r="L123" s="313"/>
      <c r="M123" s="313"/>
      <c r="N123" s="313"/>
      <c r="O123" s="313"/>
      <c r="P123" s="313"/>
      <c r="Q123" s="313"/>
      <c r="R123" s="313"/>
      <c r="S123" s="313"/>
      <c r="T123" s="313"/>
      <c r="U123" s="313"/>
      <c r="V123" s="313"/>
      <c r="W123" s="313"/>
      <c r="X123" s="313"/>
      <c r="Y123" s="313"/>
      <c r="Z123" s="314"/>
      <c r="AA123" s="315">
        <f>IF(AA$225&lt;=time,B123*Costs!AH123,"")</f>
        <v>0</v>
      </c>
      <c r="AB123" s="316">
        <f>IF(AB$225&lt;=time,C123*Costs!AI123,"")</f>
        <v>0</v>
      </c>
      <c r="AC123" s="316">
        <f>IF(AC$225&lt;=time,D123*Costs!AJ123,"")</f>
        <v>0</v>
      </c>
      <c r="AD123" s="316">
        <f>IF(AD$225&lt;=time,E123*Costs!AK123,"")</f>
        <v>0</v>
      </c>
      <c r="AE123" s="316">
        <f>IF(AE$225&lt;=time,F123*Costs!AL123,"")</f>
        <v>0</v>
      </c>
      <c r="AF123" s="316" t="str">
        <f>IF(AF$225&lt;=time,G123*Costs!AM123,"")</f>
        <v/>
      </c>
      <c r="AG123" s="316" t="str">
        <f>IF(AG$225&lt;=time,H123*Costs!AN123,"")</f>
        <v/>
      </c>
      <c r="AH123" s="316" t="str">
        <f>IF(AH$225&lt;=time,I123*Costs!AO123,"")</f>
        <v/>
      </c>
      <c r="AI123" s="316" t="str">
        <f>IF(AI$225&lt;=time,J123*Costs!AP123,"")</f>
        <v/>
      </c>
      <c r="AJ123" s="316" t="str">
        <f>IF(AJ$225&lt;=time,K123*Costs!AQ123,"")</f>
        <v/>
      </c>
      <c r="AK123" s="316" t="str">
        <f>IF(AK$225&lt;=time,L123*Costs!AR123,"")</f>
        <v/>
      </c>
      <c r="AL123" s="316" t="str">
        <f>IF(AL$225&lt;=time,M123*Costs!AS123,"")</f>
        <v/>
      </c>
      <c r="AM123" s="316" t="str">
        <f>IF(AM$225&lt;=time,N123*Costs!AT123,"")</f>
        <v/>
      </c>
      <c r="AN123" s="316" t="str">
        <f>IF(AN$225&lt;=time,O123*Costs!AU123,"")</f>
        <v/>
      </c>
      <c r="AO123" s="316" t="str">
        <f>IF(AO$225&lt;=time,P123*Costs!AV123,"")</f>
        <v/>
      </c>
      <c r="AP123" s="316" t="str">
        <f>IF(AP$225&lt;=time,Q123*Costs!AW123,"")</f>
        <v/>
      </c>
      <c r="AQ123" s="316" t="str">
        <f>IF(AQ$225&lt;=time,R123*Costs!AX123,"")</f>
        <v/>
      </c>
      <c r="AR123" s="316" t="str">
        <f>IF(AR$225&lt;=time,S123*Costs!AY123,"")</f>
        <v/>
      </c>
      <c r="AS123" s="316" t="str">
        <f>IF(AS$225&lt;=time,T123*Costs!AZ123,"")</f>
        <v/>
      </c>
      <c r="AT123" s="316" t="str">
        <f>IF(AT$225&lt;=time,U123*Costs!BA123,"")</f>
        <v/>
      </c>
      <c r="AU123" s="316" t="str">
        <f>IF(AU$225&lt;=time,V123*Costs!BB123,"")</f>
        <v/>
      </c>
      <c r="AV123" s="316" t="str">
        <f>IF(AV$225&lt;=time,W123*Costs!BC123,"")</f>
        <v/>
      </c>
      <c r="AW123" s="316" t="str">
        <f>IF(AW$225&lt;=time,X123*Costs!BD123,"")</f>
        <v/>
      </c>
      <c r="AX123" s="316" t="str">
        <f>IF(AX$225&lt;=time,Y123*Costs!BE123,"")</f>
        <v/>
      </c>
      <c r="AY123" s="316" t="str">
        <f>IF(AY$225&lt;=time,Z123*Costs!BF123,"")</f>
        <v/>
      </c>
      <c r="AZ123" s="317">
        <f t="array" ref="AZ123">(SUM( IF(ISERROR(AA123:AY123),"", AA123:AY123)))/time</f>
        <v>0</v>
      </c>
      <c r="BA123" s="317">
        <f t="shared" si="19"/>
        <v>0</v>
      </c>
      <c r="BB123" s="318">
        <f t="shared" ref="BB123:BB132" si="32">IF(BH123&gt;0,AZ123+BG123,AZ123)</f>
        <v>0</v>
      </c>
      <c r="BC123" s="319">
        <v>1</v>
      </c>
      <c r="BE123" s="208" t="e">
        <f t="array" ref="BE123">STDEV(IF(AA123:AY123&lt;&gt;0,AA123:AY123))</f>
        <v>#DIV/0!</v>
      </c>
      <c r="BF123" s="208">
        <v>1.96</v>
      </c>
      <c r="BG123" s="208" t="e">
        <f t="shared" ref="BG123:BG132" si="33">(BF123*BE123)/(time^0.5)</f>
        <v>#DIV/0!</v>
      </c>
      <c r="BH123" s="208">
        <f t="shared" ref="BH123:BH132" si="34">IFERROR(BE123,0)</f>
        <v>0</v>
      </c>
    </row>
    <row r="124" spans="1:60" hidden="1">
      <c r="A124" s="322" t="str">
        <f>Costs!A124</f>
        <v>Volunteers 2</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4"/>
      <c r="AA124" s="315">
        <f>IF(AA$225&lt;=time,B124*Costs!AH124,"")</f>
        <v>0</v>
      </c>
      <c r="AB124" s="316">
        <f>IF(AB$225&lt;=time,C124*Costs!AI124,"")</f>
        <v>0</v>
      </c>
      <c r="AC124" s="316">
        <f>IF(AC$225&lt;=time,D124*Costs!AJ124,"")</f>
        <v>0</v>
      </c>
      <c r="AD124" s="316">
        <f>IF(AD$225&lt;=time,E124*Costs!AK124,"")</f>
        <v>0</v>
      </c>
      <c r="AE124" s="316">
        <f>IF(AE$225&lt;=time,F124*Costs!AL124,"")</f>
        <v>0</v>
      </c>
      <c r="AF124" s="316" t="str">
        <f>IF(AF$225&lt;=time,G124*Costs!AM124,"")</f>
        <v/>
      </c>
      <c r="AG124" s="316" t="str">
        <f>IF(AG$225&lt;=time,H124*Costs!AN124,"")</f>
        <v/>
      </c>
      <c r="AH124" s="316" t="str">
        <f>IF(AH$225&lt;=time,I124*Costs!AO124,"")</f>
        <v/>
      </c>
      <c r="AI124" s="316" t="str">
        <f>IF(AI$225&lt;=time,J124*Costs!AP124,"")</f>
        <v/>
      </c>
      <c r="AJ124" s="316" t="str">
        <f>IF(AJ$225&lt;=time,K124*Costs!AQ124,"")</f>
        <v/>
      </c>
      <c r="AK124" s="316" t="str">
        <f>IF(AK$225&lt;=time,L124*Costs!AR124,"")</f>
        <v/>
      </c>
      <c r="AL124" s="316" t="str">
        <f>IF(AL$225&lt;=time,M124*Costs!AS124,"")</f>
        <v/>
      </c>
      <c r="AM124" s="316" t="str">
        <f>IF(AM$225&lt;=time,N124*Costs!AT124,"")</f>
        <v/>
      </c>
      <c r="AN124" s="316" t="str">
        <f>IF(AN$225&lt;=time,O124*Costs!AU124,"")</f>
        <v/>
      </c>
      <c r="AO124" s="316" t="str">
        <f>IF(AO$225&lt;=time,P124*Costs!AV124,"")</f>
        <v/>
      </c>
      <c r="AP124" s="316" t="str">
        <f>IF(AP$225&lt;=time,Q124*Costs!AW124,"")</f>
        <v/>
      </c>
      <c r="AQ124" s="316" t="str">
        <f>IF(AQ$225&lt;=time,R124*Costs!AX124,"")</f>
        <v/>
      </c>
      <c r="AR124" s="316" t="str">
        <f>IF(AR$225&lt;=time,S124*Costs!AY124,"")</f>
        <v/>
      </c>
      <c r="AS124" s="316" t="str">
        <f>IF(AS$225&lt;=time,T124*Costs!AZ124,"")</f>
        <v/>
      </c>
      <c r="AT124" s="316" t="str">
        <f>IF(AT$225&lt;=time,U124*Costs!BA124,"")</f>
        <v/>
      </c>
      <c r="AU124" s="316" t="str">
        <f>IF(AU$225&lt;=time,V124*Costs!BB124,"")</f>
        <v/>
      </c>
      <c r="AV124" s="316" t="str">
        <f>IF(AV$225&lt;=time,W124*Costs!BC124,"")</f>
        <v/>
      </c>
      <c r="AW124" s="316" t="str">
        <f>IF(AW$225&lt;=time,X124*Costs!BD124,"")</f>
        <v/>
      </c>
      <c r="AX124" s="316" t="str">
        <f>IF(AX$225&lt;=time,Y124*Costs!BE124,"")</f>
        <v/>
      </c>
      <c r="AY124" s="316" t="str">
        <f>IF(AY$225&lt;=time,Z124*Costs!BF124,"")</f>
        <v/>
      </c>
      <c r="AZ124" s="317">
        <f t="array" ref="AZ124">(SUM( IF(ISERROR(AA124:AY124),"", AA124:AY124)))/time</f>
        <v>0</v>
      </c>
      <c r="BA124" s="317">
        <f t="shared" si="19"/>
        <v>0</v>
      </c>
      <c r="BB124" s="318">
        <f t="shared" si="32"/>
        <v>0</v>
      </c>
      <c r="BC124" s="319">
        <v>2</v>
      </c>
      <c r="BE124" s="208" t="e">
        <f t="array" ref="BE124">STDEV(IF(AA124:AY124&lt;&gt;0,AA124:AY124))</f>
        <v>#DIV/0!</v>
      </c>
      <c r="BF124" s="208">
        <v>1.96</v>
      </c>
      <c r="BG124" s="208" t="e">
        <f t="shared" si="33"/>
        <v>#DIV/0!</v>
      </c>
      <c r="BH124" s="208">
        <f t="shared" si="34"/>
        <v>0</v>
      </c>
    </row>
    <row r="125" spans="1:60" hidden="1">
      <c r="A125" s="322" t="str">
        <f>Costs!A125</f>
        <v>Volunteers 3</v>
      </c>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4"/>
      <c r="AA125" s="315">
        <f>IF(AA$225&lt;=time,B125*Costs!AH125,"")</f>
        <v>0</v>
      </c>
      <c r="AB125" s="316">
        <f>IF(AB$225&lt;=time,C125*Costs!AI125,"")</f>
        <v>0</v>
      </c>
      <c r="AC125" s="316">
        <f>IF(AC$225&lt;=time,D125*Costs!AJ125,"")</f>
        <v>0</v>
      </c>
      <c r="AD125" s="316">
        <f>IF(AD$225&lt;=time,E125*Costs!AK125,"")</f>
        <v>0</v>
      </c>
      <c r="AE125" s="316">
        <f>IF(AE$225&lt;=time,F125*Costs!AL125,"")</f>
        <v>0</v>
      </c>
      <c r="AF125" s="316" t="str">
        <f>IF(AF$225&lt;=time,G125*Costs!AM125,"")</f>
        <v/>
      </c>
      <c r="AG125" s="316" t="str">
        <f>IF(AG$225&lt;=time,H125*Costs!AN125,"")</f>
        <v/>
      </c>
      <c r="AH125" s="316" t="str">
        <f>IF(AH$225&lt;=time,I125*Costs!AO125,"")</f>
        <v/>
      </c>
      <c r="AI125" s="316" t="str">
        <f>IF(AI$225&lt;=time,J125*Costs!AP125,"")</f>
        <v/>
      </c>
      <c r="AJ125" s="316" t="str">
        <f>IF(AJ$225&lt;=time,K125*Costs!AQ125,"")</f>
        <v/>
      </c>
      <c r="AK125" s="316" t="str">
        <f>IF(AK$225&lt;=time,L125*Costs!AR125,"")</f>
        <v/>
      </c>
      <c r="AL125" s="316" t="str">
        <f>IF(AL$225&lt;=time,M125*Costs!AS125,"")</f>
        <v/>
      </c>
      <c r="AM125" s="316" t="str">
        <f>IF(AM$225&lt;=time,N125*Costs!AT125,"")</f>
        <v/>
      </c>
      <c r="AN125" s="316" t="str">
        <f>IF(AN$225&lt;=time,O125*Costs!AU125,"")</f>
        <v/>
      </c>
      <c r="AO125" s="316" t="str">
        <f>IF(AO$225&lt;=time,P125*Costs!AV125,"")</f>
        <v/>
      </c>
      <c r="AP125" s="316" t="str">
        <f>IF(AP$225&lt;=time,Q125*Costs!AW125,"")</f>
        <v/>
      </c>
      <c r="AQ125" s="316" t="str">
        <f>IF(AQ$225&lt;=time,R125*Costs!AX125,"")</f>
        <v/>
      </c>
      <c r="AR125" s="316" t="str">
        <f>IF(AR$225&lt;=time,S125*Costs!AY125,"")</f>
        <v/>
      </c>
      <c r="AS125" s="316" t="str">
        <f>IF(AS$225&lt;=time,T125*Costs!AZ125,"")</f>
        <v/>
      </c>
      <c r="AT125" s="316" t="str">
        <f>IF(AT$225&lt;=time,U125*Costs!BA125,"")</f>
        <v/>
      </c>
      <c r="AU125" s="316" t="str">
        <f>IF(AU$225&lt;=time,V125*Costs!BB125,"")</f>
        <v/>
      </c>
      <c r="AV125" s="316" t="str">
        <f>IF(AV$225&lt;=time,W125*Costs!BC125,"")</f>
        <v/>
      </c>
      <c r="AW125" s="316" t="str">
        <f>IF(AW$225&lt;=time,X125*Costs!BD125,"")</f>
        <v/>
      </c>
      <c r="AX125" s="316" t="str">
        <f>IF(AX$225&lt;=time,Y125*Costs!BE125,"")</f>
        <v/>
      </c>
      <c r="AY125" s="316" t="str">
        <f>IF(AY$225&lt;=time,Z125*Costs!BF125,"")</f>
        <v/>
      </c>
      <c r="AZ125" s="317">
        <f t="array" ref="AZ125">(SUM( IF(ISERROR(AA125:AY125),"", AA125:AY125)))/time</f>
        <v>0</v>
      </c>
      <c r="BA125" s="317">
        <f t="shared" si="19"/>
        <v>0</v>
      </c>
      <c r="BB125" s="318">
        <f t="shared" si="32"/>
        <v>0</v>
      </c>
      <c r="BC125" s="319">
        <v>3</v>
      </c>
      <c r="BE125" s="208" t="e">
        <f t="array" ref="BE125">STDEV(IF(AA125:AY125&lt;&gt;0,AA125:AY125))</f>
        <v>#DIV/0!</v>
      </c>
      <c r="BF125" s="208">
        <v>1.96</v>
      </c>
      <c r="BG125" s="208" t="e">
        <f t="shared" si="33"/>
        <v>#DIV/0!</v>
      </c>
      <c r="BH125" s="208">
        <f t="shared" si="34"/>
        <v>0</v>
      </c>
    </row>
    <row r="126" spans="1:60" hidden="1">
      <c r="A126" s="322" t="str">
        <f>Costs!A126</f>
        <v>Volunteers 4</v>
      </c>
      <c r="B126" s="313"/>
      <c r="C126" s="313"/>
      <c r="D126" s="313"/>
      <c r="E126" s="313"/>
      <c r="F126" s="313"/>
      <c r="G126" s="313"/>
      <c r="H126" s="313"/>
      <c r="I126" s="313"/>
      <c r="J126" s="313"/>
      <c r="K126" s="313"/>
      <c r="L126" s="313"/>
      <c r="M126" s="313"/>
      <c r="N126" s="313"/>
      <c r="O126" s="313"/>
      <c r="P126" s="313"/>
      <c r="Q126" s="313"/>
      <c r="R126" s="313"/>
      <c r="S126" s="313"/>
      <c r="T126" s="313"/>
      <c r="U126" s="313"/>
      <c r="V126" s="313"/>
      <c r="W126" s="313"/>
      <c r="X126" s="313"/>
      <c r="Y126" s="313"/>
      <c r="Z126" s="314"/>
      <c r="AA126" s="315">
        <f>IF(AA$225&lt;=time,B126*Costs!AH126,"")</f>
        <v>0</v>
      </c>
      <c r="AB126" s="316">
        <f>IF(AB$225&lt;=time,C126*Costs!AI126,"")</f>
        <v>0</v>
      </c>
      <c r="AC126" s="316">
        <f>IF(AC$225&lt;=time,D126*Costs!AJ126,"")</f>
        <v>0</v>
      </c>
      <c r="AD126" s="316">
        <f>IF(AD$225&lt;=time,E126*Costs!AK126,"")</f>
        <v>0</v>
      </c>
      <c r="AE126" s="316">
        <f>IF(AE$225&lt;=time,F126*Costs!AL126,"")</f>
        <v>0</v>
      </c>
      <c r="AF126" s="316" t="str">
        <f>IF(AF$225&lt;=time,G126*Costs!AM126,"")</f>
        <v/>
      </c>
      <c r="AG126" s="316" t="str">
        <f>IF(AG$225&lt;=time,H126*Costs!AN126,"")</f>
        <v/>
      </c>
      <c r="AH126" s="316" t="str">
        <f>IF(AH$225&lt;=time,I126*Costs!AO126,"")</f>
        <v/>
      </c>
      <c r="AI126" s="316" t="str">
        <f>IF(AI$225&lt;=time,J126*Costs!AP126,"")</f>
        <v/>
      </c>
      <c r="AJ126" s="316" t="str">
        <f>IF(AJ$225&lt;=time,K126*Costs!AQ126,"")</f>
        <v/>
      </c>
      <c r="AK126" s="316" t="str">
        <f>IF(AK$225&lt;=time,L126*Costs!AR126,"")</f>
        <v/>
      </c>
      <c r="AL126" s="316" t="str">
        <f>IF(AL$225&lt;=time,M126*Costs!AS126,"")</f>
        <v/>
      </c>
      <c r="AM126" s="316" t="str">
        <f>IF(AM$225&lt;=time,N126*Costs!AT126,"")</f>
        <v/>
      </c>
      <c r="AN126" s="316" t="str">
        <f>IF(AN$225&lt;=time,O126*Costs!AU126,"")</f>
        <v/>
      </c>
      <c r="AO126" s="316" t="str">
        <f>IF(AO$225&lt;=time,P126*Costs!AV126,"")</f>
        <v/>
      </c>
      <c r="AP126" s="316" t="str">
        <f>IF(AP$225&lt;=time,Q126*Costs!AW126,"")</f>
        <v/>
      </c>
      <c r="AQ126" s="316" t="str">
        <f>IF(AQ$225&lt;=time,R126*Costs!AX126,"")</f>
        <v/>
      </c>
      <c r="AR126" s="316" t="str">
        <f>IF(AR$225&lt;=time,S126*Costs!AY126,"")</f>
        <v/>
      </c>
      <c r="AS126" s="316" t="str">
        <f>IF(AS$225&lt;=time,T126*Costs!AZ126,"")</f>
        <v/>
      </c>
      <c r="AT126" s="316" t="str">
        <f>IF(AT$225&lt;=time,U126*Costs!BA126,"")</f>
        <v/>
      </c>
      <c r="AU126" s="316" t="str">
        <f>IF(AU$225&lt;=time,V126*Costs!BB126,"")</f>
        <v/>
      </c>
      <c r="AV126" s="316" t="str">
        <f>IF(AV$225&lt;=time,W126*Costs!BC126,"")</f>
        <v/>
      </c>
      <c r="AW126" s="316" t="str">
        <f>IF(AW$225&lt;=time,X126*Costs!BD126,"")</f>
        <v/>
      </c>
      <c r="AX126" s="316" t="str">
        <f>IF(AX$225&lt;=time,Y126*Costs!BE126,"")</f>
        <v/>
      </c>
      <c r="AY126" s="316" t="str">
        <f>IF(AY$225&lt;=time,Z126*Costs!BF126,"")</f>
        <v/>
      </c>
      <c r="AZ126" s="317">
        <f t="array" ref="AZ126">(SUM( IF(ISERROR(AA126:AY126),"", AA126:AY126)))/time</f>
        <v>0</v>
      </c>
      <c r="BA126" s="317">
        <f t="shared" si="19"/>
        <v>0</v>
      </c>
      <c r="BB126" s="318">
        <f t="shared" si="32"/>
        <v>0</v>
      </c>
      <c r="BC126" s="319">
        <v>4</v>
      </c>
      <c r="BE126" s="208" t="e">
        <f t="array" ref="BE126">STDEV(IF(AA126:AY126&lt;&gt;0,AA126:AY126))</f>
        <v>#DIV/0!</v>
      </c>
      <c r="BF126" s="208">
        <v>1.96</v>
      </c>
      <c r="BG126" s="208" t="e">
        <f t="shared" si="33"/>
        <v>#DIV/0!</v>
      </c>
      <c r="BH126" s="208">
        <f t="shared" si="34"/>
        <v>0</v>
      </c>
    </row>
    <row r="127" spans="1:60" hidden="1">
      <c r="A127" s="322" t="str">
        <f>Costs!A127</f>
        <v>Volunteers 5</v>
      </c>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4"/>
      <c r="AA127" s="315">
        <f>IF(AA$225&lt;=time,B127*Costs!AH127,"")</f>
        <v>0</v>
      </c>
      <c r="AB127" s="316">
        <f>IF(AB$225&lt;=time,C127*Costs!AI127,"")</f>
        <v>0</v>
      </c>
      <c r="AC127" s="316">
        <f>IF(AC$225&lt;=time,D127*Costs!AJ127,"")</f>
        <v>0</v>
      </c>
      <c r="AD127" s="316">
        <f>IF(AD$225&lt;=time,E127*Costs!AK127,"")</f>
        <v>0</v>
      </c>
      <c r="AE127" s="316">
        <f>IF(AE$225&lt;=time,F127*Costs!AL127,"")</f>
        <v>0</v>
      </c>
      <c r="AF127" s="316" t="str">
        <f>IF(AF$225&lt;=time,G127*Costs!AM127,"")</f>
        <v/>
      </c>
      <c r="AG127" s="316" t="str">
        <f>IF(AG$225&lt;=time,H127*Costs!AN127,"")</f>
        <v/>
      </c>
      <c r="AH127" s="316" t="str">
        <f>IF(AH$225&lt;=time,I127*Costs!AO127,"")</f>
        <v/>
      </c>
      <c r="AI127" s="316" t="str">
        <f>IF(AI$225&lt;=time,J127*Costs!AP127,"")</f>
        <v/>
      </c>
      <c r="AJ127" s="316" t="str">
        <f>IF(AJ$225&lt;=time,K127*Costs!AQ127,"")</f>
        <v/>
      </c>
      <c r="AK127" s="316" t="str">
        <f>IF(AK$225&lt;=time,L127*Costs!AR127,"")</f>
        <v/>
      </c>
      <c r="AL127" s="316" t="str">
        <f>IF(AL$225&lt;=time,M127*Costs!AS127,"")</f>
        <v/>
      </c>
      <c r="AM127" s="316" t="str">
        <f>IF(AM$225&lt;=time,N127*Costs!AT127,"")</f>
        <v/>
      </c>
      <c r="AN127" s="316" t="str">
        <f>IF(AN$225&lt;=time,O127*Costs!AU127,"")</f>
        <v/>
      </c>
      <c r="AO127" s="316" t="str">
        <f>IF(AO$225&lt;=time,P127*Costs!AV127,"")</f>
        <v/>
      </c>
      <c r="AP127" s="316" t="str">
        <f>IF(AP$225&lt;=time,Q127*Costs!AW127,"")</f>
        <v/>
      </c>
      <c r="AQ127" s="316" t="str">
        <f>IF(AQ$225&lt;=time,R127*Costs!AX127,"")</f>
        <v/>
      </c>
      <c r="AR127" s="316" t="str">
        <f>IF(AR$225&lt;=time,S127*Costs!AY127,"")</f>
        <v/>
      </c>
      <c r="AS127" s="316" t="str">
        <f>IF(AS$225&lt;=time,T127*Costs!AZ127,"")</f>
        <v/>
      </c>
      <c r="AT127" s="316" t="str">
        <f>IF(AT$225&lt;=time,U127*Costs!BA127,"")</f>
        <v/>
      </c>
      <c r="AU127" s="316" t="str">
        <f>IF(AU$225&lt;=time,V127*Costs!BB127,"")</f>
        <v/>
      </c>
      <c r="AV127" s="316" t="str">
        <f>IF(AV$225&lt;=time,W127*Costs!BC127,"")</f>
        <v/>
      </c>
      <c r="AW127" s="316" t="str">
        <f>IF(AW$225&lt;=time,X127*Costs!BD127,"")</f>
        <v/>
      </c>
      <c r="AX127" s="316" t="str">
        <f>IF(AX$225&lt;=time,Y127*Costs!BE127,"")</f>
        <v/>
      </c>
      <c r="AY127" s="316" t="str">
        <f>IF(AY$225&lt;=time,Z127*Costs!BF127,"")</f>
        <v/>
      </c>
      <c r="AZ127" s="317">
        <f t="array" ref="AZ127">(SUM( IF(ISERROR(AA127:AY127),"", AA127:AY127)))/time</f>
        <v>0</v>
      </c>
      <c r="BA127" s="317">
        <f t="shared" si="19"/>
        <v>0</v>
      </c>
      <c r="BB127" s="318">
        <f t="shared" si="32"/>
        <v>0</v>
      </c>
      <c r="BC127" s="319">
        <v>5</v>
      </c>
      <c r="BE127" s="208" t="e">
        <f t="array" ref="BE127">STDEV(IF(AA127:AY127&lt;&gt;0,AA127:AY127))</f>
        <v>#DIV/0!</v>
      </c>
      <c r="BF127" s="208">
        <v>1.96</v>
      </c>
      <c r="BG127" s="208" t="e">
        <f t="shared" si="33"/>
        <v>#DIV/0!</v>
      </c>
      <c r="BH127" s="208">
        <f t="shared" si="34"/>
        <v>0</v>
      </c>
    </row>
    <row r="128" spans="1:60" hidden="1">
      <c r="A128" s="322" t="str">
        <f>Costs!A128</f>
        <v>Volunteers 6</v>
      </c>
      <c r="B128" s="313"/>
      <c r="C128" s="313"/>
      <c r="D128" s="313"/>
      <c r="E128" s="313"/>
      <c r="F128" s="313"/>
      <c r="G128" s="313"/>
      <c r="H128" s="313"/>
      <c r="I128" s="313"/>
      <c r="J128" s="313"/>
      <c r="K128" s="313"/>
      <c r="L128" s="313"/>
      <c r="M128" s="313"/>
      <c r="N128" s="313"/>
      <c r="O128" s="313"/>
      <c r="P128" s="313"/>
      <c r="Q128" s="313"/>
      <c r="R128" s="313"/>
      <c r="S128" s="313"/>
      <c r="T128" s="313"/>
      <c r="U128" s="313"/>
      <c r="V128" s="313"/>
      <c r="W128" s="313"/>
      <c r="X128" s="313"/>
      <c r="Y128" s="313"/>
      <c r="Z128" s="314"/>
      <c r="AA128" s="315">
        <f>IF(AA$225&lt;=time,B128*Costs!AH128,"")</f>
        <v>0</v>
      </c>
      <c r="AB128" s="316">
        <f>IF(AB$225&lt;=time,C128*Costs!AI128,"")</f>
        <v>0</v>
      </c>
      <c r="AC128" s="316">
        <f>IF(AC$225&lt;=time,D128*Costs!AJ128,"")</f>
        <v>0</v>
      </c>
      <c r="AD128" s="316">
        <f>IF(AD$225&lt;=time,E128*Costs!AK128,"")</f>
        <v>0</v>
      </c>
      <c r="AE128" s="316">
        <f>IF(AE$225&lt;=time,F128*Costs!AL128,"")</f>
        <v>0</v>
      </c>
      <c r="AF128" s="316" t="str">
        <f>IF(AF$225&lt;=time,G128*Costs!AM128,"")</f>
        <v/>
      </c>
      <c r="AG128" s="316" t="str">
        <f>IF(AG$225&lt;=time,H128*Costs!AN128,"")</f>
        <v/>
      </c>
      <c r="AH128" s="316" t="str">
        <f>IF(AH$225&lt;=time,I128*Costs!AO128,"")</f>
        <v/>
      </c>
      <c r="AI128" s="316" t="str">
        <f>IF(AI$225&lt;=time,J128*Costs!AP128,"")</f>
        <v/>
      </c>
      <c r="AJ128" s="316" t="str">
        <f>IF(AJ$225&lt;=time,K128*Costs!AQ128,"")</f>
        <v/>
      </c>
      <c r="AK128" s="316" t="str">
        <f>IF(AK$225&lt;=time,L128*Costs!AR128,"")</f>
        <v/>
      </c>
      <c r="AL128" s="316" t="str">
        <f>IF(AL$225&lt;=time,M128*Costs!AS128,"")</f>
        <v/>
      </c>
      <c r="AM128" s="316" t="str">
        <f>IF(AM$225&lt;=time,N128*Costs!AT128,"")</f>
        <v/>
      </c>
      <c r="AN128" s="316" t="str">
        <f>IF(AN$225&lt;=time,O128*Costs!AU128,"")</f>
        <v/>
      </c>
      <c r="AO128" s="316" t="str">
        <f>IF(AO$225&lt;=time,P128*Costs!AV128,"")</f>
        <v/>
      </c>
      <c r="AP128" s="316" t="str">
        <f>IF(AP$225&lt;=time,Q128*Costs!AW128,"")</f>
        <v/>
      </c>
      <c r="AQ128" s="316" t="str">
        <f>IF(AQ$225&lt;=time,R128*Costs!AX128,"")</f>
        <v/>
      </c>
      <c r="AR128" s="316" t="str">
        <f>IF(AR$225&lt;=time,S128*Costs!AY128,"")</f>
        <v/>
      </c>
      <c r="AS128" s="316" t="str">
        <f>IF(AS$225&lt;=time,T128*Costs!AZ128,"")</f>
        <v/>
      </c>
      <c r="AT128" s="316" t="str">
        <f>IF(AT$225&lt;=time,U128*Costs!BA128,"")</f>
        <v/>
      </c>
      <c r="AU128" s="316" t="str">
        <f>IF(AU$225&lt;=time,V128*Costs!BB128,"")</f>
        <v/>
      </c>
      <c r="AV128" s="316" t="str">
        <f>IF(AV$225&lt;=time,W128*Costs!BC128,"")</f>
        <v/>
      </c>
      <c r="AW128" s="316" t="str">
        <f>IF(AW$225&lt;=time,X128*Costs!BD128,"")</f>
        <v/>
      </c>
      <c r="AX128" s="316" t="str">
        <f>IF(AX$225&lt;=time,Y128*Costs!BE128,"")</f>
        <v/>
      </c>
      <c r="AY128" s="316" t="str">
        <f>IF(AY$225&lt;=time,Z128*Costs!BF128,"")</f>
        <v/>
      </c>
      <c r="AZ128" s="317">
        <f t="array" ref="AZ128">(SUM( IF(ISERROR(AA128:AY128),"", AA128:AY128)))/time</f>
        <v>0</v>
      </c>
      <c r="BA128" s="317">
        <f t="shared" si="19"/>
        <v>0</v>
      </c>
      <c r="BB128" s="318">
        <f t="shared" si="32"/>
        <v>0</v>
      </c>
      <c r="BC128" s="319">
        <v>6</v>
      </c>
      <c r="BE128" s="208" t="e">
        <f t="array" ref="BE128">STDEV(IF(AA128:AY128&lt;&gt;0,AA128:AY128))</f>
        <v>#DIV/0!</v>
      </c>
      <c r="BF128" s="208">
        <v>1.96</v>
      </c>
      <c r="BG128" s="208" t="e">
        <f t="shared" si="33"/>
        <v>#DIV/0!</v>
      </c>
      <c r="BH128" s="208">
        <f t="shared" si="34"/>
        <v>0</v>
      </c>
    </row>
    <row r="129" spans="1:60" hidden="1">
      <c r="A129" s="322" t="str">
        <f>Costs!A129</f>
        <v>Volunteers 7</v>
      </c>
      <c r="B129" s="313"/>
      <c r="C129" s="313"/>
      <c r="D129" s="313"/>
      <c r="E129" s="313"/>
      <c r="F129" s="313"/>
      <c r="G129" s="313"/>
      <c r="H129" s="313"/>
      <c r="I129" s="313"/>
      <c r="J129" s="313"/>
      <c r="K129" s="313"/>
      <c r="L129" s="313"/>
      <c r="M129" s="313"/>
      <c r="N129" s="313"/>
      <c r="O129" s="313"/>
      <c r="P129" s="313"/>
      <c r="Q129" s="313"/>
      <c r="R129" s="313"/>
      <c r="S129" s="313"/>
      <c r="T129" s="313"/>
      <c r="U129" s="313"/>
      <c r="V129" s="313"/>
      <c r="W129" s="313"/>
      <c r="X129" s="313"/>
      <c r="Y129" s="313"/>
      <c r="Z129" s="314"/>
      <c r="AA129" s="315">
        <f>IF(AA$225&lt;=time,B129*Costs!AH129,"")</f>
        <v>0</v>
      </c>
      <c r="AB129" s="316">
        <f>IF(AB$225&lt;=time,C129*Costs!AI129,"")</f>
        <v>0</v>
      </c>
      <c r="AC129" s="316">
        <f>IF(AC$225&lt;=time,D129*Costs!AJ129,"")</f>
        <v>0</v>
      </c>
      <c r="AD129" s="316">
        <f>IF(AD$225&lt;=time,E129*Costs!AK129,"")</f>
        <v>0</v>
      </c>
      <c r="AE129" s="316">
        <f>IF(AE$225&lt;=time,F129*Costs!AL129,"")</f>
        <v>0</v>
      </c>
      <c r="AF129" s="316" t="str">
        <f>IF(AF$225&lt;=time,G129*Costs!AM129,"")</f>
        <v/>
      </c>
      <c r="AG129" s="316" t="str">
        <f>IF(AG$225&lt;=time,H129*Costs!AN129,"")</f>
        <v/>
      </c>
      <c r="AH129" s="316" t="str">
        <f>IF(AH$225&lt;=time,I129*Costs!AO129,"")</f>
        <v/>
      </c>
      <c r="AI129" s="316" t="str">
        <f>IF(AI$225&lt;=time,J129*Costs!AP129,"")</f>
        <v/>
      </c>
      <c r="AJ129" s="316" t="str">
        <f>IF(AJ$225&lt;=time,K129*Costs!AQ129,"")</f>
        <v/>
      </c>
      <c r="AK129" s="316" t="str">
        <f>IF(AK$225&lt;=time,L129*Costs!AR129,"")</f>
        <v/>
      </c>
      <c r="AL129" s="316" t="str">
        <f>IF(AL$225&lt;=time,M129*Costs!AS129,"")</f>
        <v/>
      </c>
      <c r="AM129" s="316" t="str">
        <f>IF(AM$225&lt;=time,N129*Costs!AT129,"")</f>
        <v/>
      </c>
      <c r="AN129" s="316" t="str">
        <f>IF(AN$225&lt;=time,O129*Costs!AU129,"")</f>
        <v/>
      </c>
      <c r="AO129" s="316" t="str">
        <f>IF(AO$225&lt;=time,P129*Costs!AV129,"")</f>
        <v/>
      </c>
      <c r="AP129" s="316" t="str">
        <f>IF(AP$225&lt;=time,Q129*Costs!AW129,"")</f>
        <v/>
      </c>
      <c r="AQ129" s="316" t="str">
        <f>IF(AQ$225&lt;=time,R129*Costs!AX129,"")</f>
        <v/>
      </c>
      <c r="AR129" s="316" t="str">
        <f>IF(AR$225&lt;=time,S129*Costs!AY129,"")</f>
        <v/>
      </c>
      <c r="AS129" s="316" t="str">
        <f>IF(AS$225&lt;=time,T129*Costs!AZ129,"")</f>
        <v/>
      </c>
      <c r="AT129" s="316" t="str">
        <f>IF(AT$225&lt;=time,U129*Costs!BA129,"")</f>
        <v/>
      </c>
      <c r="AU129" s="316" t="str">
        <f>IF(AU$225&lt;=time,V129*Costs!BB129,"")</f>
        <v/>
      </c>
      <c r="AV129" s="316" t="str">
        <f>IF(AV$225&lt;=time,W129*Costs!BC129,"")</f>
        <v/>
      </c>
      <c r="AW129" s="316" t="str">
        <f>IF(AW$225&lt;=time,X129*Costs!BD129,"")</f>
        <v/>
      </c>
      <c r="AX129" s="316" t="str">
        <f>IF(AX$225&lt;=time,Y129*Costs!BE129,"")</f>
        <v/>
      </c>
      <c r="AY129" s="316" t="str">
        <f>IF(AY$225&lt;=time,Z129*Costs!BF129,"")</f>
        <v/>
      </c>
      <c r="AZ129" s="317">
        <f t="array" ref="AZ129">(SUM( IF(ISERROR(AA129:AY129),"", AA129:AY129)))/time</f>
        <v>0</v>
      </c>
      <c r="BA129" s="317">
        <f t="shared" si="19"/>
        <v>0</v>
      </c>
      <c r="BB129" s="318">
        <f t="shared" si="32"/>
        <v>0</v>
      </c>
      <c r="BC129" s="319">
        <v>7</v>
      </c>
      <c r="BE129" s="208" t="e">
        <f t="array" ref="BE129">STDEV(IF(AA129:AY129&lt;&gt;0,AA129:AY129))</f>
        <v>#DIV/0!</v>
      </c>
      <c r="BF129" s="208">
        <v>1.96</v>
      </c>
      <c r="BG129" s="208" t="e">
        <f t="shared" si="33"/>
        <v>#DIV/0!</v>
      </c>
      <c r="BH129" s="208">
        <f t="shared" si="34"/>
        <v>0</v>
      </c>
    </row>
    <row r="130" spans="1:60" hidden="1">
      <c r="A130" s="322" t="str">
        <f>Costs!A130</f>
        <v>Volunteers 8</v>
      </c>
      <c r="B130" s="313"/>
      <c r="C130" s="313"/>
      <c r="D130" s="313"/>
      <c r="E130" s="313"/>
      <c r="F130" s="313"/>
      <c r="G130" s="313"/>
      <c r="H130" s="313"/>
      <c r="I130" s="313"/>
      <c r="J130" s="313"/>
      <c r="K130" s="313"/>
      <c r="L130" s="313"/>
      <c r="M130" s="313"/>
      <c r="N130" s="313"/>
      <c r="O130" s="313"/>
      <c r="P130" s="313"/>
      <c r="Q130" s="313"/>
      <c r="R130" s="313"/>
      <c r="S130" s="313"/>
      <c r="T130" s="313"/>
      <c r="U130" s="313"/>
      <c r="V130" s="313"/>
      <c r="W130" s="313"/>
      <c r="X130" s="313"/>
      <c r="Y130" s="313"/>
      <c r="Z130" s="314"/>
      <c r="AA130" s="315">
        <f>IF(AA$225&lt;=time,B130*Costs!AH130,"")</f>
        <v>0</v>
      </c>
      <c r="AB130" s="316">
        <f>IF(AB$225&lt;=time,C130*Costs!AI130,"")</f>
        <v>0</v>
      </c>
      <c r="AC130" s="316">
        <f>IF(AC$225&lt;=time,D130*Costs!AJ130,"")</f>
        <v>0</v>
      </c>
      <c r="AD130" s="316">
        <f>IF(AD$225&lt;=time,E130*Costs!AK130,"")</f>
        <v>0</v>
      </c>
      <c r="AE130" s="316">
        <f>IF(AE$225&lt;=time,F130*Costs!AL130,"")</f>
        <v>0</v>
      </c>
      <c r="AF130" s="316" t="str">
        <f>IF(AF$225&lt;=time,G130*Costs!AM130,"")</f>
        <v/>
      </c>
      <c r="AG130" s="316" t="str">
        <f>IF(AG$225&lt;=time,H130*Costs!AN130,"")</f>
        <v/>
      </c>
      <c r="AH130" s="316" t="str">
        <f>IF(AH$225&lt;=time,I130*Costs!AO130,"")</f>
        <v/>
      </c>
      <c r="AI130" s="316" t="str">
        <f>IF(AI$225&lt;=time,J130*Costs!AP130,"")</f>
        <v/>
      </c>
      <c r="AJ130" s="316" t="str">
        <f>IF(AJ$225&lt;=time,K130*Costs!AQ130,"")</f>
        <v/>
      </c>
      <c r="AK130" s="316" t="str">
        <f>IF(AK$225&lt;=time,L130*Costs!AR130,"")</f>
        <v/>
      </c>
      <c r="AL130" s="316" t="str">
        <f>IF(AL$225&lt;=time,M130*Costs!AS130,"")</f>
        <v/>
      </c>
      <c r="AM130" s="316" t="str">
        <f>IF(AM$225&lt;=time,N130*Costs!AT130,"")</f>
        <v/>
      </c>
      <c r="AN130" s="316" t="str">
        <f>IF(AN$225&lt;=time,O130*Costs!AU130,"")</f>
        <v/>
      </c>
      <c r="AO130" s="316" t="str">
        <f>IF(AO$225&lt;=time,P130*Costs!AV130,"")</f>
        <v/>
      </c>
      <c r="AP130" s="316" t="str">
        <f>IF(AP$225&lt;=time,Q130*Costs!AW130,"")</f>
        <v/>
      </c>
      <c r="AQ130" s="316" t="str">
        <f>IF(AQ$225&lt;=time,R130*Costs!AX130,"")</f>
        <v/>
      </c>
      <c r="AR130" s="316" t="str">
        <f>IF(AR$225&lt;=time,S130*Costs!AY130,"")</f>
        <v/>
      </c>
      <c r="AS130" s="316" t="str">
        <f>IF(AS$225&lt;=time,T130*Costs!AZ130,"")</f>
        <v/>
      </c>
      <c r="AT130" s="316" t="str">
        <f>IF(AT$225&lt;=time,U130*Costs!BA130,"")</f>
        <v/>
      </c>
      <c r="AU130" s="316" t="str">
        <f>IF(AU$225&lt;=time,V130*Costs!BB130,"")</f>
        <v/>
      </c>
      <c r="AV130" s="316" t="str">
        <f>IF(AV$225&lt;=time,W130*Costs!BC130,"")</f>
        <v/>
      </c>
      <c r="AW130" s="316" t="str">
        <f>IF(AW$225&lt;=time,X130*Costs!BD130,"")</f>
        <v/>
      </c>
      <c r="AX130" s="316" t="str">
        <f>IF(AX$225&lt;=time,Y130*Costs!BE130,"")</f>
        <v/>
      </c>
      <c r="AY130" s="316" t="str">
        <f>IF(AY$225&lt;=time,Z130*Costs!BF130,"")</f>
        <v/>
      </c>
      <c r="AZ130" s="317">
        <f t="array" ref="AZ130">(SUM( IF(ISERROR(AA130:AY130),"", AA130:AY130)))/time</f>
        <v>0</v>
      </c>
      <c r="BA130" s="317">
        <f t="shared" si="19"/>
        <v>0</v>
      </c>
      <c r="BB130" s="318">
        <f t="shared" si="32"/>
        <v>0</v>
      </c>
      <c r="BC130" s="319">
        <v>8</v>
      </c>
      <c r="BE130" s="208" t="e">
        <f t="array" ref="BE130">STDEV(IF(AA130:AY130&lt;&gt;0,AA130:AY130))</f>
        <v>#DIV/0!</v>
      </c>
      <c r="BF130" s="208">
        <v>1.96</v>
      </c>
      <c r="BG130" s="208" t="e">
        <f t="shared" si="33"/>
        <v>#DIV/0!</v>
      </c>
      <c r="BH130" s="208">
        <f t="shared" si="34"/>
        <v>0</v>
      </c>
    </row>
    <row r="131" spans="1:60" hidden="1">
      <c r="A131" s="322" t="str">
        <f>Costs!A131</f>
        <v>Volunteers 9</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4"/>
      <c r="AA131" s="315">
        <f>IF(AA$225&lt;=time,B131*Costs!AH131,"")</f>
        <v>0</v>
      </c>
      <c r="AB131" s="316">
        <f>IF(AB$225&lt;=time,C131*Costs!AI131,"")</f>
        <v>0</v>
      </c>
      <c r="AC131" s="316">
        <f>IF(AC$225&lt;=time,D131*Costs!AJ131,"")</f>
        <v>0</v>
      </c>
      <c r="AD131" s="316">
        <f>IF(AD$225&lt;=time,E131*Costs!AK131,"")</f>
        <v>0</v>
      </c>
      <c r="AE131" s="316">
        <f>IF(AE$225&lt;=time,F131*Costs!AL131,"")</f>
        <v>0</v>
      </c>
      <c r="AF131" s="316" t="str">
        <f>IF(AF$225&lt;=time,G131*Costs!AM131,"")</f>
        <v/>
      </c>
      <c r="AG131" s="316" t="str">
        <f>IF(AG$225&lt;=time,H131*Costs!AN131,"")</f>
        <v/>
      </c>
      <c r="AH131" s="316" t="str">
        <f>IF(AH$225&lt;=time,I131*Costs!AO131,"")</f>
        <v/>
      </c>
      <c r="AI131" s="316" t="str">
        <f>IF(AI$225&lt;=time,J131*Costs!AP131,"")</f>
        <v/>
      </c>
      <c r="AJ131" s="316" t="str">
        <f>IF(AJ$225&lt;=time,K131*Costs!AQ131,"")</f>
        <v/>
      </c>
      <c r="AK131" s="316" t="str">
        <f>IF(AK$225&lt;=time,L131*Costs!AR131,"")</f>
        <v/>
      </c>
      <c r="AL131" s="316" t="str">
        <f>IF(AL$225&lt;=time,M131*Costs!AS131,"")</f>
        <v/>
      </c>
      <c r="AM131" s="316" t="str">
        <f>IF(AM$225&lt;=time,N131*Costs!AT131,"")</f>
        <v/>
      </c>
      <c r="AN131" s="316" t="str">
        <f>IF(AN$225&lt;=time,O131*Costs!AU131,"")</f>
        <v/>
      </c>
      <c r="AO131" s="316" t="str">
        <f>IF(AO$225&lt;=time,P131*Costs!AV131,"")</f>
        <v/>
      </c>
      <c r="AP131" s="316" t="str">
        <f>IF(AP$225&lt;=time,Q131*Costs!AW131,"")</f>
        <v/>
      </c>
      <c r="AQ131" s="316" t="str">
        <f>IF(AQ$225&lt;=time,R131*Costs!AX131,"")</f>
        <v/>
      </c>
      <c r="AR131" s="316" t="str">
        <f>IF(AR$225&lt;=time,S131*Costs!AY131,"")</f>
        <v/>
      </c>
      <c r="AS131" s="316" t="str">
        <f>IF(AS$225&lt;=time,T131*Costs!AZ131,"")</f>
        <v/>
      </c>
      <c r="AT131" s="316" t="str">
        <f>IF(AT$225&lt;=time,U131*Costs!BA131,"")</f>
        <v/>
      </c>
      <c r="AU131" s="316" t="str">
        <f>IF(AU$225&lt;=time,V131*Costs!BB131,"")</f>
        <v/>
      </c>
      <c r="AV131" s="316" t="str">
        <f>IF(AV$225&lt;=time,W131*Costs!BC131,"")</f>
        <v/>
      </c>
      <c r="AW131" s="316" t="str">
        <f>IF(AW$225&lt;=time,X131*Costs!BD131,"")</f>
        <v/>
      </c>
      <c r="AX131" s="316" t="str">
        <f>IF(AX$225&lt;=time,Y131*Costs!BE131,"")</f>
        <v/>
      </c>
      <c r="AY131" s="316" t="str">
        <f>IF(AY$225&lt;=time,Z131*Costs!BF131,"")</f>
        <v/>
      </c>
      <c r="AZ131" s="317">
        <f t="array" ref="AZ131">(SUM( IF(ISERROR(AA131:AY131),"", AA131:AY131)))/time</f>
        <v>0</v>
      </c>
      <c r="BA131" s="317">
        <f t="shared" si="19"/>
        <v>0</v>
      </c>
      <c r="BB131" s="318">
        <f t="shared" si="32"/>
        <v>0</v>
      </c>
      <c r="BC131" s="319">
        <v>9</v>
      </c>
      <c r="BE131" s="208" t="e">
        <f t="array" ref="BE131">STDEV(IF(AA131:AY131&lt;&gt;0,AA131:AY131))</f>
        <v>#DIV/0!</v>
      </c>
      <c r="BF131" s="208">
        <v>1.96</v>
      </c>
      <c r="BG131" s="208" t="e">
        <f t="shared" si="33"/>
        <v>#DIV/0!</v>
      </c>
      <c r="BH131" s="208">
        <f t="shared" si="34"/>
        <v>0</v>
      </c>
    </row>
    <row r="132" spans="1:60" hidden="1">
      <c r="A132" s="322" t="str">
        <f>Costs!A132</f>
        <v>Volunteers 10</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4"/>
      <c r="AA132" s="315">
        <f>IF(AA$225&lt;=time,B132*Costs!AH132,"")</f>
        <v>0</v>
      </c>
      <c r="AB132" s="316">
        <f>IF(AB$225&lt;=time,C132*Costs!AI132,"")</f>
        <v>0</v>
      </c>
      <c r="AC132" s="316">
        <f>IF(AC$225&lt;=time,D132*Costs!AJ132,"")</f>
        <v>0</v>
      </c>
      <c r="AD132" s="316">
        <f>IF(AD$225&lt;=time,E132*Costs!AK132,"")</f>
        <v>0</v>
      </c>
      <c r="AE132" s="316">
        <f>IF(AE$225&lt;=time,F132*Costs!AL132,"")</f>
        <v>0</v>
      </c>
      <c r="AF132" s="316" t="str">
        <f>IF(AF$225&lt;=time,G132*Costs!AM132,"")</f>
        <v/>
      </c>
      <c r="AG132" s="316" t="str">
        <f>IF(AG$225&lt;=time,H132*Costs!AN132,"")</f>
        <v/>
      </c>
      <c r="AH132" s="316" t="str">
        <f>IF(AH$225&lt;=time,I132*Costs!AO132,"")</f>
        <v/>
      </c>
      <c r="AI132" s="316" t="str">
        <f>IF(AI$225&lt;=time,J132*Costs!AP132,"")</f>
        <v/>
      </c>
      <c r="AJ132" s="316" t="str">
        <f>IF(AJ$225&lt;=time,K132*Costs!AQ132,"")</f>
        <v/>
      </c>
      <c r="AK132" s="316" t="str">
        <f>IF(AK$225&lt;=time,L132*Costs!AR132,"")</f>
        <v/>
      </c>
      <c r="AL132" s="316" t="str">
        <f>IF(AL$225&lt;=time,M132*Costs!AS132,"")</f>
        <v/>
      </c>
      <c r="AM132" s="316" t="str">
        <f>IF(AM$225&lt;=time,N132*Costs!AT132,"")</f>
        <v/>
      </c>
      <c r="AN132" s="316" t="str">
        <f>IF(AN$225&lt;=time,O132*Costs!AU132,"")</f>
        <v/>
      </c>
      <c r="AO132" s="316" t="str">
        <f>IF(AO$225&lt;=time,P132*Costs!AV132,"")</f>
        <v/>
      </c>
      <c r="AP132" s="316" t="str">
        <f>IF(AP$225&lt;=time,Q132*Costs!AW132,"")</f>
        <v/>
      </c>
      <c r="AQ132" s="316" t="str">
        <f>IF(AQ$225&lt;=time,R132*Costs!AX132,"")</f>
        <v/>
      </c>
      <c r="AR132" s="316" t="str">
        <f>IF(AR$225&lt;=time,S132*Costs!AY132,"")</f>
        <v/>
      </c>
      <c r="AS132" s="316" t="str">
        <f>IF(AS$225&lt;=time,T132*Costs!AZ132,"")</f>
        <v/>
      </c>
      <c r="AT132" s="316" t="str">
        <f>IF(AT$225&lt;=time,U132*Costs!BA132,"")</f>
        <v/>
      </c>
      <c r="AU132" s="316" t="str">
        <f>IF(AU$225&lt;=time,V132*Costs!BB132,"")</f>
        <v/>
      </c>
      <c r="AV132" s="316" t="str">
        <f>IF(AV$225&lt;=time,W132*Costs!BC132,"")</f>
        <v/>
      </c>
      <c r="AW132" s="316" t="str">
        <f>IF(AW$225&lt;=time,X132*Costs!BD132,"")</f>
        <v/>
      </c>
      <c r="AX132" s="316" t="str">
        <f>IF(AX$225&lt;=time,Y132*Costs!BE132,"")</f>
        <v/>
      </c>
      <c r="AY132" s="316" t="str">
        <f>IF(AY$225&lt;=time,Z132*Costs!BF132,"")</f>
        <v/>
      </c>
      <c r="AZ132" s="317">
        <f t="array" ref="AZ132">(SUM( IF(ISERROR(AA132:AY132),"", AA132:AY132)))/time</f>
        <v>0</v>
      </c>
      <c r="BA132" s="317">
        <f t="shared" si="19"/>
        <v>0</v>
      </c>
      <c r="BB132" s="318">
        <f t="shared" si="32"/>
        <v>0</v>
      </c>
      <c r="BC132" s="319">
        <v>10</v>
      </c>
      <c r="BE132" s="208" t="e">
        <f t="array" ref="BE132">STDEV(IF(AA132:AY132&lt;&gt;0,AA132:AY132))</f>
        <v>#DIV/0!</v>
      </c>
      <c r="BF132" s="208">
        <v>1.96</v>
      </c>
      <c r="BG132" s="208" t="e">
        <f t="shared" si="33"/>
        <v>#DIV/0!</v>
      </c>
      <c r="BH132" s="208">
        <f t="shared" si="34"/>
        <v>0</v>
      </c>
    </row>
    <row r="133" spans="1:60" s="11" customFormat="1">
      <c r="A133" s="233" t="s">
        <v>193</v>
      </c>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321"/>
      <c r="AA133" s="233"/>
      <c r="AB133" s="96"/>
      <c r="AC133" s="96"/>
      <c r="AD133" s="96"/>
      <c r="AE133" s="96"/>
      <c r="AF133" s="96"/>
      <c r="AG133" s="96"/>
      <c r="AH133" s="96"/>
      <c r="AI133" s="96"/>
      <c r="AJ133" s="96"/>
      <c r="AK133" s="96"/>
      <c r="AL133" s="96"/>
      <c r="AM133" s="96"/>
      <c r="AN133" s="96"/>
      <c r="AO133" s="96"/>
      <c r="AP133" s="96"/>
      <c r="AQ133" s="96"/>
      <c r="AR133" s="96"/>
      <c r="AS133" s="96"/>
      <c r="AT133" s="96"/>
      <c r="AU133" s="96"/>
      <c r="AV133" s="96"/>
      <c r="AW133" s="96"/>
      <c r="AX133" s="96"/>
      <c r="AY133" s="96"/>
      <c r="BA133" s="96"/>
      <c r="BB133" s="211"/>
    </row>
    <row r="134" spans="1:60">
      <c r="A134" s="32" t="str">
        <f>Costs!A134</f>
        <v>Supplies 1</v>
      </c>
      <c r="B134" s="865"/>
      <c r="C134" s="865"/>
      <c r="D134" s="865"/>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4"/>
      <c r="AA134" s="315">
        <f>IF(AA$225&lt;=time,B134*Costs!AH134,"")</f>
        <v>0</v>
      </c>
      <c r="AB134" s="316">
        <f>IF(AB$225&lt;=time,C134*Costs!AI134,"")</f>
        <v>0</v>
      </c>
      <c r="AC134" s="316">
        <f>IF(AC$225&lt;=time,D134*Costs!AJ134,"")</f>
        <v>0</v>
      </c>
      <c r="AD134" s="316">
        <f>IF(AD$225&lt;=time,E134*Costs!AK134,"")</f>
        <v>0</v>
      </c>
      <c r="AE134" s="316">
        <f>IF(AE$225&lt;=time,F134*Costs!AL134,"")</f>
        <v>0</v>
      </c>
      <c r="AF134" s="316" t="str">
        <f>IF(AF$225&lt;=time,G134*Costs!AM134,"")</f>
        <v/>
      </c>
      <c r="AG134" s="316" t="str">
        <f>IF(AG$225&lt;=time,H134*Costs!AN134,"")</f>
        <v/>
      </c>
      <c r="AH134" s="316" t="str">
        <f>IF(AH$225&lt;=time,I134*Costs!AO134,"")</f>
        <v/>
      </c>
      <c r="AI134" s="316" t="str">
        <f>IF(AI$225&lt;=time,J134*Costs!AP134,"")</f>
        <v/>
      </c>
      <c r="AJ134" s="316" t="str">
        <f>IF(AJ$225&lt;=time,K134*Costs!AQ134,"")</f>
        <v/>
      </c>
      <c r="AK134" s="316" t="str">
        <f>IF(AK$225&lt;=time,L134*Costs!AR134,"")</f>
        <v/>
      </c>
      <c r="AL134" s="316" t="str">
        <f>IF(AL$225&lt;=time,M134*Costs!AS134,"")</f>
        <v/>
      </c>
      <c r="AM134" s="316" t="str">
        <f>IF(AM$225&lt;=time,N134*Costs!AT134,"")</f>
        <v/>
      </c>
      <c r="AN134" s="316" t="str">
        <f>IF(AN$225&lt;=time,O134*Costs!AU134,"")</f>
        <v/>
      </c>
      <c r="AO134" s="316" t="str">
        <f>IF(AO$225&lt;=time,P134*Costs!AV134,"")</f>
        <v/>
      </c>
      <c r="AP134" s="316" t="str">
        <f>IF(AP$225&lt;=time,Q134*Costs!AW134,"")</f>
        <v/>
      </c>
      <c r="AQ134" s="316" t="str">
        <f>IF(AQ$225&lt;=time,R134*Costs!AX134,"")</f>
        <v/>
      </c>
      <c r="AR134" s="316" t="str">
        <f>IF(AR$225&lt;=time,S134*Costs!AY134,"")</f>
        <v/>
      </c>
      <c r="AS134" s="316" t="str">
        <f>IF(AS$225&lt;=time,T134*Costs!AZ134,"")</f>
        <v/>
      </c>
      <c r="AT134" s="316" t="str">
        <f>IF(AT$225&lt;=time,U134*Costs!BA134,"")</f>
        <v/>
      </c>
      <c r="AU134" s="316" t="str">
        <f>IF(AU$225&lt;=time,V134*Costs!BB134,"")</f>
        <v/>
      </c>
      <c r="AV134" s="316" t="str">
        <f>IF(AV$225&lt;=time,W134*Costs!BC134,"")</f>
        <v/>
      </c>
      <c r="AW134" s="316" t="str">
        <f>IF(AW$225&lt;=time,X134*Costs!BD134,"")</f>
        <v/>
      </c>
      <c r="AX134" s="316" t="str">
        <f>IF(AX$225&lt;=time,Y134*Costs!BE134,"")</f>
        <v/>
      </c>
      <c r="AY134" s="316" t="str">
        <f>IF(AY$225&lt;=time,Z134*Costs!BF134,"")</f>
        <v/>
      </c>
      <c r="AZ134" s="317">
        <f t="array" ref="AZ134">(SUM( IF(ISERROR(AA134:AY134),"", AA134:AY134)))/time</f>
        <v>0</v>
      </c>
      <c r="BA134" s="317">
        <f t="shared" si="19"/>
        <v>0</v>
      </c>
      <c r="BB134" s="318">
        <f t="shared" ref="BB134:BB143" si="35">IF(BH134&gt;0,AZ134+BG134,AZ134)</f>
        <v>0</v>
      </c>
      <c r="BC134" s="319">
        <v>1</v>
      </c>
      <c r="BE134" s="208" t="e">
        <f t="array" ref="BE134">STDEV(IF(AA134:AY134&lt;&gt;0,AA134:AY134))</f>
        <v>#DIV/0!</v>
      </c>
      <c r="BF134" s="208">
        <v>1.96</v>
      </c>
      <c r="BG134" s="208" t="e">
        <f t="shared" ref="BG134:BG143" si="36">(BF134*BE134)/(time^0.5)</f>
        <v>#DIV/0!</v>
      </c>
      <c r="BH134" s="208">
        <f t="shared" ref="BH134:BH143" si="37">IFERROR(BE134,0)</f>
        <v>0</v>
      </c>
    </row>
    <row r="135" spans="1:60" hidden="1">
      <c r="A135" s="322" t="str">
        <f>Costs!A135</f>
        <v>Supplies 2</v>
      </c>
      <c r="B135" s="313"/>
      <c r="C135" s="313"/>
      <c r="D135" s="313"/>
      <c r="E135" s="313"/>
      <c r="F135" s="313"/>
      <c r="G135" s="313"/>
      <c r="H135" s="313"/>
      <c r="I135" s="313"/>
      <c r="J135" s="313"/>
      <c r="K135" s="313"/>
      <c r="L135" s="313"/>
      <c r="M135" s="313"/>
      <c r="N135" s="313"/>
      <c r="O135" s="313"/>
      <c r="P135" s="313"/>
      <c r="Q135" s="313"/>
      <c r="R135" s="313"/>
      <c r="S135" s="313"/>
      <c r="T135" s="313"/>
      <c r="U135" s="313"/>
      <c r="V135" s="313"/>
      <c r="W135" s="313"/>
      <c r="X135" s="313"/>
      <c r="Y135" s="313"/>
      <c r="Z135" s="314"/>
      <c r="AA135" s="315">
        <f>IF(AA$225&lt;=time,B135*Costs!AH135,"")</f>
        <v>0</v>
      </c>
      <c r="AB135" s="316">
        <f>IF(AB$225&lt;=time,C135*Costs!AI135,"")</f>
        <v>0</v>
      </c>
      <c r="AC135" s="316">
        <f>IF(AC$225&lt;=time,D135*Costs!AJ135,"")</f>
        <v>0</v>
      </c>
      <c r="AD135" s="316">
        <f>IF(AD$225&lt;=time,E135*Costs!AK135,"")</f>
        <v>0</v>
      </c>
      <c r="AE135" s="316">
        <f>IF(AE$225&lt;=time,F135*Costs!AL135,"")</f>
        <v>0</v>
      </c>
      <c r="AF135" s="316" t="str">
        <f>IF(AF$225&lt;=time,G135*Costs!AM135,"")</f>
        <v/>
      </c>
      <c r="AG135" s="316" t="str">
        <f>IF(AG$225&lt;=time,H135*Costs!AN135,"")</f>
        <v/>
      </c>
      <c r="AH135" s="316" t="str">
        <f>IF(AH$225&lt;=time,I135*Costs!AO135,"")</f>
        <v/>
      </c>
      <c r="AI135" s="316" t="str">
        <f>IF(AI$225&lt;=time,J135*Costs!AP135,"")</f>
        <v/>
      </c>
      <c r="AJ135" s="316" t="str">
        <f>IF(AJ$225&lt;=time,K135*Costs!AQ135,"")</f>
        <v/>
      </c>
      <c r="AK135" s="316" t="str">
        <f>IF(AK$225&lt;=time,L135*Costs!AR135,"")</f>
        <v/>
      </c>
      <c r="AL135" s="316" t="str">
        <f>IF(AL$225&lt;=time,M135*Costs!AS135,"")</f>
        <v/>
      </c>
      <c r="AM135" s="316" t="str">
        <f>IF(AM$225&lt;=time,N135*Costs!AT135,"")</f>
        <v/>
      </c>
      <c r="AN135" s="316" t="str">
        <f>IF(AN$225&lt;=time,O135*Costs!AU135,"")</f>
        <v/>
      </c>
      <c r="AO135" s="316" t="str">
        <f>IF(AO$225&lt;=time,P135*Costs!AV135,"")</f>
        <v/>
      </c>
      <c r="AP135" s="316" t="str">
        <f>IF(AP$225&lt;=time,Q135*Costs!AW135,"")</f>
        <v/>
      </c>
      <c r="AQ135" s="316" t="str">
        <f>IF(AQ$225&lt;=time,R135*Costs!AX135,"")</f>
        <v/>
      </c>
      <c r="AR135" s="316" t="str">
        <f>IF(AR$225&lt;=time,S135*Costs!AY135,"")</f>
        <v/>
      </c>
      <c r="AS135" s="316" t="str">
        <f>IF(AS$225&lt;=time,T135*Costs!AZ135,"")</f>
        <v/>
      </c>
      <c r="AT135" s="316" t="str">
        <f>IF(AT$225&lt;=time,U135*Costs!BA135,"")</f>
        <v/>
      </c>
      <c r="AU135" s="316" t="str">
        <f>IF(AU$225&lt;=time,V135*Costs!BB135,"")</f>
        <v/>
      </c>
      <c r="AV135" s="316" t="str">
        <f>IF(AV$225&lt;=time,W135*Costs!BC135,"")</f>
        <v/>
      </c>
      <c r="AW135" s="316" t="str">
        <f>IF(AW$225&lt;=time,X135*Costs!BD135,"")</f>
        <v/>
      </c>
      <c r="AX135" s="316" t="str">
        <f>IF(AX$225&lt;=time,Y135*Costs!BE135,"")</f>
        <v/>
      </c>
      <c r="AY135" s="316" t="str">
        <f>IF(AY$225&lt;=time,Z135*Costs!BF135,"")</f>
        <v/>
      </c>
      <c r="AZ135" s="317">
        <f t="array" ref="AZ135">(SUM( IF(ISERROR(AA135:AY135),"", AA135:AY135)))/time</f>
        <v>0</v>
      </c>
      <c r="BA135" s="317">
        <f t="shared" si="19"/>
        <v>0</v>
      </c>
      <c r="BB135" s="318">
        <f t="shared" si="35"/>
        <v>0</v>
      </c>
      <c r="BC135" s="319">
        <v>2</v>
      </c>
      <c r="BE135" s="208" t="e">
        <f t="array" ref="BE135">STDEV(IF(AA135:AY135&lt;&gt;0,AA135:AY135))</f>
        <v>#DIV/0!</v>
      </c>
      <c r="BF135" s="208">
        <v>1.96</v>
      </c>
      <c r="BG135" s="208" t="e">
        <f t="shared" si="36"/>
        <v>#DIV/0!</v>
      </c>
      <c r="BH135" s="208">
        <f t="shared" si="37"/>
        <v>0</v>
      </c>
    </row>
    <row r="136" spans="1:60" hidden="1">
      <c r="A136" s="322" t="str">
        <f>Costs!A136</f>
        <v>Supplies 3</v>
      </c>
      <c r="B136" s="313"/>
      <c r="C136" s="313"/>
      <c r="D136" s="313"/>
      <c r="E136" s="313"/>
      <c r="F136" s="313"/>
      <c r="G136" s="313"/>
      <c r="H136" s="313"/>
      <c r="I136" s="313"/>
      <c r="J136" s="313"/>
      <c r="K136" s="313"/>
      <c r="L136" s="313"/>
      <c r="M136" s="313"/>
      <c r="N136" s="313"/>
      <c r="O136" s="313"/>
      <c r="P136" s="313"/>
      <c r="Q136" s="313"/>
      <c r="R136" s="313"/>
      <c r="S136" s="313"/>
      <c r="T136" s="313"/>
      <c r="U136" s="313"/>
      <c r="V136" s="313"/>
      <c r="W136" s="313"/>
      <c r="X136" s="313"/>
      <c r="Y136" s="313"/>
      <c r="Z136" s="314"/>
      <c r="AA136" s="315">
        <f>IF(AA$225&lt;=time,B136*Costs!AH136,"")</f>
        <v>0</v>
      </c>
      <c r="AB136" s="316">
        <f>IF(AB$225&lt;=time,C136*Costs!AI136,"")</f>
        <v>0</v>
      </c>
      <c r="AC136" s="316">
        <f>IF(AC$225&lt;=time,D136*Costs!AJ136,"")</f>
        <v>0</v>
      </c>
      <c r="AD136" s="316">
        <f>IF(AD$225&lt;=time,E136*Costs!AK136,"")</f>
        <v>0</v>
      </c>
      <c r="AE136" s="316">
        <f>IF(AE$225&lt;=time,F136*Costs!AL136,"")</f>
        <v>0</v>
      </c>
      <c r="AF136" s="316" t="str">
        <f>IF(AF$225&lt;=time,G136*Costs!AM136,"")</f>
        <v/>
      </c>
      <c r="AG136" s="316" t="str">
        <f>IF(AG$225&lt;=time,H136*Costs!AN136,"")</f>
        <v/>
      </c>
      <c r="AH136" s="316" t="str">
        <f>IF(AH$225&lt;=time,I136*Costs!AO136,"")</f>
        <v/>
      </c>
      <c r="AI136" s="316" t="str">
        <f>IF(AI$225&lt;=time,J136*Costs!AP136,"")</f>
        <v/>
      </c>
      <c r="AJ136" s="316" t="str">
        <f>IF(AJ$225&lt;=time,K136*Costs!AQ136,"")</f>
        <v/>
      </c>
      <c r="AK136" s="316" t="str">
        <f>IF(AK$225&lt;=time,L136*Costs!AR136,"")</f>
        <v/>
      </c>
      <c r="AL136" s="316" t="str">
        <f>IF(AL$225&lt;=time,M136*Costs!AS136,"")</f>
        <v/>
      </c>
      <c r="AM136" s="316" t="str">
        <f>IF(AM$225&lt;=time,N136*Costs!AT136,"")</f>
        <v/>
      </c>
      <c r="AN136" s="316" t="str">
        <f>IF(AN$225&lt;=time,O136*Costs!AU136,"")</f>
        <v/>
      </c>
      <c r="AO136" s="316" t="str">
        <f>IF(AO$225&lt;=time,P136*Costs!AV136,"")</f>
        <v/>
      </c>
      <c r="AP136" s="316" t="str">
        <f>IF(AP$225&lt;=time,Q136*Costs!AW136,"")</f>
        <v/>
      </c>
      <c r="AQ136" s="316" t="str">
        <f>IF(AQ$225&lt;=time,R136*Costs!AX136,"")</f>
        <v/>
      </c>
      <c r="AR136" s="316" t="str">
        <f>IF(AR$225&lt;=time,S136*Costs!AY136,"")</f>
        <v/>
      </c>
      <c r="AS136" s="316" t="str">
        <f>IF(AS$225&lt;=time,T136*Costs!AZ136,"")</f>
        <v/>
      </c>
      <c r="AT136" s="316" t="str">
        <f>IF(AT$225&lt;=time,U136*Costs!BA136,"")</f>
        <v/>
      </c>
      <c r="AU136" s="316" t="str">
        <f>IF(AU$225&lt;=time,V136*Costs!BB136,"")</f>
        <v/>
      </c>
      <c r="AV136" s="316" t="str">
        <f>IF(AV$225&lt;=time,W136*Costs!BC136,"")</f>
        <v/>
      </c>
      <c r="AW136" s="316" t="str">
        <f>IF(AW$225&lt;=time,X136*Costs!BD136,"")</f>
        <v/>
      </c>
      <c r="AX136" s="316" t="str">
        <f>IF(AX$225&lt;=time,Y136*Costs!BE136,"")</f>
        <v/>
      </c>
      <c r="AY136" s="316" t="str">
        <f>IF(AY$225&lt;=time,Z136*Costs!BF136,"")</f>
        <v/>
      </c>
      <c r="AZ136" s="317">
        <f t="array" ref="AZ136">(SUM( IF(ISERROR(AA136:AY136),"", AA136:AY136)))/time</f>
        <v>0</v>
      </c>
      <c r="BA136" s="317">
        <f t="shared" si="19"/>
        <v>0</v>
      </c>
      <c r="BB136" s="318">
        <f t="shared" si="35"/>
        <v>0</v>
      </c>
      <c r="BC136" s="319">
        <v>3</v>
      </c>
      <c r="BE136" s="208" t="e">
        <f t="array" ref="BE136">STDEV(IF(AA136:AY136&lt;&gt;0,AA136:AY136))</f>
        <v>#DIV/0!</v>
      </c>
      <c r="BF136" s="208">
        <v>1.96</v>
      </c>
      <c r="BG136" s="208" t="e">
        <f t="shared" si="36"/>
        <v>#DIV/0!</v>
      </c>
      <c r="BH136" s="208">
        <f t="shared" si="37"/>
        <v>0</v>
      </c>
    </row>
    <row r="137" spans="1:60" hidden="1">
      <c r="A137" s="322" t="str">
        <f>Costs!A137</f>
        <v>Supplies 4</v>
      </c>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4"/>
      <c r="AA137" s="315">
        <f>IF(AA$225&lt;=time,B137*Costs!AH137,"")</f>
        <v>0</v>
      </c>
      <c r="AB137" s="316">
        <f>IF(AB$225&lt;=time,C137*Costs!AI137,"")</f>
        <v>0</v>
      </c>
      <c r="AC137" s="316">
        <f>IF(AC$225&lt;=time,D137*Costs!AJ137,"")</f>
        <v>0</v>
      </c>
      <c r="AD137" s="316">
        <f>IF(AD$225&lt;=time,E137*Costs!AK137,"")</f>
        <v>0</v>
      </c>
      <c r="AE137" s="316">
        <f>IF(AE$225&lt;=time,F137*Costs!AL137,"")</f>
        <v>0</v>
      </c>
      <c r="AF137" s="316" t="str">
        <f>IF(AF$225&lt;=time,G137*Costs!AM137,"")</f>
        <v/>
      </c>
      <c r="AG137" s="316" t="str">
        <f>IF(AG$225&lt;=time,H137*Costs!AN137,"")</f>
        <v/>
      </c>
      <c r="AH137" s="316" t="str">
        <f>IF(AH$225&lt;=time,I137*Costs!AO137,"")</f>
        <v/>
      </c>
      <c r="AI137" s="316" t="str">
        <f>IF(AI$225&lt;=time,J137*Costs!AP137,"")</f>
        <v/>
      </c>
      <c r="AJ137" s="316" t="str">
        <f>IF(AJ$225&lt;=time,K137*Costs!AQ137,"")</f>
        <v/>
      </c>
      <c r="AK137" s="316" t="str">
        <f>IF(AK$225&lt;=time,L137*Costs!AR137,"")</f>
        <v/>
      </c>
      <c r="AL137" s="316" t="str">
        <f>IF(AL$225&lt;=time,M137*Costs!AS137,"")</f>
        <v/>
      </c>
      <c r="AM137" s="316" t="str">
        <f>IF(AM$225&lt;=time,N137*Costs!AT137,"")</f>
        <v/>
      </c>
      <c r="AN137" s="316" t="str">
        <f>IF(AN$225&lt;=time,O137*Costs!AU137,"")</f>
        <v/>
      </c>
      <c r="AO137" s="316" t="str">
        <f>IF(AO$225&lt;=time,P137*Costs!AV137,"")</f>
        <v/>
      </c>
      <c r="AP137" s="316" t="str">
        <f>IF(AP$225&lt;=time,Q137*Costs!AW137,"")</f>
        <v/>
      </c>
      <c r="AQ137" s="316" t="str">
        <f>IF(AQ$225&lt;=time,R137*Costs!AX137,"")</f>
        <v/>
      </c>
      <c r="AR137" s="316" t="str">
        <f>IF(AR$225&lt;=time,S137*Costs!AY137,"")</f>
        <v/>
      </c>
      <c r="AS137" s="316" t="str">
        <f>IF(AS$225&lt;=time,T137*Costs!AZ137,"")</f>
        <v/>
      </c>
      <c r="AT137" s="316" t="str">
        <f>IF(AT$225&lt;=time,U137*Costs!BA137,"")</f>
        <v/>
      </c>
      <c r="AU137" s="316" t="str">
        <f>IF(AU$225&lt;=time,V137*Costs!BB137,"")</f>
        <v/>
      </c>
      <c r="AV137" s="316" t="str">
        <f>IF(AV$225&lt;=time,W137*Costs!BC137,"")</f>
        <v/>
      </c>
      <c r="AW137" s="316" t="str">
        <f>IF(AW$225&lt;=time,X137*Costs!BD137,"")</f>
        <v/>
      </c>
      <c r="AX137" s="316" t="str">
        <f>IF(AX$225&lt;=time,Y137*Costs!BE137,"")</f>
        <v/>
      </c>
      <c r="AY137" s="316" t="str">
        <f>IF(AY$225&lt;=time,Z137*Costs!BF137,"")</f>
        <v/>
      </c>
      <c r="AZ137" s="317">
        <f t="array" ref="AZ137">(SUM( IF(ISERROR(AA137:AY137),"", AA137:AY137)))/time</f>
        <v>0</v>
      </c>
      <c r="BA137" s="317">
        <f t="shared" ref="BA137:BA199" si="38">IF(BH137&gt;0,IF(AZ137-BG137&gt;0,AZ137-BG137,0), AZ137)</f>
        <v>0</v>
      </c>
      <c r="BB137" s="318">
        <f t="shared" si="35"/>
        <v>0</v>
      </c>
      <c r="BC137" s="319">
        <v>4</v>
      </c>
      <c r="BE137" s="208" t="e">
        <f t="array" ref="BE137">STDEV(IF(AA137:AY137&lt;&gt;0,AA137:AY137))</f>
        <v>#DIV/0!</v>
      </c>
      <c r="BF137" s="208">
        <v>1.96</v>
      </c>
      <c r="BG137" s="208" t="e">
        <f t="shared" si="36"/>
        <v>#DIV/0!</v>
      </c>
      <c r="BH137" s="208">
        <f t="shared" si="37"/>
        <v>0</v>
      </c>
    </row>
    <row r="138" spans="1:60" hidden="1">
      <c r="A138" s="322" t="str">
        <f>Costs!A138</f>
        <v>Supplies 5</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4"/>
      <c r="AA138" s="315">
        <f>IF(AA$225&lt;=time,B138*Costs!AH138,"")</f>
        <v>0</v>
      </c>
      <c r="AB138" s="316">
        <f>IF(AB$225&lt;=time,C138*Costs!AI138,"")</f>
        <v>0</v>
      </c>
      <c r="AC138" s="316">
        <f>IF(AC$225&lt;=time,D138*Costs!AJ138,"")</f>
        <v>0</v>
      </c>
      <c r="AD138" s="316">
        <f>IF(AD$225&lt;=time,E138*Costs!AK138,"")</f>
        <v>0</v>
      </c>
      <c r="AE138" s="316">
        <f>IF(AE$225&lt;=time,F138*Costs!AL138,"")</f>
        <v>0</v>
      </c>
      <c r="AF138" s="316" t="str">
        <f>IF(AF$225&lt;=time,G138*Costs!AM138,"")</f>
        <v/>
      </c>
      <c r="AG138" s="316" t="str">
        <f>IF(AG$225&lt;=time,H138*Costs!AN138,"")</f>
        <v/>
      </c>
      <c r="AH138" s="316" t="str">
        <f>IF(AH$225&lt;=time,I138*Costs!AO138,"")</f>
        <v/>
      </c>
      <c r="AI138" s="316" t="str">
        <f>IF(AI$225&lt;=time,J138*Costs!AP138,"")</f>
        <v/>
      </c>
      <c r="AJ138" s="316" t="str">
        <f>IF(AJ$225&lt;=time,K138*Costs!AQ138,"")</f>
        <v/>
      </c>
      <c r="AK138" s="316" t="str">
        <f>IF(AK$225&lt;=time,L138*Costs!AR138,"")</f>
        <v/>
      </c>
      <c r="AL138" s="316" t="str">
        <f>IF(AL$225&lt;=time,M138*Costs!AS138,"")</f>
        <v/>
      </c>
      <c r="AM138" s="316" t="str">
        <f>IF(AM$225&lt;=time,N138*Costs!AT138,"")</f>
        <v/>
      </c>
      <c r="AN138" s="316" t="str">
        <f>IF(AN$225&lt;=time,O138*Costs!AU138,"")</f>
        <v/>
      </c>
      <c r="AO138" s="316" t="str">
        <f>IF(AO$225&lt;=time,P138*Costs!AV138,"")</f>
        <v/>
      </c>
      <c r="AP138" s="316" t="str">
        <f>IF(AP$225&lt;=time,Q138*Costs!AW138,"")</f>
        <v/>
      </c>
      <c r="AQ138" s="316" t="str">
        <f>IF(AQ$225&lt;=time,R138*Costs!AX138,"")</f>
        <v/>
      </c>
      <c r="AR138" s="316" t="str">
        <f>IF(AR$225&lt;=time,S138*Costs!AY138,"")</f>
        <v/>
      </c>
      <c r="AS138" s="316" t="str">
        <f>IF(AS$225&lt;=time,T138*Costs!AZ138,"")</f>
        <v/>
      </c>
      <c r="AT138" s="316" t="str">
        <f>IF(AT$225&lt;=time,U138*Costs!BA138,"")</f>
        <v/>
      </c>
      <c r="AU138" s="316" t="str">
        <f>IF(AU$225&lt;=time,V138*Costs!BB138,"")</f>
        <v/>
      </c>
      <c r="AV138" s="316" t="str">
        <f>IF(AV$225&lt;=time,W138*Costs!BC138,"")</f>
        <v/>
      </c>
      <c r="AW138" s="316" t="str">
        <f>IF(AW$225&lt;=time,X138*Costs!BD138,"")</f>
        <v/>
      </c>
      <c r="AX138" s="316" t="str">
        <f>IF(AX$225&lt;=time,Y138*Costs!BE138,"")</f>
        <v/>
      </c>
      <c r="AY138" s="316" t="str">
        <f>IF(AY$225&lt;=time,Z138*Costs!BF138,"")</f>
        <v/>
      </c>
      <c r="AZ138" s="317">
        <f t="array" ref="AZ138">(SUM( IF(ISERROR(AA138:AY138),"", AA138:AY138)))/time</f>
        <v>0</v>
      </c>
      <c r="BA138" s="317">
        <f t="shared" si="38"/>
        <v>0</v>
      </c>
      <c r="BB138" s="318">
        <f t="shared" si="35"/>
        <v>0</v>
      </c>
      <c r="BC138" s="319">
        <v>5</v>
      </c>
      <c r="BE138" s="208" t="e">
        <f t="array" ref="BE138">STDEV(IF(AA138:AY138&lt;&gt;0,AA138:AY138))</f>
        <v>#DIV/0!</v>
      </c>
      <c r="BF138" s="208">
        <v>1.96</v>
      </c>
      <c r="BG138" s="208" t="e">
        <f t="shared" si="36"/>
        <v>#DIV/0!</v>
      </c>
      <c r="BH138" s="208">
        <f t="shared" si="37"/>
        <v>0</v>
      </c>
    </row>
    <row r="139" spans="1:60" hidden="1">
      <c r="A139" s="322" t="str">
        <f>Costs!A139</f>
        <v>Supplies 6</v>
      </c>
      <c r="B139" s="313"/>
      <c r="C139" s="313"/>
      <c r="D139" s="313"/>
      <c r="E139" s="313"/>
      <c r="F139" s="313"/>
      <c r="G139" s="313"/>
      <c r="H139" s="313"/>
      <c r="I139" s="313"/>
      <c r="J139" s="313"/>
      <c r="K139" s="313"/>
      <c r="L139" s="313"/>
      <c r="M139" s="313"/>
      <c r="N139" s="313"/>
      <c r="O139" s="313"/>
      <c r="P139" s="313"/>
      <c r="Q139" s="313"/>
      <c r="R139" s="313"/>
      <c r="S139" s="313"/>
      <c r="T139" s="313"/>
      <c r="U139" s="313"/>
      <c r="V139" s="313"/>
      <c r="W139" s="313"/>
      <c r="X139" s="313"/>
      <c r="Y139" s="313"/>
      <c r="Z139" s="314"/>
      <c r="AA139" s="315">
        <f>IF(AA$225&lt;=time,B139*Costs!AH139,"")</f>
        <v>0</v>
      </c>
      <c r="AB139" s="316">
        <f>IF(AB$225&lt;=time,C139*Costs!AI139,"")</f>
        <v>0</v>
      </c>
      <c r="AC139" s="316">
        <f>IF(AC$225&lt;=time,D139*Costs!AJ139,"")</f>
        <v>0</v>
      </c>
      <c r="AD139" s="316">
        <f>IF(AD$225&lt;=time,E139*Costs!AK139,"")</f>
        <v>0</v>
      </c>
      <c r="AE139" s="316">
        <f>IF(AE$225&lt;=time,F139*Costs!AL139,"")</f>
        <v>0</v>
      </c>
      <c r="AF139" s="316" t="str">
        <f>IF(AF$225&lt;=time,G139*Costs!AM139,"")</f>
        <v/>
      </c>
      <c r="AG139" s="316" t="str">
        <f>IF(AG$225&lt;=time,H139*Costs!AN139,"")</f>
        <v/>
      </c>
      <c r="AH139" s="316" t="str">
        <f>IF(AH$225&lt;=time,I139*Costs!AO139,"")</f>
        <v/>
      </c>
      <c r="AI139" s="316" t="str">
        <f>IF(AI$225&lt;=time,J139*Costs!AP139,"")</f>
        <v/>
      </c>
      <c r="AJ139" s="316" t="str">
        <f>IF(AJ$225&lt;=time,K139*Costs!AQ139,"")</f>
        <v/>
      </c>
      <c r="AK139" s="316" t="str">
        <f>IF(AK$225&lt;=time,L139*Costs!AR139,"")</f>
        <v/>
      </c>
      <c r="AL139" s="316" t="str">
        <f>IF(AL$225&lt;=time,M139*Costs!AS139,"")</f>
        <v/>
      </c>
      <c r="AM139" s="316" t="str">
        <f>IF(AM$225&lt;=time,N139*Costs!AT139,"")</f>
        <v/>
      </c>
      <c r="AN139" s="316" t="str">
        <f>IF(AN$225&lt;=time,O139*Costs!AU139,"")</f>
        <v/>
      </c>
      <c r="AO139" s="316" t="str">
        <f>IF(AO$225&lt;=time,P139*Costs!AV139,"")</f>
        <v/>
      </c>
      <c r="AP139" s="316" t="str">
        <f>IF(AP$225&lt;=time,Q139*Costs!AW139,"")</f>
        <v/>
      </c>
      <c r="AQ139" s="316" t="str">
        <f>IF(AQ$225&lt;=time,R139*Costs!AX139,"")</f>
        <v/>
      </c>
      <c r="AR139" s="316" t="str">
        <f>IF(AR$225&lt;=time,S139*Costs!AY139,"")</f>
        <v/>
      </c>
      <c r="AS139" s="316" t="str">
        <f>IF(AS$225&lt;=time,T139*Costs!AZ139,"")</f>
        <v/>
      </c>
      <c r="AT139" s="316" t="str">
        <f>IF(AT$225&lt;=time,U139*Costs!BA139,"")</f>
        <v/>
      </c>
      <c r="AU139" s="316" t="str">
        <f>IF(AU$225&lt;=time,V139*Costs!BB139,"")</f>
        <v/>
      </c>
      <c r="AV139" s="316" t="str">
        <f>IF(AV$225&lt;=time,W139*Costs!BC139,"")</f>
        <v/>
      </c>
      <c r="AW139" s="316" t="str">
        <f>IF(AW$225&lt;=time,X139*Costs!BD139,"")</f>
        <v/>
      </c>
      <c r="AX139" s="316" t="str">
        <f>IF(AX$225&lt;=time,Y139*Costs!BE139,"")</f>
        <v/>
      </c>
      <c r="AY139" s="316" t="str">
        <f>IF(AY$225&lt;=time,Z139*Costs!BF139,"")</f>
        <v/>
      </c>
      <c r="AZ139" s="317">
        <f t="array" ref="AZ139">(SUM( IF(ISERROR(AA139:AY139),"", AA139:AY139)))/time</f>
        <v>0</v>
      </c>
      <c r="BA139" s="317">
        <f t="shared" si="38"/>
        <v>0</v>
      </c>
      <c r="BB139" s="318">
        <f t="shared" si="35"/>
        <v>0</v>
      </c>
      <c r="BC139" s="319">
        <v>6</v>
      </c>
      <c r="BE139" s="208" t="e">
        <f t="array" ref="BE139">STDEV(IF(AA139:AY139&lt;&gt;0,AA139:AY139))</f>
        <v>#DIV/0!</v>
      </c>
      <c r="BF139" s="208">
        <v>1.96</v>
      </c>
      <c r="BG139" s="208" t="e">
        <f t="shared" si="36"/>
        <v>#DIV/0!</v>
      </c>
      <c r="BH139" s="208">
        <f t="shared" si="37"/>
        <v>0</v>
      </c>
    </row>
    <row r="140" spans="1:60" hidden="1">
      <c r="A140" s="322" t="str">
        <f>Costs!A140</f>
        <v>Supplies 7</v>
      </c>
      <c r="B140" s="313"/>
      <c r="C140" s="313"/>
      <c r="D140" s="313"/>
      <c r="E140" s="313"/>
      <c r="F140" s="313"/>
      <c r="G140" s="313"/>
      <c r="H140" s="313"/>
      <c r="I140" s="313"/>
      <c r="J140" s="313"/>
      <c r="K140" s="313"/>
      <c r="L140" s="313"/>
      <c r="M140" s="313"/>
      <c r="N140" s="313"/>
      <c r="O140" s="313"/>
      <c r="P140" s="313"/>
      <c r="Q140" s="313"/>
      <c r="R140" s="313"/>
      <c r="S140" s="313"/>
      <c r="T140" s="313"/>
      <c r="U140" s="313"/>
      <c r="V140" s="313"/>
      <c r="W140" s="313"/>
      <c r="X140" s="313"/>
      <c r="Y140" s="313"/>
      <c r="Z140" s="314"/>
      <c r="AA140" s="315">
        <f>IF(AA$225&lt;=time,B140*Costs!AH140,"")</f>
        <v>0</v>
      </c>
      <c r="AB140" s="316">
        <f>IF(AB$225&lt;=time,C140*Costs!AI140,"")</f>
        <v>0</v>
      </c>
      <c r="AC140" s="316">
        <f>IF(AC$225&lt;=time,D140*Costs!AJ140,"")</f>
        <v>0</v>
      </c>
      <c r="AD140" s="316">
        <f>IF(AD$225&lt;=time,E140*Costs!AK140,"")</f>
        <v>0</v>
      </c>
      <c r="AE140" s="316">
        <f>IF(AE$225&lt;=time,F140*Costs!AL140,"")</f>
        <v>0</v>
      </c>
      <c r="AF140" s="316" t="str">
        <f>IF(AF$225&lt;=time,G140*Costs!AM140,"")</f>
        <v/>
      </c>
      <c r="AG140" s="316" t="str">
        <f>IF(AG$225&lt;=time,H140*Costs!AN140,"")</f>
        <v/>
      </c>
      <c r="AH140" s="316" t="str">
        <f>IF(AH$225&lt;=time,I140*Costs!AO140,"")</f>
        <v/>
      </c>
      <c r="AI140" s="316" t="str">
        <f>IF(AI$225&lt;=time,J140*Costs!AP140,"")</f>
        <v/>
      </c>
      <c r="AJ140" s="316" t="str">
        <f>IF(AJ$225&lt;=time,K140*Costs!AQ140,"")</f>
        <v/>
      </c>
      <c r="AK140" s="316" t="str">
        <f>IF(AK$225&lt;=time,L140*Costs!AR140,"")</f>
        <v/>
      </c>
      <c r="AL140" s="316" t="str">
        <f>IF(AL$225&lt;=time,M140*Costs!AS140,"")</f>
        <v/>
      </c>
      <c r="AM140" s="316" t="str">
        <f>IF(AM$225&lt;=time,N140*Costs!AT140,"")</f>
        <v/>
      </c>
      <c r="AN140" s="316" t="str">
        <f>IF(AN$225&lt;=time,O140*Costs!AU140,"")</f>
        <v/>
      </c>
      <c r="AO140" s="316" t="str">
        <f>IF(AO$225&lt;=time,P140*Costs!AV140,"")</f>
        <v/>
      </c>
      <c r="AP140" s="316" t="str">
        <f>IF(AP$225&lt;=time,Q140*Costs!AW140,"")</f>
        <v/>
      </c>
      <c r="AQ140" s="316" t="str">
        <f>IF(AQ$225&lt;=time,R140*Costs!AX140,"")</f>
        <v/>
      </c>
      <c r="AR140" s="316" t="str">
        <f>IF(AR$225&lt;=time,S140*Costs!AY140,"")</f>
        <v/>
      </c>
      <c r="AS140" s="316" t="str">
        <f>IF(AS$225&lt;=time,T140*Costs!AZ140,"")</f>
        <v/>
      </c>
      <c r="AT140" s="316" t="str">
        <f>IF(AT$225&lt;=time,U140*Costs!BA140,"")</f>
        <v/>
      </c>
      <c r="AU140" s="316" t="str">
        <f>IF(AU$225&lt;=time,V140*Costs!BB140,"")</f>
        <v/>
      </c>
      <c r="AV140" s="316" t="str">
        <f>IF(AV$225&lt;=time,W140*Costs!BC140,"")</f>
        <v/>
      </c>
      <c r="AW140" s="316" t="str">
        <f>IF(AW$225&lt;=time,X140*Costs!BD140,"")</f>
        <v/>
      </c>
      <c r="AX140" s="316" t="str">
        <f>IF(AX$225&lt;=time,Y140*Costs!BE140,"")</f>
        <v/>
      </c>
      <c r="AY140" s="316" t="str">
        <f>IF(AY$225&lt;=time,Z140*Costs!BF140,"")</f>
        <v/>
      </c>
      <c r="AZ140" s="317">
        <f t="array" ref="AZ140">(SUM( IF(ISERROR(AA140:AY140),"", AA140:AY140)))/time</f>
        <v>0</v>
      </c>
      <c r="BA140" s="317">
        <f t="shared" si="38"/>
        <v>0</v>
      </c>
      <c r="BB140" s="318">
        <f t="shared" si="35"/>
        <v>0</v>
      </c>
      <c r="BC140" s="319">
        <v>7</v>
      </c>
      <c r="BE140" s="208" t="e">
        <f t="array" ref="BE140">STDEV(IF(AA140:AY140&lt;&gt;0,AA140:AY140))</f>
        <v>#DIV/0!</v>
      </c>
      <c r="BF140" s="208">
        <v>1.96</v>
      </c>
      <c r="BG140" s="208" t="e">
        <f t="shared" si="36"/>
        <v>#DIV/0!</v>
      </c>
      <c r="BH140" s="208">
        <f t="shared" si="37"/>
        <v>0</v>
      </c>
    </row>
    <row r="141" spans="1:60" hidden="1">
      <c r="A141" s="322" t="str">
        <f>Costs!A141</f>
        <v>Supplies 8</v>
      </c>
      <c r="B141" s="313"/>
      <c r="C141" s="313"/>
      <c r="D141" s="313"/>
      <c r="E141" s="313"/>
      <c r="F141" s="313"/>
      <c r="G141" s="313"/>
      <c r="H141" s="313"/>
      <c r="I141" s="313"/>
      <c r="J141" s="313"/>
      <c r="K141" s="313"/>
      <c r="L141" s="313"/>
      <c r="M141" s="313"/>
      <c r="N141" s="313"/>
      <c r="O141" s="313"/>
      <c r="P141" s="313"/>
      <c r="Q141" s="313"/>
      <c r="R141" s="313"/>
      <c r="S141" s="313"/>
      <c r="T141" s="313"/>
      <c r="U141" s="313"/>
      <c r="V141" s="313"/>
      <c r="W141" s="313"/>
      <c r="X141" s="313"/>
      <c r="Y141" s="313"/>
      <c r="Z141" s="314"/>
      <c r="AA141" s="315">
        <f>IF(AA$225&lt;=time,B141*Costs!AH141,"")</f>
        <v>0</v>
      </c>
      <c r="AB141" s="316">
        <f>IF(AB$225&lt;=time,C141*Costs!AI141,"")</f>
        <v>0</v>
      </c>
      <c r="AC141" s="316">
        <f>IF(AC$225&lt;=time,D141*Costs!AJ141,"")</f>
        <v>0</v>
      </c>
      <c r="AD141" s="316">
        <f>IF(AD$225&lt;=time,E141*Costs!AK141,"")</f>
        <v>0</v>
      </c>
      <c r="AE141" s="316">
        <f>IF(AE$225&lt;=time,F141*Costs!AL141,"")</f>
        <v>0</v>
      </c>
      <c r="AF141" s="316" t="str">
        <f>IF(AF$225&lt;=time,G141*Costs!AM141,"")</f>
        <v/>
      </c>
      <c r="AG141" s="316" t="str">
        <f>IF(AG$225&lt;=time,H141*Costs!AN141,"")</f>
        <v/>
      </c>
      <c r="AH141" s="316" t="str">
        <f>IF(AH$225&lt;=time,I141*Costs!AO141,"")</f>
        <v/>
      </c>
      <c r="AI141" s="316" t="str">
        <f>IF(AI$225&lt;=time,J141*Costs!AP141,"")</f>
        <v/>
      </c>
      <c r="AJ141" s="316" t="str">
        <f>IF(AJ$225&lt;=time,K141*Costs!AQ141,"")</f>
        <v/>
      </c>
      <c r="AK141" s="316" t="str">
        <f>IF(AK$225&lt;=time,L141*Costs!AR141,"")</f>
        <v/>
      </c>
      <c r="AL141" s="316" t="str">
        <f>IF(AL$225&lt;=time,M141*Costs!AS141,"")</f>
        <v/>
      </c>
      <c r="AM141" s="316" t="str">
        <f>IF(AM$225&lt;=time,N141*Costs!AT141,"")</f>
        <v/>
      </c>
      <c r="AN141" s="316" t="str">
        <f>IF(AN$225&lt;=time,O141*Costs!AU141,"")</f>
        <v/>
      </c>
      <c r="AO141" s="316" t="str">
        <f>IF(AO$225&lt;=time,P141*Costs!AV141,"")</f>
        <v/>
      </c>
      <c r="AP141" s="316" t="str">
        <f>IF(AP$225&lt;=time,Q141*Costs!AW141,"")</f>
        <v/>
      </c>
      <c r="AQ141" s="316" t="str">
        <f>IF(AQ$225&lt;=time,R141*Costs!AX141,"")</f>
        <v/>
      </c>
      <c r="AR141" s="316" t="str">
        <f>IF(AR$225&lt;=time,S141*Costs!AY141,"")</f>
        <v/>
      </c>
      <c r="AS141" s="316" t="str">
        <f>IF(AS$225&lt;=time,T141*Costs!AZ141,"")</f>
        <v/>
      </c>
      <c r="AT141" s="316" t="str">
        <f>IF(AT$225&lt;=time,U141*Costs!BA141,"")</f>
        <v/>
      </c>
      <c r="AU141" s="316" t="str">
        <f>IF(AU$225&lt;=time,V141*Costs!BB141,"")</f>
        <v/>
      </c>
      <c r="AV141" s="316" t="str">
        <f>IF(AV$225&lt;=time,W141*Costs!BC141,"")</f>
        <v/>
      </c>
      <c r="AW141" s="316" t="str">
        <f>IF(AW$225&lt;=time,X141*Costs!BD141,"")</f>
        <v/>
      </c>
      <c r="AX141" s="316" t="str">
        <f>IF(AX$225&lt;=time,Y141*Costs!BE141,"")</f>
        <v/>
      </c>
      <c r="AY141" s="316" t="str">
        <f>IF(AY$225&lt;=time,Z141*Costs!BF141,"")</f>
        <v/>
      </c>
      <c r="AZ141" s="317">
        <f t="array" ref="AZ141">(SUM( IF(ISERROR(AA141:AY141),"", AA141:AY141)))/time</f>
        <v>0</v>
      </c>
      <c r="BA141" s="317">
        <f t="shared" si="38"/>
        <v>0</v>
      </c>
      <c r="BB141" s="318">
        <f t="shared" si="35"/>
        <v>0</v>
      </c>
      <c r="BC141" s="319">
        <v>8</v>
      </c>
      <c r="BE141" s="208" t="e">
        <f t="array" ref="BE141">STDEV(IF(AA141:AY141&lt;&gt;0,AA141:AY141))</f>
        <v>#DIV/0!</v>
      </c>
      <c r="BF141" s="208">
        <v>1.96</v>
      </c>
      <c r="BG141" s="208" t="e">
        <f t="shared" si="36"/>
        <v>#DIV/0!</v>
      </c>
      <c r="BH141" s="208">
        <f t="shared" si="37"/>
        <v>0</v>
      </c>
    </row>
    <row r="142" spans="1:60" hidden="1">
      <c r="A142" s="322" t="str">
        <f>Costs!A142</f>
        <v>Supplies 9</v>
      </c>
      <c r="B142" s="313"/>
      <c r="C142" s="313"/>
      <c r="D142" s="313"/>
      <c r="E142" s="313"/>
      <c r="F142" s="313"/>
      <c r="G142" s="313"/>
      <c r="H142" s="313"/>
      <c r="I142" s="313"/>
      <c r="J142" s="313"/>
      <c r="K142" s="313"/>
      <c r="L142" s="313"/>
      <c r="M142" s="313"/>
      <c r="N142" s="313"/>
      <c r="O142" s="313"/>
      <c r="P142" s="313"/>
      <c r="Q142" s="313"/>
      <c r="R142" s="313"/>
      <c r="S142" s="313"/>
      <c r="T142" s="313"/>
      <c r="U142" s="313"/>
      <c r="V142" s="313"/>
      <c r="W142" s="313"/>
      <c r="X142" s="313"/>
      <c r="Y142" s="313"/>
      <c r="Z142" s="314"/>
      <c r="AA142" s="315">
        <f>IF(AA$225&lt;=time,B142*Costs!AH142,"")</f>
        <v>0</v>
      </c>
      <c r="AB142" s="316">
        <f>IF(AB$225&lt;=time,C142*Costs!AI142,"")</f>
        <v>0</v>
      </c>
      <c r="AC142" s="316">
        <f>IF(AC$225&lt;=time,D142*Costs!AJ142,"")</f>
        <v>0</v>
      </c>
      <c r="AD142" s="316">
        <f>IF(AD$225&lt;=time,E142*Costs!AK142,"")</f>
        <v>0</v>
      </c>
      <c r="AE142" s="316">
        <f>IF(AE$225&lt;=time,F142*Costs!AL142,"")</f>
        <v>0</v>
      </c>
      <c r="AF142" s="316" t="str">
        <f>IF(AF$225&lt;=time,G142*Costs!AM142,"")</f>
        <v/>
      </c>
      <c r="AG142" s="316" t="str">
        <f>IF(AG$225&lt;=time,H142*Costs!AN142,"")</f>
        <v/>
      </c>
      <c r="AH142" s="316" t="str">
        <f>IF(AH$225&lt;=time,I142*Costs!AO142,"")</f>
        <v/>
      </c>
      <c r="AI142" s="316" t="str">
        <f>IF(AI$225&lt;=time,J142*Costs!AP142,"")</f>
        <v/>
      </c>
      <c r="AJ142" s="316" t="str">
        <f>IF(AJ$225&lt;=time,K142*Costs!AQ142,"")</f>
        <v/>
      </c>
      <c r="AK142" s="316" t="str">
        <f>IF(AK$225&lt;=time,L142*Costs!AR142,"")</f>
        <v/>
      </c>
      <c r="AL142" s="316" t="str">
        <f>IF(AL$225&lt;=time,M142*Costs!AS142,"")</f>
        <v/>
      </c>
      <c r="AM142" s="316" t="str">
        <f>IF(AM$225&lt;=time,N142*Costs!AT142,"")</f>
        <v/>
      </c>
      <c r="AN142" s="316" t="str">
        <f>IF(AN$225&lt;=time,O142*Costs!AU142,"")</f>
        <v/>
      </c>
      <c r="AO142" s="316" t="str">
        <f>IF(AO$225&lt;=time,P142*Costs!AV142,"")</f>
        <v/>
      </c>
      <c r="AP142" s="316" t="str">
        <f>IF(AP$225&lt;=time,Q142*Costs!AW142,"")</f>
        <v/>
      </c>
      <c r="AQ142" s="316" t="str">
        <f>IF(AQ$225&lt;=time,R142*Costs!AX142,"")</f>
        <v/>
      </c>
      <c r="AR142" s="316" t="str">
        <f>IF(AR$225&lt;=time,S142*Costs!AY142,"")</f>
        <v/>
      </c>
      <c r="AS142" s="316" t="str">
        <f>IF(AS$225&lt;=time,T142*Costs!AZ142,"")</f>
        <v/>
      </c>
      <c r="AT142" s="316" t="str">
        <f>IF(AT$225&lt;=time,U142*Costs!BA142,"")</f>
        <v/>
      </c>
      <c r="AU142" s="316" t="str">
        <f>IF(AU$225&lt;=time,V142*Costs!BB142,"")</f>
        <v/>
      </c>
      <c r="AV142" s="316" t="str">
        <f>IF(AV$225&lt;=time,W142*Costs!BC142,"")</f>
        <v/>
      </c>
      <c r="AW142" s="316" t="str">
        <f>IF(AW$225&lt;=time,X142*Costs!BD142,"")</f>
        <v/>
      </c>
      <c r="AX142" s="316" t="str">
        <f>IF(AX$225&lt;=time,Y142*Costs!BE142,"")</f>
        <v/>
      </c>
      <c r="AY142" s="316" t="str">
        <f>IF(AY$225&lt;=time,Z142*Costs!BF142,"")</f>
        <v/>
      </c>
      <c r="AZ142" s="317">
        <f t="array" ref="AZ142">(SUM( IF(ISERROR(AA142:AY142),"", AA142:AY142)))/time</f>
        <v>0</v>
      </c>
      <c r="BA142" s="317">
        <f t="shared" si="38"/>
        <v>0</v>
      </c>
      <c r="BB142" s="318">
        <f t="shared" si="35"/>
        <v>0</v>
      </c>
      <c r="BC142" s="319">
        <v>9</v>
      </c>
      <c r="BE142" s="208" t="e">
        <f t="array" ref="BE142">STDEV(IF(AA142:AY142&lt;&gt;0,AA142:AY142))</f>
        <v>#DIV/0!</v>
      </c>
      <c r="BF142" s="208">
        <v>1.96</v>
      </c>
      <c r="BG142" s="208" t="e">
        <f t="shared" si="36"/>
        <v>#DIV/0!</v>
      </c>
      <c r="BH142" s="208">
        <f t="shared" si="37"/>
        <v>0</v>
      </c>
    </row>
    <row r="143" spans="1:60" hidden="1">
      <c r="A143" s="322" t="str">
        <f>Costs!A143</f>
        <v>Supplies 10</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4"/>
      <c r="AA143" s="315">
        <f>IF(AA$225&lt;=time,B143*Costs!AH143,"")</f>
        <v>0</v>
      </c>
      <c r="AB143" s="316">
        <f>IF(AB$225&lt;=time,C143*Costs!AI143,"")</f>
        <v>0</v>
      </c>
      <c r="AC143" s="316">
        <f>IF(AC$225&lt;=time,D143*Costs!AJ143,"")</f>
        <v>0</v>
      </c>
      <c r="AD143" s="316">
        <f>IF(AD$225&lt;=time,E143*Costs!AK143,"")</f>
        <v>0</v>
      </c>
      <c r="AE143" s="316">
        <f>IF(AE$225&lt;=time,F143*Costs!AL143,"")</f>
        <v>0</v>
      </c>
      <c r="AF143" s="316" t="str">
        <f>IF(AF$225&lt;=time,G143*Costs!AM143,"")</f>
        <v/>
      </c>
      <c r="AG143" s="316" t="str">
        <f>IF(AG$225&lt;=time,H143*Costs!AN143,"")</f>
        <v/>
      </c>
      <c r="AH143" s="316" t="str">
        <f>IF(AH$225&lt;=time,I143*Costs!AO143,"")</f>
        <v/>
      </c>
      <c r="AI143" s="316" t="str">
        <f>IF(AI$225&lt;=time,J143*Costs!AP143,"")</f>
        <v/>
      </c>
      <c r="AJ143" s="316" t="str">
        <f>IF(AJ$225&lt;=time,K143*Costs!AQ143,"")</f>
        <v/>
      </c>
      <c r="AK143" s="316" t="str">
        <f>IF(AK$225&lt;=time,L143*Costs!AR143,"")</f>
        <v/>
      </c>
      <c r="AL143" s="316" t="str">
        <f>IF(AL$225&lt;=time,M143*Costs!AS143,"")</f>
        <v/>
      </c>
      <c r="AM143" s="316" t="str">
        <f>IF(AM$225&lt;=time,N143*Costs!AT143,"")</f>
        <v/>
      </c>
      <c r="AN143" s="316" t="str">
        <f>IF(AN$225&lt;=time,O143*Costs!AU143,"")</f>
        <v/>
      </c>
      <c r="AO143" s="316" t="str">
        <f>IF(AO$225&lt;=time,P143*Costs!AV143,"")</f>
        <v/>
      </c>
      <c r="AP143" s="316" t="str">
        <f>IF(AP$225&lt;=time,Q143*Costs!AW143,"")</f>
        <v/>
      </c>
      <c r="AQ143" s="316" t="str">
        <f>IF(AQ$225&lt;=time,R143*Costs!AX143,"")</f>
        <v/>
      </c>
      <c r="AR143" s="316" t="str">
        <f>IF(AR$225&lt;=time,S143*Costs!AY143,"")</f>
        <v/>
      </c>
      <c r="AS143" s="316" t="str">
        <f>IF(AS$225&lt;=time,T143*Costs!AZ143,"")</f>
        <v/>
      </c>
      <c r="AT143" s="316" t="str">
        <f>IF(AT$225&lt;=time,U143*Costs!BA143,"")</f>
        <v/>
      </c>
      <c r="AU143" s="316" t="str">
        <f>IF(AU$225&lt;=time,V143*Costs!BB143,"")</f>
        <v/>
      </c>
      <c r="AV143" s="316" t="str">
        <f>IF(AV$225&lt;=time,W143*Costs!BC143,"")</f>
        <v/>
      </c>
      <c r="AW143" s="316" t="str">
        <f>IF(AW$225&lt;=time,X143*Costs!BD143,"")</f>
        <v/>
      </c>
      <c r="AX143" s="316" t="str">
        <f>IF(AX$225&lt;=time,Y143*Costs!BE143,"")</f>
        <v/>
      </c>
      <c r="AY143" s="316" t="str">
        <f>IF(AY$225&lt;=time,Z143*Costs!BF143,"")</f>
        <v/>
      </c>
      <c r="AZ143" s="317">
        <f t="array" ref="AZ143">(SUM( IF(ISERROR(AA143:AY143),"", AA143:AY143)))/time</f>
        <v>0</v>
      </c>
      <c r="BA143" s="317">
        <f t="shared" si="38"/>
        <v>0</v>
      </c>
      <c r="BB143" s="318">
        <f t="shared" si="35"/>
        <v>0</v>
      </c>
      <c r="BC143" s="319">
        <v>10</v>
      </c>
      <c r="BE143" s="208" t="e">
        <f t="array" ref="BE143">STDEV(IF(AA143:AY143&lt;&gt;0,AA143:AY143))</f>
        <v>#DIV/0!</v>
      </c>
      <c r="BF143" s="208">
        <v>1.96</v>
      </c>
      <c r="BG143" s="208" t="e">
        <f t="shared" si="36"/>
        <v>#DIV/0!</v>
      </c>
      <c r="BH143" s="208">
        <f t="shared" si="37"/>
        <v>0</v>
      </c>
    </row>
    <row r="144" spans="1:60" s="11" customFormat="1">
      <c r="A144" s="233" t="s">
        <v>194</v>
      </c>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321"/>
      <c r="AA144" s="233"/>
      <c r="AB144" s="96"/>
      <c r="AC144" s="96"/>
      <c r="AD144" s="96"/>
      <c r="AE144" s="96"/>
      <c r="AF144" s="96"/>
      <c r="AG144" s="96"/>
      <c r="AH144" s="96"/>
      <c r="AI144" s="96"/>
      <c r="AJ144" s="96"/>
      <c r="AK144" s="96"/>
      <c r="AL144" s="96"/>
      <c r="AM144" s="96"/>
      <c r="AN144" s="96"/>
      <c r="AO144" s="96"/>
      <c r="AP144" s="96"/>
      <c r="AQ144" s="96"/>
      <c r="AR144" s="96"/>
      <c r="AS144" s="96"/>
      <c r="AT144" s="96"/>
      <c r="AU144" s="96"/>
      <c r="AV144" s="96"/>
      <c r="AW144" s="96"/>
      <c r="AX144" s="96"/>
      <c r="AY144" s="96"/>
      <c r="BA144" s="96"/>
      <c r="BB144" s="211"/>
    </row>
    <row r="145" spans="1:60">
      <c r="A145" s="32" t="str">
        <f>Costs!A145</f>
        <v>Services 1</v>
      </c>
      <c r="B145" s="865"/>
      <c r="C145" s="865"/>
      <c r="D145" s="865"/>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4"/>
      <c r="AA145" s="315">
        <f>IF(AA$225&lt;=time,B145*Costs!AH145,"")</f>
        <v>0</v>
      </c>
      <c r="AB145" s="316">
        <f>IF(AB$225&lt;=time,C145*Costs!AI145,"")</f>
        <v>0</v>
      </c>
      <c r="AC145" s="316">
        <f>IF(AC$225&lt;=time,D145*Costs!AJ145,"")</f>
        <v>0</v>
      </c>
      <c r="AD145" s="316">
        <f>IF(AD$225&lt;=time,E145*Costs!AK145,"")</f>
        <v>0</v>
      </c>
      <c r="AE145" s="316">
        <f>IF(AE$225&lt;=time,F145*Costs!AL145,"")</f>
        <v>0</v>
      </c>
      <c r="AF145" s="316" t="str">
        <f>IF(AF$225&lt;=time,G145*Costs!AM145,"")</f>
        <v/>
      </c>
      <c r="AG145" s="316" t="str">
        <f>IF(AG$225&lt;=time,H145*Costs!AN145,"")</f>
        <v/>
      </c>
      <c r="AH145" s="316" t="str">
        <f>IF(AH$225&lt;=time,I145*Costs!AO145,"")</f>
        <v/>
      </c>
      <c r="AI145" s="316" t="str">
        <f>IF(AI$225&lt;=time,J145*Costs!AP145,"")</f>
        <v/>
      </c>
      <c r="AJ145" s="316" t="str">
        <f>IF(AJ$225&lt;=time,K145*Costs!AQ145,"")</f>
        <v/>
      </c>
      <c r="AK145" s="316" t="str">
        <f>IF(AK$225&lt;=time,L145*Costs!AR145,"")</f>
        <v/>
      </c>
      <c r="AL145" s="316" t="str">
        <f>IF(AL$225&lt;=time,M145*Costs!AS145,"")</f>
        <v/>
      </c>
      <c r="AM145" s="316" t="str">
        <f>IF(AM$225&lt;=time,N145*Costs!AT145,"")</f>
        <v/>
      </c>
      <c r="AN145" s="316" t="str">
        <f>IF(AN$225&lt;=time,O145*Costs!AU145,"")</f>
        <v/>
      </c>
      <c r="AO145" s="316" t="str">
        <f>IF(AO$225&lt;=time,P145*Costs!AV145,"")</f>
        <v/>
      </c>
      <c r="AP145" s="316" t="str">
        <f>IF(AP$225&lt;=time,Q145*Costs!AW145,"")</f>
        <v/>
      </c>
      <c r="AQ145" s="316" t="str">
        <f>IF(AQ$225&lt;=time,R145*Costs!AX145,"")</f>
        <v/>
      </c>
      <c r="AR145" s="316" t="str">
        <f>IF(AR$225&lt;=time,S145*Costs!AY145,"")</f>
        <v/>
      </c>
      <c r="AS145" s="316" t="str">
        <f>IF(AS$225&lt;=time,T145*Costs!AZ145,"")</f>
        <v/>
      </c>
      <c r="AT145" s="316" t="str">
        <f>IF(AT$225&lt;=time,U145*Costs!BA145,"")</f>
        <v/>
      </c>
      <c r="AU145" s="316" t="str">
        <f>IF(AU$225&lt;=time,V145*Costs!BB145,"")</f>
        <v/>
      </c>
      <c r="AV145" s="316" t="str">
        <f>IF(AV$225&lt;=time,W145*Costs!BC145,"")</f>
        <v/>
      </c>
      <c r="AW145" s="316" t="str">
        <f>IF(AW$225&lt;=time,X145*Costs!BD145,"")</f>
        <v/>
      </c>
      <c r="AX145" s="316" t="str">
        <f>IF(AX$225&lt;=time,Y145*Costs!BE145,"")</f>
        <v/>
      </c>
      <c r="AY145" s="316" t="str">
        <f>IF(AY$225&lt;=time,Z145*Costs!BF145,"")</f>
        <v/>
      </c>
      <c r="AZ145" s="317">
        <f t="array" ref="AZ145">(SUM( IF(ISERROR(AA145:AY145),"", AA145:AY145)))/time</f>
        <v>0</v>
      </c>
      <c r="BA145" s="317">
        <f t="shared" si="38"/>
        <v>0</v>
      </c>
      <c r="BB145" s="318">
        <f t="shared" ref="BB145:BB154" si="39">IF(BH145&gt;0,AZ145+BG145,AZ145)</f>
        <v>0</v>
      </c>
      <c r="BC145" s="319">
        <v>1</v>
      </c>
      <c r="BE145" s="208" t="e">
        <f t="array" ref="BE145">STDEV(IF(AA145:AY145&lt;&gt;0,AA145:AY145))</f>
        <v>#DIV/0!</v>
      </c>
      <c r="BF145" s="208">
        <v>1.96</v>
      </c>
      <c r="BG145" s="208" t="e">
        <f t="shared" ref="BG145:BG154" si="40">(BF145*BE145)/(time^0.5)</f>
        <v>#DIV/0!</v>
      </c>
      <c r="BH145" s="208">
        <f t="shared" ref="BH145:BH154" si="41">IFERROR(BE145,0)</f>
        <v>0</v>
      </c>
    </row>
    <row r="146" spans="1:60" hidden="1">
      <c r="A146" s="322" t="str">
        <f>Costs!A146</f>
        <v>Services 2</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4"/>
      <c r="AA146" s="315">
        <f>IF(AA$225&lt;=time,B146*Costs!AH146,"")</f>
        <v>0</v>
      </c>
      <c r="AB146" s="316">
        <f>IF(AB$225&lt;=time,C146*Costs!AI146,"")</f>
        <v>0</v>
      </c>
      <c r="AC146" s="316">
        <f>IF(AC$225&lt;=time,D146*Costs!AJ146,"")</f>
        <v>0</v>
      </c>
      <c r="AD146" s="316">
        <f>IF(AD$225&lt;=time,E146*Costs!AK146,"")</f>
        <v>0</v>
      </c>
      <c r="AE146" s="316">
        <f>IF(AE$225&lt;=time,F146*Costs!AL146,"")</f>
        <v>0</v>
      </c>
      <c r="AF146" s="316" t="str">
        <f>IF(AF$225&lt;=time,G146*Costs!AM146,"")</f>
        <v/>
      </c>
      <c r="AG146" s="316" t="str">
        <f>IF(AG$225&lt;=time,H146*Costs!AN146,"")</f>
        <v/>
      </c>
      <c r="AH146" s="316" t="str">
        <f>IF(AH$225&lt;=time,I146*Costs!AO146,"")</f>
        <v/>
      </c>
      <c r="AI146" s="316" t="str">
        <f>IF(AI$225&lt;=time,J146*Costs!AP146,"")</f>
        <v/>
      </c>
      <c r="AJ146" s="316" t="str">
        <f>IF(AJ$225&lt;=time,K146*Costs!AQ146,"")</f>
        <v/>
      </c>
      <c r="AK146" s="316" t="str">
        <f>IF(AK$225&lt;=time,L146*Costs!AR146,"")</f>
        <v/>
      </c>
      <c r="AL146" s="316" t="str">
        <f>IF(AL$225&lt;=time,M146*Costs!AS146,"")</f>
        <v/>
      </c>
      <c r="AM146" s="316" t="str">
        <f>IF(AM$225&lt;=time,N146*Costs!AT146,"")</f>
        <v/>
      </c>
      <c r="AN146" s="316" t="str">
        <f>IF(AN$225&lt;=time,O146*Costs!AU146,"")</f>
        <v/>
      </c>
      <c r="AO146" s="316" t="str">
        <f>IF(AO$225&lt;=time,P146*Costs!AV146,"")</f>
        <v/>
      </c>
      <c r="AP146" s="316" t="str">
        <f>IF(AP$225&lt;=time,Q146*Costs!AW146,"")</f>
        <v/>
      </c>
      <c r="AQ146" s="316" t="str">
        <f>IF(AQ$225&lt;=time,R146*Costs!AX146,"")</f>
        <v/>
      </c>
      <c r="AR146" s="316" t="str">
        <f>IF(AR$225&lt;=time,S146*Costs!AY146,"")</f>
        <v/>
      </c>
      <c r="AS146" s="316" t="str">
        <f>IF(AS$225&lt;=time,T146*Costs!AZ146,"")</f>
        <v/>
      </c>
      <c r="AT146" s="316" t="str">
        <f>IF(AT$225&lt;=time,U146*Costs!BA146,"")</f>
        <v/>
      </c>
      <c r="AU146" s="316" t="str">
        <f>IF(AU$225&lt;=time,V146*Costs!BB146,"")</f>
        <v/>
      </c>
      <c r="AV146" s="316" t="str">
        <f>IF(AV$225&lt;=time,W146*Costs!BC146,"")</f>
        <v/>
      </c>
      <c r="AW146" s="316" t="str">
        <f>IF(AW$225&lt;=time,X146*Costs!BD146,"")</f>
        <v/>
      </c>
      <c r="AX146" s="316" t="str">
        <f>IF(AX$225&lt;=time,Y146*Costs!BE146,"")</f>
        <v/>
      </c>
      <c r="AY146" s="316" t="str">
        <f>IF(AY$225&lt;=time,Z146*Costs!BF146,"")</f>
        <v/>
      </c>
      <c r="AZ146" s="317">
        <f t="array" ref="AZ146">(SUM( IF(ISERROR(AA146:AY146),"", AA146:AY146)))/time</f>
        <v>0</v>
      </c>
      <c r="BA146" s="317">
        <f t="shared" si="38"/>
        <v>0</v>
      </c>
      <c r="BB146" s="318">
        <f t="shared" si="39"/>
        <v>0</v>
      </c>
      <c r="BC146" s="319">
        <v>2</v>
      </c>
      <c r="BE146" s="208" t="e">
        <f t="array" ref="BE146">STDEV(IF(AA146:AY146&lt;&gt;0,AA146:AY146))</f>
        <v>#DIV/0!</v>
      </c>
      <c r="BF146" s="208">
        <v>1.96</v>
      </c>
      <c r="BG146" s="208" t="e">
        <f t="shared" si="40"/>
        <v>#DIV/0!</v>
      </c>
      <c r="BH146" s="208">
        <f t="shared" si="41"/>
        <v>0</v>
      </c>
    </row>
    <row r="147" spans="1:60" hidden="1">
      <c r="A147" s="322" t="str">
        <f>Costs!A147</f>
        <v>Services 3</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4"/>
      <c r="AA147" s="315">
        <f>IF(AA$225&lt;=time,B147*Costs!AH147,"")</f>
        <v>0</v>
      </c>
      <c r="AB147" s="316">
        <f>IF(AB$225&lt;=time,C147*Costs!AI147,"")</f>
        <v>0</v>
      </c>
      <c r="AC147" s="316">
        <f>IF(AC$225&lt;=time,D147*Costs!AJ147,"")</f>
        <v>0</v>
      </c>
      <c r="AD147" s="316">
        <f>IF(AD$225&lt;=time,E147*Costs!AK147,"")</f>
        <v>0</v>
      </c>
      <c r="AE147" s="316">
        <f>IF(AE$225&lt;=time,F147*Costs!AL147,"")</f>
        <v>0</v>
      </c>
      <c r="AF147" s="316" t="str">
        <f>IF(AF$225&lt;=time,G147*Costs!AM147,"")</f>
        <v/>
      </c>
      <c r="AG147" s="316" t="str">
        <f>IF(AG$225&lt;=time,H147*Costs!AN147,"")</f>
        <v/>
      </c>
      <c r="AH147" s="316" t="str">
        <f>IF(AH$225&lt;=time,I147*Costs!AO147,"")</f>
        <v/>
      </c>
      <c r="AI147" s="316" t="str">
        <f>IF(AI$225&lt;=time,J147*Costs!AP147,"")</f>
        <v/>
      </c>
      <c r="AJ147" s="316" t="str">
        <f>IF(AJ$225&lt;=time,K147*Costs!AQ147,"")</f>
        <v/>
      </c>
      <c r="AK147" s="316" t="str">
        <f>IF(AK$225&lt;=time,L147*Costs!AR147,"")</f>
        <v/>
      </c>
      <c r="AL147" s="316" t="str">
        <f>IF(AL$225&lt;=time,M147*Costs!AS147,"")</f>
        <v/>
      </c>
      <c r="AM147" s="316" t="str">
        <f>IF(AM$225&lt;=time,N147*Costs!AT147,"")</f>
        <v/>
      </c>
      <c r="AN147" s="316" t="str">
        <f>IF(AN$225&lt;=time,O147*Costs!AU147,"")</f>
        <v/>
      </c>
      <c r="AO147" s="316" t="str">
        <f>IF(AO$225&lt;=time,P147*Costs!AV147,"")</f>
        <v/>
      </c>
      <c r="AP147" s="316" t="str">
        <f>IF(AP$225&lt;=time,Q147*Costs!AW147,"")</f>
        <v/>
      </c>
      <c r="AQ147" s="316" t="str">
        <f>IF(AQ$225&lt;=time,R147*Costs!AX147,"")</f>
        <v/>
      </c>
      <c r="AR147" s="316" t="str">
        <f>IF(AR$225&lt;=time,S147*Costs!AY147,"")</f>
        <v/>
      </c>
      <c r="AS147" s="316" t="str">
        <f>IF(AS$225&lt;=time,T147*Costs!AZ147,"")</f>
        <v/>
      </c>
      <c r="AT147" s="316" t="str">
        <f>IF(AT$225&lt;=time,U147*Costs!BA147,"")</f>
        <v/>
      </c>
      <c r="AU147" s="316" t="str">
        <f>IF(AU$225&lt;=time,V147*Costs!BB147,"")</f>
        <v/>
      </c>
      <c r="AV147" s="316" t="str">
        <f>IF(AV$225&lt;=time,W147*Costs!BC147,"")</f>
        <v/>
      </c>
      <c r="AW147" s="316" t="str">
        <f>IF(AW$225&lt;=time,X147*Costs!BD147,"")</f>
        <v/>
      </c>
      <c r="AX147" s="316" t="str">
        <f>IF(AX$225&lt;=time,Y147*Costs!BE147,"")</f>
        <v/>
      </c>
      <c r="AY147" s="316" t="str">
        <f>IF(AY$225&lt;=time,Z147*Costs!BF147,"")</f>
        <v/>
      </c>
      <c r="AZ147" s="317">
        <f t="array" ref="AZ147">(SUM( IF(ISERROR(AA147:AY147),"", AA147:AY147)))/time</f>
        <v>0</v>
      </c>
      <c r="BA147" s="317">
        <f t="shared" si="38"/>
        <v>0</v>
      </c>
      <c r="BB147" s="318">
        <f t="shared" si="39"/>
        <v>0</v>
      </c>
      <c r="BC147" s="319">
        <v>3</v>
      </c>
      <c r="BE147" s="208" t="e">
        <f t="array" ref="BE147">STDEV(IF(AA147:AY147&lt;&gt;0,AA147:AY147))</f>
        <v>#DIV/0!</v>
      </c>
      <c r="BF147" s="208">
        <v>1.96</v>
      </c>
      <c r="BG147" s="208" t="e">
        <f t="shared" si="40"/>
        <v>#DIV/0!</v>
      </c>
      <c r="BH147" s="208">
        <f t="shared" si="41"/>
        <v>0</v>
      </c>
    </row>
    <row r="148" spans="1:60" hidden="1">
      <c r="A148" s="322" t="str">
        <f>Costs!A148</f>
        <v>Services 4</v>
      </c>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4"/>
      <c r="AA148" s="315">
        <f>IF(AA$225&lt;=time,B148*Costs!AH148,"")</f>
        <v>0</v>
      </c>
      <c r="AB148" s="316">
        <f>IF(AB$225&lt;=time,C148*Costs!AI148,"")</f>
        <v>0</v>
      </c>
      <c r="AC148" s="316">
        <f>IF(AC$225&lt;=time,D148*Costs!AJ148,"")</f>
        <v>0</v>
      </c>
      <c r="AD148" s="316">
        <f>IF(AD$225&lt;=time,E148*Costs!AK148,"")</f>
        <v>0</v>
      </c>
      <c r="AE148" s="316">
        <f>IF(AE$225&lt;=time,F148*Costs!AL148,"")</f>
        <v>0</v>
      </c>
      <c r="AF148" s="316" t="str">
        <f>IF(AF$225&lt;=time,G148*Costs!AM148,"")</f>
        <v/>
      </c>
      <c r="AG148" s="316" t="str">
        <f>IF(AG$225&lt;=time,H148*Costs!AN148,"")</f>
        <v/>
      </c>
      <c r="AH148" s="316" t="str">
        <f>IF(AH$225&lt;=time,I148*Costs!AO148,"")</f>
        <v/>
      </c>
      <c r="AI148" s="316" t="str">
        <f>IF(AI$225&lt;=time,J148*Costs!AP148,"")</f>
        <v/>
      </c>
      <c r="AJ148" s="316" t="str">
        <f>IF(AJ$225&lt;=time,K148*Costs!AQ148,"")</f>
        <v/>
      </c>
      <c r="AK148" s="316" t="str">
        <f>IF(AK$225&lt;=time,L148*Costs!AR148,"")</f>
        <v/>
      </c>
      <c r="AL148" s="316" t="str">
        <f>IF(AL$225&lt;=time,M148*Costs!AS148,"")</f>
        <v/>
      </c>
      <c r="AM148" s="316" t="str">
        <f>IF(AM$225&lt;=time,N148*Costs!AT148,"")</f>
        <v/>
      </c>
      <c r="AN148" s="316" t="str">
        <f>IF(AN$225&lt;=time,O148*Costs!AU148,"")</f>
        <v/>
      </c>
      <c r="AO148" s="316" t="str">
        <f>IF(AO$225&lt;=time,P148*Costs!AV148,"")</f>
        <v/>
      </c>
      <c r="AP148" s="316" t="str">
        <f>IF(AP$225&lt;=time,Q148*Costs!AW148,"")</f>
        <v/>
      </c>
      <c r="AQ148" s="316" t="str">
        <f>IF(AQ$225&lt;=time,R148*Costs!AX148,"")</f>
        <v/>
      </c>
      <c r="AR148" s="316" t="str">
        <f>IF(AR$225&lt;=time,S148*Costs!AY148,"")</f>
        <v/>
      </c>
      <c r="AS148" s="316" t="str">
        <f>IF(AS$225&lt;=time,T148*Costs!AZ148,"")</f>
        <v/>
      </c>
      <c r="AT148" s="316" t="str">
        <f>IF(AT$225&lt;=time,U148*Costs!BA148,"")</f>
        <v/>
      </c>
      <c r="AU148" s="316" t="str">
        <f>IF(AU$225&lt;=time,V148*Costs!BB148,"")</f>
        <v/>
      </c>
      <c r="AV148" s="316" t="str">
        <f>IF(AV$225&lt;=time,W148*Costs!BC148,"")</f>
        <v/>
      </c>
      <c r="AW148" s="316" t="str">
        <f>IF(AW$225&lt;=time,X148*Costs!BD148,"")</f>
        <v/>
      </c>
      <c r="AX148" s="316" t="str">
        <f>IF(AX$225&lt;=time,Y148*Costs!BE148,"")</f>
        <v/>
      </c>
      <c r="AY148" s="316" t="str">
        <f>IF(AY$225&lt;=time,Z148*Costs!BF148,"")</f>
        <v/>
      </c>
      <c r="AZ148" s="317">
        <f t="array" ref="AZ148">(SUM( IF(ISERROR(AA148:AY148),"", AA148:AY148)))/time</f>
        <v>0</v>
      </c>
      <c r="BA148" s="317">
        <f t="shared" si="38"/>
        <v>0</v>
      </c>
      <c r="BB148" s="318">
        <f t="shared" si="39"/>
        <v>0</v>
      </c>
      <c r="BC148" s="319">
        <v>4</v>
      </c>
      <c r="BE148" s="208" t="e">
        <f t="array" ref="BE148">STDEV(IF(AA148:AY148&lt;&gt;0,AA148:AY148))</f>
        <v>#DIV/0!</v>
      </c>
      <c r="BF148" s="208">
        <v>1.96</v>
      </c>
      <c r="BG148" s="208" t="e">
        <f t="shared" si="40"/>
        <v>#DIV/0!</v>
      </c>
      <c r="BH148" s="208">
        <f t="shared" si="41"/>
        <v>0</v>
      </c>
    </row>
    <row r="149" spans="1:60" hidden="1">
      <c r="A149" s="322" t="str">
        <f>Costs!A149</f>
        <v>Services 5</v>
      </c>
      <c r="B149" s="313"/>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4"/>
      <c r="AA149" s="315">
        <f>IF(AA$225&lt;=time,B149*Costs!AH149,"")</f>
        <v>0</v>
      </c>
      <c r="AB149" s="316">
        <f>IF(AB$225&lt;=time,C149*Costs!AI149,"")</f>
        <v>0</v>
      </c>
      <c r="AC149" s="316">
        <f>IF(AC$225&lt;=time,D149*Costs!AJ149,"")</f>
        <v>0</v>
      </c>
      <c r="AD149" s="316">
        <f>IF(AD$225&lt;=time,E149*Costs!AK149,"")</f>
        <v>0</v>
      </c>
      <c r="AE149" s="316">
        <f>IF(AE$225&lt;=time,F149*Costs!AL149,"")</f>
        <v>0</v>
      </c>
      <c r="AF149" s="316" t="str">
        <f>IF(AF$225&lt;=time,G149*Costs!AM149,"")</f>
        <v/>
      </c>
      <c r="AG149" s="316" t="str">
        <f>IF(AG$225&lt;=time,H149*Costs!AN149,"")</f>
        <v/>
      </c>
      <c r="AH149" s="316" t="str">
        <f>IF(AH$225&lt;=time,I149*Costs!AO149,"")</f>
        <v/>
      </c>
      <c r="AI149" s="316" t="str">
        <f>IF(AI$225&lt;=time,J149*Costs!AP149,"")</f>
        <v/>
      </c>
      <c r="AJ149" s="316" t="str">
        <f>IF(AJ$225&lt;=time,K149*Costs!AQ149,"")</f>
        <v/>
      </c>
      <c r="AK149" s="316" t="str">
        <f>IF(AK$225&lt;=time,L149*Costs!AR149,"")</f>
        <v/>
      </c>
      <c r="AL149" s="316" t="str">
        <f>IF(AL$225&lt;=time,M149*Costs!AS149,"")</f>
        <v/>
      </c>
      <c r="AM149" s="316" t="str">
        <f>IF(AM$225&lt;=time,N149*Costs!AT149,"")</f>
        <v/>
      </c>
      <c r="AN149" s="316" t="str">
        <f>IF(AN$225&lt;=time,O149*Costs!AU149,"")</f>
        <v/>
      </c>
      <c r="AO149" s="316" t="str">
        <f>IF(AO$225&lt;=time,P149*Costs!AV149,"")</f>
        <v/>
      </c>
      <c r="AP149" s="316" t="str">
        <f>IF(AP$225&lt;=time,Q149*Costs!AW149,"")</f>
        <v/>
      </c>
      <c r="AQ149" s="316" t="str">
        <f>IF(AQ$225&lt;=time,R149*Costs!AX149,"")</f>
        <v/>
      </c>
      <c r="AR149" s="316" t="str">
        <f>IF(AR$225&lt;=time,S149*Costs!AY149,"")</f>
        <v/>
      </c>
      <c r="AS149" s="316" t="str">
        <f>IF(AS$225&lt;=time,T149*Costs!AZ149,"")</f>
        <v/>
      </c>
      <c r="AT149" s="316" t="str">
        <f>IF(AT$225&lt;=time,U149*Costs!BA149,"")</f>
        <v/>
      </c>
      <c r="AU149" s="316" t="str">
        <f>IF(AU$225&lt;=time,V149*Costs!BB149,"")</f>
        <v/>
      </c>
      <c r="AV149" s="316" t="str">
        <f>IF(AV$225&lt;=time,W149*Costs!BC149,"")</f>
        <v/>
      </c>
      <c r="AW149" s="316" t="str">
        <f>IF(AW$225&lt;=time,X149*Costs!BD149,"")</f>
        <v/>
      </c>
      <c r="AX149" s="316" t="str">
        <f>IF(AX$225&lt;=time,Y149*Costs!BE149,"")</f>
        <v/>
      </c>
      <c r="AY149" s="316" t="str">
        <f>IF(AY$225&lt;=time,Z149*Costs!BF149,"")</f>
        <v/>
      </c>
      <c r="AZ149" s="317">
        <f t="array" ref="AZ149">(SUM( IF(ISERROR(AA149:AY149),"", AA149:AY149)))/time</f>
        <v>0</v>
      </c>
      <c r="BA149" s="317">
        <f t="shared" si="38"/>
        <v>0</v>
      </c>
      <c r="BB149" s="318">
        <f t="shared" si="39"/>
        <v>0</v>
      </c>
      <c r="BC149" s="319">
        <v>5</v>
      </c>
      <c r="BE149" s="208" t="e">
        <f t="array" ref="BE149">STDEV(IF(AA149:AY149&lt;&gt;0,AA149:AY149))</f>
        <v>#DIV/0!</v>
      </c>
      <c r="BF149" s="208">
        <v>1.96</v>
      </c>
      <c r="BG149" s="208" t="e">
        <f t="shared" si="40"/>
        <v>#DIV/0!</v>
      </c>
      <c r="BH149" s="208">
        <f t="shared" si="41"/>
        <v>0</v>
      </c>
    </row>
    <row r="150" spans="1:60" hidden="1">
      <c r="A150" s="322" t="str">
        <f>Costs!A150</f>
        <v>Services 6</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4"/>
      <c r="AA150" s="315">
        <f>IF(AA$225&lt;=time,B150*Costs!AH150,"")</f>
        <v>0</v>
      </c>
      <c r="AB150" s="316">
        <f>IF(AB$225&lt;=time,C150*Costs!AI150,"")</f>
        <v>0</v>
      </c>
      <c r="AC150" s="316">
        <f>IF(AC$225&lt;=time,D150*Costs!AJ150,"")</f>
        <v>0</v>
      </c>
      <c r="AD150" s="316">
        <f>IF(AD$225&lt;=time,E150*Costs!AK150,"")</f>
        <v>0</v>
      </c>
      <c r="AE150" s="316">
        <f>IF(AE$225&lt;=time,F150*Costs!AL150,"")</f>
        <v>0</v>
      </c>
      <c r="AF150" s="316" t="str">
        <f>IF(AF$225&lt;=time,G150*Costs!AM150,"")</f>
        <v/>
      </c>
      <c r="AG150" s="316" t="str">
        <f>IF(AG$225&lt;=time,H150*Costs!AN150,"")</f>
        <v/>
      </c>
      <c r="AH150" s="316" t="str">
        <f>IF(AH$225&lt;=time,I150*Costs!AO150,"")</f>
        <v/>
      </c>
      <c r="AI150" s="316" t="str">
        <f>IF(AI$225&lt;=time,J150*Costs!AP150,"")</f>
        <v/>
      </c>
      <c r="AJ150" s="316" t="str">
        <f>IF(AJ$225&lt;=time,K150*Costs!AQ150,"")</f>
        <v/>
      </c>
      <c r="AK150" s="316" t="str">
        <f>IF(AK$225&lt;=time,L150*Costs!AR150,"")</f>
        <v/>
      </c>
      <c r="AL150" s="316" t="str">
        <f>IF(AL$225&lt;=time,M150*Costs!AS150,"")</f>
        <v/>
      </c>
      <c r="AM150" s="316" t="str">
        <f>IF(AM$225&lt;=time,N150*Costs!AT150,"")</f>
        <v/>
      </c>
      <c r="AN150" s="316" t="str">
        <f>IF(AN$225&lt;=time,O150*Costs!AU150,"")</f>
        <v/>
      </c>
      <c r="AO150" s="316" t="str">
        <f>IF(AO$225&lt;=time,P150*Costs!AV150,"")</f>
        <v/>
      </c>
      <c r="AP150" s="316" t="str">
        <f>IF(AP$225&lt;=time,Q150*Costs!AW150,"")</f>
        <v/>
      </c>
      <c r="AQ150" s="316" t="str">
        <f>IF(AQ$225&lt;=time,R150*Costs!AX150,"")</f>
        <v/>
      </c>
      <c r="AR150" s="316" t="str">
        <f>IF(AR$225&lt;=time,S150*Costs!AY150,"")</f>
        <v/>
      </c>
      <c r="AS150" s="316" t="str">
        <f>IF(AS$225&lt;=time,T150*Costs!AZ150,"")</f>
        <v/>
      </c>
      <c r="AT150" s="316" t="str">
        <f>IF(AT$225&lt;=time,U150*Costs!BA150,"")</f>
        <v/>
      </c>
      <c r="AU150" s="316" t="str">
        <f>IF(AU$225&lt;=time,V150*Costs!BB150,"")</f>
        <v/>
      </c>
      <c r="AV150" s="316" t="str">
        <f>IF(AV$225&lt;=time,W150*Costs!BC150,"")</f>
        <v/>
      </c>
      <c r="AW150" s="316" t="str">
        <f>IF(AW$225&lt;=time,X150*Costs!BD150,"")</f>
        <v/>
      </c>
      <c r="AX150" s="316" t="str">
        <f>IF(AX$225&lt;=time,Y150*Costs!BE150,"")</f>
        <v/>
      </c>
      <c r="AY150" s="316" t="str">
        <f>IF(AY$225&lt;=time,Z150*Costs!BF150,"")</f>
        <v/>
      </c>
      <c r="AZ150" s="317">
        <f t="array" ref="AZ150">(SUM( IF(ISERROR(AA150:AY150),"", AA150:AY150)))/time</f>
        <v>0</v>
      </c>
      <c r="BA150" s="317">
        <f t="shared" si="38"/>
        <v>0</v>
      </c>
      <c r="BB150" s="318">
        <f t="shared" si="39"/>
        <v>0</v>
      </c>
      <c r="BC150" s="319">
        <v>6</v>
      </c>
      <c r="BE150" s="208" t="e">
        <f t="array" ref="BE150">STDEV(IF(AA150:AY150&lt;&gt;0,AA150:AY150))</f>
        <v>#DIV/0!</v>
      </c>
      <c r="BF150" s="208">
        <v>1.96</v>
      </c>
      <c r="BG150" s="208" t="e">
        <f t="shared" si="40"/>
        <v>#DIV/0!</v>
      </c>
      <c r="BH150" s="208">
        <f t="shared" si="41"/>
        <v>0</v>
      </c>
    </row>
    <row r="151" spans="1:60" hidden="1">
      <c r="A151" s="322" t="str">
        <f>Costs!A151</f>
        <v>Services 7</v>
      </c>
      <c r="B151" s="313"/>
      <c r="C151" s="313"/>
      <c r="D151" s="313"/>
      <c r="E151" s="313"/>
      <c r="F151" s="313"/>
      <c r="G151" s="313"/>
      <c r="H151" s="313"/>
      <c r="I151" s="313"/>
      <c r="J151" s="313"/>
      <c r="K151" s="313"/>
      <c r="L151" s="313"/>
      <c r="M151" s="313"/>
      <c r="N151" s="313"/>
      <c r="O151" s="313"/>
      <c r="P151" s="313"/>
      <c r="Q151" s="313"/>
      <c r="R151" s="313"/>
      <c r="S151" s="313"/>
      <c r="T151" s="313"/>
      <c r="U151" s="313"/>
      <c r="V151" s="313"/>
      <c r="W151" s="313"/>
      <c r="X151" s="313"/>
      <c r="Y151" s="313"/>
      <c r="Z151" s="314"/>
      <c r="AA151" s="315">
        <f>IF(AA$225&lt;=time,B151*Costs!AH151,"")</f>
        <v>0</v>
      </c>
      <c r="AB151" s="316">
        <f>IF(AB$225&lt;=time,C151*Costs!AI151,"")</f>
        <v>0</v>
      </c>
      <c r="AC151" s="316">
        <f>IF(AC$225&lt;=time,D151*Costs!AJ151,"")</f>
        <v>0</v>
      </c>
      <c r="AD151" s="316">
        <f>IF(AD$225&lt;=time,E151*Costs!AK151,"")</f>
        <v>0</v>
      </c>
      <c r="AE151" s="316">
        <f>IF(AE$225&lt;=time,F151*Costs!AL151,"")</f>
        <v>0</v>
      </c>
      <c r="AF151" s="316" t="str">
        <f>IF(AF$225&lt;=time,G151*Costs!AM151,"")</f>
        <v/>
      </c>
      <c r="AG151" s="316" t="str">
        <f>IF(AG$225&lt;=time,H151*Costs!AN151,"")</f>
        <v/>
      </c>
      <c r="AH151" s="316" t="str">
        <f>IF(AH$225&lt;=time,I151*Costs!AO151,"")</f>
        <v/>
      </c>
      <c r="AI151" s="316" t="str">
        <f>IF(AI$225&lt;=time,J151*Costs!AP151,"")</f>
        <v/>
      </c>
      <c r="AJ151" s="316" t="str">
        <f>IF(AJ$225&lt;=time,K151*Costs!AQ151,"")</f>
        <v/>
      </c>
      <c r="AK151" s="316" t="str">
        <f>IF(AK$225&lt;=time,L151*Costs!AR151,"")</f>
        <v/>
      </c>
      <c r="AL151" s="316" t="str">
        <f>IF(AL$225&lt;=time,M151*Costs!AS151,"")</f>
        <v/>
      </c>
      <c r="AM151" s="316" t="str">
        <f>IF(AM$225&lt;=time,N151*Costs!AT151,"")</f>
        <v/>
      </c>
      <c r="AN151" s="316" t="str">
        <f>IF(AN$225&lt;=time,O151*Costs!AU151,"")</f>
        <v/>
      </c>
      <c r="AO151" s="316" t="str">
        <f>IF(AO$225&lt;=time,P151*Costs!AV151,"")</f>
        <v/>
      </c>
      <c r="AP151" s="316" t="str">
        <f>IF(AP$225&lt;=time,Q151*Costs!AW151,"")</f>
        <v/>
      </c>
      <c r="AQ151" s="316" t="str">
        <f>IF(AQ$225&lt;=time,R151*Costs!AX151,"")</f>
        <v/>
      </c>
      <c r="AR151" s="316" t="str">
        <f>IF(AR$225&lt;=time,S151*Costs!AY151,"")</f>
        <v/>
      </c>
      <c r="AS151" s="316" t="str">
        <f>IF(AS$225&lt;=time,T151*Costs!AZ151,"")</f>
        <v/>
      </c>
      <c r="AT151" s="316" t="str">
        <f>IF(AT$225&lt;=time,U151*Costs!BA151,"")</f>
        <v/>
      </c>
      <c r="AU151" s="316" t="str">
        <f>IF(AU$225&lt;=time,V151*Costs!BB151,"")</f>
        <v/>
      </c>
      <c r="AV151" s="316" t="str">
        <f>IF(AV$225&lt;=time,W151*Costs!BC151,"")</f>
        <v/>
      </c>
      <c r="AW151" s="316" t="str">
        <f>IF(AW$225&lt;=time,X151*Costs!BD151,"")</f>
        <v/>
      </c>
      <c r="AX151" s="316" t="str">
        <f>IF(AX$225&lt;=time,Y151*Costs!BE151,"")</f>
        <v/>
      </c>
      <c r="AY151" s="316" t="str">
        <f>IF(AY$225&lt;=time,Z151*Costs!BF151,"")</f>
        <v/>
      </c>
      <c r="AZ151" s="317">
        <f t="array" ref="AZ151">(SUM( IF(ISERROR(AA151:AY151),"", AA151:AY151)))/time</f>
        <v>0</v>
      </c>
      <c r="BA151" s="317">
        <f t="shared" si="38"/>
        <v>0</v>
      </c>
      <c r="BB151" s="318">
        <f t="shared" si="39"/>
        <v>0</v>
      </c>
      <c r="BC151" s="319">
        <v>7</v>
      </c>
      <c r="BE151" s="208" t="e">
        <f t="array" ref="BE151">STDEV(IF(AA151:AY151&lt;&gt;0,AA151:AY151))</f>
        <v>#DIV/0!</v>
      </c>
      <c r="BF151" s="208">
        <v>1.96</v>
      </c>
      <c r="BG151" s="208" t="e">
        <f t="shared" si="40"/>
        <v>#DIV/0!</v>
      </c>
      <c r="BH151" s="208">
        <f t="shared" si="41"/>
        <v>0</v>
      </c>
    </row>
    <row r="152" spans="1:60" hidden="1">
      <c r="A152" s="322" t="str">
        <f>Costs!A152</f>
        <v>Services 8</v>
      </c>
      <c r="B152" s="313"/>
      <c r="C152" s="313"/>
      <c r="D152" s="313"/>
      <c r="E152" s="313"/>
      <c r="F152" s="313"/>
      <c r="G152" s="313"/>
      <c r="H152" s="313"/>
      <c r="I152" s="313"/>
      <c r="J152" s="313"/>
      <c r="K152" s="313"/>
      <c r="L152" s="313"/>
      <c r="M152" s="313"/>
      <c r="N152" s="313"/>
      <c r="O152" s="313"/>
      <c r="P152" s="313"/>
      <c r="Q152" s="313"/>
      <c r="R152" s="313"/>
      <c r="S152" s="313"/>
      <c r="T152" s="313"/>
      <c r="U152" s="313"/>
      <c r="V152" s="313"/>
      <c r="W152" s="313"/>
      <c r="X152" s="313"/>
      <c r="Y152" s="313"/>
      <c r="Z152" s="314"/>
      <c r="AA152" s="315">
        <f>IF(AA$225&lt;=time,B152*Costs!AH152,"")</f>
        <v>0</v>
      </c>
      <c r="AB152" s="316">
        <f>IF(AB$225&lt;=time,C152*Costs!AI152,"")</f>
        <v>0</v>
      </c>
      <c r="AC152" s="316">
        <f>IF(AC$225&lt;=time,D152*Costs!AJ152,"")</f>
        <v>0</v>
      </c>
      <c r="AD152" s="316">
        <f>IF(AD$225&lt;=time,E152*Costs!AK152,"")</f>
        <v>0</v>
      </c>
      <c r="AE152" s="316">
        <f>IF(AE$225&lt;=time,F152*Costs!AL152,"")</f>
        <v>0</v>
      </c>
      <c r="AF152" s="316" t="str">
        <f>IF(AF$225&lt;=time,G152*Costs!AM152,"")</f>
        <v/>
      </c>
      <c r="AG152" s="316" t="str">
        <f>IF(AG$225&lt;=time,H152*Costs!AN152,"")</f>
        <v/>
      </c>
      <c r="AH152" s="316" t="str">
        <f>IF(AH$225&lt;=time,I152*Costs!AO152,"")</f>
        <v/>
      </c>
      <c r="AI152" s="316" t="str">
        <f>IF(AI$225&lt;=time,J152*Costs!AP152,"")</f>
        <v/>
      </c>
      <c r="AJ152" s="316" t="str">
        <f>IF(AJ$225&lt;=time,K152*Costs!AQ152,"")</f>
        <v/>
      </c>
      <c r="AK152" s="316" t="str">
        <f>IF(AK$225&lt;=time,L152*Costs!AR152,"")</f>
        <v/>
      </c>
      <c r="AL152" s="316" t="str">
        <f>IF(AL$225&lt;=time,M152*Costs!AS152,"")</f>
        <v/>
      </c>
      <c r="AM152" s="316" t="str">
        <f>IF(AM$225&lt;=time,N152*Costs!AT152,"")</f>
        <v/>
      </c>
      <c r="AN152" s="316" t="str">
        <f>IF(AN$225&lt;=time,O152*Costs!AU152,"")</f>
        <v/>
      </c>
      <c r="AO152" s="316" t="str">
        <f>IF(AO$225&lt;=time,P152*Costs!AV152,"")</f>
        <v/>
      </c>
      <c r="AP152" s="316" t="str">
        <f>IF(AP$225&lt;=time,Q152*Costs!AW152,"")</f>
        <v/>
      </c>
      <c r="AQ152" s="316" t="str">
        <f>IF(AQ$225&lt;=time,R152*Costs!AX152,"")</f>
        <v/>
      </c>
      <c r="AR152" s="316" t="str">
        <f>IF(AR$225&lt;=time,S152*Costs!AY152,"")</f>
        <v/>
      </c>
      <c r="AS152" s="316" t="str">
        <f>IF(AS$225&lt;=time,T152*Costs!AZ152,"")</f>
        <v/>
      </c>
      <c r="AT152" s="316" t="str">
        <f>IF(AT$225&lt;=time,U152*Costs!BA152,"")</f>
        <v/>
      </c>
      <c r="AU152" s="316" t="str">
        <f>IF(AU$225&lt;=time,V152*Costs!BB152,"")</f>
        <v/>
      </c>
      <c r="AV152" s="316" t="str">
        <f>IF(AV$225&lt;=time,W152*Costs!BC152,"")</f>
        <v/>
      </c>
      <c r="AW152" s="316" t="str">
        <f>IF(AW$225&lt;=time,X152*Costs!BD152,"")</f>
        <v/>
      </c>
      <c r="AX152" s="316" t="str">
        <f>IF(AX$225&lt;=time,Y152*Costs!BE152,"")</f>
        <v/>
      </c>
      <c r="AY152" s="316" t="str">
        <f>IF(AY$225&lt;=time,Z152*Costs!BF152,"")</f>
        <v/>
      </c>
      <c r="AZ152" s="317">
        <f t="array" ref="AZ152">(SUM( IF(ISERROR(AA152:AY152),"", AA152:AY152)))/time</f>
        <v>0</v>
      </c>
      <c r="BA152" s="317">
        <f t="shared" si="38"/>
        <v>0</v>
      </c>
      <c r="BB152" s="318">
        <f t="shared" si="39"/>
        <v>0</v>
      </c>
      <c r="BC152" s="319">
        <v>8</v>
      </c>
      <c r="BE152" s="208" t="e">
        <f t="array" ref="BE152">STDEV(IF(AA152:AY152&lt;&gt;0,AA152:AY152))</f>
        <v>#DIV/0!</v>
      </c>
      <c r="BF152" s="208">
        <v>1.96</v>
      </c>
      <c r="BG152" s="208" t="e">
        <f t="shared" si="40"/>
        <v>#DIV/0!</v>
      </c>
      <c r="BH152" s="208">
        <f t="shared" si="41"/>
        <v>0</v>
      </c>
    </row>
    <row r="153" spans="1:60" hidden="1">
      <c r="A153" s="322" t="str">
        <f>Costs!A153</f>
        <v>Services 9</v>
      </c>
      <c r="B153" s="313"/>
      <c r="C153" s="313"/>
      <c r="D153" s="313"/>
      <c r="E153" s="313"/>
      <c r="F153" s="313"/>
      <c r="G153" s="313"/>
      <c r="H153" s="313"/>
      <c r="I153" s="313"/>
      <c r="J153" s="313"/>
      <c r="K153" s="313"/>
      <c r="L153" s="313"/>
      <c r="M153" s="313"/>
      <c r="N153" s="313"/>
      <c r="O153" s="313"/>
      <c r="P153" s="313"/>
      <c r="Q153" s="313"/>
      <c r="R153" s="313"/>
      <c r="S153" s="313"/>
      <c r="T153" s="313"/>
      <c r="U153" s="313"/>
      <c r="V153" s="313"/>
      <c r="W153" s="313"/>
      <c r="X153" s="313"/>
      <c r="Y153" s="313"/>
      <c r="Z153" s="314"/>
      <c r="AA153" s="315">
        <f>IF(AA$225&lt;=time,B153*Costs!AH153,"")</f>
        <v>0</v>
      </c>
      <c r="AB153" s="316">
        <f>IF(AB$225&lt;=time,C153*Costs!AI153,"")</f>
        <v>0</v>
      </c>
      <c r="AC153" s="316">
        <f>IF(AC$225&lt;=time,D153*Costs!AJ153,"")</f>
        <v>0</v>
      </c>
      <c r="AD153" s="316">
        <f>IF(AD$225&lt;=time,E153*Costs!AK153,"")</f>
        <v>0</v>
      </c>
      <c r="AE153" s="316">
        <f>IF(AE$225&lt;=time,F153*Costs!AL153,"")</f>
        <v>0</v>
      </c>
      <c r="AF153" s="316" t="str">
        <f>IF(AF$225&lt;=time,G153*Costs!AM153,"")</f>
        <v/>
      </c>
      <c r="AG153" s="316" t="str">
        <f>IF(AG$225&lt;=time,H153*Costs!AN153,"")</f>
        <v/>
      </c>
      <c r="AH153" s="316" t="str">
        <f>IF(AH$225&lt;=time,I153*Costs!AO153,"")</f>
        <v/>
      </c>
      <c r="AI153" s="316" t="str">
        <f>IF(AI$225&lt;=time,J153*Costs!AP153,"")</f>
        <v/>
      </c>
      <c r="AJ153" s="316" t="str">
        <f>IF(AJ$225&lt;=time,K153*Costs!AQ153,"")</f>
        <v/>
      </c>
      <c r="AK153" s="316" t="str">
        <f>IF(AK$225&lt;=time,L153*Costs!AR153,"")</f>
        <v/>
      </c>
      <c r="AL153" s="316" t="str">
        <f>IF(AL$225&lt;=time,M153*Costs!AS153,"")</f>
        <v/>
      </c>
      <c r="AM153" s="316" t="str">
        <f>IF(AM$225&lt;=time,N153*Costs!AT153,"")</f>
        <v/>
      </c>
      <c r="AN153" s="316" t="str">
        <f>IF(AN$225&lt;=time,O153*Costs!AU153,"")</f>
        <v/>
      </c>
      <c r="AO153" s="316" t="str">
        <f>IF(AO$225&lt;=time,P153*Costs!AV153,"")</f>
        <v/>
      </c>
      <c r="AP153" s="316" t="str">
        <f>IF(AP$225&lt;=time,Q153*Costs!AW153,"")</f>
        <v/>
      </c>
      <c r="AQ153" s="316" t="str">
        <f>IF(AQ$225&lt;=time,R153*Costs!AX153,"")</f>
        <v/>
      </c>
      <c r="AR153" s="316" t="str">
        <f>IF(AR$225&lt;=time,S153*Costs!AY153,"")</f>
        <v/>
      </c>
      <c r="AS153" s="316" t="str">
        <f>IF(AS$225&lt;=time,T153*Costs!AZ153,"")</f>
        <v/>
      </c>
      <c r="AT153" s="316" t="str">
        <f>IF(AT$225&lt;=time,U153*Costs!BA153,"")</f>
        <v/>
      </c>
      <c r="AU153" s="316" t="str">
        <f>IF(AU$225&lt;=time,V153*Costs!BB153,"")</f>
        <v/>
      </c>
      <c r="AV153" s="316" t="str">
        <f>IF(AV$225&lt;=time,W153*Costs!BC153,"")</f>
        <v/>
      </c>
      <c r="AW153" s="316" t="str">
        <f>IF(AW$225&lt;=time,X153*Costs!BD153,"")</f>
        <v/>
      </c>
      <c r="AX153" s="316" t="str">
        <f>IF(AX$225&lt;=time,Y153*Costs!BE153,"")</f>
        <v/>
      </c>
      <c r="AY153" s="316" t="str">
        <f>IF(AY$225&lt;=time,Z153*Costs!BF153,"")</f>
        <v/>
      </c>
      <c r="AZ153" s="317">
        <f t="array" ref="AZ153">(SUM( IF(ISERROR(AA153:AY153),"", AA153:AY153)))/time</f>
        <v>0</v>
      </c>
      <c r="BA153" s="317">
        <f t="shared" si="38"/>
        <v>0</v>
      </c>
      <c r="BB153" s="318">
        <f t="shared" si="39"/>
        <v>0</v>
      </c>
      <c r="BC153" s="319">
        <v>9</v>
      </c>
      <c r="BE153" s="208" t="e">
        <f t="array" ref="BE153">STDEV(IF(AA153:AY153&lt;&gt;0,AA153:AY153))</f>
        <v>#DIV/0!</v>
      </c>
      <c r="BF153" s="208">
        <v>1.96</v>
      </c>
      <c r="BG153" s="208" t="e">
        <f t="shared" si="40"/>
        <v>#DIV/0!</v>
      </c>
      <c r="BH153" s="208">
        <f t="shared" si="41"/>
        <v>0</v>
      </c>
    </row>
    <row r="154" spans="1:60" hidden="1">
      <c r="A154" s="322" t="str">
        <f>Costs!A154</f>
        <v>Services 10</v>
      </c>
      <c r="B154" s="313"/>
      <c r="C154" s="313"/>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4"/>
      <c r="AA154" s="315">
        <f>IF(AA$225&lt;=time,B154*Costs!AH154,"")</f>
        <v>0</v>
      </c>
      <c r="AB154" s="316">
        <f>IF(AB$225&lt;=time,C154*Costs!AI154,"")</f>
        <v>0</v>
      </c>
      <c r="AC154" s="316">
        <f>IF(AC$225&lt;=time,D154*Costs!AJ154,"")</f>
        <v>0</v>
      </c>
      <c r="AD154" s="316">
        <f>IF(AD$225&lt;=time,E154*Costs!AK154,"")</f>
        <v>0</v>
      </c>
      <c r="AE154" s="316">
        <f>IF(AE$225&lt;=time,F154*Costs!AL154,"")</f>
        <v>0</v>
      </c>
      <c r="AF154" s="316" t="str">
        <f>IF(AF$225&lt;=time,G154*Costs!AM154,"")</f>
        <v/>
      </c>
      <c r="AG154" s="316" t="str">
        <f>IF(AG$225&lt;=time,H154*Costs!AN154,"")</f>
        <v/>
      </c>
      <c r="AH154" s="316" t="str">
        <f>IF(AH$225&lt;=time,I154*Costs!AO154,"")</f>
        <v/>
      </c>
      <c r="AI154" s="316" t="str">
        <f>IF(AI$225&lt;=time,J154*Costs!AP154,"")</f>
        <v/>
      </c>
      <c r="AJ154" s="316" t="str">
        <f>IF(AJ$225&lt;=time,K154*Costs!AQ154,"")</f>
        <v/>
      </c>
      <c r="AK154" s="316" t="str">
        <f>IF(AK$225&lt;=time,L154*Costs!AR154,"")</f>
        <v/>
      </c>
      <c r="AL154" s="316" t="str">
        <f>IF(AL$225&lt;=time,M154*Costs!AS154,"")</f>
        <v/>
      </c>
      <c r="AM154" s="316" t="str">
        <f>IF(AM$225&lt;=time,N154*Costs!AT154,"")</f>
        <v/>
      </c>
      <c r="AN154" s="316" t="str">
        <f>IF(AN$225&lt;=time,O154*Costs!AU154,"")</f>
        <v/>
      </c>
      <c r="AO154" s="316" t="str">
        <f>IF(AO$225&lt;=time,P154*Costs!AV154,"")</f>
        <v/>
      </c>
      <c r="AP154" s="316" t="str">
        <f>IF(AP$225&lt;=time,Q154*Costs!AW154,"")</f>
        <v/>
      </c>
      <c r="AQ154" s="316" t="str">
        <f>IF(AQ$225&lt;=time,R154*Costs!AX154,"")</f>
        <v/>
      </c>
      <c r="AR154" s="316" t="str">
        <f>IF(AR$225&lt;=time,S154*Costs!AY154,"")</f>
        <v/>
      </c>
      <c r="AS154" s="316" t="str">
        <f>IF(AS$225&lt;=time,T154*Costs!AZ154,"")</f>
        <v/>
      </c>
      <c r="AT154" s="316" t="str">
        <f>IF(AT$225&lt;=time,U154*Costs!BA154,"")</f>
        <v/>
      </c>
      <c r="AU154" s="316" t="str">
        <f>IF(AU$225&lt;=time,V154*Costs!BB154,"")</f>
        <v/>
      </c>
      <c r="AV154" s="316" t="str">
        <f>IF(AV$225&lt;=time,W154*Costs!BC154,"")</f>
        <v/>
      </c>
      <c r="AW154" s="316" t="str">
        <f>IF(AW$225&lt;=time,X154*Costs!BD154,"")</f>
        <v/>
      </c>
      <c r="AX154" s="316" t="str">
        <f>IF(AX$225&lt;=time,Y154*Costs!BE154,"")</f>
        <v/>
      </c>
      <c r="AY154" s="316" t="str">
        <f>IF(AY$225&lt;=time,Z154*Costs!BF154,"")</f>
        <v/>
      </c>
      <c r="AZ154" s="317">
        <f t="array" ref="AZ154">(SUM( IF(ISERROR(AA154:AY154),"", AA154:AY154)))/time</f>
        <v>0</v>
      </c>
      <c r="BA154" s="317">
        <f t="shared" si="38"/>
        <v>0</v>
      </c>
      <c r="BB154" s="318">
        <f t="shared" si="39"/>
        <v>0</v>
      </c>
      <c r="BC154" s="319">
        <v>10</v>
      </c>
      <c r="BE154" s="208" t="e">
        <f t="array" ref="BE154">STDEV(IF(AA154:AY154&lt;&gt;0,AA154:AY154))</f>
        <v>#DIV/0!</v>
      </c>
      <c r="BF154" s="208">
        <v>1.96</v>
      </c>
      <c r="BG154" s="208" t="e">
        <f t="shared" si="40"/>
        <v>#DIV/0!</v>
      </c>
      <c r="BH154" s="208">
        <f t="shared" si="41"/>
        <v>0</v>
      </c>
    </row>
    <row r="155" spans="1:60" s="11" customFormat="1">
      <c r="A155" s="233" t="s">
        <v>17</v>
      </c>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321"/>
      <c r="AA155" s="233"/>
      <c r="AB155" s="96"/>
      <c r="AC155" s="96"/>
      <c r="AD155" s="96"/>
      <c r="AE155" s="96"/>
      <c r="AF155" s="96"/>
      <c r="AG155" s="96"/>
      <c r="AH155" s="96"/>
      <c r="AI155" s="96"/>
      <c r="AJ155" s="96"/>
      <c r="AK155" s="96"/>
      <c r="AL155" s="96"/>
      <c r="AM155" s="96"/>
      <c r="AN155" s="96"/>
      <c r="AO155" s="96"/>
      <c r="AP155" s="96"/>
      <c r="AQ155" s="96"/>
      <c r="AR155" s="96"/>
      <c r="AS155" s="96"/>
      <c r="AT155" s="96"/>
      <c r="AU155" s="96"/>
      <c r="AV155" s="96"/>
      <c r="AW155" s="96"/>
      <c r="AX155" s="96"/>
      <c r="AY155" s="96"/>
      <c r="BA155" s="96"/>
      <c r="BB155" s="211"/>
    </row>
    <row r="156" spans="1:60" s="11" customFormat="1">
      <c r="A156" s="234" t="s">
        <v>181</v>
      </c>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4"/>
      <c r="AA156" s="234"/>
      <c r="AB156" s="323"/>
      <c r="AC156" s="323"/>
      <c r="AD156" s="323"/>
      <c r="AE156" s="323"/>
      <c r="AF156" s="323"/>
      <c r="AG156" s="323"/>
      <c r="AH156" s="323"/>
      <c r="AI156" s="323"/>
      <c r="AJ156" s="323"/>
      <c r="AK156" s="323"/>
      <c r="AL156" s="323"/>
      <c r="AM156" s="323"/>
      <c r="AN156" s="323"/>
      <c r="AO156" s="323"/>
      <c r="AP156" s="323"/>
      <c r="AQ156" s="323"/>
      <c r="AR156" s="323"/>
      <c r="AS156" s="323"/>
      <c r="AT156" s="323"/>
      <c r="AU156" s="323"/>
      <c r="AV156" s="323"/>
      <c r="AW156" s="323"/>
      <c r="AX156" s="323"/>
      <c r="AY156" s="323"/>
      <c r="BA156" s="323"/>
      <c r="BB156" s="211"/>
    </row>
    <row r="157" spans="1:60">
      <c r="A157" s="32" t="str">
        <f>Costs!A157</f>
        <v>Utilities 1</v>
      </c>
      <c r="B157" s="865"/>
      <c r="C157" s="865"/>
      <c r="D157" s="865"/>
      <c r="E157" s="313"/>
      <c r="F157" s="313"/>
      <c r="G157" s="313"/>
      <c r="H157" s="313"/>
      <c r="I157" s="313"/>
      <c r="J157" s="313"/>
      <c r="K157" s="313"/>
      <c r="L157" s="313"/>
      <c r="M157" s="313"/>
      <c r="N157" s="313"/>
      <c r="O157" s="313"/>
      <c r="P157" s="313"/>
      <c r="Q157" s="313"/>
      <c r="R157" s="313"/>
      <c r="S157" s="313"/>
      <c r="T157" s="313"/>
      <c r="U157" s="313"/>
      <c r="V157" s="313"/>
      <c r="W157" s="313"/>
      <c r="X157" s="313"/>
      <c r="Y157" s="313"/>
      <c r="Z157" s="314"/>
      <c r="AA157" s="315">
        <f>IF(AA$225&lt;=time,B157*Costs!AH157,"")</f>
        <v>0</v>
      </c>
      <c r="AB157" s="316">
        <f>IF(AB$225&lt;=time,C157*Costs!AI157,"")</f>
        <v>0</v>
      </c>
      <c r="AC157" s="316">
        <f>IF(AC$225&lt;=time,D157*Costs!AJ157,"")</f>
        <v>0</v>
      </c>
      <c r="AD157" s="316">
        <f>IF(AD$225&lt;=time,E157*Costs!AK157,"")</f>
        <v>0</v>
      </c>
      <c r="AE157" s="316">
        <f>IF(AE$225&lt;=time,F157*Costs!AL157,"")</f>
        <v>0</v>
      </c>
      <c r="AF157" s="316" t="str">
        <f>IF(AF$225&lt;=time,G157*Costs!AM157,"")</f>
        <v/>
      </c>
      <c r="AG157" s="316" t="str">
        <f>IF(AG$225&lt;=time,H157*Costs!AN157,"")</f>
        <v/>
      </c>
      <c r="AH157" s="316" t="str">
        <f>IF(AH$225&lt;=time,I157*Costs!AO157,"")</f>
        <v/>
      </c>
      <c r="AI157" s="316" t="str">
        <f>IF(AI$225&lt;=time,J157*Costs!AP157,"")</f>
        <v/>
      </c>
      <c r="AJ157" s="316" t="str">
        <f>IF(AJ$225&lt;=time,K157*Costs!AQ157,"")</f>
        <v/>
      </c>
      <c r="AK157" s="316" t="str">
        <f>IF(AK$225&lt;=time,L157*Costs!AR157,"")</f>
        <v/>
      </c>
      <c r="AL157" s="316" t="str">
        <f>IF(AL$225&lt;=time,M157*Costs!AS157,"")</f>
        <v/>
      </c>
      <c r="AM157" s="316" t="str">
        <f>IF(AM$225&lt;=time,N157*Costs!AT157,"")</f>
        <v/>
      </c>
      <c r="AN157" s="316" t="str">
        <f>IF(AN$225&lt;=time,O157*Costs!AU157,"")</f>
        <v/>
      </c>
      <c r="AO157" s="316" t="str">
        <f>IF(AO$225&lt;=time,P157*Costs!AV157,"")</f>
        <v/>
      </c>
      <c r="AP157" s="316" t="str">
        <f>IF(AP$225&lt;=time,Q157*Costs!AW157,"")</f>
        <v/>
      </c>
      <c r="AQ157" s="316" t="str">
        <f>IF(AQ$225&lt;=time,R157*Costs!AX157,"")</f>
        <v/>
      </c>
      <c r="AR157" s="316" t="str">
        <f>IF(AR$225&lt;=time,S157*Costs!AY157,"")</f>
        <v/>
      </c>
      <c r="AS157" s="316" t="str">
        <f>IF(AS$225&lt;=time,T157*Costs!AZ157,"")</f>
        <v/>
      </c>
      <c r="AT157" s="316" t="str">
        <f>IF(AT$225&lt;=time,U157*Costs!BA157,"")</f>
        <v/>
      </c>
      <c r="AU157" s="316" t="str">
        <f>IF(AU$225&lt;=time,V157*Costs!BB157,"")</f>
        <v/>
      </c>
      <c r="AV157" s="316" t="str">
        <f>IF(AV$225&lt;=time,W157*Costs!BC157,"")</f>
        <v/>
      </c>
      <c r="AW157" s="316" t="str">
        <f>IF(AW$225&lt;=time,X157*Costs!BD157,"")</f>
        <v/>
      </c>
      <c r="AX157" s="316" t="str">
        <f>IF(AX$225&lt;=time,Y157*Costs!BE157,"")</f>
        <v/>
      </c>
      <c r="AY157" s="316" t="str">
        <f>IF(AY$225&lt;=time,Z157*Costs!BF157,"")</f>
        <v/>
      </c>
      <c r="AZ157" s="317">
        <f t="array" ref="AZ157">(SUM( IF(ISERROR(AA157:AY157),"", AA157:AY157)))/time</f>
        <v>0</v>
      </c>
      <c r="BA157" s="317">
        <f t="shared" si="38"/>
        <v>0</v>
      </c>
      <c r="BB157" s="318">
        <f t="shared" ref="BB157:BB166" si="42">IF(BH157&gt;0,AZ157+BG157,AZ157)</f>
        <v>0</v>
      </c>
      <c r="BC157" s="319">
        <v>1</v>
      </c>
      <c r="BE157" s="208" t="e">
        <f t="array" ref="BE157">STDEV(IF(AA157:AY157&lt;&gt;0,AA157:AY157))</f>
        <v>#DIV/0!</v>
      </c>
      <c r="BF157" s="208">
        <v>1.96</v>
      </c>
      <c r="BG157" s="208" t="e">
        <f t="shared" ref="BG157:BG166" si="43">(BF157*BE157)/(time^0.5)</f>
        <v>#DIV/0!</v>
      </c>
      <c r="BH157" s="208">
        <f t="shared" ref="BH157:BH166" si="44">IFERROR(BE157,0)</f>
        <v>0</v>
      </c>
    </row>
    <row r="158" spans="1:60" hidden="1">
      <c r="A158" s="322" t="str">
        <f>Costs!A158</f>
        <v>Utilities 2</v>
      </c>
      <c r="B158" s="313"/>
      <c r="C158" s="313"/>
      <c r="D158" s="313"/>
      <c r="E158" s="313"/>
      <c r="F158" s="313"/>
      <c r="G158" s="313"/>
      <c r="H158" s="313"/>
      <c r="I158" s="313"/>
      <c r="J158" s="313"/>
      <c r="K158" s="313"/>
      <c r="L158" s="313"/>
      <c r="M158" s="313"/>
      <c r="N158" s="313"/>
      <c r="O158" s="313"/>
      <c r="P158" s="313"/>
      <c r="Q158" s="313"/>
      <c r="R158" s="313"/>
      <c r="S158" s="313"/>
      <c r="T158" s="313"/>
      <c r="U158" s="313"/>
      <c r="V158" s="313"/>
      <c r="W158" s="313"/>
      <c r="X158" s="313"/>
      <c r="Y158" s="313"/>
      <c r="Z158" s="314"/>
      <c r="AA158" s="315">
        <f>IF(AA$225&lt;=time,B158*Costs!AH158,"")</f>
        <v>0</v>
      </c>
      <c r="AB158" s="316">
        <f>IF(AB$225&lt;=time,C158*Costs!AI158,"")</f>
        <v>0</v>
      </c>
      <c r="AC158" s="316">
        <f>IF(AC$225&lt;=time,D158*Costs!AJ158,"")</f>
        <v>0</v>
      </c>
      <c r="AD158" s="316">
        <f>IF(AD$225&lt;=time,E158*Costs!AK158,"")</f>
        <v>0</v>
      </c>
      <c r="AE158" s="316">
        <f>IF(AE$225&lt;=time,F158*Costs!AL158,"")</f>
        <v>0</v>
      </c>
      <c r="AF158" s="316" t="str">
        <f>IF(AF$225&lt;=time,G158*Costs!AM158,"")</f>
        <v/>
      </c>
      <c r="AG158" s="316" t="str">
        <f>IF(AG$225&lt;=time,H158*Costs!AN158,"")</f>
        <v/>
      </c>
      <c r="AH158" s="316" t="str">
        <f>IF(AH$225&lt;=time,I158*Costs!AO158,"")</f>
        <v/>
      </c>
      <c r="AI158" s="316" t="str">
        <f>IF(AI$225&lt;=time,J158*Costs!AP158,"")</f>
        <v/>
      </c>
      <c r="AJ158" s="316" t="str">
        <f>IF(AJ$225&lt;=time,K158*Costs!AQ158,"")</f>
        <v/>
      </c>
      <c r="AK158" s="316" t="str">
        <f>IF(AK$225&lt;=time,L158*Costs!AR158,"")</f>
        <v/>
      </c>
      <c r="AL158" s="316" t="str">
        <f>IF(AL$225&lt;=time,M158*Costs!AS158,"")</f>
        <v/>
      </c>
      <c r="AM158" s="316" t="str">
        <f>IF(AM$225&lt;=time,N158*Costs!AT158,"")</f>
        <v/>
      </c>
      <c r="AN158" s="316" t="str">
        <f>IF(AN$225&lt;=time,O158*Costs!AU158,"")</f>
        <v/>
      </c>
      <c r="AO158" s="316" t="str">
        <f>IF(AO$225&lt;=time,P158*Costs!AV158,"")</f>
        <v/>
      </c>
      <c r="AP158" s="316" t="str">
        <f>IF(AP$225&lt;=time,Q158*Costs!AW158,"")</f>
        <v/>
      </c>
      <c r="AQ158" s="316" t="str">
        <f>IF(AQ$225&lt;=time,R158*Costs!AX158,"")</f>
        <v/>
      </c>
      <c r="AR158" s="316" t="str">
        <f>IF(AR$225&lt;=time,S158*Costs!AY158,"")</f>
        <v/>
      </c>
      <c r="AS158" s="316" t="str">
        <f>IF(AS$225&lt;=time,T158*Costs!AZ158,"")</f>
        <v/>
      </c>
      <c r="AT158" s="316" t="str">
        <f>IF(AT$225&lt;=time,U158*Costs!BA158,"")</f>
        <v/>
      </c>
      <c r="AU158" s="316" t="str">
        <f>IF(AU$225&lt;=time,V158*Costs!BB158,"")</f>
        <v/>
      </c>
      <c r="AV158" s="316" t="str">
        <f>IF(AV$225&lt;=time,W158*Costs!BC158,"")</f>
        <v/>
      </c>
      <c r="AW158" s="316" t="str">
        <f>IF(AW$225&lt;=time,X158*Costs!BD158,"")</f>
        <v/>
      </c>
      <c r="AX158" s="316" t="str">
        <f>IF(AX$225&lt;=time,Y158*Costs!BE158,"")</f>
        <v/>
      </c>
      <c r="AY158" s="316" t="str">
        <f>IF(AY$225&lt;=time,Z158*Costs!BF158,"")</f>
        <v/>
      </c>
      <c r="AZ158" s="317">
        <f t="array" ref="AZ158">(SUM( IF(ISERROR(AA158:AY158),"", AA158:AY158)))/time</f>
        <v>0</v>
      </c>
      <c r="BA158" s="317">
        <f t="shared" si="38"/>
        <v>0</v>
      </c>
      <c r="BB158" s="318">
        <f t="shared" si="42"/>
        <v>0</v>
      </c>
      <c r="BC158" s="319">
        <v>2</v>
      </c>
      <c r="BE158" s="208" t="e">
        <f t="array" ref="BE158">STDEV(IF(AA158:AY158&lt;&gt;0,AA158:AY158))</f>
        <v>#DIV/0!</v>
      </c>
      <c r="BF158" s="208">
        <v>1.96</v>
      </c>
      <c r="BG158" s="208" t="e">
        <f t="shared" si="43"/>
        <v>#DIV/0!</v>
      </c>
      <c r="BH158" s="208">
        <f t="shared" si="44"/>
        <v>0</v>
      </c>
    </row>
    <row r="159" spans="1:60" hidden="1">
      <c r="A159" s="322" t="str">
        <f>Costs!A159</f>
        <v>Utilities 3</v>
      </c>
      <c r="B159" s="313"/>
      <c r="C159" s="313"/>
      <c r="D159" s="313"/>
      <c r="E159" s="313"/>
      <c r="F159" s="313"/>
      <c r="G159" s="313"/>
      <c r="H159" s="313"/>
      <c r="I159" s="313"/>
      <c r="J159" s="313"/>
      <c r="K159" s="313"/>
      <c r="L159" s="313"/>
      <c r="M159" s="313"/>
      <c r="N159" s="313"/>
      <c r="O159" s="313"/>
      <c r="P159" s="313"/>
      <c r="Q159" s="313"/>
      <c r="R159" s="313"/>
      <c r="S159" s="313"/>
      <c r="T159" s="313"/>
      <c r="U159" s="313"/>
      <c r="V159" s="313"/>
      <c r="W159" s="313"/>
      <c r="X159" s="313"/>
      <c r="Y159" s="313"/>
      <c r="Z159" s="314"/>
      <c r="AA159" s="315">
        <f>IF(AA$225&lt;=time,B159*Costs!AH159,"")</f>
        <v>0</v>
      </c>
      <c r="AB159" s="316">
        <f>IF(AB$225&lt;=time,C159*Costs!AI159,"")</f>
        <v>0</v>
      </c>
      <c r="AC159" s="316">
        <f>IF(AC$225&lt;=time,D159*Costs!AJ159,"")</f>
        <v>0</v>
      </c>
      <c r="AD159" s="316">
        <f>IF(AD$225&lt;=time,E159*Costs!AK159,"")</f>
        <v>0</v>
      </c>
      <c r="AE159" s="316">
        <f>IF(AE$225&lt;=time,F159*Costs!AL159,"")</f>
        <v>0</v>
      </c>
      <c r="AF159" s="316" t="str">
        <f>IF(AF$225&lt;=time,G159*Costs!AM159,"")</f>
        <v/>
      </c>
      <c r="AG159" s="316" t="str">
        <f>IF(AG$225&lt;=time,H159*Costs!AN159,"")</f>
        <v/>
      </c>
      <c r="AH159" s="316" t="str">
        <f>IF(AH$225&lt;=time,I159*Costs!AO159,"")</f>
        <v/>
      </c>
      <c r="AI159" s="316" t="str">
        <f>IF(AI$225&lt;=time,J159*Costs!AP159,"")</f>
        <v/>
      </c>
      <c r="AJ159" s="316" t="str">
        <f>IF(AJ$225&lt;=time,K159*Costs!AQ159,"")</f>
        <v/>
      </c>
      <c r="AK159" s="316" t="str">
        <f>IF(AK$225&lt;=time,L159*Costs!AR159,"")</f>
        <v/>
      </c>
      <c r="AL159" s="316" t="str">
        <f>IF(AL$225&lt;=time,M159*Costs!AS159,"")</f>
        <v/>
      </c>
      <c r="AM159" s="316" t="str">
        <f>IF(AM$225&lt;=time,N159*Costs!AT159,"")</f>
        <v/>
      </c>
      <c r="AN159" s="316" t="str">
        <f>IF(AN$225&lt;=time,O159*Costs!AU159,"")</f>
        <v/>
      </c>
      <c r="AO159" s="316" t="str">
        <f>IF(AO$225&lt;=time,P159*Costs!AV159,"")</f>
        <v/>
      </c>
      <c r="AP159" s="316" t="str">
        <f>IF(AP$225&lt;=time,Q159*Costs!AW159,"")</f>
        <v/>
      </c>
      <c r="AQ159" s="316" t="str">
        <f>IF(AQ$225&lt;=time,R159*Costs!AX159,"")</f>
        <v/>
      </c>
      <c r="AR159" s="316" t="str">
        <f>IF(AR$225&lt;=time,S159*Costs!AY159,"")</f>
        <v/>
      </c>
      <c r="AS159" s="316" t="str">
        <f>IF(AS$225&lt;=time,T159*Costs!AZ159,"")</f>
        <v/>
      </c>
      <c r="AT159" s="316" t="str">
        <f>IF(AT$225&lt;=time,U159*Costs!BA159,"")</f>
        <v/>
      </c>
      <c r="AU159" s="316" t="str">
        <f>IF(AU$225&lt;=time,V159*Costs!BB159,"")</f>
        <v/>
      </c>
      <c r="AV159" s="316" t="str">
        <f>IF(AV$225&lt;=time,W159*Costs!BC159,"")</f>
        <v/>
      </c>
      <c r="AW159" s="316" t="str">
        <f>IF(AW$225&lt;=time,X159*Costs!BD159,"")</f>
        <v/>
      </c>
      <c r="AX159" s="316" t="str">
        <f>IF(AX$225&lt;=time,Y159*Costs!BE159,"")</f>
        <v/>
      </c>
      <c r="AY159" s="316" t="str">
        <f>IF(AY$225&lt;=time,Z159*Costs!BF159,"")</f>
        <v/>
      </c>
      <c r="AZ159" s="317">
        <f t="array" ref="AZ159">(SUM( IF(ISERROR(AA159:AY159),"", AA159:AY159)))/time</f>
        <v>0</v>
      </c>
      <c r="BA159" s="317">
        <f t="shared" si="38"/>
        <v>0</v>
      </c>
      <c r="BB159" s="318">
        <f t="shared" si="42"/>
        <v>0</v>
      </c>
      <c r="BC159" s="319">
        <v>3</v>
      </c>
      <c r="BE159" s="208" t="e">
        <f t="array" ref="BE159">STDEV(IF(AA159:AY159&lt;&gt;0,AA159:AY159))</f>
        <v>#DIV/0!</v>
      </c>
      <c r="BF159" s="208">
        <v>1.96</v>
      </c>
      <c r="BG159" s="208" t="e">
        <f t="shared" si="43"/>
        <v>#DIV/0!</v>
      </c>
      <c r="BH159" s="208">
        <f t="shared" si="44"/>
        <v>0</v>
      </c>
    </row>
    <row r="160" spans="1:60" hidden="1">
      <c r="A160" s="322" t="str">
        <f>Costs!A160</f>
        <v>Utilities 4</v>
      </c>
      <c r="B160" s="313"/>
      <c r="C160" s="313"/>
      <c r="D160" s="313"/>
      <c r="E160" s="313"/>
      <c r="F160" s="313"/>
      <c r="G160" s="313"/>
      <c r="H160" s="313"/>
      <c r="I160" s="313"/>
      <c r="J160" s="313"/>
      <c r="K160" s="313"/>
      <c r="L160" s="313"/>
      <c r="M160" s="313"/>
      <c r="N160" s="313"/>
      <c r="O160" s="313"/>
      <c r="P160" s="313"/>
      <c r="Q160" s="313"/>
      <c r="R160" s="313"/>
      <c r="S160" s="313"/>
      <c r="T160" s="313"/>
      <c r="U160" s="313"/>
      <c r="V160" s="313"/>
      <c r="W160" s="313"/>
      <c r="X160" s="313"/>
      <c r="Y160" s="313"/>
      <c r="Z160" s="314"/>
      <c r="AA160" s="315">
        <f>IF(AA$225&lt;=time,B160*Costs!AH160,"")</f>
        <v>0</v>
      </c>
      <c r="AB160" s="316">
        <f>IF(AB$225&lt;=time,C160*Costs!AI160,"")</f>
        <v>0</v>
      </c>
      <c r="AC160" s="316">
        <f>IF(AC$225&lt;=time,D160*Costs!AJ160,"")</f>
        <v>0</v>
      </c>
      <c r="AD160" s="316">
        <f>IF(AD$225&lt;=time,E160*Costs!AK160,"")</f>
        <v>0</v>
      </c>
      <c r="AE160" s="316">
        <f>IF(AE$225&lt;=time,F160*Costs!AL160,"")</f>
        <v>0</v>
      </c>
      <c r="AF160" s="316" t="str">
        <f>IF(AF$225&lt;=time,G160*Costs!AM160,"")</f>
        <v/>
      </c>
      <c r="AG160" s="316" t="str">
        <f>IF(AG$225&lt;=time,H160*Costs!AN160,"")</f>
        <v/>
      </c>
      <c r="AH160" s="316" t="str">
        <f>IF(AH$225&lt;=time,I160*Costs!AO160,"")</f>
        <v/>
      </c>
      <c r="AI160" s="316" t="str">
        <f>IF(AI$225&lt;=time,J160*Costs!AP160,"")</f>
        <v/>
      </c>
      <c r="AJ160" s="316" t="str">
        <f>IF(AJ$225&lt;=time,K160*Costs!AQ160,"")</f>
        <v/>
      </c>
      <c r="AK160" s="316" t="str">
        <f>IF(AK$225&lt;=time,L160*Costs!AR160,"")</f>
        <v/>
      </c>
      <c r="AL160" s="316" t="str">
        <f>IF(AL$225&lt;=time,M160*Costs!AS160,"")</f>
        <v/>
      </c>
      <c r="AM160" s="316" t="str">
        <f>IF(AM$225&lt;=time,N160*Costs!AT160,"")</f>
        <v/>
      </c>
      <c r="AN160" s="316" t="str">
        <f>IF(AN$225&lt;=time,O160*Costs!AU160,"")</f>
        <v/>
      </c>
      <c r="AO160" s="316" t="str">
        <f>IF(AO$225&lt;=time,P160*Costs!AV160,"")</f>
        <v/>
      </c>
      <c r="AP160" s="316" t="str">
        <f>IF(AP$225&lt;=time,Q160*Costs!AW160,"")</f>
        <v/>
      </c>
      <c r="AQ160" s="316" t="str">
        <f>IF(AQ$225&lt;=time,R160*Costs!AX160,"")</f>
        <v/>
      </c>
      <c r="AR160" s="316" t="str">
        <f>IF(AR$225&lt;=time,S160*Costs!AY160,"")</f>
        <v/>
      </c>
      <c r="AS160" s="316" t="str">
        <f>IF(AS$225&lt;=time,T160*Costs!AZ160,"")</f>
        <v/>
      </c>
      <c r="AT160" s="316" t="str">
        <f>IF(AT$225&lt;=time,U160*Costs!BA160,"")</f>
        <v/>
      </c>
      <c r="AU160" s="316" t="str">
        <f>IF(AU$225&lt;=time,V160*Costs!BB160,"")</f>
        <v/>
      </c>
      <c r="AV160" s="316" t="str">
        <f>IF(AV$225&lt;=time,W160*Costs!BC160,"")</f>
        <v/>
      </c>
      <c r="AW160" s="316" t="str">
        <f>IF(AW$225&lt;=time,X160*Costs!BD160,"")</f>
        <v/>
      </c>
      <c r="AX160" s="316" t="str">
        <f>IF(AX$225&lt;=time,Y160*Costs!BE160,"")</f>
        <v/>
      </c>
      <c r="AY160" s="316" t="str">
        <f>IF(AY$225&lt;=time,Z160*Costs!BF160,"")</f>
        <v/>
      </c>
      <c r="AZ160" s="317">
        <f t="array" ref="AZ160">(SUM( IF(ISERROR(AA160:AY160),"", AA160:AY160)))/time</f>
        <v>0</v>
      </c>
      <c r="BA160" s="317">
        <f t="shared" si="38"/>
        <v>0</v>
      </c>
      <c r="BB160" s="318">
        <f t="shared" si="42"/>
        <v>0</v>
      </c>
      <c r="BC160" s="319">
        <v>4</v>
      </c>
      <c r="BE160" s="208" t="e">
        <f t="array" ref="BE160">STDEV(IF(AA160:AY160&lt;&gt;0,AA160:AY160))</f>
        <v>#DIV/0!</v>
      </c>
      <c r="BF160" s="208">
        <v>1.96</v>
      </c>
      <c r="BG160" s="208" t="e">
        <f t="shared" si="43"/>
        <v>#DIV/0!</v>
      </c>
      <c r="BH160" s="208">
        <f t="shared" si="44"/>
        <v>0</v>
      </c>
    </row>
    <row r="161" spans="1:60" hidden="1">
      <c r="A161" s="322" t="str">
        <f>Costs!A161</f>
        <v>Utilities 5</v>
      </c>
      <c r="B161" s="313"/>
      <c r="C161" s="313"/>
      <c r="D161" s="313"/>
      <c r="E161" s="313"/>
      <c r="F161" s="313"/>
      <c r="G161" s="313"/>
      <c r="H161" s="313"/>
      <c r="I161" s="313"/>
      <c r="J161" s="313"/>
      <c r="K161" s="313"/>
      <c r="L161" s="313"/>
      <c r="M161" s="313"/>
      <c r="N161" s="313"/>
      <c r="O161" s="313"/>
      <c r="P161" s="313"/>
      <c r="Q161" s="313"/>
      <c r="R161" s="313"/>
      <c r="S161" s="313"/>
      <c r="T161" s="313"/>
      <c r="U161" s="313"/>
      <c r="V161" s="313"/>
      <c r="W161" s="313"/>
      <c r="X161" s="313"/>
      <c r="Y161" s="313"/>
      <c r="Z161" s="314"/>
      <c r="AA161" s="315">
        <f>IF(AA$225&lt;=time,B161*Costs!AH161,"")</f>
        <v>0</v>
      </c>
      <c r="AB161" s="316">
        <f>IF(AB$225&lt;=time,C161*Costs!AI161,"")</f>
        <v>0</v>
      </c>
      <c r="AC161" s="316">
        <f>IF(AC$225&lt;=time,D161*Costs!AJ161,"")</f>
        <v>0</v>
      </c>
      <c r="AD161" s="316">
        <f>IF(AD$225&lt;=time,E161*Costs!AK161,"")</f>
        <v>0</v>
      </c>
      <c r="AE161" s="316">
        <f>IF(AE$225&lt;=time,F161*Costs!AL161,"")</f>
        <v>0</v>
      </c>
      <c r="AF161" s="316" t="str">
        <f>IF(AF$225&lt;=time,G161*Costs!AM161,"")</f>
        <v/>
      </c>
      <c r="AG161" s="316" t="str">
        <f>IF(AG$225&lt;=time,H161*Costs!AN161,"")</f>
        <v/>
      </c>
      <c r="AH161" s="316" t="str">
        <f>IF(AH$225&lt;=time,I161*Costs!AO161,"")</f>
        <v/>
      </c>
      <c r="AI161" s="316" t="str">
        <f>IF(AI$225&lt;=time,J161*Costs!AP161,"")</f>
        <v/>
      </c>
      <c r="AJ161" s="316" t="str">
        <f>IF(AJ$225&lt;=time,K161*Costs!AQ161,"")</f>
        <v/>
      </c>
      <c r="AK161" s="316" t="str">
        <f>IF(AK$225&lt;=time,L161*Costs!AR161,"")</f>
        <v/>
      </c>
      <c r="AL161" s="316" t="str">
        <f>IF(AL$225&lt;=time,M161*Costs!AS161,"")</f>
        <v/>
      </c>
      <c r="AM161" s="316" t="str">
        <f>IF(AM$225&lt;=time,N161*Costs!AT161,"")</f>
        <v/>
      </c>
      <c r="AN161" s="316" t="str">
        <f>IF(AN$225&lt;=time,O161*Costs!AU161,"")</f>
        <v/>
      </c>
      <c r="AO161" s="316" t="str">
        <f>IF(AO$225&lt;=time,P161*Costs!AV161,"")</f>
        <v/>
      </c>
      <c r="AP161" s="316" t="str">
        <f>IF(AP$225&lt;=time,Q161*Costs!AW161,"")</f>
        <v/>
      </c>
      <c r="AQ161" s="316" t="str">
        <f>IF(AQ$225&lt;=time,R161*Costs!AX161,"")</f>
        <v/>
      </c>
      <c r="AR161" s="316" t="str">
        <f>IF(AR$225&lt;=time,S161*Costs!AY161,"")</f>
        <v/>
      </c>
      <c r="AS161" s="316" t="str">
        <f>IF(AS$225&lt;=time,T161*Costs!AZ161,"")</f>
        <v/>
      </c>
      <c r="AT161" s="316" t="str">
        <f>IF(AT$225&lt;=time,U161*Costs!BA161,"")</f>
        <v/>
      </c>
      <c r="AU161" s="316" t="str">
        <f>IF(AU$225&lt;=time,V161*Costs!BB161,"")</f>
        <v/>
      </c>
      <c r="AV161" s="316" t="str">
        <f>IF(AV$225&lt;=time,W161*Costs!BC161,"")</f>
        <v/>
      </c>
      <c r="AW161" s="316" t="str">
        <f>IF(AW$225&lt;=time,X161*Costs!BD161,"")</f>
        <v/>
      </c>
      <c r="AX161" s="316" t="str">
        <f>IF(AX$225&lt;=time,Y161*Costs!BE161,"")</f>
        <v/>
      </c>
      <c r="AY161" s="316" t="str">
        <f>IF(AY$225&lt;=time,Z161*Costs!BF161,"")</f>
        <v/>
      </c>
      <c r="AZ161" s="317">
        <f t="array" ref="AZ161">(SUM( IF(ISERROR(AA161:AY161),"", AA161:AY161)))/time</f>
        <v>0</v>
      </c>
      <c r="BA161" s="317">
        <f t="shared" si="38"/>
        <v>0</v>
      </c>
      <c r="BB161" s="318">
        <f t="shared" si="42"/>
        <v>0</v>
      </c>
      <c r="BC161" s="319">
        <v>5</v>
      </c>
      <c r="BE161" s="208" t="e">
        <f t="array" ref="BE161">STDEV(IF(AA161:AY161&lt;&gt;0,AA161:AY161))</f>
        <v>#DIV/0!</v>
      </c>
      <c r="BF161" s="208">
        <v>1.96</v>
      </c>
      <c r="BG161" s="208" t="e">
        <f t="shared" si="43"/>
        <v>#DIV/0!</v>
      </c>
      <c r="BH161" s="208">
        <f t="shared" si="44"/>
        <v>0</v>
      </c>
    </row>
    <row r="162" spans="1:60" hidden="1">
      <c r="A162" s="322" t="str">
        <f>Costs!A162</f>
        <v>Utilities 6</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4"/>
      <c r="AA162" s="315">
        <f>IF(AA$225&lt;=time,B162*Costs!AH162,"")</f>
        <v>0</v>
      </c>
      <c r="AB162" s="316">
        <f>IF(AB$225&lt;=time,C162*Costs!AI162,"")</f>
        <v>0</v>
      </c>
      <c r="AC162" s="316">
        <f>IF(AC$225&lt;=time,D162*Costs!AJ162,"")</f>
        <v>0</v>
      </c>
      <c r="AD162" s="316">
        <f>IF(AD$225&lt;=time,E162*Costs!AK162,"")</f>
        <v>0</v>
      </c>
      <c r="AE162" s="316">
        <f>IF(AE$225&lt;=time,F162*Costs!AL162,"")</f>
        <v>0</v>
      </c>
      <c r="AF162" s="316" t="str">
        <f>IF(AF$225&lt;=time,G162*Costs!AM162,"")</f>
        <v/>
      </c>
      <c r="AG162" s="316" t="str">
        <f>IF(AG$225&lt;=time,H162*Costs!AN162,"")</f>
        <v/>
      </c>
      <c r="AH162" s="316" t="str">
        <f>IF(AH$225&lt;=time,I162*Costs!AO162,"")</f>
        <v/>
      </c>
      <c r="AI162" s="316" t="str">
        <f>IF(AI$225&lt;=time,J162*Costs!AP162,"")</f>
        <v/>
      </c>
      <c r="AJ162" s="316" t="str">
        <f>IF(AJ$225&lt;=time,K162*Costs!AQ162,"")</f>
        <v/>
      </c>
      <c r="AK162" s="316" t="str">
        <f>IF(AK$225&lt;=time,L162*Costs!AR162,"")</f>
        <v/>
      </c>
      <c r="AL162" s="316" t="str">
        <f>IF(AL$225&lt;=time,M162*Costs!AS162,"")</f>
        <v/>
      </c>
      <c r="AM162" s="316" t="str">
        <f>IF(AM$225&lt;=time,N162*Costs!AT162,"")</f>
        <v/>
      </c>
      <c r="AN162" s="316" t="str">
        <f>IF(AN$225&lt;=time,O162*Costs!AU162,"")</f>
        <v/>
      </c>
      <c r="AO162" s="316" t="str">
        <f>IF(AO$225&lt;=time,P162*Costs!AV162,"")</f>
        <v/>
      </c>
      <c r="AP162" s="316" t="str">
        <f>IF(AP$225&lt;=time,Q162*Costs!AW162,"")</f>
        <v/>
      </c>
      <c r="AQ162" s="316" t="str">
        <f>IF(AQ$225&lt;=time,R162*Costs!AX162,"")</f>
        <v/>
      </c>
      <c r="AR162" s="316" t="str">
        <f>IF(AR$225&lt;=time,S162*Costs!AY162,"")</f>
        <v/>
      </c>
      <c r="AS162" s="316" t="str">
        <f>IF(AS$225&lt;=time,T162*Costs!AZ162,"")</f>
        <v/>
      </c>
      <c r="AT162" s="316" t="str">
        <f>IF(AT$225&lt;=time,U162*Costs!BA162,"")</f>
        <v/>
      </c>
      <c r="AU162" s="316" t="str">
        <f>IF(AU$225&lt;=time,V162*Costs!BB162,"")</f>
        <v/>
      </c>
      <c r="AV162" s="316" t="str">
        <f>IF(AV$225&lt;=time,W162*Costs!BC162,"")</f>
        <v/>
      </c>
      <c r="AW162" s="316" t="str">
        <f>IF(AW$225&lt;=time,X162*Costs!BD162,"")</f>
        <v/>
      </c>
      <c r="AX162" s="316" t="str">
        <f>IF(AX$225&lt;=time,Y162*Costs!BE162,"")</f>
        <v/>
      </c>
      <c r="AY162" s="316" t="str">
        <f>IF(AY$225&lt;=time,Z162*Costs!BF162,"")</f>
        <v/>
      </c>
      <c r="AZ162" s="317">
        <f t="array" ref="AZ162">(SUM( IF(ISERROR(AA162:AY162),"", AA162:AY162)))/time</f>
        <v>0</v>
      </c>
      <c r="BA162" s="317">
        <f t="shared" si="38"/>
        <v>0</v>
      </c>
      <c r="BB162" s="318">
        <f t="shared" si="42"/>
        <v>0</v>
      </c>
      <c r="BC162" s="319">
        <v>6</v>
      </c>
      <c r="BE162" s="208" t="e">
        <f t="array" ref="BE162">STDEV(IF(AA162:AY162&lt;&gt;0,AA162:AY162))</f>
        <v>#DIV/0!</v>
      </c>
      <c r="BF162" s="208">
        <v>1.96</v>
      </c>
      <c r="BG162" s="208" t="e">
        <f t="shared" si="43"/>
        <v>#DIV/0!</v>
      </c>
      <c r="BH162" s="208">
        <f t="shared" si="44"/>
        <v>0</v>
      </c>
    </row>
    <row r="163" spans="1:60" hidden="1">
      <c r="A163" s="322" t="str">
        <f>Costs!A163</f>
        <v>Utilities 7</v>
      </c>
      <c r="B163" s="313"/>
      <c r="C163" s="313"/>
      <c r="D163" s="313"/>
      <c r="E163" s="313"/>
      <c r="F163" s="313"/>
      <c r="G163" s="313"/>
      <c r="H163" s="313"/>
      <c r="I163" s="313"/>
      <c r="J163" s="313"/>
      <c r="K163" s="313"/>
      <c r="L163" s="313"/>
      <c r="M163" s="313"/>
      <c r="N163" s="313"/>
      <c r="O163" s="313"/>
      <c r="P163" s="313"/>
      <c r="Q163" s="313"/>
      <c r="R163" s="313"/>
      <c r="S163" s="313"/>
      <c r="T163" s="313"/>
      <c r="U163" s="313"/>
      <c r="V163" s="313"/>
      <c r="W163" s="313"/>
      <c r="X163" s="313"/>
      <c r="Y163" s="313"/>
      <c r="Z163" s="314"/>
      <c r="AA163" s="315">
        <f>IF(AA$225&lt;=time,B163*Costs!AH163,"")</f>
        <v>0</v>
      </c>
      <c r="AB163" s="316">
        <f>IF(AB$225&lt;=time,C163*Costs!AI163,"")</f>
        <v>0</v>
      </c>
      <c r="AC163" s="316">
        <f>IF(AC$225&lt;=time,D163*Costs!AJ163,"")</f>
        <v>0</v>
      </c>
      <c r="AD163" s="316">
        <f>IF(AD$225&lt;=time,E163*Costs!AK163,"")</f>
        <v>0</v>
      </c>
      <c r="AE163" s="316">
        <f>IF(AE$225&lt;=time,F163*Costs!AL163,"")</f>
        <v>0</v>
      </c>
      <c r="AF163" s="316" t="str">
        <f>IF(AF$225&lt;=time,G163*Costs!AM163,"")</f>
        <v/>
      </c>
      <c r="AG163" s="316" t="str">
        <f>IF(AG$225&lt;=time,H163*Costs!AN163,"")</f>
        <v/>
      </c>
      <c r="AH163" s="316" t="str">
        <f>IF(AH$225&lt;=time,I163*Costs!AO163,"")</f>
        <v/>
      </c>
      <c r="AI163" s="316" t="str">
        <f>IF(AI$225&lt;=time,J163*Costs!AP163,"")</f>
        <v/>
      </c>
      <c r="AJ163" s="316" t="str">
        <f>IF(AJ$225&lt;=time,K163*Costs!AQ163,"")</f>
        <v/>
      </c>
      <c r="AK163" s="316" t="str">
        <f>IF(AK$225&lt;=time,L163*Costs!AR163,"")</f>
        <v/>
      </c>
      <c r="AL163" s="316" t="str">
        <f>IF(AL$225&lt;=time,M163*Costs!AS163,"")</f>
        <v/>
      </c>
      <c r="AM163" s="316" t="str">
        <f>IF(AM$225&lt;=time,N163*Costs!AT163,"")</f>
        <v/>
      </c>
      <c r="AN163" s="316" t="str">
        <f>IF(AN$225&lt;=time,O163*Costs!AU163,"")</f>
        <v/>
      </c>
      <c r="AO163" s="316" t="str">
        <f>IF(AO$225&lt;=time,P163*Costs!AV163,"")</f>
        <v/>
      </c>
      <c r="AP163" s="316" t="str">
        <f>IF(AP$225&lt;=time,Q163*Costs!AW163,"")</f>
        <v/>
      </c>
      <c r="AQ163" s="316" t="str">
        <f>IF(AQ$225&lt;=time,R163*Costs!AX163,"")</f>
        <v/>
      </c>
      <c r="AR163" s="316" t="str">
        <f>IF(AR$225&lt;=time,S163*Costs!AY163,"")</f>
        <v/>
      </c>
      <c r="AS163" s="316" t="str">
        <f>IF(AS$225&lt;=time,T163*Costs!AZ163,"")</f>
        <v/>
      </c>
      <c r="AT163" s="316" t="str">
        <f>IF(AT$225&lt;=time,U163*Costs!BA163,"")</f>
        <v/>
      </c>
      <c r="AU163" s="316" t="str">
        <f>IF(AU$225&lt;=time,V163*Costs!BB163,"")</f>
        <v/>
      </c>
      <c r="AV163" s="316" t="str">
        <f>IF(AV$225&lt;=time,W163*Costs!BC163,"")</f>
        <v/>
      </c>
      <c r="AW163" s="316" t="str">
        <f>IF(AW$225&lt;=time,X163*Costs!BD163,"")</f>
        <v/>
      </c>
      <c r="AX163" s="316" t="str">
        <f>IF(AX$225&lt;=time,Y163*Costs!BE163,"")</f>
        <v/>
      </c>
      <c r="AY163" s="316" t="str">
        <f>IF(AY$225&lt;=time,Z163*Costs!BF163,"")</f>
        <v/>
      </c>
      <c r="AZ163" s="317">
        <f t="array" ref="AZ163">(SUM( IF(ISERROR(AA163:AY163),"", AA163:AY163)))/time</f>
        <v>0</v>
      </c>
      <c r="BA163" s="317">
        <f t="shared" si="38"/>
        <v>0</v>
      </c>
      <c r="BB163" s="318">
        <f t="shared" si="42"/>
        <v>0</v>
      </c>
      <c r="BC163" s="319">
        <v>7</v>
      </c>
      <c r="BE163" s="208" t="e">
        <f t="array" ref="BE163">STDEV(IF(AA163:AY163&lt;&gt;0,AA163:AY163))</f>
        <v>#DIV/0!</v>
      </c>
      <c r="BF163" s="208">
        <v>1.96</v>
      </c>
      <c r="BG163" s="208" t="e">
        <f t="shared" si="43"/>
        <v>#DIV/0!</v>
      </c>
      <c r="BH163" s="208">
        <f t="shared" si="44"/>
        <v>0</v>
      </c>
    </row>
    <row r="164" spans="1:60" hidden="1">
      <c r="A164" s="322" t="str">
        <f>Costs!A164</f>
        <v>Utilities 8</v>
      </c>
      <c r="B164" s="313"/>
      <c r="C164" s="313"/>
      <c r="D164" s="313"/>
      <c r="E164" s="313"/>
      <c r="F164" s="313"/>
      <c r="G164" s="313"/>
      <c r="H164" s="313"/>
      <c r="I164" s="313"/>
      <c r="J164" s="313"/>
      <c r="K164" s="313"/>
      <c r="L164" s="313"/>
      <c r="M164" s="313"/>
      <c r="N164" s="313"/>
      <c r="O164" s="313"/>
      <c r="P164" s="313"/>
      <c r="Q164" s="313"/>
      <c r="R164" s="313"/>
      <c r="S164" s="313"/>
      <c r="T164" s="313"/>
      <c r="U164" s="313"/>
      <c r="V164" s="313"/>
      <c r="W164" s="313"/>
      <c r="X164" s="313"/>
      <c r="Y164" s="313"/>
      <c r="Z164" s="314"/>
      <c r="AA164" s="315">
        <f>IF(AA$225&lt;=time,B164*Costs!AH164,"")</f>
        <v>0</v>
      </c>
      <c r="AB164" s="316">
        <f>IF(AB$225&lt;=time,C164*Costs!AI164,"")</f>
        <v>0</v>
      </c>
      <c r="AC164" s="316">
        <f>IF(AC$225&lt;=time,D164*Costs!AJ164,"")</f>
        <v>0</v>
      </c>
      <c r="AD164" s="316">
        <f>IF(AD$225&lt;=time,E164*Costs!AK164,"")</f>
        <v>0</v>
      </c>
      <c r="AE164" s="316">
        <f>IF(AE$225&lt;=time,F164*Costs!AL164,"")</f>
        <v>0</v>
      </c>
      <c r="AF164" s="316" t="str">
        <f>IF(AF$225&lt;=time,G164*Costs!AM164,"")</f>
        <v/>
      </c>
      <c r="AG164" s="316" t="str">
        <f>IF(AG$225&lt;=time,H164*Costs!AN164,"")</f>
        <v/>
      </c>
      <c r="AH164" s="316" t="str">
        <f>IF(AH$225&lt;=time,I164*Costs!AO164,"")</f>
        <v/>
      </c>
      <c r="AI164" s="316" t="str">
        <f>IF(AI$225&lt;=time,J164*Costs!AP164,"")</f>
        <v/>
      </c>
      <c r="AJ164" s="316" t="str">
        <f>IF(AJ$225&lt;=time,K164*Costs!AQ164,"")</f>
        <v/>
      </c>
      <c r="AK164" s="316" t="str">
        <f>IF(AK$225&lt;=time,L164*Costs!AR164,"")</f>
        <v/>
      </c>
      <c r="AL164" s="316" t="str">
        <f>IF(AL$225&lt;=time,M164*Costs!AS164,"")</f>
        <v/>
      </c>
      <c r="AM164" s="316" t="str">
        <f>IF(AM$225&lt;=time,N164*Costs!AT164,"")</f>
        <v/>
      </c>
      <c r="AN164" s="316" t="str">
        <f>IF(AN$225&lt;=time,O164*Costs!AU164,"")</f>
        <v/>
      </c>
      <c r="AO164" s="316" t="str">
        <f>IF(AO$225&lt;=time,P164*Costs!AV164,"")</f>
        <v/>
      </c>
      <c r="AP164" s="316" t="str">
        <f>IF(AP$225&lt;=time,Q164*Costs!AW164,"")</f>
        <v/>
      </c>
      <c r="AQ164" s="316" t="str">
        <f>IF(AQ$225&lt;=time,R164*Costs!AX164,"")</f>
        <v/>
      </c>
      <c r="AR164" s="316" t="str">
        <f>IF(AR$225&lt;=time,S164*Costs!AY164,"")</f>
        <v/>
      </c>
      <c r="AS164" s="316" t="str">
        <f>IF(AS$225&lt;=time,T164*Costs!AZ164,"")</f>
        <v/>
      </c>
      <c r="AT164" s="316" t="str">
        <f>IF(AT$225&lt;=time,U164*Costs!BA164,"")</f>
        <v/>
      </c>
      <c r="AU164" s="316" t="str">
        <f>IF(AU$225&lt;=time,V164*Costs!BB164,"")</f>
        <v/>
      </c>
      <c r="AV164" s="316" t="str">
        <f>IF(AV$225&lt;=time,W164*Costs!BC164,"")</f>
        <v/>
      </c>
      <c r="AW164" s="316" t="str">
        <f>IF(AW$225&lt;=time,X164*Costs!BD164,"")</f>
        <v/>
      </c>
      <c r="AX164" s="316" t="str">
        <f>IF(AX$225&lt;=time,Y164*Costs!BE164,"")</f>
        <v/>
      </c>
      <c r="AY164" s="316" t="str">
        <f>IF(AY$225&lt;=time,Z164*Costs!BF164,"")</f>
        <v/>
      </c>
      <c r="AZ164" s="317">
        <f t="array" ref="AZ164">(SUM( IF(ISERROR(AA164:AY164),"", AA164:AY164)))/time</f>
        <v>0</v>
      </c>
      <c r="BA164" s="317">
        <f t="shared" si="38"/>
        <v>0</v>
      </c>
      <c r="BB164" s="318">
        <f t="shared" si="42"/>
        <v>0</v>
      </c>
      <c r="BC164" s="319">
        <v>8</v>
      </c>
      <c r="BE164" s="208" t="e">
        <f t="array" ref="BE164">STDEV(IF(AA164:AY164&lt;&gt;0,AA164:AY164))</f>
        <v>#DIV/0!</v>
      </c>
      <c r="BF164" s="208">
        <v>1.96</v>
      </c>
      <c r="BG164" s="208" t="e">
        <f t="shared" si="43"/>
        <v>#DIV/0!</v>
      </c>
      <c r="BH164" s="208">
        <f t="shared" si="44"/>
        <v>0</v>
      </c>
    </row>
    <row r="165" spans="1:60" hidden="1">
      <c r="A165" s="322" t="str">
        <f>Costs!A165</f>
        <v>Utilities 9</v>
      </c>
      <c r="B165" s="313"/>
      <c r="C165" s="313"/>
      <c r="D165" s="313"/>
      <c r="E165" s="313"/>
      <c r="F165" s="313"/>
      <c r="G165" s="313"/>
      <c r="H165" s="313"/>
      <c r="I165" s="313"/>
      <c r="J165" s="313"/>
      <c r="K165" s="313"/>
      <c r="L165" s="313"/>
      <c r="M165" s="313"/>
      <c r="N165" s="313"/>
      <c r="O165" s="313"/>
      <c r="P165" s="313"/>
      <c r="Q165" s="313"/>
      <c r="R165" s="313"/>
      <c r="S165" s="313"/>
      <c r="T165" s="313"/>
      <c r="U165" s="313"/>
      <c r="V165" s="313"/>
      <c r="W165" s="313"/>
      <c r="X165" s="313"/>
      <c r="Y165" s="313"/>
      <c r="Z165" s="314"/>
      <c r="AA165" s="315">
        <f>IF(AA$225&lt;=time,B165*Costs!AH165,"")</f>
        <v>0</v>
      </c>
      <c r="AB165" s="316">
        <f>IF(AB$225&lt;=time,C165*Costs!AI165,"")</f>
        <v>0</v>
      </c>
      <c r="AC165" s="316">
        <f>IF(AC$225&lt;=time,D165*Costs!AJ165,"")</f>
        <v>0</v>
      </c>
      <c r="AD165" s="316">
        <f>IF(AD$225&lt;=time,E165*Costs!AK165,"")</f>
        <v>0</v>
      </c>
      <c r="AE165" s="316">
        <f>IF(AE$225&lt;=time,F165*Costs!AL165,"")</f>
        <v>0</v>
      </c>
      <c r="AF165" s="316" t="str">
        <f>IF(AF$225&lt;=time,G165*Costs!AM165,"")</f>
        <v/>
      </c>
      <c r="AG165" s="316" t="str">
        <f>IF(AG$225&lt;=time,H165*Costs!AN165,"")</f>
        <v/>
      </c>
      <c r="AH165" s="316" t="str">
        <f>IF(AH$225&lt;=time,I165*Costs!AO165,"")</f>
        <v/>
      </c>
      <c r="AI165" s="316" t="str">
        <f>IF(AI$225&lt;=time,J165*Costs!AP165,"")</f>
        <v/>
      </c>
      <c r="AJ165" s="316" t="str">
        <f>IF(AJ$225&lt;=time,K165*Costs!AQ165,"")</f>
        <v/>
      </c>
      <c r="AK165" s="316" t="str">
        <f>IF(AK$225&lt;=time,L165*Costs!AR165,"")</f>
        <v/>
      </c>
      <c r="AL165" s="316" t="str">
        <f>IF(AL$225&lt;=time,M165*Costs!AS165,"")</f>
        <v/>
      </c>
      <c r="AM165" s="316" t="str">
        <f>IF(AM$225&lt;=time,N165*Costs!AT165,"")</f>
        <v/>
      </c>
      <c r="AN165" s="316" t="str">
        <f>IF(AN$225&lt;=time,O165*Costs!AU165,"")</f>
        <v/>
      </c>
      <c r="AO165" s="316" t="str">
        <f>IF(AO$225&lt;=time,P165*Costs!AV165,"")</f>
        <v/>
      </c>
      <c r="AP165" s="316" t="str">
        <f>IF(AP$225&lt;=time,Q165*Costs!AW165,"")</f>
        <v/>
      </c>
      <c r="AQ165" s="316" t="str">
        <f>IF(AQ$225&lt;=time,R165*Costs!AX165,"")</f>
        <v/>
      </c>
      <c r="AR165" s="316" t="str">
        <f>IF(AR$225&lt;=time,S165*Costs!AY165,"")</f>
        <v/>
      </c>
      <c r="AS165" s="316" t="str">
        <f>IF(AS$225&lt;=time,T165*Costs!AZ165,"")</f>
        <v/>
      </c>
      <c r="AT165" s="316" t="str">
        <f>IF(AT$225&lt;=time,U165*Costs!BA165,"")</f>
        <v/>
      </c>
      <c r="AU165" s="316" t="str">
        <f>IF(AU$225&lt;=time,V165*Costs!BB165,"")</f>
        <v/>
      </c>
      <c r="AV165" s="316" t="str">
        <f>IF(AV$225&lt;=time,W165*Costs!BC165,"")</f>
        <v/>
      </c>
      <c r="AW165" s="316" t="str">
        <f>IF(AW$225&lt;=time,X165*Costs!BD165,"")</f>
        <v/>
      </c>
      <c r="AX165" s="316" t="str">
        <f>IF(AX$225&lt;=time,Y165*Costs!BE165,"")</f>
        <v/>
      </c>
      <c r="AY165" s="316" t="str">
        <f>IF(AY$225&lt;=time,Z165*Costs!BF165,"")</f>
        <v/>
      </c>
      <c r="AZ165" s="317">
        <f t="array" ref="AZ165">(SUM( IF(ISERROR(AA165:AY165),"", AA165:AY165)))/time</f>
        <v>0</v>
      </c>
      <c r="BA165" s="317">
        <f t="shared" si="38"/>
        <v>0</v>
      </c>
      <c r="BB165" s="318">
        <f t="shared" si="42"/>
        <v>0</v>
      </c>
      <c r="BC165" s="319">
        <v>9</v>
      </c>
      <c r="BE165" s="208" t="e">
        <f t="array" ref="BE165">STDEV(IF(AA165:AY165&lt;&gt;0,AA165:AY165))</f>
        <v>#DIV/0!</v>
      </c>
      <c r="BF165" s="208">
        <v>1.96</v>
      </c>
      <c r="BG165" s="208" t="e">
        <f t="shared" si="43"/>
        <v>#DIV/0!</v>
      </c>
      <c r="BH165" s="208">
        <f t="shared" si="44"/>
        <v>0</v>
      </c>
    </row>
    <row r="166" spans="1:60" hidden="1">
      <c r="A166" s="322" t="str">
        <f>Costs!A166</f>
        <v>Utilities 10</v>
      </c>
      <c r="B166" s="313"/>
      <c r="C166" s="313"/>
      <c r="D166" s="313"/>
      <c r="E166" s="313"/>
      <c r="F166" s="313"/>
      <c r="G166" s="313"/>
      <c r="H166" s="313"/>
      <c r="I166" s="313"/>
      <c r="J166" s="313"/>
      <c r="K166" s="313"/>
      <c r="L166" s="313"/>
      <c r="M166" s="313"/>
      <c r="N166" s="313"/>
      <c r="O166" s="313"/>
      <c r="P166" s="313"/>
      <c r="Q166" s="313"/>
      <c r="R166" s="313"/>
      <c r="S166" s="313"/>
      <c r="T166" s="313"/>
      <c r="U166" s="313"/>
      <c r="V166" s="313"/>
      <c r="W166" s="313"/>
      <c r="X166" s="313"/>
      <c r="Y166" s="313"/>
      <c r="Z166" s="314"/>
      <c r="AA166" s="315">
        <f>IF(AA$225&lt;=time,B166*Costs!AH166,"")</f>
        <v>0</v>
      </c>
      <c r="AB166" s="316">
        <f>IF(AB$225&lt;=time,C166*Costs!AI166,"")</f>
        <v>0</v>
      </c>
      <c r="AC166" s="316">
        <f>IF(AC$225&lt;=time,D166*Costs!AJ166,"")</f>
        <v>0</v>
      </c>
      <c r="AD166" s="316">
        <f>IF(AD$225&lt;=time,E166*Costs!AK166,"")</f>
        <v>0</v>
      </c>
      <c r="AE166" s="316">
        <f>IF(AE$225&lt;=time,F166*Costs!AL166,"")</f>
        <v>0</v>
      </c>
      <c r="AF166" s="316" t="str">
        <f>IF(AF$225&lt;=time,G166*Costs!AM166,"")</f>
        <v/>
      </c>
      <c r="AG166" s="316" t="str">
        <f>IF(AG$225&lt;=time,H166*Costs!AN166,"")</f>
        <v/>
      </c>
      <c r="AH166" s="316" t="str">
        <f>IF(AH$225&lt;=time,I166*Costs!AO166,"")</f>
        <v/>
      </c>
      <c r="AI166" s="316" t="str">
        <f>IF(AI$225&lt;=time,J166*Costs!AP166,"")</f>
        <v/>
      </c>
      <c r="AJ166" s="316" t="str">
        <f>IF(AJ$225&lt;=time,K166*Costs!AQ166,"")</f>
        <v/>
      </c>
      <c r="AK166" s="316" t="str">
        <f>IF(AK$225&lt;=time,L166*Costs!AR166,"")</f>
        <v/>
      </c>
      <c r="AL166" s="316" t="str">
        <f>IF(AL$225&lt;=time,M166*Costs!AS166,"")</f>
        <v/>
      </c>
      <c r="AM166" s="316" t="str">
        <f>IF(AM$225&lt;=time,N166*Costs!AT166,"")</f>
        <v/>
      </c>
      <c r="AN166" s="316" t="str">
        <f>IF(AN$225&lt;=time,O166*Costs!AU166,"")</f>
        <v/>
      </c>
      <c r="AO166" s="316" t="str">
        <f>IF(AO$225&lt;=time,P166*Costs!AV166,"")</f>
        <v/>
      </c>
      <c r="AP166" s="316" t="str">
        <f>IF(AP$225&lt;=time,Q166*Costs!AW166,"")</f>
        <v/>
      </c>
      <c r="AQ166" s="316" t="str">
        <f>IF(AQ$225&lt;=time,R166*Costs!AX166,"")</f>
        <v/>
      </c>
      <c r="AR166" s="316" t="str">
        <f>IF(AR$225&lt;=time,S166*Costs!AY166,"")</f>
        <v/>
      </c>
      <c r="AS166" s="316" t="str">
        <f>IF(AS$225&lt;=time,T166*Costs!AZ166,"")</f>
        <v/>
      </c>
      <c r="AT166" s="316" t="str">
        <f>IF(AT$225&lt;=time,U166*Costs!BA166,"")</f>
        <v/>
      </c>
      <c r="AU166" s="316" t="str">
        <f>IF(AU$225&lt;=time,V166*Costs!BB166,"")</f>
        <v/>
      </c>
      <c r="AV166" s="316" t="str">
        <f>IF(AV$225&lt;=time,W166*Costs!BC166,"")</f>
        <v/>
      </c>
      <c r="AW166" s="316" t="str">
        <f>IF(AW$225&lt;=time,X166*Costs!BD166,"")</f>
        <v/>
      </c>
      <c r="AX166" s="316" t="str">
        <f>IF(AX$225&lt;=time,Y166*Costs!BE166,"")</f>
        <v/>
      </c>
      <c r="AY166" s="316" t="str">
        <f>IF(AY$225&lt;=time,Z166*Costs!BF166,"")</f>
        <v/>
      </c>
      <c r="AZ166" s="317">
        <f t="array" ref="AZ166">(SUM( IF(ISERROR(AA166:AY166),"", AA166:AY166)))/time</f>
        <v>0</v>
      </c>
      <c r="BA166" s="317">
        <f t="shared" si="38"/>
        <v>0</v>
      </c>
      <c r="BB166" s="318">
        <f t="shared" si="42"/>
        <v>0</v>
      </c>
      <c r="BC166" s="319">
        <v>10</v>
      </c>
      <c r="BE166" s="208" t="e">
        <f t="array" ref="BE166">STDEV(IF(AA166:AY166&lt;&gt;0,AA166:AY166))</f>
        <v>#DIV/0!</v>
      </c>
      <c r="BF166" s="208">
        <v>1.96</v>
      </c>
      <c r="BG166" s="208" t="e">
        <f t="shared" si="43"/>
        <v>#DIV/0!</v>
      </c>
      <c r="BH166" s="208">
        <f t="shared" si="44"/>
        <v>0</v>
      </c>
    </row>
    <row r="167" spans="1:60" s="11" customFormat="1">
      <c r="A167" s="234" t="s">
        <v>18</v>
      </c>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4"/>
      <c r="AA167" s="234"/>
      <c r="AB167" s="323"/>
      <c r="AC167" s="323"/>
      <c r="AD167" s="323"/>
      <c r="AE167" s="323"/>
      <c r="AF167" s="323"/>
      <c r="AG167" s="323"/>
      <c r="AH167" s="323"/>
      <c r="AI167" s="323"/>
      <c r="AJ167" s="323"/>
      <c r="AK167" s="323"/>
      <c r="AL167" s="323"/>
      <c r="AM167" s="323"/>
      <c r="AN167" s="323"/>
      <c r="AO167" s="323"/>
      <c r="AP167" s="323"/>
      <c r="AQ167" s="323"/>
      <c r="AR167" s="323"/>
      <c r="AS167" s="323"/>
      <c r="AT167" s="323"/>
      <c r="AU167" s="323"/>
      <c r="AV167" s="323"/>
      <c r="AW167" s="323"/>
      <c r="AX167" s="323"/>
      <c r="AY167" s="323"/>
      <c r="BA167" s="323"/>
      <c r="BB167" s="211"/>
    </row>
    <row r="168" spans="1:60">
      <c r="A168" s="32" t="str">
        <f>Costs!A168</f>
        <v>Cost of Maintenance 1</v>
      </c>
      <c r="B168" s="865"/>
      <c r="C168" s="865"/>
      <c r="D168" s="865"/>
      <c r="E168" s="313"/>
      <c r="F168" s="313"/>
      <c r="G168" s="313"/>
      <c r="H168" s="313"/>
      <c r="I168" s="313"/>
      <c r="J168" s="313"/>
      <c r="K168" s="313"/>
      <c r="L168" s="313"/>
      <c r="M168" s="313"/>
      <c r="N168" s="313"/>
      <c r="O168" s="313"/>
      <c r="P168" s="313"/>
      <c r="Q168" s="313"/>
      <c r="R168" s="313"/>
      <c r="S168" s="313"/>
      <c r="T168" s="313"/>
      <c r="U168" s="313"/>
      <c r="V168" s="313"/>
      <c r="W168" s="313"/>
      <c r="X168" s="313"/>
      <c r="Y168" s="313"/>
      <c r="Z168" s="314"/>
      <c r="AA168" s="315">
        <f>IF(AA$225&lt;=time,B168*Costs!AH168,"")</f>
        <v>0</v>
      </c>
      <c r="AB168" s="316">
        <f>IF(AB$225&lt;=time,C168*Costs!AI168,"")</f>
        <v>0</v>
      </c>
      <c r="AC168" s="316">
        <f>IF(AC$225&lt;=time,D168*Costs!AJ168,"")</f>
        <v>0</v>
      </c>
      <c r="AD168" s="316">
        <f>IF(AD$225&lt;=time,E168*Costs!AK168,"")</f>
        <v>0</v>
      </c>
      <c r="AE168" s="316">
        <f>IF(AE$225&lt;=time,F168*Costs!AL168,"")</f>
        <v>0</v>
      </c>
      <c r="AF168" s="316" t="str">
        <f>IF(AF$225&lt;=time,G168*Costs!AM168,"")</f>
        <v/>
      </c>
      <c r="AG168" s="316" t="str">
        <f>IF(AG$225&lt;=time,H168*Costs!AN168,"")</f>
        <v/>
      </c>
      <c r="AH168" s="316" t="str">
        <f>IF(AH$225&lt;=time,I168*Costs!AO168,"")</f>
        <v/>
      </c>
      <c r="AI168" s="316" t="str">
        <f>IF(AI$225&lt;=time,J168*Costs!AP168,"")</f>
        <v/>
      </c>
      <c r="AJ168" s="316" t="str">
        <f>IF(AJ$225&lt;=time,K168*Costs!AQ168,"")</f>
        <v/>
      </c>
      <c r="AK168" s="316" t="str">
        <f>IF(AK$225&lt;=time,L168*Costs!AR168,"")</f>
        <v/>
      </c>
      <c r="AL168" s="316" t="str">
        <f>IF(AL$225&lt;=time,M168*Costs!AS168,"")</f>
        <v/>
      </c>
      <c r="AM168" s="316" t="str">
        <f>IF(AM$225&lt;=time,N168*Costs!AT168,"")</f>
        <v/>
      </c>
      <c r="AN168" s="316" t="str">
        <f>IF(AN$225&lt;=time,O168*Costs!AU168,"")</f>
        <v/>
      </c>
      <c r="AO168" s="316" t="str">
        <f>IF(AO$225&lt;=time,P168*Costs!AV168,"")</f>
        <v/>
      </c>
      <c r="AP168" s="316" t="str">
        <f>IF(AP$225&lt;=time,Q168*Costs!AW168,"")</f>
        <v/>
      </c>
      <c r="AQ168" s="316" t="str">
        <f>IF(AQ$225&lt;=time,R168*Costs!AX168,"")</f>
        <v/>
      </c>
      <c r="AR168" s="316" t="str">
        <f>IF(AR$225&lt;=time,S168*Costs!AY168,"")</f>
        <v/>
      </c>
      <c r="AS168" s="316" t="str">
        <f>IF(AS$225&lt;=time,T168*Costs!AZ168,"")</f>
        <v/>
      </c>
      <c r="AT168" s="316" t="str">
        <f>IF(AT$225&lt;=time,U168*Costs!BA168,"")</f>
        <v/>
      </c>
      <c r="AU168" s="316" t="str">
        <f>IF(AU$225&lt;=time,V168*Costs!BB168,"")</f>
        <v/>
      </c>
      <c r="AV168" s="316" t="str">
        <f>IF(AV$225&lt;=time,W168*Costs!BC168,"")</f>
        <v/>
      </c>
      <c r="AW168" s="316" t="str">
        <f>IF(AW$225&lt;=time,X168*Costs!BD168,"")</f>
        <v/>
      </c>
      <c r="AX168" s="316" t="str">
        <f>IF(AX$225&lt;=time,Y168*Costs!BE168,"")</f>
        <v/>
      </c>
      <c r="AY168" s="316" t="str">
        <f>IF(AY$225&lt;=time,Z168*Costs!BF168,"")</f>
        <v/>
      </c>
      <c r="AZ168" s="317">
        <f t="array" ref="AZ168">(SUM( IF(ISERROR(AA168:AY168),"", AA168:AY168)))/time</f>
        <v>0</v>
      </c>
      <c r="BA168" s="317">
        <f t="shared" si="38"/>
        <v>0</v>
      </c>
      <c r="BB168" s="318">
        <f t="shared" ref="BB168:BB177" si="45">IF(BH168&gt;0,AZ168+BG168,AZ168)</f>
        <v>0</v>
      </c>
      <c r="BC168" s="319">
        <v>1</v>
      </c>
      <c r="BE168" s="208" t="e">
        <f t="array" ref="BE168">STDEV(IF(AA168:AY168&lt;&gt;0,AA168:AY168))</f>
        <v>#DIV/0!</v>
      </c>
      <c r="BF168" s="208">
        <v>1.96</v>
      </c>
      <c r="BG168" s="208" t="e">
        <f t="shared" ref="BG168:BG177" si="46">(BF168*BE168)/(time^0.5)</f>
        <v>#DIV/0!</v>
      </c>
      <c r="BH168" s="208">
        <f t="shared" ref="BH168:BH177" si="47">IFERROR(BE168,0)</f>
        <v>0</v>
      </c>
    </row>
    <row r="169" spans="1:60" hidden="1">
      <c r="A169" s="322" t="str">
        <f>Costs!A169</f>
        <v>Cost of Maintenance 2</v>
      </c>
      <c r="B169" s="313"/>
      <c r="C169" s="313"/>
      <c r="D169" s="313"/>
      <c r="E169" s="313"/>
      <c r="F169" s="313"/>
      <c r="G169" s="313"/>
      <c r="H169" s="313"/>
      <c r="I169" s="313"/>
      <c r="J169" s="313"/>
      <c r="K169" s="313"/>
      <c r="L169" s="313"/>
      <c r="M169" s="313"/>
      <c r="N169" s="313"/>
      <c r="O169" s="313"/>
      <c r="P169" s="313"/>
      <c r="Q169" s="313"/>
      <c r="R169" s="313"/>
      <c r="S169" s="313"/>
      <c r="T169" s="313"/>
      <c r="U169" s="313"/>
      <c r="V169" s="313"/>
      <c r="W169" s="313"/>
      <c r="X169" s="313"/>
      <c r="Y169" s="313"/>
      <c r="Z169" s="314"/>
      <c r="AA169" s="315">
        <f>IF(AA$225&lt;=time,B169*Costs!AH169,"")</f>
        <v>0</v>
      </c>
      <c r="AB169" s="316">
        <f>IF(AB$225&lt;=time,C169*Costs!AI169,"")</f>
        <v>0</v>
      </c>
      <c r="AC169" s="316">
        <f>IF(AC$225&lt;=time,D169*Costs!AJ169,"")</f>
        <v>0</v>
      </c>
      <c r="AD169" s="316">
        <f>IF(AD$225&lt;=time,E169*Costs!AK169,"")</f>
        <v>0</v>
      </c>
      <c r="AE169" s="316">
        <f>IF(AE$225&lt;=time,F169*Costs!AL169,"")</f>
        <v>0</v>
      </c>
      <c r="AF169" s="316" t="str">
        <f>IF(AF$225&lt;=time,G169*Costs!AM169,"")</f>
        <v/>
      </c>
      <c r="AG169" s="316" t="str">
        <f>IF(AG$225&lt;=time,H169*Costs!AN169,"")</f>
        <v/>
      </c>
      <c r="AH169" s="316" t="str">
        <f>IF(AH$225&lt;=time,I169*Costs!AO169,"")</f>
        <v/>
      </c>
      <c r="AI169" s="316" t="str">
        <f>IF(AI$225&lt;=time,J169*Costs!AP169,"")</f>
        <v/>
      </c>
      <c r="AJ169" s="316" t="str">
        <f>IF(AJ$225&lt;=time,K169*Costs!AQ169,"")</f>
        <v/>
      </c>
      <c r="AK169" s="316" t="str">
        <f>IF(AK$225&lt;=time,L169*Costs!AR169,"")</f>
        <v/>
      </c>
      <c r="AL169" s="316" t="str">
        <f>IF(AL$225&lt;=time,M169*Costs!AS169,"")</f>
        <v/>
      </c>
      <c r="AM169" s="316" t="str">
        <f>IF(AM$225&lt;=time,N169*Costs!AT169,"")</f>
        <v/>
      </c>
      <c r="AN169" s="316" t="str">
        <f>IF(AN$225&lt;=time,O169*Costs!AU169,"")</f>
        <v/>
      </c>
      <c r="AO169" s="316" t="str">
        <f>IF(AO$225&lt;=time,P169*Costs!AV169,"")</f>
        <v/>
      </c>
      <c r="AP169" s="316" t="str">
        <f>IF(AP$225&lt;=time,Q169*Costs!AW169,"")</f>
        <v/>
      </c>
      <c r="AQ169" s="316" t="str">
        <f>IF(AQ$225&lt;=time,R169*Costs!AX169,"")</f>
        <v/>
      </c>
      <c r="AR169" s="316" t="str">
        <f>IF(AR$225&lt;=time,S169*Costs!AY169,"")</f>
        <v/>
      </c>
      <c r="AS169" s="316" t="str">
        <f>IF(AS$225&lt;=time,T169*Costs!AZ169,"")</f>
        <v/>
      </c>
      <c r="AT169" s="316" t="str">
        <f>IF(AT$225&lt;=time,U169*Costs!BA169,"")</f>
        <v/>
      </c>
      <c r="AU169" s="316" t="str">
        <f>IF(AU$225&lt;=time,V169*Costs!BB169,"")</f>
        <v/>
      </c>
      <c r="AV169" s="316" t="str">
        <f>IF(AV$225&lt;=time,W169*Costs!BC169,"")</f>
        <v/>
      </c>
      <c r="AW169" s="316" t="str">
        <f>IF(AW$225&lt;=time,X169*Costs!BD169,"")</f>
        <v/>
      </c>
      <c r="AX169" s="316" t="str">
        <f>IF(AX$225&lt;=time,Y169*Costs!BE169,"")</f>
        <v/>
      </c>
      <c r="AY169" s="316" t="str">
        <f>IF(AY$225&lt;=time,Z169*Costs!BF169,"")</f>
        <v/>
      </c>
      <c r="AZ169" s="317">
        <f t="array" ref="AZ169">(SUM( IF(ISERROR(AA169:AY169),"", AA169:AY169)))/time</f>
        <v>0</v>
      </c>
      <c r="BA169" s="317">
        <f t="shared" si="38"/>
        <v>0</v>
      </c>
      <c r="BB169" s="318">
        <f t="shared" si="45"/>
        <v>0</v>
      </c>
      <c r="BC169" s="319">
        <v>2</v>
      </c>
      <c r="BE169" s="208" t="e">
        <f t="array" ref="BE169">STDEV(IF(AA169:AY169&lt;&gt;0,AA169:AY169))</f>
        <v>#DIV/0!</v>
      </c>
      <c r="BF169" s="208">
        <v>1.96</v>
      </c>
      <c r="BG169" s="208" t="e">
        <f t="shared" si="46"/>
        <v>#DIV/0!</v>
      </c>
      <c r="BH169" s="208">
        <f t="shared" si="47"/>
        <v>0</v>
      </c>
    </row>
    <row r="170" spans="1:60" hidden="1">
      <c r="A170" s="322" t="str">
        <f>Costs!A170</f>
        <v>Cost of Maintenance 3</v>
      </c>
      <c r="B170" s="313"/>
      <c r="C170" s="313"/>
      <c r="D170" s="313"/>
      <c r="E170" s="313"/>
      <c r="F170" s="313"/>
      <c r="G170" s="313"/>
      <c r="H170" s="313"/>
      <c r="I170" s="313"/>
      <c r="J170" s="313"/>
      <c r="K170" s="313"/>
      <c r="L170" s="313"/>
      <c r="M170" s="313"/>
      <c r="N170" s="313"/>
      <c r="O170" s="313"/>
      <c r="P170" s="313"/>
      <c r="Q170" s="313"/>
      <c r="R170" s="313"/>
      <c r="S170" s="313"/>
      <c r="T170" s="313"/>
      <c r="U170" s="313"/>
      <c r="V170" s="313"/>
      <c r="W170" s="313"/>
      <c r="X170" s="313"/>
      <c r="Y170" s="313"/>
      <c r="Z170" s="314"/>
      <c r="AA170" s="315">
        <f>IF(AA$225&lt;=time,B170*Costs!AH170,"")</f>
        <v>0</v>
      </c>
      <c r="AB170" s="316">
        <f>IF(AB$225&lt;=time,C170*Costs!AI170,"")</f>
        <v>0</v>
      </c>
      <c r="AC170" s="316">
        <f>IF(AC$225&lt;=time,D170*Costs!AJ170,"")</f>
        <v>0</v>
      </c>
      <c r="AD170" s="316">
        <f>IF(AD$225&lt;=time,E170*Costs!AK170,"")</f>
        <v>0</v>
      </c>
      <c r="AE170" s="316">
        <f>IF(AE$225&lt;=time,F170*Costs!AL170,"")</f>
        <v>0</v>
      </c>
      <c r="AF170" s="316" t="str">
        <f>IF(AF$225&lt;=time,G170*Costs!AM170,"")</f>
        <v/>
      </c>
      <c r="AG170" s="316" t="str">
        <f>IF(AG$225&lt;=time,H170*Costs!AN170,"")</f>
        <v/>
      </c>
      <c r="AH170" s="316" t="str">
        <f>IF(AH$225&lt;=time,I170*Costs!AO170,"")</f>
        <v/>
      </c>
      <c r="AI170" s="316" t="str">
        <f>IF(AI$225&lt;=time,J170*Costs!AP170,"")</f>
        <v/>
      </c>
      <c r="AJ170" s="316" t="str">
        <f>IF(AJ$225&lt;=time,K170*Costs!AQ170,"")</f>
        <v/>
      </c>
      <c r="AK170" s="316" t="str">
        <f>IF(AK$225&lt;=time,L170*Costs!AR170,"")</f>
        <v/>
      </c>
      <c r="AL170" s="316" t="str">
        <f>IF(AL$225&lt;=time,M170*Costs!AS170,"")</f>
        <v/>
      </c>
      <c r="AM170" s="316" t="str">
        <f>IF(AM$225&lt;=time,N170*Costs!AT170,"")</f>
        <v/>
      </c>
      <c r="AN170" s="316" t="str">
        <f>IF(AN$225&lt;=time,O170*Costs!AU170,"")</f>
        <v/>
      </c>
      <c r="AO170" s="316" t="str">
        <f>IF(AO$225&lt;=time,P170*Costs!AV170,"")</f>
        <v/>
      </c>
      <c r="AP170" s="316" t="str">
        <f>IF(AP$225&lt;=time,Q170*Costs!AW170,"")</f>
        <v/>
      </c>
      <c r="AQ170" s="316" t="str">
        <f>IF(AQ$225&lt;=time,R170*Costs!AX170,"")</f>
        <v/>
      </c>
      <c r="AR170" s="316" t="str">
        <f>IF(AR$225&lt;=time,S170*Costs!AY170,"")</f>
        <v/>
      </c>
      <c r="AS170" s="316" t="str">
        <f>IF(AS$225&lt;=time,T170*Costs!AZ170,"")</f>
        <v/>
      </c>
      <c r="AT170" s="316" t="str">
        <f>IF(AT$225&lt;=time,U170*Costs!BA170,"")</f>
        <v/>
      </c>
      <c r="AU170" s="316" t="str">
        <f>IF(AU$225&lt;=time,V170*Costs!BB170,"")</f>
        <v/>
      </c>
      <c r="AV170" s="316" t="str">
        <f>IF(AV$225&lt;=time,W170*Costs!BC170,"")</f>
        <v/>
      </c>
      <c r="AW170" s="316" t="str">
        <f>IF(AW$225&lt;=time,X170*Costs!BD170,"")</f>
        <v/>
      </c>
      <c r="AX170" s="316" t="str">
        <f>IF(AX$225&lt;=time,Y170*Costs!BE170,"")</f>
        <v/>
      </c>
      <c r="AY170" s="316" t="str">
        <f>IF(AY$225&lt;=time,Z170*Costs!BF170,"")</f>
        <v/>
      </c>
      <c r="AZ170" s="317">
        <f t="array" ref="AZ170">(SUM( IF(ISERROR(AA170:AY170),"", AA170:AY170)))/time</f>
        <v>0</v>
      </c>
      <c r="BA170" s="317">
        <f t="shared" si="38"/>
        <v>0</v>
      </c>
      <c r="BB170" s="318">
        <f t="shared" si="45"/>
        <v>0</v>
      </c>
      <c r="BC170" s="319">
        <v>3</v>
      </c>
      <c r="BE170" s="208" t="e">
        <f t="array" ref="BE170">STDEV(IF(AA170:AY170&lt;&gt;0,AA170:AY170))</f>
        <v>#DIV/0!</v>
      </c>
      <c r="BF170" s="208">
        <v>1.96</v>
      </c>
      <c r="BG170" s="208" t="e">
        <f t="shared" si="46"/>
        <v>#DIV/0!</v>
      </c>
      <c r="BH170" s="208">
        <f t="shared" si="47"/>
        <v>0</v>
      </c>
    </row>
    <row r="171" spans="1:60" hidden="1">
      <c r="A171" s="322" t="str">
        <f>Costs!A171</f>
        <v>Cost of Maintenance 4</v>
      </c>
      <c r="B171" s="313"/>
      <c r="C171" s="313"/>
      <c r="D171" s="313"/>
      <c r="E171" s="313"/>
      <c r="F171" s="313"/>
      <c r="G171" s="313"/>
      <c r="H171" s="313"/>
      <c r="I171" s="313"/>
      <c r="J171" s="313"/>
      <c r="K171" s="313"/>
      <c r="L171" s="313"/>
      <c r="M171" s="313"/>
      <c r="N171" s="313"/>
      <c r="O171" s="313"/>
      <c r="P171" s="313"/>
      <c r="Q171" s="313"/>
      <c r="R171" s="313"/>
      <c r="S171" s="313"/>
      <c r="T171" s="313"/>
      <c r="U171" s="313"/>
      <c r="V171" s="313"/>
      <c r="W171" s="313"/>
      <c r="X171" s="313"/>
      <c r="Y171" s="313"/>
      <c r="Z171" s="314"/>
      <c r="AA171" s="315">
        <f>IF(AA$225&lt;=time,B171*Costs!AH171,"")</f>
        <v>0</v>
      </c>
      <c r="AB171" s="316">
        <f>IF(AB$225&lt;=time,C171*Costs!AI171,"")</f>
        <v>0</v>
      </c>
      <c r="AC171" s="316">
        <f>IF(AC$225&lt;=time,D171*Costs!AJ171,"")</f>
        <v>0</v>
      </c>
      <c r="AD171" s="316">
        <f>IF(AD$225&lt;=time,E171*Costs!AK171,"")</f>
        <v>0</v>
      </c>
      <c r="AE171" s="316">
        <f>IF(AE$225&lt;=time,F171*Costs!AL171,"")</f>
        <v>0</v>
      </c>
      <c r="AF171" s="316" t="str">
        <f>IF(AF$225&lt;=time,G171*Costs!AM171,"")</f>
        <v/>
      </c>
      <c r="AG171" s="316" t="str">
        <f>IF(AG$225&lt;=time,H171*Costs!AN171,"")</f>
        <v/>
      </c>
      <c r="AH171" s="316" t="str">
        <f>IF(AH$225&lt;=time,I171*Costs!AO171,"")</f>
        <v/>
      </c>
      <c r="AI171" s="316" t="str">
        <f>IF(AI$225&lt;=time,J171*Costs!AP171,"")</f>
        <v/>
      </c>
      <c r="AJ171" s="316" t="str">
        <f>IF(AJ$225&lt;=time,K171*Costs!AQ171,"")</f>
        <v/>
      </c>
      <c r="AK171" s="316" t="str">
        <f>IF(AK$225&lt;=time,L171*Costs!AR171,"")</f>
        <v/>
      </c>
      <c r="AL171" s="316" t="str">
        <f>IF(AL$225&lt;=time,M171*Costs!AS171,"")</f>
        <v/>
      </c>
      <c r="AM171" s="316" t="str">
        <f>IF(AM$225&lt;=time,N171*Costs!AT171,"")</f>
        <v/>
      </c>
      <c r="AN171" s="316" t="str">
        <f>IF(AN$225&lt;=time,O171*Costs!AU171,"")</f>
        <v/>
      </c>
      <c r="AO171" s="316" t="str">
        <f>IF(AO$225&lt;=time,P171*Costs!AV171,"")</f>
        <v/>
      </c>
      <c r="AP171" s="316" t="str">
        <f>IF(AP$225&lt;=time,Q171*Costs!AW171,"")</f>
        <v/>
      </c>
      <c r="AQ171" s="316" t="str">
        <f>IF(AQ$225&lt;=time,R171*Costs!AX171,"")</f>
        <v/>
      </c>
      <c r="AR171" s="316" t="str">
        <f>IF(AR$225&lt;=time,S171*Costs!AY171,"")</f>
        <v/>
      </c>
      <c r="AS171" s="316" t="str">
        <f>IF(AS$225&lt;=time,T171*Costs!AZ171,"")</f>
        <v/>
      </c>
      <c r="AT171" s="316" t="str">
        <f>IF(AT$225&lt;=time,U171*Costs!BA171,"")</f>
        <v/>
      </c>
      <c r="AU171" s="316" t="str">
        <f>IF(AU$225&lt;=time,V171*Costs!BB171,"")</f>
        <v/>
      </c>
      <c r="AV171" s="316" t="str">
        <f>IF(AV$225&lt;=time,W171*Costs!BC171,"")</f>
        <v/>
      </c>
      <c r="AW171" s="316" t="str">
        <f>IF(AW$225&lt;=time,X171*Costs!BD171,"")</f>
        <v/>
      </c>
      <c r="AX171" s="316" t="str">
        <f>IF(AX$225&lt;=time,Y171*Costs!BE171,"")</f>
        <v/>
      </c>
      <c r="AY171" s="316" t="str">
        <f>IF(AY$225&lt;=time,Z171*Costs!BF171,"")</f>
        <v/>
      </c>
      <c r="AZ171" s="317">
        <f t="array" ref="AZ171">(SUM( IF(ISERROR(AA171:AY171),"", AA171:AY171)))/time</f>
        <v>0</v>
      </c>
      <c r="BA171" s="317">
        <f t="shared" si="38"/>
        <v>0</v>
      </c>
      <c r="BB171" s="318">
        <f t="shared" si="45"/>
        <v>0</v>
      </c>
      <c r="BC171" s="319">
        <v>4</v>
      </c>
      <c r="BE171" s="208" t="e">
        <f t="array" ref="BE171">STDEV(IF(AA171:AY171&lt;&gt;0,AA171:AY171))</f>
        <v>#DIV/0!</v>
      </c>
      <c r="BF171" s="208">
        <v>1.96</v>
      </c>
      <c r="BG171" s="208" t="e">
        <f t="shared" si="46"/>
        <v>#DIV/0!</v>
      </c>
      <c r="BH171" s="208">
        <f t="shared" si="47"/>
        <v>0</v>
      </c>
    </row>
    <row r="172" spans="1:60" hidden="1">
      <c r="A172" s="322" t="str">
        <f>Costs!A172</f>
        <v>Cost of Maintenance 5</v>
      </c>
      <c r="B172" s="313"/>
      <c r="C172" s="313"/>
      <c r="D172" s="313"/>
      <c r="E172" s="313"/>
      <c r="F172" s="313"/>
      <c r="G172" s="313"/>
      <c r="H172" s="313"/>
      <c r="I172" s="313"/>
      <c r="J172" s="313"/>
      <c r="K172" s="313"/>
      <c r="L172" s="313"/>
      <c r="M172" s="313"/>
      <c r="N172" s="313"/>
      <c r="O172" s="313"/>
      <c r="P172" s="313"/>
      <c r="Q172" s="313"/>
      <c r="R172" s="313"/>
      <c r="S172" s="313"/>
      <c r="T172" s="313"/>
      <c r="U172" s="313"/>
      <c r="V172" s="313"/>
      <c r="W172" s="313"/>
      <c r="X172" s="313"/>
      <c r="Y172" s="313"/>
      <c r="Z172" s="314"/>
      <c r="AA172" s="315">
        <f>IF(AA$225&lt;=time,B172*Costs!AH172,"")</f>
        <v>0</v>
      </c>
      <c r="AB172" s="316">
        <f>IF(AB$225&lt;=time,C172*Costs!AI172,"")</f>
        <v>0</v>
      </c>
      <c r="AC172" s="316">
        <f>IF(AC$225&lt;=time,D172*Costs!AJ172,"")</f>
        <v>0</v>
      </c>
      <c r="AD172" s="316">
        <f>IF(AD$225&lt;=time,E172*Costs!AK172,"")</f>
        <v>0</v>
      </c>
      <c r="AE172" s="316">
        <f>IF(AE$225&lt;=time,F172*Costs!AL172,"")</f>
        <v>0</v>
      </c>
      <c r="AF172" s="316" t="str">
        <f>IF(AF$225&lt;=time,G172*Costs!AM172,"")</f>
        <v/>
      </c>
      <c r="AG172" s="316" t="str">
        <f>IF(AG$225&lt;=time,H172*Costs!AN172,"")</f>
        <v/>
      </c>
      <c r="AH172" s="316" t="str">
        <f>IF(AH$225&lt;=time,I172*Costs!AO172,"")</f>
        <v/>
      </c>
      <c r="AI172" s="316" t="str">
        <f>IF(AI$225&lt;=time,J172*Costs!AP172,"")</f>
        <v/>
      </c>
      <c r="AJ172" s="316" t="str">
        <f>IF(AJ$225&lt;=time,K172*Costs!AQ172,"")</f>
        <v/>
      </c>
      <c r="AK172" s="316" t="str">
        <f>IF(AK$225&lt;=time,L172*Costs!AR172,"")</f>
        <v/>
      </c>
      <c r="AL172" s="316" t="str">
        <f>IF(AL$225&lt;=time,M172*Costs!AS172,"")</f>
        <v/>
      </c>
      <c r="AM172" s="316" t="str">
        <f>IF(AM$225&lt;=time,N172*Costs!AT172,"")</f>
        <v/>
      </c>
      <c r="AN172" s="316" t="str">
        <f>IF(AN$225&lt;=time,O172*Costs!AU172,"")</f>
        <v/>
      </c>
      <c r="AO172" s="316" t="str">
        <f>IF(AO$225&lt;=time,P172*Costs!AV172,"")</f>
        <v/>
      </c>
      <c r="AP172" s="316" t="str">
        <f>IF(AP$225&lt;=time,Q172*Costs!AW172,"")</f>
        <v/>
      </c>
      <c r="AQ172" s="316" t="str">
        <f>IF(AQ$225&lt;=time,R172*Costs!AX172,"")</f>
        <v/>
      </c>
      <c r="AR172" s="316" t="str">
        <f>IF(AR$225&lt;=time,S172*Costs!AY172,"")</f>
        <v/>
      </c>
      <c r="AS172" s="316" t="str">
        <f>IF(AS$225&lt;=time,T172*Costs!AZ172,"")</f>
        <v/>
      </c>
      <c r="AT172" s="316" t="str">
        <f>IF(AT$225&lt;=time,U172*Costs!BA172,"")</f>
        <v/>
      </c>
      <c r="AU172" s="316" t="str">
        <f>IF(AU$225&lt;=time,V172*Costs!BB172,"")</f>
        <v/>
      </c>
      <c r="AV172" s="316" t="str">
        <f>IF(AV$225&lt;=time,W172*Costs!BC172,"")</f>
        <v/>
      </c>
      <c r="AW172" s="316" t="str">
        <f>IF(AW$225&lt;=time,X172*Costs!BD172,"")</f>
        <v/>
      </c>
      <c r="AX172" s="316" t="str">
        <f>IF(AX$225&lt;=time,Y172*Costs!BE172,"")</f>
        <v/>
      </c>
      <c r="AY172" s="316" t="str">
        <f>IF(AY$225&lt;=time,Z172*Costs!BF172,"")</f>
        <v/>
      </c>
      <c r="AZ172" s="317">
        <f t="array" ref="AZ172">(SUM( IF(ISERROR(AA172:AY172),"", AA172:AY172)))/time</f>
        <v>0</v>
      </c>
      <c r="BA172" s="317">
        <f t="shared" si="38"/>
        <v>0</v>
      </c>
      <c r="BB172" s="318">
        <f t="shared" si="45"/>
        <v>0</v>
      </c>
      <c r="BC172" s="319">
        <v>5</v>
      </c>
      <c r="BE172" s="208" t="e">
        <f t="array" ref="BE172">STDEV(IF(AA172:AY172&lt;&gt;0,AA172:AY172))</f>
        <v>#DIV/0!</v>
      </c>
      <c r="BF172" s="208">
        <v>1.96</v>
      </c>
      <c r="BG172" s="208" t="e">
        <f t="shared" si="46"/>
        <v>#DIV/0!</v>
      </c>
      <c r="BH172" s="208">
        <f t="shared" si="47"/>
        <v>0</v>
      </c>
    </row>
    <row r="173" spans="1:60" hidden="1">
      <c r="A173" s="322" t="str">
        <f>Costs!A173</f>
        <v>Cost of Maintenance 6</v>
      </c>
      <c r="B173" s="313"/>
      <c r="C173" s="313"/>
      <c r="D173" s="313"/>
      <c r="E173" s="313"/>
      <c r="F173" s="313"/>
      <c r="G173" s="313"/>
      <c r="H173" s="313"/>
      <c r="I173" s="313"/>
      <c r="J173" s="313"/>
      <c r="K173" s="313"/>
      <c r="L173" s="313"/>
      <c r="M173" s="313"/>
      <c r="N173" s="313"/>
      <c r="O173" s="313"/>
      <c r="P173" s="313"/>
      <c r="Q173" s="313"/>
      <c r="R173" s="313"/>
      <c r="S173" s="313"/>
      <c r="T173" s="313"/>
      <c r="U173" s="313"/>
      <c r="V173" s="313"/>
      <c r="W173" s="313"/>
      <c r="X173" s="313"/>
      <c r="Y173" s="313"/>
      <c r="Z173" s="314"/>
      <c r="AA173" s="315">
        <f>IF(AA$225&lt;=time,B173*Costs!AH173,"")</f>
        <v>0</v>
      </c>
      <c r="AB173" s="316">
        <f>IF(AB$225&lt;=time,C173*Costs!AI173,"")</f>
        <v>0</v>
      </c>
      <c r="AC173" s="316">
        <f>IF(AC$225&lt;=time,D173*Costs!AJ173,"")</f>
        <v>0</v>
      </c>
      <c r="AD173" s="316">
        <f>IF(AD$225&lt;=time,E173*Costs!AK173,"")</f>
        <v>0</v>
      </c>
      <c r="AE173" s="316">
        <f>IF(AE$225&lt;=time,F173*Costs!AL173,"")</f>
        <v>0</v>
      </c>
      <c r="AF173" s="316" t="str">
        <f>IF(AF$225&lt;=time,G173*Costs!AM173,"")</f>
        <v/>
      </c>
      <c r="AG173" s="316" t="str">
        <f>IF(AG$225&lt;=time,H173*Costs!AN173,"")</f>
        <v/>
      </c>
      <c r="AH173" s="316" t="str">
        <f>IF(AH$225&lt;=time,I173*Costs!AO173,"")</f>
        <v/>
      </c>
      <c r="AI173" s="316" t="str">
        <f>IF(AI$225&lt;=time,J173*Costs!AP173,"")</f>
        <v/>
      </c>
      <c r="AJ173" s="316" t="str">
        <f>IF(AJ$225&lt;=time,K173*Costs!AQ173,"")</f>
        <v/>
      </c>
      <c r="AK173" s="316" t="str">
        <f>IF(AK$225&lt;=time,L173*Costs!AR173,"")</f>
        <v/>
      </c>
      <c r="AL173" s="316" t="str">
        <f>IF(AL$225&lt;=time,M173*Costs!AS173,"")</f>
        <v/>
      </c>
      <c r="AM173" s="316" t="str">
        <f>IF(AM$225&lt;=time,N173*Costs!AT173,"")</f>
        <v/>
      </c>
      <c r="AN173" s="316" t="str">
        <f>IF(AN$225&lt;=time,O173*Costs!AU173,"")</f>
        <v/>
      </c>
      <c r="AO173" s="316" t="str">
        <f>IF(AO$225&lt;=time,P173*Costs!AV173,"")</f>
        <v/>
      </c>
      <c r="AP173" s="316" t="str">
        <f>IF(AP$225&lt;=time,Q173*Costs!AW173,"")</f>
        <v/>
      </c>
      <c r="AQ173" s="316" t="str">
        <f>IF(AQ$225&lt;=time,R173*Costs!AX173,"")</f>
        <v/>
      </c>
      <c r="AR173" s="316" t="str">
        <f>IF(AR$225&lt;=time,S173*Costs!AY173,"")</f>
        <v/>
      </c>
      <c r="AS173" s="316" t="str">
        <f>IF(AS$225&lt;=time,T173*Costs!AZ173,"")</f>
        <v/>
      </c>
      <c r="AT173" s="316" t="str">
        <f>IF(AT$225&lt;=time,U173*Costs!BA173,"")</f>
        <v/>
      </c>
      <c r="AU173" s="316" t="str">
        <f>IF(AU$225&lt;=time,V173*Costs!BB173,"")</f>
        <v/>
      </c>
      <c r="AV173" s="316" t="str">
        <f>IF(AV$225&lt;=time,W173*Costs!BC173,"")</f>
        <v/>
      </c>
      <c r="AW173" s="316" t="str">
        <f>IF(AW$225&lt;=time,X173*Costs!BD173,"")</f>
        <v/>
      </c>
      <c r="AX173" s="316" t="str">
        <f>IF(AX$225&lt;=time,Y173*Costs!BE173,"")</f>
        <v/>
      </c>
      <c r="AY173" s="316" t="str">
        <f>IF(AY$225&lt;=time,Z173*Costs!BF173,"")</f>
        <v/>
      </c>
      <c r="AZ173" s="317">
        <f t="array" ref="AZ173">(SUM( IF(ISERROR(AA173:AY173),"", AA173:AY173)))/time</f>
        <v>0</v>
      </c>
      <c r="BA173" s="317">
        <f t="shared" si="38"/>
        <v>0</v>
      </c>
      <c r="BB173" s="318">
        <f t="shared" si="45"/>
        <v>0</v>
      </c>
      <c r="BC173" s="319">
        <v>6</v>
      </c>
      <c r="BE173" s="208" t="e">
        <f t="array" ref="BE173">STDEV(IF(AA173:AY173&lt;&gt;0,AA173:AY173))</f>
        <v>#DIV/0!</v>
      </c>
      <c r="BF173" s="208">
        <v>1.96</v>
      </c>
      <c r="BG173" s="208" t="e">
        <f t="shared" si="46"/>
        <v>#DIV/0!</v>
      </c>
      <c r="BH173" s="208">
        <f t="shared" si="47"/>
        <v>0</v>
      </c>
    </row>
    <row r="174" spans="1:60" hidden="1">
      <c r="A174" s="322" t="str">
        <f>Costs!A174</f>
        <v>Cost of Maintenance 7</v>
      </c>
      <c r="B174" s="313"/>
      <c r="C174" s="313"/>
      <c r="D174" s="313"/>
      <c r="E174" s="313"/>
      <c r="F174" s="313"/>
      <c r="G174" s="313"/>
      <c r="H174" s="313"/>
      <c r="I174" s="313"/>
      <c r="J174" s="313"/>
      <c r="K174" s="313"/>
      <c r="L174" s="313"/>
      <c r="M174" s="313"/>
      <c r="N174" s="313"/>
      <c r="O174" s="313"/>
      <c r="P174" s="313"/>
      <c r="Q174" s="313"/>
      <c r="R174" s="313"/>
      <c r="S174" s="313"/>
      <c r="T174" s="313"/>
      <c r="U174" s="313"/>
      <c r="V174" s="313"/>
      <c r="W174" s="313"/>
      <c r="X174" s="313"/>
      <c r="Y174" s="313"/>
      <c r="Z174" s="314"/>
      <c r="AA174" s="315">
        <f>IF(AA$225&lt;=time,B174*Costs!AH174,"")</f>
        <v>0</v>
      </c>
      <c r="AB174" s="316">
        <f>IF(AB$225&lt;=time,C174*Costs!AI174,"")</f>
        <v>0</v>
      </c>
      <c r="AC174" s="316">
        <f>IF(AC$225&lt;=time,D174*Costs!AJ174,"")</f>
        <v>0</v>
      </c>
      <c r="AD174" s="316">
        <f>IF(AD$225&lt;=time,E174*Costs!AK174,"")</f>
        <v>0</v>
      </c>
      <c r="AE174" s="316">
        <f>IF(AE$225&lt;=time,F174*Costs!AL174,"")</f>
        <v>0</v>
      </c>
      <c r="AF174" s="316" t="str">
        <f>IF(AF$225&lt;=time,G174*Costs!AM174,"")</f>
        <v/>
      </c>
      <c r="AG174" s="316" t="str">
        <f>IF(AG$225&lt;=time,H174*Costs!AN174,"")</f>
        <v/>
      </c>
      <c r="AH174" s="316" t="str">
        <f>IF(AH$225&lt;=time,I174*Costs!AO174,"")</f>
        <v/>
      </c>
      <c r="AI174" s="316" t="str">
        <f>IF(AI$225&lt;=time,J174*Costs!AP174,"")</f>
        <v/>
      </c>
      <c r="AJ174" s="316" t="str">
        <f>IF(AJ$225&lt;=time,K174*Costs!AQ174,"")</f>
        <v/>
      </c>
      <c r="AK174" s="316" t="str">
        <f>IF(AK$225&lt;=time,L174*Costs!AR174,"")</f>
        <v/>
      </c>
      <c r="AL174" s="316" t="str">
        <f>IF(AL$225&lt;=time,M174*Costs!AS174,"")</f>
        <v/>
      </c>
      <c r="AM174" s="316" t="str">
        <f>IF(AM$225&lt;=time,N174*Costs!AT174,"")</f>
        <v/>
      </c>
      <c r="AN174" s="316" t="str">
        <f>IF(AN$225&lt;=time,O174*Costs!AU174,"")</f>
        <v/>
      </c>
      <c r="AO174" s="316" t="str">
        <f>IF(AO$225&lt;=time,P174*Costs!AV174,"")</f>
        <v/>
      </c>
      <c r="AP174" s="316" t="str">
        <f>IF(AP$225&lt;=time,Q174*Costs!AW174,"")</f>
        <v/>
      </c>
      <c r="AQ174" s="316" t="str">
        <f>IF(AQ$225&lt;=time,R174*Costs!AX174,"")</f>
        <v/>
      </c>
      <c r="AR174" s="316" t="str">
        <f>IF(AR$225&lt;=time,S174*Costs!AY174,"")</f>
        <v/>
      </c>
      <c r="AS174" s="316" t="str">
        <f>IF(AS$225&lt;=time,T174*Costs!AZ174,"")</f>
        <v/>
      </c>
      <c r="AT174" s="316" t="str">
        <f>IF(AT$225&lt;=time,U174*Costs!BA174,"")</f>
        <v/>
      </c>
      <c r="AU174" s="316" t="str">
        <f>IF(AU$225&lt;=time,V174*Costs!BB174,"")</f>
        <v/>
      </c>
      <c r="AV174" s="316" t="str">
        <f>IF(AV$225&lt;=time,W174*Costs!BC174,"")</f>
        <v/>
      </c>
      <c r="AW174" s="316" t="str">
        <f>IF(AW$225&lt;=time,X174*Costs!BD174,"")</f>
        <v/>
      </c>
      <c r="AX174" s="316" t="str">
        <f>IF(AX$225&lt;=time,Y174*Costs!BE174,"")</f>
        <v/>
      </c>
      <c r="AY174" s="316" t="str">
        <f>IF(AY$225&lt;=time,Z174*Costs!BF174,"")</f>
        <v/>
      </c>
      <c r="AZ174" s="317">
        <f t="array" ref="AZ174">(SUM( IF(ISERROR(AA174:AY174),"", AA174:AY174)))/time</f>
        <v>0</v>
      </c>
      <c r="BA174" s="317">
        <f t="shared" si="38"/>
        <v>0</v>
      </c>
      <c r="BB174" s="318">
        <f t="shared" si="45"/>
        <v>0</v>
      </c>
      <c r="BC174" s="319">
        <v>7</v>
      </c>
      <c r="BE174" s="208" t="e">
        <f t="array" ref="BE174">STDEV(IF(AA174:AY174&lt;&gt;0,AA174:AY174))</f>
        <v>#DIV/0!</v>
      </c>
      <c r="BF174" s="208">
        <v>1.96</v>
      </c>
      <c r="BG174" s="208" t="e">
        <f t="shared" si="46"/>
        <v>#DIV/0!</v>
      </c>
      <c r="BH174" s="208">
        <f t="shared" si="47"/>
        <v>0</v>
      </c>
    </row>
    <row r="175" spans="1:60" hidden="1">
      <c r="A175" s="322" t="str">
        <f>Costs!A175</f>
        <v>Cost of Maintenance 8</v>
      </c>
      <c r="B175" s="313"/>
      <c r="C175" s="313"/>
      <c r="D175" s="313"/>
      <c r="E175" s="313"/>
      <c r="F175" s="313"/>
      <c r="G175" s="313"/>
      <c r="H175" s="313"/>
      <c r="I175" s="313"/>
      <c r="J175" s="313"/>
      <c r="K175" s="313"/>
      <c r="L175" s="313"/>
      <c r="M175" s="313"/>
      <c r="N175" s="313"/>
      <c r="O175" s="313"/>
      <c r="P175" s="313"/>
      <c r="Q175" s="313"/>
      <c r="R175" s="313"/>
      <c r="S175" s="313"/>
      <c r="T175" s="313"/>
      <c r="U175" s="313"/>
      <c r="V175" s="313"/>
      <c r="W175" s="313"/>
      <c r="X175" s="313"/>
      <c r="Y175" s="313"/>
      <c r="Z175" s="314"/>
      <c r="AA175" s="315">
        <f>IF(AA$225&lt;=time,B175*Costs!AH175,"")</f>
        <v>0</v>
      </c>
      <c r="AB175" s="316">
        <f>IF(AB$225&lt;=time,C175*Costs!AI175,"")</f>
        <v>0</v>
      </c>
      <c r="AC175" s="316">
        <f>IF(AC$225&lt;=time,D175*Costs!AJ175,"")</f>
        <v>0</v>
      </c>
      <c r="AD175" s="316">
        <f>IF(AD$225&lt;=time,E175*Costs!AK175,"")</f>
        <v>0</v>
      </c>
      <c r="AE175" s="316">
        <f>IF(AE$225&lt;=time,F175*Costs!AL175,"")</f>
        <v>0</v>
      </c>
      <c r="AF175" s="316" t="str">
        <f>IF(AF$225&lt;=time,G175*Costs!AM175,"")</f>
        <v/>
      </c>
      <c r="AG175" s="316" t="str">
        <f>IF(AG$225&lt;=time,H175*Costs!AN175,"")</f>
        <v/>
      </c>
      <c r="AH175" s="316" t="str">
        <f>IF(AH$225&lt;=time,I175*Costs!AO175,"")</f>
        <v/>
      </c>
      <c r="AI175" s="316" t="str">
        <f>IF(AI$225&lt;=time,J175*Costs!AP175,"")</f>
        <v/>
      </c>
      <c r="AJ175" s="316" t="str">
        <f>IF(AJ$225&lt;=time,K175*Costs!AQ175,"")</f>
        <v/>
      </c>
      <c r="AK175" s="316" t="str">
        <f>IF(AK$225&lt;=time,L175*Costs!AR175,"")</f>
        <v/>
      </c>
      <c r="AL175" s="316" t="str">
        <f>IF(AL$225&lt;=time,M175*Costs!AS175,"")</f>
        <v/>
      </c>
      <c r="AM175" s="316" t="str">
        <f>IF(AM$225&lt;=time,N175*Costs!AT175,"")</f>
        <v/>
      </c>
      <c r="AN175" s="316" t="str">
        <f>IF(AN$225&lt;=time,O175*Costs!AU175,"")</f>
        <v/>
      </c>
      <c r="AO175" s="316" t="str">
        <f>IF(AO$225&lt;=time,P175*Costs!AV175,"")</f>
        <v/>
      </c>
      <c r="AP175" s="316" t="str">
        <f>IF(AP$225&lt;=time,Q175*Costs!AW175,"")</f>
        <v/>
      </c>
      <c r="AQ175" s="316" t="str">
        <f>IF(AQ$225&lt;=time,R175*Costs!AX175,"")</f>
        <v/>
      </c>
      <c r="AR175" s="316" t="str">
        <f>IF(AR$225&lt;=time,S175*Costs!AY175,"")</f>
        <v/>
      </c>
      <c r="AS175" s="316" t="str">
        <f>IF(AS$225&lt;=time,T175*Costs!AZ175,"")</f>
        <v/>
      </c>
      <c r="AT175" s="316" t="str">
        <f>IF(AT$225&lt;=time,U175*Costs!BA175,"")</f>
        <v/>
      </c>
      <c r="AU175" s="316" t="str">
        <f>IF(AU$225&lt;=time,V175*Costs!BB175,"")</f>
        <v/>
      </c>
      <c r="AV175" s="316" t="str">
        <f>IF(AV$225&lt;=time,W175*Costs!BC175,"")</f>
        <v/>
      </c>
      <c r="AW175" s="316" t="str">
        <f>IF(AW$225&lt;=time,X175*Costs!BD175,"")</f>
        <v/>
      </c>
      <c r="AX175" s="316" t="str">
        <f>IF(AX$225&lt;=time,Y175*Costs!BE175,"")</f>
        <v/>
      </c>
      <c r="AY175" s="316" t="str">
        <f>IF(AY$225&lt;=time,Z175*Costs!BF175,"")</f>
        <v/>
      </c>
      <c r="AZ175" s="317">
        <f t="array" ref="AZ175">(SUM( IF(ISERROR(AA175:AY175),"", AA175:AY175)))/time</f>
        <v>0</v>
      </c>
      <c r="BA175" s="317">
        <f t="shared" si="38"/>
        <v>0</v>
      </c>
      <c r="BB175" s="318">
        <f t="shared" si="45"/>
        <v>0</v>
      </c>
      <c r="BC175" s="319">
        <v>8</v>
      </c>
      <c r="BE175" s="208" t="e">
        <f t="array" ref="BE175">STDEV(IF(AA175:AY175&lt;&gt;0,AA175:AY175))</f>
        <v>#DIV/0!</v>
      </c>
      <c r="BF175" s="208">
        <v>1.96</v>
      </c>
      <c r="BG175" s="208" t="e">
        <f t="shared" si="46"/>
        <v>#DIV/0!</v>
      </c>
      <c r="BH175" s="208">
        <f t="shared" si="47"/>
        <v>0</v>
      </c>
    </row>
    <row r="176" spans="1:60" hidden="1">
      <c r="A176" s="322" t="str">
        <f>Costs!A176</f>
        <v>Cost of Maintenance 9</v>
      </c>
      <c r="B176" s="313"/>
      <c r="C176" s="313"/>
      <c r="D176" s="313"/>
      <c r="E176" s="313"/>
      <c r="F176" s="313"/>
      <c r="G176" s="313"/>
      <c r="H176" s="313"/>
      <c r="I176" s="313"/>
      <c r="J176" s="313"/>
      <c r="K176" s="313"/>
      <c r="L176" s="313"/>
      <c r="M176" s="313"/>
      <c r="N176" s="313"/>
      <c r="O176" s="313"/>
      <c r="P176" s="313"/>
      <c r="Q176" s="313"/>
      <c r="R176" s="313"/>
      <c r="S176" s="313"/>
      <c r="T176" s="313"/>
      <c r="U176" s="313"/>
      <c r="V176" s="313"/>
      <c r="W176" s="313"/>
      <c r="X176" s="313"/>
      <c r="Y176" s="313"/>
      <c r="Z176" s="314"/>
      <c r="AA176" s="315">
        <f>IF(AA$225&lt;=time,B176*Costs!AH176,"")</f>
        <v>0</v>
      </c>
      <c r="AB176" s="316">
        <f>IF(AB$225&lt;=time,C176*Costs!AI176,"")</f>
        <v>0</v>
      </c>
      <c r="AC176" s="316">
        <f>IF(AC$225&lt;=time,D176*Costs!AJ176,"")</f>
        <v>0</v>
      </c>
      <c r="AD176" s="316">
        <f>IF(AD$225&lt;=time,E176*Costs!AK176,"")</f>
        <v>0</v>
      </c>
      <c r="AE176" s="316">
        <f>IF(AE$225&lt;=time,F176*Costs!AL176,"")</f>
        <v>0</v>
      </c>
      <c r="AF176" s="316" t="str">
        <f>IF(AF$225&lt;=time,G176*Costs!AM176,"")</f>
        <v/>
      </c>
      <c r="AG176" s="316" t="str">
        <f>IF(AG$225&lt;=time,H176*Costs!AN176,"")</f>
        <v/>
      </c>
      <c r="AH176" s="316" t="str">
        <f>IF(AH$225&lt;=time,I176*Costs!AO176,"")</f>
        <v/>
      </c>
      <c r="AI176" s="316" t="str">
        <f>IF(AI$225&lt;=time,J176*Costs!AP176,"")</f>
        <v/>
      </c>
      <c r="AJ176" s="316" t="str">
        <f>IF(AJ$225&lt;=time,K176*Costs!AQ176,"")</f>
        <v/>
      </c>
      <c r="AK176" s="316" t="str">
        <f>IF(AK$225&lt;=time,L176*Costs!AR176,"")</f>
        <v/>
      </c>
      <c r="AL176" s="316" t="str">
        <f>IF(AL$225&lt;=time,M176*Costs!AS176,"")</f>
        <v/>
      </c>
      <c r="AM176" s="316" t="str">
        <f>IF(AM$225&lt;=time,N176*Costs!AT176,"")</f>
        <v/>
      </c>
      <c r="AN176" s="316" t="str">
        <f>IF(AN$225&lt;=time,O176*Costs!AU176,"")</f>
        <v/>
      </c>
      <c r="AO176" s="316" t="str">
        <f>IF(AO$225&lt;=time,P176*Costs!AV176,"")</f>
        <v/>
      </c>
      <c r="AP176" s="316" t="str">
        <f>IF(AP$225&lt;=time,Q176*Costs!AW176,"")</f>
        <v/>
      </c>
      <c r="AQ176" s="316" t="str">
        <f>IF(AQ$225&lt;=time,R176*Costs!AX176,"")</f>
        <v/>
      </c>
      <c r="AR176" s="316" t="str">
        <f>IF(AR$225&lt;=time,S176*Costs!AY176,"")</f>
        <v/>
      </c>
      <c r="AS176" s="316" t="str">
        <f>IF(AS$225&lt;=time,T176*Costs!AZ176,"")</f>
        <v/>
      </c>
      <c r="AT176" s="316" t="str">
        <f>IF(AT$225&lt;=time,U176*Costs!BA176,"")</f>
        <v/>
      </c>
      <c r="AU176" s="316" t="str">
        <f>IF(AU$225&lt;=time,V176*Costs!BB176,"")</f>
        <v/>
      </c>
      <c r="AV176" s="316" t="str">
        <f>IF(AV$225&lt;=time,W176*Costs!BC176,"")</f>
        <v/>
      </c>
      <c r="AW176" s="316" t="str">
        <f>IF(AW$225&lt;=time,X176*Costs!BD176,"")</f>
        <v/>
      </c>
      <c r="AX176" s="316" t="str">
        <f>IF(AX$225&lt;=time,Y176*Costs!BE176,"")</f>
        <v/>
      </c>
      <c r="AY176" s="316" t="str">
        <f>IF(AY$225&lt;=time,Z176*Costs!BF176,"")</f>
        <v/>
      </c>
      <c r="AZ176" s="317">
        <f t="array" ref="AZ176">(SUM( IF(ISERROR(AA176:AY176),"", AA176:AY176)))/time</f>
        <v>0</v>
      </c>
      <c r="BA176" s="317">
        <f t="shared" si="38"/>
        <v>0</v>
      </c>
      <c r="BB176" s="318">
        <f t="shared" si="45"/>
        <v>0</v>
      </c>
      <c r="BC176" s="319">
        <v>9</v>
      </c>
      <c r="BE176" s="208" t="e">
        <f t="array" ref="BE176">STDEV(IF(AA176:AY176&lt;&gt;0,AA176:AY176))</f>
        <v>#DIV/0!</v>
      </c>
      <c r="BF176" s="208">
        <v>1.96</v>
      </c>
      <c r="BG176" s="208" t="e">
        <f t="shared" si="46"/>
        <v>#DIV/0!</v>
      </c>
      <c r="BH176" s="208">
        <f t="shared" si="47"/>
        <v>0</v>
      </c>
    </row>
    <row r="177" spans="1:60" hidden="1">
      <c r="A177" s="322" t="str">
        <f>Costs!A177</f>
        <v>Cost of Maintenance 10</v>
      </c>
      <c r="B177" s="313"/>
      <c r="C177" s="313"/>
      <c r="D177" s="313"/>
      <c r="E177" s="313"/>
      <c r="F177" s="313"/>
      <c r="G177" s="313"/>
      <c r="H177" s="313"/>
      <c r="I177" s="313"/>
      <c r="J177" s="313"/>
      <c r="K177" s="313"/>
      <c r="L177" s="313"/>
      <c r="M177" s="313"/>
      <c r="N177" s="313"/>
      <c r="O177" s="313"/>
      <c r="P177" s="313"/>
      <c r="Q177" s="313"/>
      <c r="R177" s="313"/>
      <c r="S177" s="313"/>
      <c r="T177" s="313"/>
      <c r="U177" s="313"/>
      <c r="V177" s="313"/>
      <c r="W177" s="313"/>
      <c r="X177" s="313"/>
      <c r="Y177" s="313"/>
      <c r="Z177" s="314"/>
      <c r="AA177" s="315">
        <f>IF(AA$225&lt;=time,B177*Costs!AH177,"")</f>
        <v>0</v>
      </c>
      <c r="AB177" s="316">
        <f>IF(AB$225&lt;=time,C177*Costs!AI177,"")</f>
        <v>0</v>
      </c>
      <c r="AC177" s="316">
        <f>IF(AC$225&lt;=time,D177*Costs!AJ177,"")</f>
        <v>0</v>
      </c>
      <c r="AD177" s="316">
        <f>IF(AD$225&lt;=time,E177*Costs!AK177,"")</f>
        <v>0</v>
      </c>
      <c r="AE177" s="316">
        <f>IF(AE$225&lt;=time,F177*Costs!AL177,"")</f>
        <v>0</v>
      </c>
      <c r="AF177" s="316" t="str">
        <f>IF(AF$225&lt;=time,G177*Costs!AM177,"")</f>
        <v/>
      </c>
      <c r="AG177" s="316" t="str">
        <f>IF(AG$225&lt;=time,H177*Costs!AN177,"")</f>
        <v/>
      </c>
      <c r="AH177" s="316" t="str">
        <f>IF(AH$225&lt;=time,I177*Costs!AO177,"")</f>
        <v/>
      </c>
      <c r="AI177" s="316" t="str">
        <f>IF(AI$225&lt;=time,J177*Costs!AP177,"")</f>
        <v/>
      </c>
      <c r="AJ177" s="316" t="str">
        <f>IF(AJ$225&lt;=time,K177*Costs!AQ177,"")</f>
        <v/>
      </c>
      <c r="AK177" s="316" t="str">
        <f>IF(AK$225&lt;=time,L177*Costs!AR177,"")</f>
        <v/>
      </c>
      <c r="AL177" s="316" t="str">
        <f>IF(AL$225&lt;=time,M177*Costs!AS177,"")</f>
        <v/>
      </c>
      <c r="AM177" s="316" t="str">
        <f>IF(AM$225&lt;=time,N177*Costs!AT177,"")</f>
        <v/>
      </c>
      <c r="AN177" s="316" t="str">
        <f>IF(AN$225&lt;=time,O177*Costs!AU177,"")</f>
        <v/>
      </c>
      <c r="AO177" s="316" t="str">
        <f>IF(AO$225&lt;=time,P177*Costs!AV177,"")</f>
        <v/>
      </c>
      <c r="AP177" s="316" t="str">
        <f>IF(AP$225&lt;=time,Q177*Costs!AW177,"")</f>
        <v/>
      </c>
      <c r="AQ177" s="316" t="str">
        <f>IF(AQ$225&lt;=time,R177*Costs!AX177,"")</f>
        <v/>
      </c>
      <c r="AR177" s="316" t="str">
        <f>IF(AR$225&lt;=time,S177*Costs!AY177,"")</f>
        <v/>
      </c>
      <c r="AS177" s="316" t="str">
        <f>IF(AS$225&lt;=time,T177*Costs!AZ177,"")</f>
        <v/>
      </c>
      <c r="AT177" s="316" t="str">
        <f>IF(AT$225&lt;=time,U177*Costs!BA177,"")</f>
        <v/>
      </c>
      <c r="AU177" s="316" t="str">
        <f>IF(AU$225&lt;=time,V177*Costs!BB177,"")</f>
        <v/>
      </c>
      <c r="AV177" s="316" t="str">
        <f>IF(AV$225&lt;=time,W177*Costs!BC177,"")</f>
        <v/>
      </c>
      <c r="AW177" s="316" t="str">
        <f>IF(AW$225&lt;=time,X177*Costs!BD177,"")</f>
        <v/>
      </c>
      <c r="AX177" s="316" t="str">
        <f>IF(AX$225&lt;=time,Y177*Costs!BE177,"")</f>
        <v/>
      </c>
      <c r="AY177" s="316" t="str">
        <f>IF(AY$225&lt;=time,Z177*Costs!BF177,"")</f>
        <v/>
      </c>
      <c r="AZ177" s="317">
        <f t="array" ref="AZ177">(SUM( IF(ISERROR(AA177:AY177),"", AA177:AY177)))/time</f>
        <v>0</v>
      </c>
      <c r="BA177" s="317">
        <f t="shared" si="38"/>
        <v>0</v>
      </c>
      <c r="BB177" s="318">
        <f t="shared" si="45"/>
        <v>0</v>
      </c>
      <c r="BC177" s="319">
        <v>10</v>
      </c>
      <c r="BE177" s="208" t="e">
        <f t="array" ref="BE177">STDEV(IF(AA177:AY177&lt;&gt;0,AA177:AY177))</f>
        <v>#DIV/0!</v>
      </c>
      <c r="BF177" s="208">
        <v>1.96</v>
      </c>
      <c r="BG177" s="208" t="e">
        <f t="shared" si="46"/>
        <v>#DIV/0!</v>
      </c>
      <c r="BH177" s="208">
        <f t="shared" si="47"/>
        <v>0</v>
      </c>
    </row>
    <row r="178" spans="1:60" s="11" customFormat="1">
      <c r="A178" s="233" t="s">
        <v>9</v>
      </c>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321"/>
      <c r="AA178" s="233"/>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c r="BA178" s="96"/>
      <c r="BB178" s="211"/>
    </row>
    <row r="179" spans="1:60">
      <c r="A179" s="32" t="str">
        <f>Costs!A179</f>
        <v>Training 1</v>
      </c>
      <c r="B179" s="865"/>
      <c r="C179" s="865"/>
      <c r="D179" s="865"/>
      <c r="E179" s="313"/>
      <c r="F179" s="313"/>
      <c r="G179" s="313"/>
      <c r="H179" s="313"/>
      <c r="I179" s="313"/>
      <c r="J179" s="313"/>
      <c r="K179" s="313"/>
      <c r="L179" s="313"/>
      <c r="M179" s="313"/>
      <c r="N179" s="313"/>
      <c r="O179" s="313"/>
      <c r="P179" s="313"/>
      <c r="Q179" s="313"/>
      <c r="R179" s="313"/>
      <c r="S179" s="313"/>
      <c r="T179" s="313"/>
      <c r="U179" s="313"/>
      <c r="V179" s="313"/>
      <c r="W179" s="313"/>
      <c r="X179" s="313"/>
      <c r="Y179" s="313"/>
      <c r="Z179" s="314"/>
      <c r="AA179" s="315">
        <f>IF(AA$225&lt;=time,B179*Costs!AH179,"")</f>
        <v>0</v>
      </c>
      <c r="AB179" s="316">
        <f>IF(AB$225&lt;=time,C179*Costs!AI179,"")</f>
        <v>0</v>
      </c>
      <c r="AC179" s="316">
        <f>IF(AC$225&lt;=time,D179*Costs!AJ179,"")</f>
        <v>0</v>
      </c>
      <c r="AD179" s="316">
        <f>IF(AD$225&lt;=time,E179*Costs!AK179,"")</f>
        <v>0</v>
      </c>
      <c r="AE179" s="316">
        <f>IF(AE$225&lt;=time,F179*Costs!AL179,"")</f>
        <v>0</v>
      </c>
      <c r="AF179" s="316" t="str">
        <f>IF(AF$225&lt;=time,G179*Costs!AM179,"")</f>
        <v/>
      </c>
      <c r="AG179" s="316" t="str">
        <f>IF(AG$225&lt;=time,H179*Costs!AN179,"")</f>
        <v/>
      </c>
      <c r="AH179" s="316" t="str">
        <f>IF(AH$225&lt;=time,I179*Costs!AO179,"")</f>
        <v/>
      </c>
      <c r="AI179" s="316" t="str">
        <f>IF(AI$225&lt;=time,J179*Costs!AP179,"")</f>
        <v/>
      </c>
      <c r="AJ179" s="316" t="str">
        <f>IF(AJ$225&lt;=time,K179*Costs!AQ179,"")</f>
        <v/>
      </c>
      <c r="AK179" s="316" t="str">
        <f>IF(AK$225&lt;=time,L179*Costs!AR179,"")</f>
        <v/>
      </c>
      <c r="AL179" s="316" t="str">
        <f>IF(AL$225&lt;=time,M179*Costs!AS179,"")</f>
        <v/>
      </c>
      <c r="AM179" s="316" t="str">
        <f>IF(AM$225&lt;=time,N179*Costs!AT179,"")</f>
        <v/>
      </c>
      <c r="AN179" s="316" t="str">
        <f>IF(AN$225&lt;=time,O179*Costs!AU179,"")</f>
        <v/>
      </c>
      <c r="AO179" s="316" t="str">
        <f>IF(AO$225&lt;=time,P179*Costs!AV179,"")</f>
        <v/>
      </c>
      <c r="AP179" s="316" t="str">
        <f>IF(AP$225&lt;=time,Q179*Costs!AW179,"")</f>
        <v/>
      </c>
      <c r="AQ179" s="316" t="str">
        <f>IF(AQ$225&lt;=time,R179*Costs!AX179,"")</f>
        <v/>
      </c>
      <c r="AR179" s="316" t="str">
        <f>IF(AR$225&lt;=time,S179*Costs!AY179,"")</f>
        <v/>
      </c>
      <c r="AS179" s="316" t="str">
        <f>IF(AS$225&lt;=time,T179*Costs!AZ179,"")</f>
        <v/>
      </c>
      <c r="AT179" s="316" t="str">
        <f>IF(AT$225&lt;=time,U179*Costs!BA179,"")</f>
        <v/>
      </c>
      <c r="AU179" s="316" t="str">
        <f>IF(AU$225&lt;=time,V179*Costs!BB179,"")</f>
        <v/>
      </c>
      <c r="AV179" s="316" t="str">
        <f>IF(AV$225&lt;=time,W179*Costs!BC179,"")</f>
        <v/>
      </c>
      <c r="AW179" s="316" t="str">
        <f>IF(AW$225&lt;=time,X179*Costs!BD179,"")</f>
        <v/>
      </c>
      <c r="AX179" s="316" t="str">
        <f>IF(AX$225&lt;=time,Y179*Costs!BE179,"")</f>
        <v/>
      </c>
      <c r="AY179" s="316" t="str">
        <f>IF(AY$225&lt;=time,Z179*Costs!BF179,"")</f>
        <v/>
      </c>
      <c r="AZ179" s="317">
        <f t="array" ref="AZ179">(SUM( IF(ISERROR(AA179:AY179),"", AA179:AY179)))/time</f>
        <v>0</v>
      </c>
      <c r="BA179" s="317">
        <f t="shared" si="38"/>
        <v>0</v>
      </c>
      <c r="BB179" s="318">
        <f t="shared" ref="BB179:BB188" si="48">IF(BH179&gt;0,AZ179+BG179,AZ179)</f>
        <v>0</v>
      </c>
      <c r="BC179" s="319">
        <v>1</v>
      </c>
      <c r="BE179" s="208" t="e">
        <f t="array" ref="BE179">STDEV(IF(AA179:AY179&lt;&gt;0,AA179:AY179))</f>
        <v>#DIV/0!</v>
      </c>
      <c r="BF179" s="208">
        <v>1.96</v>
      </c>
      <c r="BG179" s="208" t="e">
        <f t="shared" ref="BG179:BG188" si="49">(BF179*BE179)/(time^0.5)</f>
        <v>#DIV/0!</v>
      </c>
      <c r="BH179" s="208">
        <f t="shared" ref="BH179:BH188" si="50">IFERROR(BE179,0)</f>
        <v>0</v>
      </c>
    </row>
    <row r="180" spans="1:60" hidden="1">
      <c r="A180" s="322" t="str">
        <f>Costs!A180</f>
        <v>Training 2</v>
      </c>
      <c r="B180" s="313"/>
      <c r="C180" s="313"/>
      <c r="D180" s="313"/>
      <c r="E180" s="313"/>
      <c r="F180" s="313"/>
      <c r="G180" s="313"/>
      <c r="H180" s="313"/>
      <c r="I180" s="313"/>
      <c r="J180" s="313"/>
      <c r="K180" s="313"/>
      <c r="L180" s="313"/>
      <c r="M180" s="313"/>
      <c r="N180" s="313"/>
      <c r="O180" s="313"/>
      <c r="P180" s="313"/>
      <c r="Q180" s="313"/>
      <c r="R180" s="313"/>
      <c r="S180" s="313"/>
      <c r="T180" s="313"/>
      <c r="U180" s="313"/>
      <c r="V180" s="313"/>
      <c r="W180" s="313"/>
      <c r="X180" s="313"/>
      <c r="Y180" s="313"/>
      <c r="Z180" s="314"/>
      <c r="AA180" s="315">
        <f>IF(AA$225&lt;=time,B180*Costs!AH180,"")</f>
        <v>0</v>
      </c>
      <c r="AB180" s="316">
        <f>IF(AB$225&lt;=time,C180*Costs!AI180,"")</f>
        <v>0</v>
      </c>
      <c r="AC180" s="316">
        <f>IF(AC$225&lt;=time,D180*Costs!AJ180,"")</f>
        <v>0</v>
      </c>
      <c r="AD180" s="316">
        <f>IF(AD$225&lt;=time,E180*Costs!AK180,"")</f>
        <v>0</v>
      </c>
      <c r="AE180" s="316">
        <f>IF(AE$225&lt;=time,F180*Costs!AL180,"")</f>
        <v>0</v>
      </c>
      <c r="AF180" s="316" t="str">
        <f>IF(AF$225&lt;=time,G180*Costs!AM180,"")</f>
        <v/>
      </c>
      <c r="AG180" s="316" t="str">
        <f>IF(AG$225&lt;=time,H180*Costs!AN180,"")</f>
        <v/>
      </c>
      <c r="AH180" s="316" t="str">
        <f>IF(AH$225&lt;=time,I180*Costs!AO180,"")</f>
        <v/>
      </c>
      <c r="AI180" s="316" t="str">
        <f>IF(AI$225&lt;=time,J180*Costs!AP180,"")</f>
        <v/>
      </c>
      <c r="AJ180" s="316" t="str">
        <f>IF(AJ$225&lt;=time,K180*Costs!AQ180,"")</f>
        <v/>
      </c>
      <c r="AK180" s="316" t="str">
        <f>IF(AK$225&lt;=time,L180*Costs!AR180,"")</f>
        <v/>
      </c>
      <c r="AL180" s="316" t="str">
        <f>IF(AL$225&lt;=time,M180*Costs!AS180,"")</f>
        <v/>
      </c>
      <c r="AM180" s="316" t="str">
        <f>IF(AM$225&lt;=time,N180*Costs!AT180,"")</f>
        <v/>
      </c>
      <c r="AN180" s="316" t="str">
        <f>IF(AN$225&lt;=time,O180*Costs!AU180,"")</f>
        <v/>
      </c>
      <c r="AO180" s="316" t="str">
        <f>IF(AO$225&lt;=time,P180*Costs!AV180,"")</f>
        <v/>
      </c>
      <c r="AP180" s="316" t="str">
        <f>IF(AP$225&lt;=time,Q180*Costs!AW180,"")</f>
        <v/>
      </c>
      <c r="AQ180" s="316" t="str">
        <f>IF(AQ$225&lt;=time,R180*Costs!AX180,"")</f>
        <v/>
      </c>
      <c r="AR180" s="316" t="str">
        <f>IF(AR$225&lt;=time,S180*Costs!AY180,"")</f>
        <v/>
      </c>
      <c r="AS180" s="316" t="str">
        <f>IF(AS$225&lt;=time,T180*Costs!AZ180,"")</f>
        <v/>
      </c>
      <c r="AT180" s="316" t="str">
        <f>IF(AT$225&lt;=time,U180*Costs!BA180,"")</f>
        <v/>
      </c>
      <c r="AU180" s="316" t="str">
        <f>IF(AU$225&lt;=time,V180*Costs!BB180,"")</f>
        <v/>
      </c>
      <c r="AV180" s="316" t="str">
        <f>IF(AV$225&lt;=time,W180*Costs!BC180,"")</f>
        <v/>
      </c>
      <c r="AW180" s="316" t="str">
        <f>IF(AW$225&lt;=time,X180*Costs!BD180,"")</f>
        <v/>
      </c>
      <c r="AX180" s="316" t="str">
        <f>IF(AX$225&lt;=time,Y180*Costs!BE180,"")</f>
        <v/>
      </c>
      <c r="AY180" s="316" t="str">
        <f>IF(AY$225&lt;=time,Z180*Costs!BF180,"")</f>
        <v/>
      </c>
      <c r="AZ180" s="317">
        <f t="array" ref="AZ180">(SUM( IF(ISERROR(AA180:AY180),"", AA180:AY180)))/time</f>
        <v>0</v>
      </c>
      <c r="BA180" s="317">
        <f t="shared" si="38"/>
        <v>0</v>
      </c>
      <c r="BB180" s="318">
        <f t="shared" si="48"/>
        <v>0</v>
      </c>
      <c r="BC180" s="319">
        <v>2</v>
      </c>
      <c r="BE180" s="208" t="e">
        <f t="array" ref="BE180">STDEV(IF(AA180:AY180&lt;&gt;0,AA180:AY180))</f>
        <v>#DIV/0!</v>
      </c>
      <c r="BF180" s="208">
        <v>1.96</v>
      </c>
      <c r="BG180" s="208" t="e">
        <f t="shared" si="49"/>
        <v>#DIV/0!</v>
      </c>
      <c r="BH180" s="208">
        <f t="shared" si="50"/>
        <v>0</v>
      </c>
    </row>
    <row r="181" spans="1:60" hidden="1">
      <c r="A181" s="322" t="str">
        <f>Costs!A181</f>
        <v>Training 3</v>
      </c>
      <c r="B181" s="313"/>
      <c r="C181" s="313"/>
      <c r="D181" s="313"/>
      <c r="E181" s="313"/>
      <c r="F181" s="313"/>
      <c r="G181" s="313"/>
      <c r="H181" s="313"/>
      <c r="I181" s="313"/>
      <c r="J181" s="313"/>
      <c r="K181" s="313"/>
      <c r="L181" s="313"/>
      <c r="M181" s="313"/>
      <c r="N181" s="313"/>
      <c r="O181" s="313"/>
      <c r="P181" s="313"/>
      <c r="Q181" s="313"/>
      <c r="R181" s="313"/>
      <c r="S181" s="313"/>
      <c r="T181" s="313"/>
      <c r="U181" s="313"/>
      <c r="V181" s="313"/>
      <c r="W181" s="313"/>
      <c r="X181" s="313"/>
      <c r="Y181" s="313"/>
      <c r="Z181" s="314"/>
      <c r="AA181" s="315">
        <f>IF(AA$225&lt;=time,B181*Costs!AH181,"")</f>
        <v>0</v>
      </c>
      <c r="AB181" s="316">
        <f>IF(AB$225&lt;=time,C181*Costs!AI181,"")</f>
        <v>0</v>
      </c>
      <c r="AC181" s="316">
        <f>IF(AC$225&lt;=time,D181*Costs!AJ181,"")</f>
        <v>0</v>
      </c>
      <c r="AD181" s="316">
        <f>IF(AD$225&lt;=time,E181*Costs!AK181,"")</f>
        <v>0</v>
      </c>
      <c r="AE181" s="316">
        <f>IF(AE$225&lt;=time,F181*Costs!AL181,"")</f>
        <v>0</v>
      </c>
      <c r="AF181" s="316" t="str">
        <f>IF(AF$225&lt;=time,G181*Costs!AM181,"")</f>
        <v/>
      </c>
      <c r="AG181" s="316" t="str">
        <f>IF(AG$225&lt;=time,H181*Costs!AN181,"")</f>
        <v/>
      </c>
      <c r="AH181" s="316" t="str">
        <f>IF(AH$225&lt;=time,I181*Costs!AO181,"")</f>
        <v/>
      </c>
      <c r="AI181" s="316" t="str">
        <f>IF(AI$225&lt;=time,J181*Costs!AP181,"")</f>
        <v/>
      </c>
      <c r="AJ181" s="316" t="str">
        <f>IF(AJ$225&lt;=time,K181*Costs!AQ181,"")</f>
        <v/>
      </c>
      <c r="AK181" s="316" t="str">
        <f>IF(AK$225&lt;=time,L181*Costs!AR181,"")</f>
        <v/>
      </c>
      <c r="AL181" s="316" t="str">
        <f>IF(AL$225&lt;=time,M181*Costs!AS181,"")</f>
        <v/>
      </c>
      <c r="AM181" s="316" t="str">
        <f>IF(AM$225&lt;=time,N181*Costs!AT181,"")</f>
        <v/>
      </c>
      <c r="AN181" s="316" t="str">
        <f>IF(AN$225&lt;=time,O181*Costs!AU181,"")</f>
        <v/>
      </c>
      <c r="AO181" s="316" t="str">
        <f>IF(AO$225&lt;=time,P181*Costs!AV181,"")</f>
        <v/>
      </c>
      <c r="AP181" s="316" t="str">
        <f>IF(AP$225&lt;=time,Q181*Costs!AW181,"")</f>
        <v/>
      </c>
      <c r="AQ181" s="316" t="str">
        <f>IF(AQ$225&lt;=time,R181*Costs!AX181,"")</f>
        <v/>
      </c>
      <c r="AR181" s="316" t="str">
        <f>IF(AR$225&lt;=time,S181*Costs!AY181,"")</f>
        <v/>
      </c>
      <c r="AS181" s="316" t="str">
        <f>IF(AS$225&lt;=time,T181*Costs!AZ181,"")</f>
        <v/>
      </c>
      <c r="AT181" s="316" t="str">
        <f>IF(AT$225&lt;=time,U181*Costs!BA181,"")</f>
        <v/>
      </c>
      <c r="AU181" s="316" t="str">
        <f>IF(AU$225&lt;=time,V181*Costs!BB181,"")</f>
        <v/>
      </c>
      <c r="AV181" s="316" t="str">
        <f>IF(AV$225&lt;=time,W181*Costs!BC181,"")</f>
        <v/>
      </c>
      <c r="AW181" s="316" t="str">
        <f>IF(AW$225&lt;=time,X181*Costs!BD181,"")</f>
        <v/>
      </c>
      <c r="AX181" s="316" t="str">
        <f>IF(AX$225&lt;=time,Y181*Costs!BE181,"")</f>
        <v/>
      </c>
      <c r="AY181" s="316" t="str">
        <f>IF(AY$225&lt;=time,Z181*Costs!BF181,"")</f>
        <v/>
      </c>
      <c r="AZ181" s="317">
        <f t="array" ref="AZ181">(SUM( IF(ISERROR(AA181:AY181),"", AA181:AY181)))/time</f>
        <v>0</v>
      </c>
      <c r="BA181" s="317">
        <f t="shared" si="38"/>
        <v>0</v>
      </c>
      <c r="BB181" s="318">
        <f t="shared" si="48"/>
        <v>0</v>
      </c>
      <c r="BC181" s="319">
        <v>3</v>
      </c>
      <c r="BE181" s="208" t="e">
        <f t="array" ref="BE181">STDEV(IF(AA181:AY181&lt;&gt;0,AA181:AY181))</f>
        <v>#DIV/0!</v>
      </c>
      <c r="BF181" s="208">
        <v>1.96</v>
      </c>
      <c r="BG181" s="208" t="e">
        <f t="shared" si="49"/>
        <v>#DIV/0!</v>
      </c>
      <c r="BH181" s="208">
        <f t="shared" si="50"/>
        <v>0</v>
      </c>
    </row>
    <row r="182" spans="1:60" hidden="1">
      <c r="A182" s="322" t="str">
        <f>Costs!A182</f>
        <v>Training 4</v>
      </c>
      <c r="B182" s="313"/>
      <c r="C182" s="313"/>
      <c r="D182" s="313"/>
      <c r="E182" s="313"/>
      <c r="F182" s="313"/>
      <c r="G182" s="313"/>
      <c r="H182" s="313"/>
      <c r="I182" s="313"/>
      <c r="J182" s="313"/>
      <c r="K182" s="313"/>
      <c r="L182" s="313"/>
      <c r="M182" s="313"/>
      <c r="N182" s="313"/>
      <c r="O182" s="313"/>
      <c r="P182" s="313"/>
      <c r="Q182" s="313"/>
      <c r="R182" s="313"/>
      <c r="S182" s="313"/>
      <c r="T182" s="313"/>
      <c r="U182" s="313"/>
      <c r="V182" s="313"/>
      <c r="W182" s="313"/>
      <c r="X182" s="313"/>
      <c r="Y182" s="313"/>
      <c r="Z182" s="314"/>
      <c r="AA182" s="315">
        <f>IF(AA$225&lt;=time,B182*Costs!AH182,"")</f>
        <v>0</v>
      </c>
      <c r="AB182" s="316">
        <f>IF(AB$225&lt;=time,C182*Costs!AI182,"")</f>
        <v>0</v>
      </c>
      <c r="AC182" s="316">
        <f>IF(AC$225&lt;=time,D182*Costs!AJ182,"")</f>
        <v>0</v>
      </c>
      <c r="AD182" s="316">
        <f>IF(AD$225&lt;=time,E182*Costs!AK182,"")</f>
        <v>0</v>
      </c>
      <c r="AE182" s="316">
        <f>IF(AE$225&lt;=time,F182*Costs!AL182,"")</f>
        <v>0</v>
      </c>
      <c r="AF182" s="316" t="str">
        <f>IF(AF$225&lt;=time,G182*Costs!AM182,"")</f>
        <v/>
      </c>
      <c r="AG182" s="316" t="str">
        <f>IF(AG$225&lt;=time,H182*Costs!AN182,"")</f>
        <v/>
      </c>
      <c r="AH182" s="316" t="str">
        <f>IF(AH$225&lt;=time,I182*Costs!AO182,"")</f>
        <v/>
      </c>
      <c r="AI182" s="316" t="str">
        <f>IF(AI$225&lt;=time,J182*Costs!AP182,"")</f>
        <v/>
      </c>
      <c r="AJ182" s="316" t="str">
        <f>IF(AJ$225&lt;=time,K182*Costs!AQ182,"")</f>
        <v/>
      </c>
      <c r="AK182" s="316" t="str">
        <f>IF(AK$225&lt;=time,L182*Costs!AR182,"")</f>
        <v/>
      </c>
      <c r="AL182" s="316" t="str">
        <f>IF(AL$225&lt;=time,M182*Costs!AS182,"")</f>
        <v/>
      </c>
      <c r="AM182" s="316" t="str">
        <f>IF(AM$225&lt;=time,N182*Costs!AT182,"")</f>
        <v/>
      </c>
      <c r="AN182" s="316" t="str">
        <f>IF(AN$225&lt;=time,O182*Costs!AU182,"")</f>
        <v/>
      </c>
      <c r="AO182" s="316" t="str">
        <f>IF(AO$225&lt;=time,P182*Costs!AV182,"")</f>
        <v/>
      </c>
      <c r="AP182" s="316" t="str">
        <f>IF(AP$225&lt;=time,Q182*Costs!AW182,"")</f>
        <v/>
      </c>
      <c r="AQ182" s="316" t="str">
        <f>IF(AQ$225&lt;=time,R182*Costs!AX182,"")</f>
        <v/>
      </c>
      <c r="AR182" s="316" t="str">
        <f>IF(AR$225&lt;=time,S182*Costs!AY182,"")</f>
        <v/>
      </c>
      <c r="AS182" s="316" t="str">
        <f>IF(AS$225&lt;=time,T182*Costs!AZ182,"")</f>
        <v/>
      </c>
      <c r="AT182" s="316" t="str">
        <f>IF(AT$225&lt;=time,U182*Costs!BA182,"")</f>
        <v/>
      </c>
      <c r="AU182" s="316" t="str">
        <f>IF(AU$225&lt;=time,V182*Costs!BB182,"")</f>
        <v/>
      </c>
      <c r="AV182" s="316" t="str">
        <f>IF(AV$225&lt;=time,W182*Costs!BC182,"")</f>
        <v/>
      </c>
      <c r="AW182" s="316" t="str">
        <f>IF(AW$225&lt;=time,X182*Costs!BD182,"")</f>
        <v/>
      </c>
      <c r="AX182" s="316" t="str">
        <f>IF(AX$225&lt;=time,Y182*Costs!BE182,"")</f>
        <v/>
      </c>
      <c r="AY182" s="316" t="str">
        <f>IF(AY$225&lt;=time,Z182*Costs!BF182,"")</f>
        <v/>
      </c>
      <c r="AZ182" s="317">
        <f t="array" ref="AZ182">(SUM( IF(ISERROR(AA182:AY182),"", AA182:AY182)))/time</f>
        <v>0</v>
      </c>
      <c r="BA182" s="317">
        <f t="shared" si="38"/>
        <v>0</v>
      </c>
      <c r="BB182" s="318">
        <f t="shared" si="48"/>
        <v>0</v>
      </c>
      <c r="BC182" s="319">
        <v>4</v>
      </c>
      <c r="BE182" s="208" t="e">
        <f t="array" ref="BE182">STDEV(IF(AA182:AY182&lt;&gt;0,AA182:AY182))</f>
        <v>#DIV/0!</v>
      </c>
      <c r="BF182" s="208">
        <v>1.96</v>
      </c>
      <c r="BG182" s="208" t="e">
        <f t="shared" si="49"/>
        <v>#DIV/0!</v>
      </c>
      <c r="BH182" s="208">
        <f t="shared" si="50"/>
        <v>0</v>
      </c>
    </row>
    <row r="183" spans="1:60" hidden="1">
      <c r="A183" s="322" t="str">
        <f>Costs!A183</f>
        <v>Training 5</v>
      </c>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4"/>
      <c r="AA183" s="315">
        <f>IF(AA$225&lt;=time,B183*Costs!AH183,"")</f>
        <v>0</v>
      </c>
      <c r="AB183" s="316">
        <f>IF(AB$225&lt;=time,C183*Costs!AI183,"")</f>
        <v>0</v>
      </c>
      <c r="AC183" s="316">
        <f>IF(AC$225&lt;=time,D183*Costs!AJ183,"")</f>
        <v>0</v>
      </c>
      <c r="AD183" s="316">
        <f>IF(AD$225&lt;=time,E183*Costs!AK183,"")</f>
        <v>0</v>
      </c>
      <c r="AE183" s="316">
        <f>IF(AE$225&lt;=time,F183*Costs!AL183,"")</f>
        <v>0</v>
      </c>
      <c r="AF183" s="316" t="str">
        <f>IF(AF$225&lt;=time,G183*Costs!AM183,"")</f>
        <v/>
      </c>
      <c r="AG183" s="316" t="str">
        <f>IF(AG$225&lt;=time,H183*Costs!AN183,"")</f>
        <v/>
      </c>
      <c r="AH183" s="316" t="str">
        <f>IF(AH$225&lt;=time,I183*Costs!AO183,"")</f>
        <v/>
      </c>
      <c r="AI183" s="316" t="str">
        <f>IF(AI$225&lt;=time,J183*Costs!AP183,"")</f>
        <v/>
      </c>
      <c r="AJ183" s="316" t="str">
        <f>IF(AJ$225&lt;=time,K183*Costs!AQ183,"")</f>
        <v/>
      </c>
      <c r="AK183" s="316" t="str">
        <f>IF(AK$225&lt;=time,L183*Costs!AR183,"")</f>
        <v/>
      </c>
      <c r="AL183" s="316" t="str">
        <f>IF(AL$225&lt;=time,M183*Costs!AS183,"")</f>
        <v/>
      </c>
      <c r="AM183" s="316" t="str">
        <f>IF(AM$225&lt;=time,N183*Costs!AT183,"")</f>
        <v/>
      </c>
      <c r="AN183" s="316" t="str">
        <f>IF(AN$225&lt;=time,O183*Costs!AU183,"")</f>
        <v/>
      </c>
      <c r="AO183" s="316" t="str">
        <f>IF(AO$225&lt;=time,P183*Costs!AV183,"")</f>
        <v/>
      </c>
      <c r="AP183" s="316" t="str">
        <f>IF(AP$225&lt;=time,Q183*Costs!AW183,"")</f>
        <v/>
      </c>
      <c r="AQ183" s="316" t="str">
        <f>IF(AQ$225&lt;=time,R183*Costs!AX183,"")</f>
        <v/>
      </c>
      <c r="AR183" s="316" t="str">
        <f>IF(AR$225&lt;=time,S183*Costs!AY183,"")</f>
        <v/>
      </c>
      <c r="AS183" s="316" t="str">
        <f>IF(AS$225&lt;=time,T183*Costs!AZ183,"")</f>
        <v/>
      </c>
      <c r="AT183" s="316" t="str">
        <f>IF(AT$225&lt;=time,U183*Costs!BA183,"")</f>
        <v/>
      </c>
      <c r="AU183" s="316" t="str">
        <f>IF(AU$225&lt;=time,V183*Costs!BB183,"")</f>
        <v/>
      </c>
      <c r="AV183" s="316" t="str">
        <f>IF(AV$225&lt;=time,W183*Costs!BC183,"")</f>
        <v/>
      </c>
      <c r="AW183" s="316" t="str">
        <f>IF(AW$225&lt;=time,X183*Costs!BD183,"")</f>
        <v/>
      </c>
      <c r="AX183" s="316" t="str">
        <f>IF(AX$225&lt;=time,Y183*Costs!BE183,"")</f>
        <v/>
      </c>
      <c r="AY183" s="316" t="str">
        <f>IF(AY$225&lt;=time,Z183*Costs!BF183,"")</f>
        <v/>
      </c>
      <c r="AZ183" s="317">
        <f t="array" ref="AZ183">(SUM( IF(ISERROR(AA183:AY183),"", AA183:AY183)))/time</f>
        <v>0</v>
      </c>
      <c r="BA183" s="317">
        <f t="shared" si="38"/>
        <v>0</v>
      </c>
      <c r="BB183" s="318">
        <f t="shared" si="48"/>
        <v>0</v>
      </c>
      <c r="BC183" s="319">
        <v>5</v>
      </c>
      <c r="BE183" s="208" t="e">
        <f t="array" ref="BE183">STDEV(IF(AA183:AY183&lt;&gt;0,AA183:AY183))</f>
        <v>#DIV/0!</v>
      </c>
      <c r="BF183" s="208">
        <v>1.96</v>
      </c>
      <c r="BG183" s="208" t="e">
        <f t="shared" si="49"/>
        <v>#DIV/0!</v>
      </c>
      <c r="BH183" s="208">
        <f t="shared" si="50"/>
        <v>0</v>
      </c>
    </row>
    <row r="184" spans="1:60" hidden="1">
      <c r="A184" s="322" t="str">
        <f>Costs!A184</f>
        <v>Training 6</v>
      </c>
      <c r="B184" s="313"/>
      <c r="C184" s="313"/>
      <c r="D184" s="313"/>
      <c r="E184" s="313"/>
      <c r="F184" s="313"/>
      <c r="G184" s="313"/>
      <c r="H184" s="313"/>
      <c r="I184" s="313"/>
      <c r="J184" s="313"/>
      <c r="K184" s="313"/>
      <c r="L184" s="313"/>
      <c r="M184" s="313"/>
      <c r="N184" s="313"/>
      <c r="O184" s="313"/>
      <c r="P184" s="313"/>
      <c r="Q184" s="313"/>
      <c r="R184" s="313"/>
      <c r="S184" s="313"/>
      <c r="T184" s="313"/>
      <c r="U184" s="313"/>
      <c r="V184" s="313"/>
      <c r="W184" s="313"/>
      <c r="X184" s="313"/>
      <c r="Y184" s="313"/>
      <c r="Z184" s="314"/>
      <c r="AA184" s="315">
        <f>IF(AA$225&lt;=time,B184*Costs!AH184,"")</f>
        <v>0</v>
      </c>
      <c r="AB184" s="316">
        <f>IF(AB$225&lt;=time,C184*Costs!AI184,"")</f>
        <v>0</v>
      </c>
      <c r="AC184" s="316">
        <f>IF(AC$225&lt;=time,D184*Costs!AJ184,"")</f>
        <v>0</v>
      </c>
      <c r="AD184" s="316">
        <f>IF(AD$225&lt;=time,E184*Costs!AK184,"")</f>
        <v>0</v>
      </c>
      <c r="AE184" s="316">
        <f>IF(AE$225&lt;=time,F184*Costs!AL184,"")</f>
        <v>0</v>
      </c>
      <c r="AF184" s="316" t="str">
        <f>IF(AF$225&lt;=time,G184*Costs!AM184,"")</f>
        <v/>
      </c>
      <c r="AG184" s="316" t="str">
        <f>IF(AG$225&lt;=time,H184*Costs!AN184,"")</f>
        <v/>
      </c>
      <c r="AH184" s="316" t="str">
        <f>IF(AH$225&lt;=time,I184*Costs!AO184,"")</f>
        <v/>
      </c>
      <c r="AI184" s="316" t="str">
        <f>IF(AI$225&lt;=time,J184*Costs!AP184,"")</f>
        <v/>
      </c>
      <c r="AJ184" s="316" t="str">
        <f>IF(AJ$225&lt;=time,K184*Costs!AQ184,"")</f>
        <v/>
      </c>
      <c r="AK184" s="316" t="str">
        <f>IF(AK$225&lt;=time,L184*Costs!AR184,"")</f>
        <v/>
      </c>
      <c r="AL184" s="316" t="str">
        <f>IF(AL$225&lt;=time,M184*Costs!AS184,"")</f>
        <v/>
      </c>
      <c r="AM184" s="316" t="str">
        <f>IF(AM$225&lt;=time,N184*Costs!AT184,"")</f>
        <v/>
      </c>
      <c r="AN184" s="316" t="str">
        <f>IF(AN$225&lt;=time,O184*Costs!AU184,"")</f>
        <v/>
      </c>
      <c r="AO184" s="316" t="str">
        <f>IF(AO$225&lt;=time,P184*Costs!AV184,"")</f>
        <v/>
      </c>
      <c r="AP184" s="316" t="str">
        <f>IF(AP$225&lt;=time,Q184*Costs!AW184,"")</f>
        <v/>
      </c>
      <c r="AQ184" s="316" t="str">
        <f>IF(AQ$225&lt;=time,R184*Costs!AX184,"")</f>
        <v/>
      </c>
      <c r="AR184" s="316" t="str">
        <f>IF(AR$225&lt;=time,S184*Costs!AY184,"")</f>
        <v/>
      </c>
      <c r="AS184" s="316" t="str">
        <f>IF(AS$225&lt;=time,T184*Costs!AZ184,"")</f>
        <v/>
      </c>
      <c r="AT184" s="316" t="str">
        <f>IF(AT$225&lt;=time,U184*Costs!BA184,"")</f>
        <v/>
      </c>
      <c r="AU184" s="316" t="str">
        <f>IF(AU$225&lt;=time,V184*Costs!BB184,"")</f>
        <v/>
      </c>
      <c r="AV184" s="316" t="str">
        <f>IF(AV$225&lt;=time,W184*Costs!BC184,"")</f>
        <v/>
      </c>
      <c r="AW184" s="316" t="str">
        <f>IF(AW$225&lt;=time,X184*Costs!BD184,"")</f>
        <v/>
      </c>
      <c r="AX184" s="316" t="str">
        <f>IF(AX$225&lt;=time,Y184*Costs!BE184,"")</f>
        <v/>
      </c>
      <c r="AY184" s="316" t="str">
        <f>IF(AY$225&lt;=time,Z184*Costs!BF184,"")</f>
        <v/>
      </c>
      <c r="AZ184" s="317">
        <f t="array" ref="AZ184">(SUM( IF(ISERROR(AA184:AY184),"", AA184:AY184)))/time</f>
        <v>0</v>
      </c>
      <c r="BA184" s="317">
        <f t="shared" si="38"/>
        <v>0</v>
      </c>
      <c r="BB184" s="318">
        <f t="shared" si="48"/>
        <v>0</v>
      </c>
      <c r="BC184" s="319">
        <v>6</v>
      </c>
      <c r="BE184" s="208" t="e">
        <f t="array" ref="BE184">STDEV(IF(AA184:AY184&lt;&gt;0,AA184:AY184))</f>
        <v>#DIV/0!</v>
      </c>
      <c r="BF184" s="208">
        <v>1.96</v>
      </c>
      <c r="BG184" s="208" t="e">
        <f t="shared" si="49"/>
        <v>#DIV/0!</v>
      </c>
      <c r="BH184" s="208">
        <f t="shared" si="50"/>
        <v>0</v>
      </c>
    </row>
    <row r="185" spans="1:60" hidden="1">
      <c r="A185" s="322" t="str">
        <f>Costs!A185</f>
        <v>Training 7</v>
      </c>
      <c r="B185" s="313"/>
      <c r="C185" s="313"/>
      <c r="D185" s="313"/>
      <c r="E185" s="313"/>
      <c r="F185" s="313"/>
      <c r="G185" s="313"/>
      <c r="H185" s="313"/>
      <c r="I185" s="313"/>
      <c r="J185" s="313"/>
      <c r="K185" s="313"/>
      <c r="L185" s="313"/>
      <c r="M185" s="313"/>
      <c r="N185" s="313"/>
      <c r="O185" s="313"/>
      <c r="P185" s="313"/>
      <c r="Q185" s="313"/>
      <c r="R185" s="313"/>
      <c r="S185" s="313"/>
      <c r="T185" s="313"/>
      <c r="U185" s="313"/>
      <c r="V185" s="313"/>
      <c r="W185" s="313"/>
      <c r="X185" s="313"/>
      <c r="Y185" s="313"/>
      <c r="Z185" s="314"/>
      <c r="AA185" s="315">
        <f>IF(AA$225&lt;=time,B185*Costs!AH185,"")</f>
        <v>0</v>
      </c>
      <c r="AB185" s="316">
        <f>IF(AB$225&lt;=time,C185*Costs!AI185,"")</f>
        <v>0</v>
      </c>
      <c r="AC185" s="316">
        <f>IF(AC$225&lt;=time,D185*Costs!AJ185,"")</f>
        <v>0</v>
      </c>
      <c r="AD185" s="316">
        <f>IF(AD$225&lt;=time,E185*Costs!AK185,"")</f>
        <v>0</v>
      </c>
      <c r="AE185" s="316">
        <f>IF(AE$225&lt;=time,F185*Costs!AL185,"")</f>
        <v>0</v>
      </c>
      <c r="AF185" s="316" t="str">
        <f>IF(AF$225&lt;=time,G185*Costs!AM185,"")</f>
        <v/>
      </c>
      <c r="AG185" s="316" t="str">
        <f>IF(AG$225&lt;=time,H185*Costs!AN185,"")</f>
        <v/>
      </c>
      <c r="AH185" s="316" t="str">
        <f>IF(AH$225&lt;=time,I185*Costs!AO185,"")</f>
        <v/>
      </c>
      <c r="AI185" s="316" t="str">
        <f>IF(AI$225&lt;=time,J185*Costs!AP185,"")</f>
        <v/>
      </c>
      <c r="AJ185" s="316" t="str">
        <f>IF(AJ$225&lt;=time,K185*Costs!AQ185,"")</f>
        <v/>
      </c>
      <c r="AK185" s="316" t="str">
        <f>IF(AK$225&lt;=time,L185*Costs!AR185,"")</f>
        <v/>
      </c>
      <c r="AL185" s="316" t="str">
        <f>IF(AL$225&lt;=time,M185*Costs!AS185,"")</f>
        <v/>
      </c>
      <c r="AM185" s="316" t="str">
        <f>IF(AM$225&lt;=time,N185*Costs!AT185,"")</f>
        <v/>
      </c>
      <c r="AN185" s="316" t="str">
        <f>IF(AN$225&lt;=time,O185*Costs!AU185,"")</f>
        <v/>
      </c>
      <c r="AO185" s="316" t="str">
        <f>IF(AO$225&lt;=time,P185*Costs!AV185,"")</f>
        <v/>
      </c>
      <c r="AP185" s="316" t="str">
        <f>IF(AP$225&lt;=time,Q185*Costs!AW185,"")</f>
        <v/>
      </c>
      <c r="AQ185" s="316" t="str">
        <f>IF(AQ$225&lt;=time,R185*Costs!AX185,"")</f>
        <v/>
      </c>
      <c r="AR185" s="316" t="str">
        <f>IF(AR$225&lt;=time,S185*Costs!AY185,"")</f>
        <v/>
      </c>
      <c r="AS185" s="316" t="str">
        <f>IF(AS$225&lt;=time,T185*Costs!AZ185,"")</f>
        <v/>
      </c>
      <c r="AT185" s="316" t="str">
        <f>IF(AT$225&lt;=time,U185*Costs!BA185,"")</f>
        <v/>
      </c>
      <c r="AU185" s="316" t="str">
        <f>IF(AU$225&lt;=time,V185*Costs!BB185,"")</f>
        <v/>
      </c>
      <c r="AV185" s="316" t="str">
        <f>IF(AV$225&lt;=time,W185*Costs!BC185,"")</f>
        <v/>
      </c>
      <c r="AW185" s="316" t="str">
        <f>IF(AW$225&lt;=time,X185*Costs!BD185,"")</f>
        <v/>
      </c>
      <c r="AX185" s="316" t="str">
        <f>IF(AX$225&lt;=time,Y185*Costs!BE185,"")</f>
        <v/>
      </c>
      <c r="AY185" s="316" t="str">
        <f>IF(AY$225&lt;=time,Z185*Costs!BF185,"")</f>
        <v/>
      </c>
      <c r="AZ185" s="317">
        <f t="array" ref="AZ185">(SUM( IF(ISERROR(AA185:AY185),"", AA185:AY185)))/time</f>
        <v>0</v>
      </c>
      <c r="BA185" s="317">
        <f t="shared" si="38"/>
        <v>0</v>
      </c>
      <c r="BB185" s="318">
        <f t="shared" si="48"/>
        <v>0</v>
      </c>
      <c r="BC185" s="319">
        <v>7</v>
      </c>
      <c r="BE185" s="208" t="e">
        <f t="array" ref="BE185">STDEV(IF(AA185:AY185&lt;&gt;0,AA185:AY185))</f>
        <v>#DIV/0!</v>
      </c>
      <c r="BF185" s="208">
        <v>1.96</v>
      </c>
      <c r="BG185" s="208" t="e">
        <f t="shared" si="49"/>
        <v>#DIV/0!</v>
      </c>
      <c r="BH185" s="208">
        <f t="shared" si="50"/>
        <v>0</v>
      </c>
    </row>
    <row r="186" spans="1:60" hidden="1">
      <c r="A186" s="322" t="str">
        <f>Costs!A186</f>
        <v>Training 8</v>
      </c>
      <c r="B186" s="313"/>
      <c r="C186" s="313"/>
      <c r="D186" s="313"/>
      <c r="E186" s="313"/>
      <c r="F186" s="313"/>
      <c r="G186" s="313"/>
      <c r="H186" s="313"/>
      <c r="I186" s="313"/>
      <c r="J186" s="313"/>
      <c r="K186" s="313"/>
      <c r="L186" s="313"/>
      <c r="M186" s="313"/>
      <c r="N186" s="313"/>
      <c r="O186" s="313"/>
      <c r="P186" s="313"/>
      <c r="Q186" s="313"/>
      <c r="R186" s="313"/>
      <c r="S186" s="313"/>
      <c r="T186" s="313"/>
      <c r="U186" s="313"/>
      <c r="V186" s="313"/>
      <c r="W186" s="313"/>
      <c r="X186" s="313"/>
      <c r="Y186" s="313"/>
      <c r="Z186" s="314"/>
      <c r="AA186" s="315">
        <f>IF(AA$225&lt;=time,B186*Costs!AH186,"")</f>
        <v>0</v>
      </c>
      <c r="AB186" s="316">
        <f>IF(AB$225&lt;=time,C186*Costs!AI186,"")</f>
        <v>0</v>
      </c>
      <c r="AC186" s="316">
        <f>IF(AC$225&lt;=time,D186*Costs!AJ186,"")</f>
        <v>0</v>
      </c>
      <c r="AD186" s="316">
        <f>IF(AD$225&lt;=time,E186*Costs!AK186,"")</f>
        <v>0</v>
      </c>
      <c r="AE186" s="316">
        <f>IF(AE$225&lt;=time,F186*Costs!AL186,"")</f>
        <v>0</v>
      </c>
      <c r="AF186" s="316" t="str">
        <f>IF(AF$225&lt;=time,G186*Costs!AM186,"")</f>
        <v/>
      </c>
      <c r="AG186" s="316" t="str">
        <f>IF(AG$225&lt;=time,H186*Costs!AN186,"")</f>
        <v/>
      </c>
      <c r="AH186" s="316" t="str">
        <f>IF(AH$225&lt;=time,I186*Costs!AO186,"")</f>
        <v/>
      </c>
      <c r="AI186" s="316" t="str">
        <f>IF(AI$225&lt;=time,J186*Costs!AP186,"")</f>
        <v/>
      </c>
      <c r="AJ186" s="316" t="str">
        <f>IF(AJ$225&lt;=time,K186*Costs!AQ186,"")</f>
        <v/>
      </c>
      <c r="AK186" s="316" t="str">
        <f>IF(AK$225&lt;=time,L186*Costs!AR186,"")</f>
        <v/>
      </c>
      <c r="AL186" s="316" t="str">
        <f>IF(AL$225&lt;=time,M186*Costs!AS186,"")</f>
        <v/>
      </c>
      <c r="AM186" s="316" t="str">
        <f>IF(AM$225&lt;=time,N186*Costs!AT186,"")</f>
        <v/>
      </c>
      <c r="AN186" s="316" t="str">
        <f>IF(AN$225&lt;=time,O186*Costs!AU186,"")</f>
        <v/>
      </c>
      <c r="AO186" s="316" t="str">
        <f>IF(AO$225&lt;=time,P186*Costs!AV186,"")</f>
        <v/>
      </c>
      <c r="AP186" s="316" t="str">
        <f>IF(AP$225&lt;=time,Q186*Costs!AW186,"")</f>
        <v/>
      </c>
      <c r="AQ186" s="316" t="str">
        <f>IF(AQ$225&lt;=time,R186*Costs!AX186,"")</f>
        <v/>
      </c>
      <c r="AR186" s="316" t="str">
        <f>IF(AR$225&lt;=time,S186*Costs!AY186,"")</f>
        <v/>
      </c>
      <c r="AS186" s="316" t="str">
        <f>IF(AS$225&lt;=time,T186*Costs!AZ186,"")</f>
        <v/>
      </c>
      <c r="AT186" s="316" t="str">
        <f>IF(AT$225&lt;=time,U186*Costs!BA186,"")</f>
        <v/>
      </c>
      <c r="AU186" s="316" t="str">
        <f>IF(AU$225&lt;=time,V186*Costs!BB186,"")</f>
        <v/>
      </c>
      <c r="AV186" s="316" t="str">
        <f>IF(AV$225&lt;=time,W186*Costs!BC186,"")</f>
        <v/>
      </c>
      <c r="AW186" s="316" t="str">
        <f>IF(AW$225&lt;=time,X186*Costs!BD186,"")</f>
        <v/>
      </c>
      <c r="AX186" s="316" t="str">
        <f>IF(AX$225&lt;=time,Y186*Costs!BE186,"")</f>
        <v/>
      </c>
      <c r="AY186" s="316" t="str">
        <f>IF(AY$225&lt;=time,Z186*Costs!BF186,"")</f>
        <v/>
      </c>
      <c r="AZ186" s="317">
        <f t="array" ref="AZ186">(SUM( IF(ISERROR(AA186:AY186),"", AA186:AY186)))/time</f>
        <v>0</v>
      </c>
      <c r="BA186" s="317">
        <f t="shared" si="38"/>
        <v>0</v>
      </c>
      <c r="BB186" s="318">
        <f t="shared" si="48"/>
        <v>0</v>
      </c>
      <c r="BC186" s="319">
        <v>8</v>
      </c>
      <c r="BE186" s="208" t="e">
        <f t="array" ref="BE186">STDEV(IF(AA186:AY186&lt;&gt;0,AA186:AY186))</f>
        <v>#DIV/0!</v>
      </c>
      <c r="BF186" s="208">
        <v>1.96</v>
      </c>
      <c r="BG186" s="208" t="e">
        <f t="shared" si="49"/>
        <v>#DIV/0!</v>
      </c>
      <c r="BH186" s="208">
        <f t="shared" si="50"/>
        <v>0</v>
      </c>
    </row>
    <row r="187" spans="1:60" hidden="1">
      <c r="A187" s="322" t="str">
        <f>Costs!A187</f>
        <v>Training 9</v>
      </c>
      <c r="B187" s="313"/>
      <c r="C187" s="313"/>
      <c r="D187" s="313"/>
      <c r="E187" s="313"/>
      <c r="F187" s="313"/>
      <c r="G187" s="313"/>
      <c r="H187" s="313"/>
      <c r="I187" s="313"/>
      <c r="J187" s="313"/>
      <c r="K187" s="313"/>
      <c r="L187" s="313"/>
      <c r="M187" s="313"/>
      <c r="N187" s="313"/>
      <c r="O187" s="313"/>
      <c r="P187" s="313"/>
      <c r="Q187" s="313"/>
      <c r="R187" s="313"/>
      <c r="S187" s="313"/>
      <c r="T187" s="313"/>
      <c r="U187" s="313"/>
      <c r="V187" s="313"/>
      <c r="W187" s="313"/>
      <c r="X187" s="313"/>
      <c r="Y187" s="313"/>
      <c r="Z187" s="314"/>
      <c r="AA187" s="315">
        <f>IF(AA$225&lt;=time,B187*Costs!AH187,"")</f>
        <v>0</v>
      </c>
      <c r="AB187" s="316">
        <f>IF(AB$225&lt;=time,C187*Costs!AI187,"")</f>
        <v>0</v>
      </c>
      <c r="AC187" s="316">
        <f>IF(AC$225&lt;=time,D187*Costs!AJ187,"")</f>
        <v>0</v>
      </c>
      <c r="AD187" s="316">
        <f>IF(AD$225&lt;=time,E187*Costs!AK187,"")</f>
        <v>0</v>
      </c>
      <c r="AE187" s="316">
        <f>IF(AE$225&lt;=time,F187*Costs!AL187,"")</f>
        <v>0</v>
      </c>
      <c r="AF187" s="316" t="str">
        <f>IF(AF$225&lt;=time,G187*Costs!AM187,"")</f>
        <v/>
      </c>
      <c r="AG187" s="316" t="str">
        <f>IF(AG$225&lt;=time,H187*Costs!AN187,"")</f>
        <v/>
      </c>
      <c r="AH187" s="316" t="str">
        <f>IF(AH$225&lt;=time,I187*Costs!AO187,"")</f>
        <v/>
      </c>
      <c r="AI187" s="316" t="str">
        <f>IF(AI$225&lt;=time,J187*Costs!AP187,"")</f>
        <v/>
      </c>
      <c r="AJ187" s="316" t="str">
        <f>IF(AJ$225&lt;=time,K187*Costs!AQ187,"")</f>
        <v/>
      </c>
      <c r="AK187" s="316" t="str">
        <f>IF(AK$225&lt;=time,L187*Costs!AR187,"")</f>
        <v/>
      </c>
      <c r="AL187" s="316" t="str">
        <f>IF(AL$225&lt;=time,M187*Costs!AS187,"")</f>
        <v/>
      </c>
      <c r="AM187" s="316" t="str">
        <f>IF(AM$225&lt;=time,N187*Costs!AT187,"")</f>
        <v/>
      </c>
      <c r="AN187" s="316" t="str">
        <f>IF(AN$225&lt;=time,O187*Costs!AU187,"")</f>
        <v/>
      </c>
      <c r="AO187" s="316" t="str">
        <f>IF(AO$225&lt;=time,P187*Costs!AV187,"")</f>
        <v/>
      </c>
      <c r="AP187" s="316" t="str">
        <f>IF(AP$225&lt;=time,Q187*Costs!AW187,"")</f>
        <v/>
      </c>
      <c r="AQ187" s="316" t="str">
        <f>IF(AQ$225&lt;=time,R187*Costs!AX187,"")</f>
        <v/>
      </c>
      <c r="AR187" s="316" t="str">
        <f>IF(AR$225&lt;=time,S187*Costs!AY187,"")</f>
        <v/>
      </c>
      <c r="AS187" s="316" t="str">
        <f>IF(AS$225&lt;=time,T187*Costs!AZ187,"")</f>
        <v/>
      </c>
      <c r="AT187" s="316" t="str">
        <f>IF(AT$225&lt;=time,U187*Costs!BA187,"")</f>
        <v/>
      </c>
      <c r="AU187" s="316" t="str">
        <f>IF(AU$225&lt;=time,V187*Costs!BB187,"")</f>
        <v/>
      </c>
      <c r="AV187" s="316" t="str">
        <f>IF(AV$225&lt;=time,W187*Costs!BC187,"")</f>
        <v/>
      </c>
      <c r="AW187" s="316" t="str">
        <f>IF(AW$225&lt;=time,X187*Costs!BD187,"")</f>
        <v/>
      </c>
      <c r="AX187" s="316" t="str">
        <f>IF(AX$225&lt;=time,Y187*Costs!BE187,"")</f>
        <v/>
      </c>
      <c r="AY187" s="316" t="str">
        <f>IF(AY$225&lt;=time,Z187*Costs!BF187,"")</f>
        <v/>
      </c>
      <c r="AZ187" s="317">
        <f t="array" ref="AZ187">(SUM( IF(ISERROR(AA187:AY187),"", AA187:AY187)))/time</f>
        <v>0</v>
      </c>
      <c r="BA187" s="317">
        <f t="shared" si="38"/>
        <v>0</v>
      </c>
      <c r="BB187" s="318">
        <f t="shared" si="48"/>
        <v>0</v>
      </c>
      <c r="BC187" s="319">
        <v>9</v>
      </c>
      <c r="BE187" s="208" t="e">
        <f t="array" ref="BE187">STDEV(IF(AA187:AY187&lt;&gt;0,AA187:AY187))</f>
        <v>#DIV/0!</v>
      </c>
      <c r="BF187" s="208">
        <v>1.96</v>
      </c>
      <c r="BG187" s="208" t="e">
        <f t="shared" si="49"/>
        <v>#DIV/0!</v>
      </c>
      <c r="BH187" s="208">
        <f t="shared" si="50"/>
        <v>0</v>
      </c>
    </row>
    <row r="188" spans="1:60" hidden="1">
      <c r="A188" s="322" t="str">
        <f>Costs!A188</f>
        <v>Training 10</v>
      </c>
      <c r="B188" s="313"/>
      <c r="C188" s="313"/>
      <c r="D188" s="313"/>
      <c r="E188" s="313"/>
      <c r="F188" s="313"/>
      <c r="G188" s="313"/>
      <c r="H188" s="313"/>
      <c r="I188" s="313"/>
      <c r="J188" s="313"/>
      <c r="K188" s="313"/>
      <c r="L188" s="313"/>
      <c r="M188" s="313"/>
      <c r="N188" s="313"/>
      <c r="O188" s="313"/>
      <c r="P188" s="313"/>
      <c r="Q188" s="313"/>
      <c r="R188" s="313"/>
      <c r="S188" s="313"/>
      <c r="T188" s="313"/>
      <c r="U188" s="313"/>
      <c r="V188" s="313"/>
      <c r="W188" s="313"/>
      <c r="X188" s="313"/>
      <c r="Y188" s="313"/>
      <c r="Z188" s="314"/>
      <c r="AA188" s="315">
        <f>IF(AA$225&lt;=time,B188*Costs!AH188,"")</f>
        <v>0</v>
      </c>
      <c r="AB188" s="316">
        <f>IF(AB$225&lt;=time,C188*Costs!AI188,"")</f>
        <v>0</v>
      </c>
      <c r="AC188" s="316">
        <f>IF(AC$225&lt;=time,D188*Costs!AJ188,"")</f>
        <v>0</v>
      </c>
      <c r="AD188" s="316">
        <f>IF(AD$225&lt;=time,E188*Costs!AK188,"")</f>
        <v>0</v>
      </c>
      <c r="AE188" s="316">
        <f>IF(AE$225&lt;=time,F188*Costs!AL188,"")</f>
        <v>0</v>
      </c>
      <c r="AF188" s="316" t="str">
        <f>IF(AF$225&lt;=time,G188*Costs!AM188,"")</f>
        <v/>
      </c>
      <c r="AG188" s="316" t="str">
        <f>IF(AG$225&lt;=time,H188*Costs!AN188,"")</f>
        <v/>
      </c>
      <c r="AH188" s="316" t="str">
        <f>IF(AH$225&lt;=time,I188*Costs!AO188,"")</f>
        <v/>
      </c>
      <c r="AI188" s="316" t="str">
        <f>IF(AI$225&lt;=time,J188*Costs!AP188,"")</f>
        <v/>
      </c>
      <c r="AJ188" s="316" t="str">
        <f>IF(AJ$225&lt;=time,K188*Costs!AQ188,"")</f>
        <v/>
      </c>
      <c r="AK188" s="316" t="str">
        <f>IF(AK$225&lt;=time,L188*Costs!AR188,"")</f>
        <v/>
      </c>
      <c r="AL188" s="316" t="str">
        <f>IF(AL$225&lt;=time,M188*Costs!AS188,"")</f>
        <v/>
      </c>
      <c r="AM188" s="316" t="str">
        <f>IF(AM$225&lt;=time,N188*Costs!AT188,"")</f>
        <v/>
      </c>
      <c r="AN188" s="316" t="str">
        <f>IF(AN$225&lt;=time,O188*Costs!AU188,"")</f>
        <v/>
      </c>
      <c r="AO188" s="316" t="str">
        <f>IF(AO$225&lt;=time,P188*Costs!AV188,"")</f>
        <v/>
      </c>
      <c r="AP188" s="316" t="str">
        <f>IF(AP$225&lt;=time,Q188*Costs!AW188,"")</f>
        <v/>
      </c>
      <c r="AQ188" s="316" t="str">
        <f>IF(AQ$225&lt;=time,R188*Costs!AX188,"")</f>
        <v/>
      </c>
      <c r="AR188" s="316" t="str">
        <f>IF(AR$225&lt;=time,S188*Costs!AY188,"")</f>
        <v/>
      </c>
      <c r="AS188" s="316" t="str">
        <f>IF(AS$225&lt;=time,T188*Costs!AZ188,"")</f>
        <v/>
      </c>
      <c r="AT188" s="316" t="str">
        <f>IF(AT$225&lt;=time,U188*Costs!BA188,"")</f>
        <v/>
      </c>
      <c r="AU188" s="316" t="str">
        <f>IF(AU$225&lt;=time,V188*Costs!BB188,"")</f>
        <v/>
      </c>
      <c r="AV188" s="316" t="str">
        <f>IF(AV$225&lt;=time,W188*Costs!BC188,"")</f>
        <v/>
      </c>
      <c r="AW188" s="316" t="str">
        <f>IF(AW$225&lt;=time,X188*Costs!BD188,"")</f>
        <v/>
      </c>
      <c r="AX188" s="316" t="str">
        <f>IF(AX$225&lt;=time,Y188*Costs!BE188,"")</f>
        <v/>
      </c>
      <c r="AY188" s="316" t="str">
        <f>IF(AY$225&lt;=time,Z188*Costs!BF188,"")</f>
        <v/>
      </c>
      <c r="AZ188" s="317">
        <f t="array" ref="AZ188">(SUM( IF(ISERROR(AA188:AY188),"", AA188:AY188)))/time</f>
        <v>0</v>
      </c>
      <c r="BA188" s="317">
        <f t="shared" si="38"/>
        <v>0</v>
      </c>
      <c r="BB188" s="318">
        <f t="shared" si="48"/>
        <v>0</v>
      </c>
      <c r="BC188" s="319">
        <v>10</v>
      </c>
      <c r="BE188" s="208" t="e">
        <f t="array" ref="BE188">STDEV(IF(AA188:AY188&lt;&gt;0,AA188:AY188))</f>
        <v>#DIV/0!</v>
      </c>
      <c r="BF188" s="208">
        <v>1.96</v>
      </c>
      <c r="BG188" s="208" t="e">
        <f t="shared" si="49"/>
        <v>#DIV/0!</v>
      </c>
      <c r="BH188" s="208">
        <f t="shared" si="50"/>
        <v>0</v>
      </c>
    </row>
    <row r="189" spans="1:60" s="11" customFormat="1">
      <c r="A189" s="233" t="s">
        <v>10</v>
      </c>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321"/>
      <c r="AA189" s="233"/>
      <c r="AB189" s="96"/>
      <c r="AC189" s="96"/>
      <c r="AD189" s="96"/>
      <c r="AE189" s="96"/>
      <c r="AF189" s="96"/>
      <c r="AG189" s="96"/>
      <c r="AH189" s="96"/>
      <c r="AI189" s="96"/>
      <c r="AJ189" s="96"/>
      <c r="AK189" s="96"/>
      <c r="AL189" s="96"/>
      <c r="AM189" s="96"/>
      <c r="AN189" s="96"/>
      <c r="AO189" s="96"/>
      <c r="AP189" s="96"/>
      <c r="AQ189" s="96"/>
      <c r="AR189" s="96"/>
      <c r="AS189" s="96"/>
      <c r="AT189" s="96"/>
      <c r="AU189" s="96"/>
      <c r="AV189" s="96"/>
      <c r="AW189" s="96"/>
      <c r="AX189" s="96"/>
      <c r="AY189" s="96"/>
      <c r="BB189" s="211"/>
    </row>
    <row r="190" spans="1:60">
      <c r="A190" s="32" t="str">
        <f>Costs!A190</f>
        <v>Other Costs 1</v>
      </c>
      <c r="B190" s="865"/>
      <c r="C190" s="865"/>
      <c r="D190" s="865"/>
      <c r="E190" s="313"/>
      <c r="F190" s="313"/>
      <c r="G190" s="313"/>
      <c r="H190" s="313"/>
      <c r="I190" s="313"/>
      <c r="J190" s="313"/>
      <c r="K190" s="313"/>
      <c r="L190" s="313"/>
      <c r="M190" s="313"/>
      <c r="N190" s="313"/>
      <c r="O190" s="313"/>
      <c r="P190" s="313"/>
      <c r="Q190" s="313"/>
      <c r="R190" s="313"/>
      <c r="S190" s="313"/>
      <c r="T190" s="313"/>
      <c r="U190" s="313"/>
      <c r="V190" s="313"/>
      <c r="W190" s="313"/>
      <c r="X190" s="313"/>
      <c r="Y190" s="313"/>
      <c r="Z190" s="314"/>
      <c r="AA190" s="315">
        <f>IF(AA$225&lt;=time,B190*Costs!AH190,"")</f>
        <v>0</v>
      </c>
      <c r="AB190" s="316">
        <f>IF(AB$225&lt;=time,C190*Costs!AI190,"")</f>
        <v>0</v>
      </c>
      <c r="AC190" s="316">
        <f>IF(AC$225&lt;=time,D190*Costs!AJ190,"")</f>
        <v>0</v>
      </c>
      <c r="AD190" s="316">
        <f>IF(AD$225&lt;=time,E190*Costs!AK190,"")</f>
        <v>0</v>
      </c>
      <c r="AE190" s="316">
        <f>IF(AE$225&lt;=time,F190*Costs!AL190,"")</f>
        <v>0</v>
      </c>
      <c r="AF190" s="316" t="str">
        <f>IF(AF$225&lt;=time,G190*Costs!AM190,"")</f>
        <v/>
      </c>
      <c r="AG190" s="316" t="str">
        <f>IF(AG$225&lt;=time,H190*Costs!AN190,"")</f>
        <v/>
      </c>
      <c r="AH190" s="316" t="str">
        <f>IF(AH$225&lt;=time,I190*Costs!AO190,"")</f>
        <v/>
      </c>
      <c r="AI190" s="316" t="str">
        <f>IF(AI$225&lt;=time,J190*Costs!AP190,"")</f>
        <v/>
      </c>
      <c r="AJ190" s="316" t="str">
        <f>IF(AJ$225&lt;=time,K190*Costs!AQ190,"")</f>
        <v/>
      </c>
      <c r="AK190" s="316" t="str">
        <f>IF(AK$225&lt;=time,L190*Costs!AR190,"")</f>
        <v/>
      </c>
      <c r="AL190" s="316" t="str">
        <f>IF(AL$225&lt;=time,M190*Costs!AS190,"")</f>
        <v/>
      </c>
      <c r="AM190" s="316" t="str">
        <f>IF(AM$225&lt;=time,N190*Costs!AT190,"")</f>
        <v/>
      </c>
      <c r="AN190" s="316" t="str">
        <f>IF(AN$225&lt;=time,O190*Costs!AU190,"")</f>
        <v/>
      </c>
      <c r="AO190" s="316" t="str">
        <f>IF(AO$225&lt;=time,P190*Costs!AV190,"")</f>
        <v/>
      </c>
      <c r="AP190" s="316" t="str">
        <f>IF(AP$225&lt;=time,Q190*Costs!AW190,"")</f>
        <v/>
      </c>
      <c r="AQ190" s="316" t="str">
        <f>IF(AQ$225&lt;=time,R190*Costs!AX190,"")</f>
        <v/>
      </c>
      <c r="AR190" s="316" t="str">
        <f>IF(AR$225&lt;=time,S190*Costs!AY190,"")</f>
        <v/>
      </c>
      <c r="AS190" s="316" t="str">
        <f>IF(AS$225&lt;=time,T190*Costs!AZ190,"")</f>
        <v/>
      </c>
      <c r="AT190" s="316" t="str">
        <f>IF(AT$225&lt;=time,U190*Costs!BA190,"")</f>
        <v/>
      </c>
      <c r="AU190" s="316" t="str">
        <f>IF(AU$225&lt;=time,V190*Costs!BB190,"")</f>
        <v/>
      </c>
      <c r="AV190" s="316" t="str">
        <f>IF(AV$225&lt;=time,W190*Costs!BC190,"")</f>
        <v/>
      </c>
      <c r="AW190" s="316" t="str">
        <f>IF(AW$225&lt;=time,X190*Costs!BD190,"")</f>
        <v/>
      </c>
      <c r="AX190" s="316" t="str">
        <f>IF(AX$225&lt;=time,Y190*Costs!BE190,"")</f>
        <v/>
      </c>
      <c r="AY190" s="316" t="str">
        <f>IF(AY$225&lt;=time,Z190*Costs!BF190,"")</f>
        <v/>
      </c>
      <c r="AZ190" s="317">
        <f t="array" ref="AZ190">(SUM( IF(ISERROR(AA190:AY190),"", AA190:AY190)))/time</f>
        <v>0</v>
      </c>
      <c r="BA190" s="317">
        <f t="shared" si="38"/>
        <v>0</v>
      </c>
      <c r="BB190" s="318">
        <f t="shared" ref="BB190:BB199" si="51">IF(BH190&gt;0,AZ190+BG190,AZ190)</f>
        <v>0</v>
      </c>
      <c r="BC190" s="319">
        <v>1</v>
      </c>
      <c r="BE190" s="208" t="e">
        <f t="array" ref="BE190">STDEV(IF(AA190:AY190&lt;&gt;0,AA190:AY190))</f>
        <v>#DIV/0!</v>
      </c>
      <c r="BF190" s="208">
        <v>1.96</v>
      </c>
      <c r="BG190" s="208" t="e">
        <f t="shared" ref="BG190:BG199" si="52">(BF190*BE190)/(time^0.5)</f>
        <v>#DIV/0!</v>
      </c>
      <c r="BH190" s="208">
        <f t="shared" ref="BH190:BH199" si="53">IFERROR(BE190,0)</f>
        <v>0</v>
      </c>
    </row>
    <row r="191" spans="1:60" hidden="1">
      <c r="A191" s="322" t="str">
        <f>Costs!A191</f>
        <v>Other Costs 2</v>
      </c>
      <c r="B191" s="313"/>
      <c r="C191" s="313"/>
      <c r="D191" s="313"/>
      <c r="E191" s="313"/>
      <c r="F191" s="313"/>
      <c r="G191" s="313"/>
      <c r="H191" s="313"/>
      <c r="I191" s="313"/>
      <c r="J191" s="313"/>
      <c r="K191" s="313"/>
      <c r="L191" s="313"/>
      <c r="M191" s="313"/>
      <c r="N191" s="313"/>
      <c r="O191" s="313"/>
      <c r="P191" s="313"/>
      <c r="Q191" s="313"/>
      <c r="R191" s="313"/>
      <c r="S191" s="313"/>
      <c r="T191" s="313"/>
      <c r="U191" s="313"/>
      <c r="V191" s="313"/>
      <c r="W191" s="313"/>
      <c r="X191" s="313"/>
      <c r="Y191" s="313"/>
      <c r="Z191" s="314"/>
      <c r="AA191" s="315">
        <f>IF(AA$225&lt;=time,B191*Costs!AH191,"")</f>
        <v>0</v>
      </c>
      <c r="AB191" s="316">
        <f>IF(AB$225&lt;=time,C191*Costs!AI191,"")</f>
        <v>0</v>
      </c>
      <c r="AC191" s="316">
        <f>IF(AC$225&lt;=time,D191*Costs!AJ191,"")</f>
        <v>0</v>
      </c>
      <c r="AD191" s="316">
        <f>IF(AD$225&lt;=time,E191*Costs!AK191,"")</f>
        <v>0</v>
      </c>
      <c r="AE191" s="316">
        <f>IF(AE$225&lt;=time,F191*Costs!AL191,"")</f>
        <v>0</v>
      </c>
      <c r="AF191" s="316" t="str">
        <f>IF(AF$225&lt;=time,G191*Costs!AM191,"")</f>
        <v/>
      </c>
      <c r="AG191" s="316" t="str">
        <f>IF(AG$225&lt;=time,H191*Costs!AN191,"")</f>
        <v/>
      </c>
      <c r="AH191" s="316" t="str">
        <f>IF(AH$225&lt;=time,I191*Costs!AO191,"")</f>
        <v/>
      </c>
      <c r="AI191" s="316" t="str">
        <f>IF(AI$225&lt;=time,J191*Costs!AP191,"")</f>
        <v/>
      </c>
      <c r="AJ191" s="316" t="str">
        <f>IF(AJ$225&lt;=time,K191*Costs!AQ191,"")</f>
        <v/>
      </c>
      <c r="AK191" s="316" t="str">
        <f>IF(AK$225&lt;=time,L191*Costs!AR191,"")</f>
        <v/>
      </c>
      <c r="AL191" s="316" t="str">
        <f>IF(AL$225&lt;=time,M191*Costs!AS191,"")</f>
        <v/>
      </c>
      <c r="AM191" s="316" t="str">
        <f>IF(AM$225&lt;=time,N191*Costs!AT191,"")</f>
        <v/>
      </c>
      <c r="AN191" s="316" t="str">
        <f>IF(AN$225&lt;=time,O191*Costs!AU191,"")</f>
        <v/>
      </c>
      <c r="AO191" s="316" t="str">
        <f>IF(AO$225&lt;=time,P191*Costs!AV191,"")</f>
        <v/>
      </c>
      <c r="AP191" s="316" t="str">
        <f>IF(AP$225&lt;=time,Q191*Costs!AW191,"")</f>
        <v/>
      </c>
      <c r="AQ191" s="316" t="str">
        <f>IF(AQ$225&lt;=time,R191*Costs!AX191,"")</f>
        <v/>
      </c>
      <c r="AR191" s="316" t="str">
        <f>IF(AR$225&lt;=time,S191*Costs!AY191,"")</f>
        <v/>
      </c>
      <c r="AS191" s="316" t="str">
        <f>IF(AS$225&lt;=time,T191*Costs!AZ191,"")</f>
        <v/>
      </c>
      <c r="AT191" s="316" t="str">
        <f>IF(AT$225&lt;=time,U191*Costs!BA191,"")</f>
        <v/>
      </c>
      <c r="AU191" s="316" t="str">
        <f>IF(AU$225&lt;=time,V191*Costs!BB191,"")</f>
        <v/>
      </c>
      <c r="AV191" s="316" t="str">
        <f>IF(AV$225&lt;=time,W191*Costs!BC191,"")</f>
        <v/>
      </c>
      <c r="AW191" s="316" t="str">
        <f>IF(AW$225&lt;=time,X191*Costs!BD191,"")</f>
        <v/>
      </c>
      <c r="AX191" s="316" t="str">
        <f>IF(AX$225&lt;=time,Y191*Costs!BE191,"")</f>
        <v/>
      </c>
      <c r="AY191" s="316" t="str">
        <f>IF(AY$225&lt;=time,Z191*Costs!BF191,"")</f>
        <v/>
      </c>
      <c r="AZ191" s="317">
        <f t="array" ref="AZ191">(SUM( IF(ISERROR(AA191:AY191),"", AA191:AY191)))/time</f>
        <v>0</v>
      </c>
      <c r="BA191" s="317">
        <f t="shared" si="38"/>
        <v>0</v>
      </c>
      <c r="BB191" s="318">
        <f t="shared" si="51"/>
        <v>0</v>
      </c>
      <c r="BC191" s="319">
        <v>2</v>
      </c>
      <c r="BE191" s="208" t="e">
        <f t="array" ref="BE191">STDEV(IF(AA191:AY191&lt;&gt;0,AA191:AY191))</f>
        <v>#DIV/0!</v>
      </c>
      <c r="BF191" s="208">
        <v>1.96</v>
      </c>
      <c r="BG191" s="208" t="e">
        <f t="shared" si="52"/>
        <v>#DIV/0!</v>
      </c>
      <c r="BH191" s="208">
        <f t="shared" si="53"/>
        <v>0</v>
      </c>
    </row>
    <row r="192" spans="1:60" hidden="1">
      <c r="A192" s="322" t="str">
        <f>Costs!A192</f>
        <v>Other Costs 3</v>
      </c>
      <c r="B192" s="313"/>
      <c r="C192" s="313"/>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4"/>
      <c r="AA192" s="315">
        <f>IF(AA$225&lt;=time,B192*Costs!AH192,"")</f>
        <v>0</v>
      </c>
      <c r="AB192" s="316">
        <f>IF(AB$225&lt;=time,C192*Costs!AI192,"")</f>
        <v>0</v>
      </c>
      <c r="AC192" s="316">
        <f>IF(AC$225&lt;=time,D192*Costs!AJ192,"")</f>
        <v>0</v>
      </c>
      <c r="AD192" s="316">
        <f>IF(AD$225&lt;=time,E192*Costs!AK192,"")</f>
        <v>0</v>
      </c>
      <c r="AE192" s="316">
        <f>IF(AE$225&lt;=time,F192*Costs!AL192,"")</f>
        <v>0</v>
      </c>
      <c r="AF192" s="316" t="str">
        <f>IF(AF$225&lt;=time,G192*Costs!AM192,"")</f>
        <v/>
      </c>
      <c r="AG192" s="316" t="str">
        <f>IF(AG$225&lt;=time,H192*Costs!AN192,"")</f>
        <v/>
      </c>
      <c r="AH192" s="316" t="str">
        <f>IF(AH$225&lt;=time,I192*Costs!AO192,"")</f>
        <v/>
      </c>
      <c r="AI192" s="316" t="str">
        <f>IF(AI$225&lt;=time,J192*Costs!AP192,"")</f>
        <v/>
      </c>
      <c r="AJ192" s="316" t="str">
        <f>IF(AJ$225&lt;=time,K192*Costs!AQ192,"")</f>
        <v/>
      </c>
      <c r="AK192" s="316" t="str">
        <f>IF(AK$225&lt;=time,L192*Costs!AR192,"")</f>
        <v/>
      </c>
      <c r="AL192" s="316" t="str">
        <f>IF(AL$225&lt;=time,M192*Costs!AS192,"")</f>
        <v/>
      </c>
      <c r="AM192" s="316" t="str">
        <f>IF(AM$225&lt;=time,N192*Costs!AT192,"")</f>
        <v/>
      </c>
      <c r="AN192" s="316" t="str">
        <f>IF(AN$225&lt;=time,O192*Costs!AU192,"")</f>
        <v/>
      </c>
      <c r="AO192" s="316" t="str">
        <f>IF(AO$225&lt;=time,P192*Costs!AV192,"")</f>
        <v/>
      </c>
      <c r="AP192" s="316" t="str">
        <f>IF(AP$225&lt;=time,Q192*Costs!AW192,"")</f>
        <v/>
      </c>
      <c r="AQ192" s="316" t="str">
        <f>IF(AQ$225&lt;=time,R192*Costs!AX192,"")</f>
        <v/>
      </c>
      <c r="AR192" s="316" t="str">
        <f>IF(AR$225&lt;=time,S192*Costs!AY192,"")</f>
        <v/>
      </c>
      <c r="AS192" s="316" t="str">
        <f>IF(AS$225&lt;=time,T192*Costs!AZ192,"")</f>
        <v/>
      </c>
      <c r="AT192" s="316" t="str">
        <f>IF(AT$225&lt;=time,U192*Costs!BA192,"")</f>
        <v/>
      </c>
      <c r="AU192" s="316" t="str">
        <f>IF(AU$225&lt;=time,V192*Costs!BB192,"")</f>
        <v/>
      </c>
      <c r="AV192" s="316" t="str">
        <f>IF(AV$225&lt;=time,W192*Costs!BC192,"")</f>
        <v/>
      </c>
      <c r="AW192" s="316" t="str">
        <f>IF(AW$225&lt;=time,X192*Costs!BD192,"")</f>
        <v/>
      </c>
      <c r="AX192" s="316" t="str">
        <f>IF(AX$225&lt;=time,Y192*Costs!BE192,"")</f>
        <v/>
      </c>
      <c r="AY192" s="316" t="str">
        <f>IF(AY$225&lt;=time,Z192*Costs!BF192,"")</f>
        <v/>
      </c>
      <c r="AZ192" s="317">
        <f t="array" ref="AZ192">(SUM( IF(ISERROR(AA192:AY192),"", AA192:AY192)))/time</f>
        <v>0</v>
      </c>
      <c r="BA192" s="317">
        <f t="shared" si="38"/>
        <v>0</v>
      </c>
      <c r="BB192" s="318">
        <f t="shared" si="51"/>
        <v>0</v>
      </c>
      <c r="BC192" s="319">
        <v>3</v>
      </c>
      <c r="BE192" s="208" t="e">
        <f t="array" ref="BE192">STDEV(IF(AA192:AY192&lt;&gt;0,AA192:AY192))</f>
        <v>#DIV/0!</v>
      </c>
      <c r="BF192" s="208">
        <v>1.96</v>
      </c>
      <c r="BG192" s="208" t="e">
        <f t="shared" si="52"/>
        <v>#DIV/0!</v>
      </c>
      <c r="BH192" s="208">
        <f t="shared" si="53"/>
        <v>0</v>
      </c>
    </row>
    <row r="193" spans="1:60" hidden="1">
      <c r="A193" s="322" t="str">
        <f>Costs!A193</f>
        <v>Other Costs 4</v>
      </c>
      <c r="B193" s="313"/>
      <c r="C193" s="313"/>
      <c r="D193" s="313"/>
      <c r="E193" s="313"/>
      <c r="F193" s="313"/>
      <c r="G193" s="313"/>
      <c r="H193" s="313"/>
      <c r="I193" s="313"/>
      <c r="J193" s="313"/>
      <c r="K193" s="313"/>
      <c r="L193" s="313"/>
      <c r="M193" s="313"/>
      <c r="N193" s="313"/>
      <c r="O193" s="313"/>
      <c r="P193" s="313"/>
      <c r="Q193" s="313"/>
      <c r="R193" s="313"/>
      <c r="S193" s="313"/>
      <c r="T193" s="313"/>
      <c r="U193" s="313"/>
      <c r="V193" s="313"/>
      <c r="W193" s="313"/>
      <c r="X193" s="313"/>
      <c r="Y193" s="313"/>
      <c r="Z193" s="314"/>
      <c r="AA193" s="315">
        <f>IF(AA$225&lt;=time,B193*Costs!AH193,"")</f>
        <v>0</v>
      </c>
      <c r="AB193" s="316">
        <f>IF(AB$225&lt;=time,C193*Costs!AI193,"")</f>
        <v>0</v>
      </c>
      <c r="AC193" s="316">
        <f>IF(AC$225&lt;=time,D193*Costs!AJ193,"")</f>
        <v>0</v>
      </c>
      <c r="AD193" s="316">
        <f>IF(AD$225&lt;=time,E193*Costs!AK193,"")</f>
        <v>0</v>
      </c>
      <c r="AE193" s="316">
        <f>IF(AE$225&lt;=time,F193*Costs!AL193,"")</f>
        <v>0</v>
      </c>
      <c r="AF193" s="316" t="str">
        <f>IF(AF$225&lt;=time,G193*Costs!AM193,"")</f>
        <v/>
      </c>
      <c r="AG193" s="316" t="str">
        <f>IF(AG$225&lt;=time,H193*Costs!AN193,"")</f>
        <v/>
      </c>
      <c r="AH193" s="316" t="str">
        <f>IF(AH$225&lt;=time,I193*Costs!AO193,"")</f>
        <v/>
      </c>
      <c r="AI193" s="316" t="str">
        <f>IF(AI$225&lt;=time,J193*Costs!AP193,"")</f>
        <v/>
      </c>
      <c r="AJ193" s="316" t="str">
        <f>IF(AJ$225&lt;=time,K193*Costs!AQ193,"")</f>
        <v/>
      </c>
      <c r="AK193" s="316" t="str">
        <f>IF(AK$225&lt;=time,L193*Costs!AR193,"")</f>
        <v/>
      </c>
      <c r="AL193" s="316" t="str">
        <f>IF(AL$225&lt;=time,M193*Costs!AS193,"")</f>
        <v/>
      </c>
      <c r="AM193" s="316" t="str">
        <f>IF(AM$225&lt;=time,N193*Costs!AT193,"")</f>
        <v/>
      </c>
      <c r="AN193" s="316" t="str">
        <f>IF(AN$225&lt;=time,O193*Costs!AU193,"")</f>
        <v/>
      </c>
      <c r="AO193" s="316" t="str">
        <f>IF(AO$225&lt;=time,P193*Costs!AV193,"")</f>
        <v/>
      </c>
      <c r="AP193" s="316" t="str">
        <f>IF(AP$225&lt;=time,Q193*Costs!AW193,"")</f>
        <v/>
      </c>
      <c r="AQ193" s="316" t="str">
        <f>IF(AQ$225&lt;=time,R193*Costs!AX193,"")</f>
        <v/>
      </c>
      <c r="AR193" s="316" t="str">
        <f>IF(AR$225&lt;=time,S193*Costs!AY193,"")</f>
        <v/>
      </c>
      <c r="AS193" s="316" t="str">
        <f>IF(AS$225&lt;=time,T193*Costs!AZ193,"")</f>
        <v/>
      </c>
      <c r="AT193" s="316" t="str">
        <f>IF(AT$225&lt;=time,U193*Costs!BA193,"")</f>
        <v/>
      </c>
      <c r="AU193" s="316" t="str">
        <f>IF(AU$225&lt;=time,V193*Costs!BB193,"")</f>
        <v/>
      </c>
      <c r="AV193" s="316" t="str">
        <f>IF(AV$225&lt;=time,W193*Costs!BC193,"")</f>
        <v/>
      </c>
      <c r="AW193" s="316" t="str">
        <f>IF(AW$225&lt;=time,X193*Costs!BD193,"")</f>
        <v/>
      </c>
      <c r="AX193" s="316" t="str">
        <f>IF(AX$225&lt;=time,Y193*Costs!BE193,"")</f>
        <v/>
      </c>
      <c r="AY193" s="316" t="str">
        <f>IF(AY$225&lt;=time,Z193*Costs!BF193,"")</f>
        <v/>
      </c>
      <c r="AZ193" s="317">
        <f t="array" ref="AZ193">(SUM( IF(ISERROR(AA193:AY193),"", AA193:AY193)))/time</f>
        <v>0</v>
      </c>
      <c r="BA193" s="317">
        <f t="shared" si="38"/>
        <v>0</v>
      </c>
      <c r="BB193" s="318">
        <f t="shared" si="51"/>
        <v>0</v>
      </c>
      <c r="BC193" s="319">
        <v>4</v>
      </c>
      <c r="BE193" s="208" t="e">
        <f t="array" ref="BE193">STDEV(IF(AA193:AY193&lt;&gt;0,AA193:AY193))</f>
        <v>#DIV/0!</v>
      </c>
      <c r="BF193" s="208">
        <v>1.96</v>
      </c>
      <c r="BG193" s="208" t="e">
        <f t="shared" si="52"/>
        <v>#DIV/0!</v>
      </c>
      <c r="BH193" s="208">
        <f t="shared" si="53"/>
        <v>0</v>
      </c>
    </row>
    <row r="194" spans="1:60" hidden="1">
      <c r="A194" s="322" t="str">
        <f>Costs!A194</f>
        <v>Other Costs 5</v>
      </c>
      <c r="B194" s="313"/>
      <c r="C194" s="313"/>
      <c r="D194" s="313"/>
      <c r="E194" s="313"/>
      <c r="F194" s="313"/>
      <c r="G194" s="313"/>
      <c r="H194" s="313"/>
      <c r="I194" s="313"/>
      <c r="J194" s="313"/>
      <c r="K194" s="313"/>
      <c r="L194" s="313"/>
      <c r="M194" s="313"/>
      <c r="N194" s="313"/>
      <c r="O194" s="313"/>
      <c r="P194" s="313"/>
      <c r="Q194" s="313"/>
      <c r="R194" s="313"/>
      <c r="S194" s="313"/>
      <c r="T194" s="313"/>
      <c r="U194" s="313"/>
      <c r="V194" s="313"/>
      <c r="W194" s="313"/>
      <c r="X194" s="313"/>
      <c r="Y194" s="313"/>
      <c r="Z194" s="314"/>
      <c r="AA194" s="315">
        <f>IF(AA$225&lt;=time,B194*Costs!AH194,"")</f>
        <v>0</v>
      </c>
      <c r="AB194" s="316">
        <f>IF(AB$225&lt;=time,C194*Costs!AI194,"")</f>
        <v>0</v>
      </c>
      <c r="AC194" s="316">
        <f>IF(AC$225&lt;=time,D194*Costs!AJ194,"")</f>
        <v>0</v>
      </c>
      <c r="AD194" s="316">
        <f>IF(AD$225&lt;=time,E194*Costs!AK194,"")</f>
        <v>0</v>
      </c>
      <c r="AE194" s="316">
        <f>IF(AE$225&lt;=time,F194*Costs!AL194,"")</f>
        <v>0</v>
      </c>
      <c r="AF194" s="316" t="str">
        <f>IF(AF$225&lt;=time,G194*Costs!AM194,"")</f>
        <v/>
      </c>
      <c r="AG194" s="316" t="str">
        <f>IF(AG$225&lt;=time,H194*Costs!AN194,"")</f>
        <v/>
      </c>
      <c r="AH194" s="316" t="str">
        <f>IF(AH$225&lt;=time,I194*Costs!AO194,"")</f>
        <v/>
      </c>
      <c r="AI194" s="316" t="str">
        <f>IF(AI$225&lt;=time,J194*Costs!AP194,"")</f>
        <v/>
      </c>
      <c r="AJ194" s="316" t="str">
        <f>IF(AJ$225&lt;=time,K194*Costs!AQ194,"")</f>
        <v/>
      </c>
      <c r="AK194" s="316" t="str">
        <f>IF(AK$225&lt;=time,L194*Costs!AR194,"")</f>
        <v/>
      </c>
      <c r="AL194" s="316" t="str">
        <f>IF(AL$225&lt;=time,M194*Costs!AS194,"")</f>
        <v/>
      </c>
      <c r="AM194" s="316" t="str">
        <f>IF(AM$225&lt;=time,N194*Costs!AT194,"")</f>
        <v/>
      </c>
      <c r="AN194" s="316" t="str">
        <f>IF(AN$225&lt;=time,O194*Costs!AU194,"")</f>
        <v/>
      </c>
      <c r="AO194" s="316" t="str">
        <f>IF(AO$225&lt;=time,P194*Costs!AV194,"")</f>
        <v/>
      </c>
      <c r="AP194" s="316" t="str">
        <f>IF(AP$225&lt;=time,Q194*Costs!AW194,"")</f>
        <v/>
      </c>
      <c r="AQ194" s="316" t="str">
        <f>IF(AQ$225&lt;=time,R194*Costs!AX194,"")</f>
        <v/>
      </c>
      <c r="AR194" s="316" t="str">
        <f>IF(AR$225&lt;=time,S194*Costs!AY194,"")</f>
        <v/>
      </c>
      <c r="AS194" s="316" t="str">
        <f>IF(AS$225&lt;=time,T194*Costs!AZ194,"")</f>
        <v/>
      </c>
      <c r="AT194" s="316" t="str">
        <f>IF(AT$225&lt;=time,U194*Costs!BA194,"")</f>
        <v/>
      </c>
      <c r="AU194" s="316" t="str">
        <f>IF(AU$225&lt;=time,V194*Costs!BB194,"")</f>
        <v/>
      </c>
      <c r="AV194" s="316" t="str">
        <f>IF(AV$225&lt;=time,W194*Costs!BC194,"")</f>
        <v/>
      </c>
      <c r="AW194" s="316" t="str">
        <f>IF(AW$225&lt;=time,X194*Costs!BD194,"")</f>
        <v/>
      </c>
      <c r="AX194" s="316" t="str">
        <f>IF(AX$225&lt;=time,Y194*Costs!BE194,"")</f>
        <v/>
      </c>
      <c r="AY194" s="316" t="str">
        <f>IF(AY$225&lt;=time,Z194*Costs!BF194,"")</f>
        <v/>
      </c>
      <c r="AZ194" s="317">
        <f t="array" ref="AZ194">(SUM( IF(ISERROR(AA194:AY194),"", AA194:AY194)))/time</f>
        <v>0</v>
      </c>
      <c r="BA194" s="317">
        <f t="shared" si="38"/>
        <v>0</v>
      </c>
      <c r="BB194" s="318">
        <f t="shared" si="51"/>
        <v>0</v>
      </c>
      <c r="BC194" s="319">
        <v>5</v>
      </c>
      <c r="BE194" s="208" t="e">
        <f t="array" ref="BE194">STDEV(IF(AA194:AY194&lt;&gt;0,AA194:AY194))</f>
        <v>#DIV/0!</v>
      </c>
      <c r="BF194" s="208">
        <v>1.96</v>
      </c>
      <c r="BG194" s="208" t="e">
        <f t="shared" si="52"/>
        <v>#DIV/0!</v>
      </c>
      <c r="BH194" s="208">
        <f t="shared" si="53"/>
        <v>0</v>
      </c>
    </row>
    <row r="195" spans="1:60" hidden="1">
      <c r="A195" s="322" t="str">
        <f>Costs!A195</f>
        <v>Other Costs 6</v>
      </c>
      <c r="B195" s="313"/>
      <c r="C195" s="313"/>
      <c r="D195" s="313"/>
      <c r="E195" s="313"/>
      <c r="F195" s="313"/>
      <c r="G195" s="313"/>
      <c r="H195" s="313"/>
      <c r="I195" s="313"/>
      <c r="J195" s="313"/>
      <c r="K195" s="313"/>
      <c r="L195" s="313"/>
      <c r="M195" s="313"/>
      <c r="N195" s="313"/>
      <c r="O195" s="313"/>
      <c r="P195" s="313"/>
      <c r="Q195" s="313"/>
      <c r="R195" s="313"/>
      <c r="S195" s="313"/>
      <c r="T195" s="313"/>
      <c r="U195" s="313"/>
      <c r="V195" s="313"/>
      <c r="W195" s="313"/>
      <c r="X195" s="313"/>
      <c r="Y195" s="313"/>
      <c r="Z195" s="314"/>
      <c r="AA195" s="315">
        <f>IF(AA$225&lt;=time,B195*Costs!AH195,"")</f>
        <v>0</v>
      </c>
      <c r="AB195" s="316">
        <f>IF(AB$225&lt;=time,C195*Costs!AI195,"")</f>
        <v>0</v>
      </c>
      <c r="AC195" s="316">
        <f>IF(AC$225&lt;=time,D195*Costs!AJ195,"")</f>
        <v>0</v>
      </c>
      <c r="AD195" s="316">
        <f>IF(AD$225&lt;=time,E195*Costs!AK195,"")</f>
        <v>0</v>
      </c>
      <c r="AE195" s="316">
        <f>IF(AE$225&lt;=time,F195*Costs!AL195,"")</f>
        <v>0</v>
      </c>
      <c r="AF195" s="316" t="str">
        <f>IF(AF$225&lt;=time,G195*Costs!AM195,"")</f>
        <v/>
      </c>
      <c r="AG195" s="316" t="str">
        <f>IF(AG$225&lt;=time,H195*Costs!AN195,"")</f>
        <v/>
      </c>
      <c r="AH195" s="316" t="str">
        <f>IF(AH$225&lt;=time,I195*Costs!AO195,"")</f>
        <v/>
      </c>
      <c r="AI195" s="316" t="str">
        <f>IF(AI$225&lt;=time,J195*Costs!AP195,"")</f>
        <v/>
      </c>
      <c r="AJ195" s="316" t="str">
        <f>IF(AJ$225&lt;=time,K195*Costs!AQ195,"")</f>
        <v/>
      </c>
      <c r="AK195" s="316" t="str">
        <f>IF(AK$225&lt;=time,L195*Costs!AR195,"")</f>
        <v/>
      </c>
      <c r="AL195" s="316" t="str">
        <f>IF(AL$225&lt;=time,M195*Costs!AS195,"")</f>
        <v/>
      </c>
      <c r="AM195" s="316" t="str">
        <f>IF(AM$225&lt;=time,N195*Costs!AT195,"")</f>
        <v/>
      </c>
      <c r="AN195" s="316" t="str">
        <f>IF(AN$225&lt;=time,O195*Costs!AU195,"")</f>
        <v/>
      </c>
      <c r="AO195" s="316" t="str">
        <f>IF(AO$225&lt;=time,P195*Costs!AV195,"")</f>
        <v/>
      </c>
      <c r="AP195" s="316" t="str">
        <f>IF(AP$225&lt;=time,Q195*Costs!AW195,"")</f>
        <v/>
      </c>
      <c r="AQ195" s="316" t="str">
        <f>IF(AQ$225&lt;=time,R195*Costs!AX195,"")</f>
        <v/>
      </c>
      <c r="AR195" s="316" t="str">
        <f>IF(AR$225&lt;=time,S195*Costs!AY195,"")</f>
        <v/>
      </c>
      <c r="AS195" s="316" t="str">
        <f>IF(AS$225&lt;=time,T195*Costs!AZ195,"")</f>
        <v/>
      </c>
      <c r="AT195" s="316" t="str">
        <f>IF(AT$225&lt;=time,U195*Costs!BA195,"")</f>
        <v/>
      </c>
      <c r="AU195" s="316" t="str">
        <f>IF(AU$225&lt;=time,V195*Costs!BB195,"")</f>
        <v/>
      </c>
      <c r="AV195" s="316" t="str">
        <f>IF(AV$225&lt;=time,W195*Costs!BC195,"")</f>
        <v/>
      </c>
      <c r="AW195" s="316" t="str">
        <f>IF(AW$225&lt;=time,X195*Costs!BD195,"")</f>
        <v/>
      </c>
      <c r="AX195" s="316" t="str">
        <f>IF(AX$225&lt;=time,Y195*Costs!BE195,"")</f>
        <v/>
      </c>
      <c r="AY195" s="316" t="str">
        <f>IF(AY$225&lt;=time,Z195*Costs!BF195,"")</f>
        <v/>
      </c>
      <c r="AZ195" s="317">
        <f t="array" ref="AZ195">(SUM( IF(ISERROR(AA195:AY195),"", AA195:AY195)))/time</f>
        <v>0</v>
      </c>
      <c r="BA195" s="317">
        <f t="shared" si="38"/>
        <v>0</v>
      </c>
      <c r="BB195" s="318">
        <f t="shared" si="51"/>
        <v>0</v>
      </c>
      <c r="BC195" s="319">
        <v>6</v>
      </c>
      <c r="BE195" s="208" t="e">
        <f t="array" ref="BE195">STDEV(IF(AA195:AY195&lt;&gt;0,AA195:AY195))</f>
        <v>#DIV/0!</v>
      </c>
      <c r="BF195" s="208">
        <v>1.96</v>
      </c>
      <c r="BG195" s="208" t="e">
        <f t="shared" si="52"/>
        <v>#DIV/0!</v>
      </c>
      <c r="BH195" s="208">
        <f t="shared" si="53"/>
        <v>0</v>
      </c>
    </row>
    <row r="196" spans="1:60" hidden="1">
      <c r="A196" s="322" t="str">
        <f>Costs!A196</f>
        <v>Other Costs 7</v>
      </c>
      <c r="B196" s="313"/>
      <c r="C196" s="313"/>
      <c r="D196" s="313"/>
      <c r="E196" s="313"/>
      <c r="F196" s="313"/>
      <c r="G196" s="313"/>
      <c r="H196" s="313"/>
      <c r="I196" s="313"/>
      <c r="J196" s="313"/>
      <c r="K196" s="313"/>
      <c r="L196" s="313"/>
      <c r="M196" s="313"/>
      <c r="N196" s="313"/>
      <c r="O196" s="313"/>
      <c r="P196" s="313"/>
      <c r="Q196" s="313"/>
      <c r="R196" s="313"/>
      <c r="S196" s="313"/>
      <c r="T196" s="313"/>
      <c r="U196" s="313"/>
      <c r="V196" s="313"/>
      <c r="W196" s="313"/>
      <c r="X196" s="313"/>
      <c r="Y196" s="313"/>
      <c r="Z196" s="314"/>
      <c r="AA196" s="315">
        <f>IF(AA$225&lt;=time,B196*Costs!AH196,"")</f>
        <v>0</v>
      </c>
      <c r="AB196" s="316">
        <f>IF(AB$225&lt;=time,C196*Costs!AI196,"")</f>
        <v>0</v>
      </c>
      <c r="AC196" s="316">
        <f>IF(AC$225&lt;=time,D196*Costs!AJ196,"")</f>
        <v>0</v>
      </c>
      <c r="AD196" s="316">
        <f>IF(AD$225&lt;=time,E196*Costs!AK196,"")</f>
        <v>0</v>
      </c>
      <c r="AE196" s="316">
        <f>IF(AE$225&lt;=time,F196*Costs!AL196,"")</f>
        <v>0</v>
      </c>
      <c r="AF196" s="316" t="str">
        <f>IF(AF$225&lt;=time,G196*Costs!AM196,"")</f>
        <v/>
      </c>
      <c r="AG196" s="316" t="str">
        <f>IF(AG$225&lt;=time,H196*Costs!AN196,"")</f>
        <v/>
      </c>
      <c r="AH196" s="316" t="str">
        <f>IF(AH$225&lt;=time,I196*Costs!AO196,"")</f>
        <v/>
      </c>
      <c r="AI196" s="316" t="str">
        <f>IF(AI$225&lt;=time,J196*Costs!AP196,"")</f>
        <v/>
      </c>
      <c r="AJ196" s="316" t="str">
        <f>IF(AJ$225&lt;=time,K196*Costs!AQ196,"")</f>
        <v/>
      </c>
      <c r="AK196" s="316" t="str">
        <f>IF(AK$225&lt;=time,L196*Costs!AR196,"")</f>
        <v/>
      </c>
      <c r="AL196" s="316" t="str">
        <f>IF(AL$225&lt;=time,M196*Costs!AS196,"")</f>
        <v/>
      </c>
      <c r="AM196" s="316" t="str">
        <f>IF(AM$225&lt;=time,N196*Costs!AT196,"")</f>
        <v/>
      </c>
      <c r="AN196" s="316" t="str">
        <f>IF(AN$225&lt;=time,O196*Costs!AU196,"")</f>
        <v/>
      </c>
      <c r="AO196" s="316" t="str">
        <f>IF(AO$225&lt;=time,P196*Costs!AV196,"")</f>
        <v/>
      </c>
      <c r="AP196" s="316" t="str">
        <f>IF(AP$225&lt;=time,Q196*Costs!AW196,"")</f>
        <v/>
      </c>
      <c r="AQ196" s="316" t="str">
        <f>IF(AQ$225&lt;=time,R196*Costs!AX196,"")</f>
        <v/>
      </c>
      <c r="AR196" s="316" t="str">
        <f>IF(AR$225&lt;=time,S196*Costs!AY196,"")</f>
        <v/>
      </c>
      <c r="AS196" s="316" t="str">
        <f>IF(AS$225&lt;=time,T196*Costs!AZ196,"")</f>
        <v/>
      </c>
      <c r="AT196" s="316" t="str">
        <f>IF(AT$225&lt;=time,U196*Costs!BA196,"")</f>
        <v/>
      </c>
      <c r="AU196" s="316" t="str">
        <f>IF(AU$225&lt;=time,V196*Costs!BB196,"")</f>
        <v/>
      </c>
      <c r="AV196" s="316" t="str">
        <f>IF(AV$225&lt;=time,W196*Costs!BC196,"")</f>
        <v/>
      </c>
      <c r="AW196" s="316" t="str">
        <f>IF(AW$225&lt;=time,X196*Costs!BD196,"")</f>
        <v/>
      </c>
      <c r="AX196" s="316" t="str">
        <f>IF(AX$225&lt;=time,Y196*Costs!BE196,"")</f>
        <v/>
      </c>
      <c r="AY196" s="316" t="str">
        <f>IF(AY$225&lt;=time,Z196*Costs!BF196,"")</f>
        <v/>
      </c>
      <c r="AZ196" s="317">
        <f t="array" ref="AZ196">(SUM( IF(ISERROR(AA196:AY196),"", AA196:AY196)))/time</f>
        <v>0</v>
      </c>
      <c r="BA196" s="317">
        <f t="shared" si="38"/>
        <v>0</v>
      </c>
      <c r="BB196" s="318">
        <f t="shared" si="51"/>
        <v>0</v>
      </c>
      <c r="BC196" s="319">
        <v>7</v>
      </c>
      <c r="BE196" s="208" t="e">
        <f t="array" ref="BE196">STDEV(IF(AA196:AY196&lt;&gt;0,AA196:AY196))</f>
        <v>#DIV/0!</v>
      </c>
      <c r="BF196" s="208">
        <v>1.96</v>
      </c>
      <c r="BG196" s="208" t="e">
        <f t="shared" si="52"/>
        <v>#DIV/0!</v>
      </c>
      <c r="BH196" s="208">
        <f t="shared" si="53"/>
        <v>0</v>
      </c>
    </row>
    <row r="197" spans="1:60" hidden="1">
      <c r="A197" s="322" t="str">
        <f>Costs!A197</f>
        <v>Other Costs 8</v>
      </c>
      <c r="B197" s="313"/>
      <c r="C197" s="313"/>
      <c r="D197" s="313"/>
      <c r="E197" s="313"/>
      <c r="F197" s="313"/>
      <c r="G197" s="313"/>
      <c r="H197" s="313"/>
      <c r="I197" s="313"/>
      <c r="J197" s="313"/>
      <c r="K197" s="313"/>
      <c r="L197" s="313"/>
      <c r="M197" s="313"/>
      <c r="N197" s="313"/>
      <c r="O197" s="313"/>
      <c r="P197" s="313"/>
      <c r="Q197" s="313"/>
      <c r="R197" s="313"/>
      <c r="S197" s="313"/>
      <c r="T197" s="313"/>
      <c r="U197" s="313"/>
      <c r="V197" s="313"/>
      <c r="W197" s="313"/>
      <c r="X197" s="313"/>
      <c r="Y197" s="313"/>
      <c r="Z197" s="314"/>
      <c r="AA197" s="315">
        <f>IF(AA$225&lt;=time,B197*Costs!AH197,"")</f>
        <v>0</v>
      </c>
      <c r="AB197" s="316">
        <f>IF(AB$225&lt;=time,C197*Costs!AI197,"")</f>
        <v>0</v>
      </c>
      <c r="AC197" s="316">
        <f>IF(AC$225&lt;=time,D197*Costs!AJ197,"")</f>
        <v>0</v>
      </c>
      <c r="AD197" s="316">
        <f>IF(AD$225&lt;=time,E197*Costs!AK197,"")</f>
        <v>0</v>
      </c>
      <c r="AE197" s="316">
        <f>IF(AE$225&lt;=time,F197*Costs!AL197,"")</f>
        <v>0</v>
      </c>
      <c r="AF197" s="316" t="str">
        <f>IF(AF$225&lt;=time,G197*Costs!AM197,"")</f>
        <v/>
      </c>
      <c r="AG197" s="316" t="str">
        <f>IF(AG$225&lt;=time,H197*Costs!AN197,"")</f>
        <v/>
      </c>
      <c r="AH197" s="316" t="str">
        <f>IF(AH$225&lt;=time,I197*Costs!AO197,"")</f>
        <v/>
      </c>
      <c r="AI197" s="316" t="str">
        <f>IF(AI$225&lt;=time,J197*Costs!AP197,"")</f>
        <v/>
      </c>
      <c r="AJ197" s="316" t="str">
        <f>IF(AJ$225&lt;=time,K197*Costs!AQ197,"")</f>
        <v/>
      </c>
      <c r="AK197" s="316" t="str">
        <f>IF(AK$225&lt;=time,L197*Costs!AR197,"")</f>
        <v/>
      </c>
      <c r="AL197" s="316" t="str">
        <f>IF(AL$225&lt;=time,M197*Costs!AS197,"")</f>
        <v/>
      </c>
      <c r="AM197" s="316" t="str">
        <f>IF(AM$225&lt;=time,N197*Costs!AT197,"")</f>
        <v/>
      </c>
      <c r="AN197" s="316" t="str">
        <f>IF(AN$225&lt;=time,O197*Costs!AU197,"")</f>
        <v/>
      </c>
      <c r="AO197" s="316" t="str">
        <f>IF(AO$225&lt;=time,P197*Costs!AV197,"")</f>
        <v/>
      </c>
      <c r="AP197" s="316" t="str">
        <f>IF(AP$225&lt;=time,Q197*Costs!AW197,"")</f>
        <v/>
      </c>
      <c r="AQ197" s="316" t="str">
        <f>IF(AQ$225&lt;=time,R197*Costs!AX197,"")</f>
        <v/>
      </c>
      <c r="AR197" s="316" t="str">
        <f>IF(AR$225&lt;=time,S197*Costs!AY197,"")</f>
        <v/>
      </c>
      <c r="AS197" s="316" t="str">
        <f>IF(AS$225&lt;=time,T197*Costs!AZ197,"")</f>
        <v/>
      </c>
      <c r="AT197" s="316" t="str">
        <f>IF(AT$225&lt;=time,U197*Costs!BA197,"")</f>
        <v/>
      </c>
      <c r="AU197" s="316" t="str">
        <f>IF(AU$225&lt;=time,V197*Costs!BB197,"")</f>
        <v/>
      </c>
      <c r="AV197" s="316" t="str">
        <f>IF(AV$225&lt;=time,W197*Costs!BC197,"")</f>
        <v/>
      </c>
      <c r="AW197" s="316" t="str">
        <f>IF(AW$225&lt;=time,X197*Costs!BD197,"")</f>
        <v/>
      </c>
      <c r="AX197" s="316" t="str">
        <f>IF(AX$225&lt;=time,Y197*Costs!BE197,"")</f>
        <v/>
      </c>
      <c r="AY197" s="316" t="str">
        <f>IF(AY$225&lt;=time,Z197*Costs!BF197,"")</f>
        <v/>
      </c>
      <c r="AZ197" s="317">
        <f t="array" ref="AZ197">(SUM( IF(ISERROR(AA197:AY197),"", AA197:AY197)))/time</f>
        <v>0</v>
      </c>
      <c r="BA197" s="317">
        <f t="shared" si="38"/>
        <v>0</v>
      </c>
      <c r="BB197" s="318">
        <f t="shared" si="51"/>
        <v>0</v>
      </c>
      <c r="BC197" s="319">
        <v>8</v>
      </c>
      <c r="BE197" s="208" t="e">
        <f t="array" ref="BE197">STDEV(IF(AA197:AY197&lt;&gt;0,AA197:AY197))</f>
        <v>#DIV/0!</v>
      </c>
      <c r="BF197" s="208">
        <v>1.96</v>
      </c>
      <c r="BG197" s="208" t="e">
        <f t="shared" si="52"/>
        <v>#DIV/0!</v>
      </c>
      <c r="BH197" s="208">
        <f t="shared" si="53"/>
        <v>0</v>
      </c>
    </row>
    <row r="198" spans="1:60" hidden="1">
      <c r="A198" s="322" t="str">
        <f>Costs!A198</f>
        <v>Other Costs 9</v>
      </c>
      <c r="B198" s="313"/>
      <c r="C198" s="313"/>
      <c r="D198" s="313"/>
      <c r="E198" s="313"/>
      <c r="F198" s="313"/>
      <c r="G198" s="313"/>
      <c r="H198" s="313"/>
      <c r="I198" s="313"/>
      <c r="J198" s="313"/>
      <c r="K198" s="313"/>
      <c r="L198" s="313"/>
      <c r="M198" s="313"/>
      <c r="N198" s="313"/>
      <c r="O198" s="313"/>
      <c r="P198" s="313"/>
      <c r="Q198" s="313"/>
      <c r="R198" s="313"/>
      <c r="S198" s="313"/>
      <c r="T198" s="313"/>
      <c r="U198" s="313"/>
      <c r="V198" s="313"/>
      <c r="W198" s="313"/>
      <c r="X198" s="313"/>
      <c r="Y198" s="313"/>
      <c r="Z198" s="314"/>
      <c r="AA198" s="315">
        <f>IF(AA$225&lt;=time,B198*Costs!AH198,"")</f>
        <v>0</v>
      </c>
      <c r="AB198" s="316">
        <f>IF(AB$225&lt;=time,C198*Costs!AI198,"")</f>
        <v>0</v>
      </c>
      <c r="AC198" s="316">
        <f>IF(AC$225&lt;=time,D198*Costs!AJ198,"")</f>
        <v>0</v>
      </c>
      <c r="AD198" s="316">
        <f>IF(AD$225&lt;=time,E198*Costs!AK198,"")</f>
        <v>0</v>
      </c>
      <c r="AE198" s="316">
        <f>IF(AE$225&lt;=time,F198*Costs!AL198,"")</f>
        <v>0</v>
      </c>
      <c r="AF198" s="316" t="str">
        <f>IF(AF$225&lt;=time,G198*Costs!AM198,"")</f>
        <v/>
      </c>
      <c r="AG198" s="316" t="str">
        <f>IF(AG$225&lt;=time,H198*Costs!AN198,"")</f>
        <v/>
      </c>
      <c r="AH198" s="316" t="str">
        <f>IF(AH$225&lt;=time,I198*Costs!AO198,"")</f>
        <v/>
      </c>
      <c r="AI198" s="316" t="str">
        <f>IF(AI$225&lt;=time,J198*Costs!AP198,"")</f>
        <v/>
      </c>
      <c r="AJ198" s="316" t="str">
        <f>IF(AJ$225&lt;=time,K198*Costs!AQ198,"")</f>
        <v/>
      </c>
      <c r="AK198" s="316" t="str">
        <f>IF(AK$225&lt;=time,L198*Costs!AR198,"")</f>
        <v/>
      </c>
      <c r="AL198" s="316" t="str">
        <f>IF(AL$225&lt;=time,M198*Costs!AS198,"")</f>
        <v/>
      </c>
      <c r="AM198" s="316" t="str">
        <f>IF(AM$225&lt;=time,N198*Costs!AT198,"")</f>
        <v/>
      </c>
      <c r="AN198" s="316" t="str">
        <f>IF(AN$225&lt;=time,O198*Costs!AU198,"")</f>
        <v/>
      </c>
      <c r="AO198" s="316" t="str">
        <f>IF(AO$225&lt;=time,P198*Costs!AV198,"")</f>
        <v/>
      </c>
      <c r="AP198" s="316" t="str">
        <f>IF(AP$225&lt;=time,Q198*Costs!AW198,"")</f>
        <v/>
      </c>
      <c r="AQ198" s="316" t="str">
        <f>IF(AQ$225&lt;=time,R198*Costs!AX198,"")</f>
        <v/>
      </c>
      <c r="AR198" s="316" t="str">
        <f>IF(AR$225&lt;=time,S198*Costs!AY198,"")</f>
        <v/>
      </c>
      <c r="AS198" s="316" t="str">
        <f>IF(AS$225&lt;=time,T198*Costs!AZ198,"")</f>
        <v/>
      </c>
      <c r="AT198" s="316" t="str">
        <f>IF(AT$225&lt;=time,U198*Costs!BA198,"")</f>
        <v/>
      </c>
      <c r="AU198" s="316" t="str">
        <f>IF(AU$225&lt;=time,V198*Costs!BB198,"")</f>
        <v/>
      </c>
      <c r="AV198" s="316" t="str">
        <f>IF(AV$225&lt;=time,W198*Costs!BC198,"")</f>
        <v/>
      </c>
      <c r="AW198" s="316" t="str">
        <f>IF(AW$225&lt;=time,X198*Costs!BD198,"")</f>
        <v/>
      </c>
      <c r="AX198" s="316" t="str">
        <f>IF(AX$225&lt;=time,Y198*Costs!BE198,"")</f>
        <v/>
      </c>
      <c r="AY198" s="316" t="str">
        <f>IF(AY$225&lt;=time,Z198*Costs!BF198,"")</f>
        <v/>
      </c>
      <c r="AZ198" s="317">
        <f t="array" ref="AZ198">(SUM( IF(ISERROR(AA198:AY198),"", AA198:AY198)))/time</f>
        <v>0</v>
      </c>
      <c r="BA198" s="317">
        <f t="shared" si="38"/>
        <v>0</v>
      </c>
      <c r="BB198" s="318">
        <f t="shared" si="51"/>
        <v>0</v>
      </c>
      <c r="BC198" s="319">
        <v>9</v>
      </c>
      <c r="BE198" s="208" t="e">
        <f t="array" ref="BE198">STDEV(IF(AA198:AY198&lt;&gt;0,AA198:AY198))</f>
        <v>#DIV/0!</v>
      </c>
      <c r="BF198" s="208">
        <v>1.96</v>
      </c>
      <c r="BG198" s="208" t="e">
        <f t="shared" si="52"/>
        <v>#DIV/0!</v>
      </c>
      <c r="BH198" s="208">
        <f t="shared" si="53"/>
        <v>0</v>
      </c>
    </row>
    <row r="199" spans="1:60" hidden="1">
      <c r="A199" s="322" t="str">
        <f>Costs!A199</f>
        <v>Other Costs 10</v>
      </c>
      <c r="B199" s="313"/>
      <c r="C199" s="313"/>
      <c r="D199" s="313"/>
      <c r="E199" s="313"/>
      <c r="F199" s="313"/>
      <c r="G199" s="313"/>
      <c r="H199" s="313"/>
      <c r="I199" s="313"/>
      <c r="J199" s="313"/>
      <c r="K199" s="313"/>
      <c r="L199" s="313"/>
      <c r="M199" s="313"/>
      <c r="N199" s="313"/>
      <c r="O199" s="313"/>
      <c r="P199" s="313"/>
      <c r="Q199" s="313"/>
      <c r="R199" s="313"/>
      <c r="S199" s="313"/>
      <c r="T199" s="313"/>
      <c r="U199" s="313"/>
      <c r="V199" s="313"/>
      <c r="W199" s="313"/>
      <c r="X199" s="313"/>
      <c r="Y199" s="313"/>
      <c r="Z199" s="314"/>
      <c r="AA199" s="315">
        <f>IF(AA$225&lt;=time,B199*Costs!AH199,"")</f>
        <v>0</v>
      </c>
      <c r="AB199" s="316">
        <f>IF(AB$225&lt;=time,C199*Costs!AI199,"")</f>
        <v>0</v>
      </c>
      <c r="AC199" s="316">
        <f>IF(AC$225&lt;=time,D199*Costs!AJ199,"")</f>
        <v>0</v>
      </c>
      <c r="AD199" s="316">
        <f>IF(AD$225&lt;=time,E199*Costs!AK199,"")</f>
        <v>0</v>
      </c>
      <c r="AE199" s="316">
        <f>IF(AE$225&lt;=time,F199*Costs!AL199,"")</f>
        <v>0</v>
      </c>
      <c r="AF199" s="316" t="str">
        <f>IF(AF$225&lt;=time,G199*Costs!AM199,"")</f>
        <v/>
      </c>
      <c r="AG199" s="316" t="str">
        <f>IF(AG$225&lt;=time,H199*Costs!AN199,"")</f>
        <v/>
      </c>
      <c r="AH199" s="316" t="str">
        <f>IF(AH$225&lt;=time,I199*Costs!AO199,"")</f>
        <v/>
      </c>
      <c r="AI199" s="316" t="str">
        <f>IF(AI$225&lt;=time,J199*Costs!AP199,"")</f>
        <v/>
      </c>
      <c r="AJ199" s="316" t="str">
        <f>IF(AJ$225&lt;=time,K199*Costs!AQ199,"")</f>
        <v/>
      </c>
      <c r="AK199" s="316" t="str">
        <f>IF(AK$225&lt;=time,L199*Costs!AR199,"")</f>
        <v/>
      </c>
      <c r="AL199" s="316" t="str">
        <f>IF(AL$225&lt;=time,M199*Costs!AS199,"")</f>
        <v/>
      </c>
      <c r="AM199" s="316" t="str">
        <f>IF(AM$225&lt;=time,N199*Costs!AT199,"")</f>
        <v/>
      </c>
      <c r="AN199" s="316" t="str">
        <f>IF(AN$225&lt;=time,O199*Costs!AU199,"")</f>
        <v/>
      </c>
      <c r="AO199" s="316" t="str">
        <f>IF(AO$225&lt;=time,P199*Costs!AV199,"")</f>
        <v/>
      </c>
      <c r="AP199" s="316" t="str">
        <f>IF(AP$225&lt;=time,Q199*Costs!AW199,"")</f>
        <v/>
      </c>
      <c r="AQ199" s="316" t="str">
        <f>IF(AQ$225&lt;=time,R199*Costs!AX199,"")</f>
        <v/>
      </c>
      <c r="AR199" s="316" t="str">
        <f>IF(AR$225&lt;=time,S199*Costs!AY199,"")</f>
        <v/>
      </c>
      <c r="AS199" s="316" t="str">
        <f>IF(AS$225&lt;=time,T199*Costs!AZ199,"")</f>
        <v/>
      </c>
      <c r="AT199" s="316" t="str">
        <f>IF(AT$225&lt;=time,U199*Costs!BA199,"")</f>
        <v/>
      </c>
      <c r="AU199" s="316" t="str">
        <f>IF(AU$225&lt;=time,V199*Costs!BB199,"")</f>
        <v/>
      </c>
      <c r="AV199" s="316" t="str">
        <f>IF(AV$225&lt;=time,W199*Costs!BC199,"")</f>
        <v/>
      </c>
      <c r="AW199" s="316" t="str">
        <f>IF(AW$225&lt;=time,X199*Costs!BD199,"")</f>
        <v/>
      </c>
      <c r="AX199" s="316" t="str">
        <f>IF(AX$225&lt;=time,Y199*Costs!BE199,"")</f>
        <v/>
      </c>
      <c r="AY199" s="316" t="str">
        <f>IF(AY$225&lt;=time,Z199*Costs!BF199,"")</f>
        <v/>
      </c>
      <c r="AZ199" s="317">
        <f t="array" ref="AZ199">(SUM( IF(ISERROR(AA199:AY199),"", AA199:AY199)))/time</f>
        <v>0</v>
      </c>
      <c r="BA199" s="317">
        <f t="shared" si="38"/>
        <v>0</v>
      </c>
      <c r="BB199" s="318">
        <f t="shared" si="51"/>
        <v>0</v>
      </c>
      <c r="BC199" s="319">
        <v>10</v>
      </c>
      <c r="BE199" s="208" t="e">
        <f t="array" ref="BE199">STDEV(IF(AA199:AY199&lt;&gt;0,AA199:AY199))</f>
        <v>#DIV/0!</v>
      </c>
      <c r="BF199" s="208">
        <v>1.96</v>
      </c>
      <c r="BG199" s="208" t="e">
        <f t="shared" si="52"/>
        <v>#DIV/0!</v>
      </c>
      <c r="BH199" s="208">
        <f t="shared" si="53"/>
        <v>0</v>
      </c>
    </row>
    <row r="200" spans="1:60" s="11" customFormat="1">
      <c r="A200" s="17"/>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9"/>
      <c r="AA200" s="17"/>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9"/>
      <c r="BC200" s="18"/>
    </row>
    <row r="201" spans="1:60" s="11" customFormat="1">
      <c r="A201" s="20"/>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2"/>
      <c r="AA201" s="20"/>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2"/>
      <c r="BC201" s="21"/>
    </row>
    <row r="202" spans="1:60" s="11" customFormat="1">
      <c r="A202" s="17" t="s">
        <v>218</v>
      </c>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9"/>
      <c r="AA202" s="17"/>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BA202" s="18"/>
      <c r="BB202" s="211"/>
    </row>
    <row r="203" spans="1:60">
      <c r="A203" s="32" t="str">
        <f>Costs!A203</f>
        <v>Indirect Costs 1</v>
      </c>
      <c r="B203" s="865"/>
      <c r="C203" s="865"/>
      <c r="D203" s="865"/>
      <c r="E203" s="313"/>
      <c r="F203" s="313"/>
      <c r="G203" s="313"/>
      <c r="H203" s="313"/>
      <c r="I203" s="313"/>
      <c r="J203" s="313"/>
      <c r="K203" s="313"/>
      <c r="L203" s="313"/>
      <c r="M203" s="313"/>
      <c r="N203" s="313"/>
      <c r="O203" s="313"/>
      <c r="P203" s="313"/>
      <c r="Q203" s="313"/>
      <c r="R203" s="313"/>
      <c r="S203" s="313"/>
      <c r="T203" s="313"/>
      <c r="U203" s="313"/>
      <c r="V203" s="313"/>
      <c r="W203" s="313"/>
      <c r="X203" s="313"/>
      <c r="Y203" s="313"/>
      <c r="Z203" s="314"/>
      <c r="AA203" s="315">
        <f>IF(AA$225&lt;=time,B203*Costs!AH203,"")</f>
        <v>0</v>
      </c>
      <c r="AB203" s="316">
        <f>IF(AB$225&lt;=time,C203*Costs!AI203,"")</f>
        <v>0</v>
      </c>
      <c r="AC203" s="316">
        <f>IF(AC$225&lt;=time,D203*Costs!AJ203,"")</f>
        <v>0</v>
      </c>
      <c r="AD203" s="316">
        <f>IF(AD$225&lt;=time,E203*Costs!AK203,"")</f>
        <v>0</v>
      </c>
      <c r="AE203" s="316">
        <f>IF(AE$225&lt;=time,F203*Costs!AL203,"")</f>
        <v>0</v>
      </c>
      <c r="AF203" s="316" t="str">
        <f>IF(AF$225&lt;=time,G203*Costs!AM203,"")</f>
        <v/>
      </c>
      <c r="AG203" s="316" t="str">
        <f>IF(AG$225&lt;=time,H203*Costs!AN203,"")</f>
        <v/>
      </c>
      <c r="AH203" s="316" t="str">
        <f>IF(AH$225&lt;=time,I203*Costs!AO203,"")</f>
        <v/>
      </c>
      <c r="AI203" s="316" t="str">
        <f>IF(AI$225&lt;=time,J203*Costs!AP203,"")</f>
        <v/>
      </c>
      <c r="AJ203" s="316" t="str">
        <f>IF(AJ$225&lt;=time,K203*Costs!AQ203,"")</f>
        <v/>
      </c>
      <c r="AK203" s="316" t="str">
        <f>IF(AK$225&lt;=time,L203*Costs!AR203,"")</f>
        <v/>
      </c>
      <c r="AL203" s="316" t="str">
        <f>IF(AL$225&lt;=time,M203*Costs!AS203,"")</f>
        <v/>
      </c>
      <c r="AM203" s="316" t="str">
        <f>IF(AM$225&lt;=time,N203*Costs!AT203,"")</f>
        <v/>
      </c>
      <c r="AN203" s="316" t="str">
        <f>IF(AN$225&lt;=time,O203*Costs!AU203,"")</f>
        <v/>
      </c>
      <c r="AO203" s="316" t="str">
        <f>IF(AO$225&lt;=time,P203*Costs!AV203,"")</f>
        <v/>
      </c>
      <c r="AP203" s="316" t="str">
        <f>IF(AP$225&lt;=time,Q203*Costs!AW203,"")</f>
        <v/>
      </c>
      <c r="AQ203" s="316" t="str">
        <f>IF(AQ$225&lt;=time,R203*Costs!AX203,"")</f>
        <v/>
      </c>
      <c r="AR203" s="316" t="str">
        <f>IF(AR$225&lt;=time,S203*Costs!AY203,"")</f>
        <v/>
      </c>
      <c r="AS203" s="316" t="str">
        <f>IF(AS$225&lt;=time,T203*Costs!AZ203,"")</f>
        <v/>
      </c>
      <c r="AT203" s="316" t="str">
        <f>IF(AT$225&lt;=time,U203*Costs!BA203,"")</f>
        <v/>
      </c>
      <c r="AU203" s="316" t="str">
        <f>IF(AU$225&lt;=time,V203*Costs!BB203,"")</f>
        <v/>
      </c>
      <c r="AV203" s="316" t="str">
        <f>IF(AV$225&lt;=time,W203*Costs!BC203,"")</f>
        <v/>
      </c>
      <c r="AW203" s="316" t="str">
        <f>IF(AW$225&lt;=time,X203*Costs!BD203,"")</f>
        <v/>
      </c>
      <c r="AX203" s="316" t="str">
        <f>IF(AX$225&lt;=time,Y203*Costs!BE203,"")</f>
        <v/>
      </c>
      <c r="AY203" s="316" t="str">
        <f>IF(AY$225&lt;=time,Z203*Costs!BF203,"")</f>
        <v/>
      </c>
      <c r="AZ203" s="317">
        <f t="array" ref="AZ203">(SUM( IF(ISERROR(AA203:AY203),"", AA203:AY203)))/time</f>
        <v>0</v>
      </c>
      <c r="BA203" s="317">
        <f t="shared" ref="BA203:BA223" si="54">IF(BH203&gt;0,IF(AZ203-BG203&gt;0,AZ203-BG203,0), AZ203)</f>
        <v>0</v>
      </c>
      <c r="BB203" s="318">
        <f t="shared" ref="BB203:BB212" si="55">IF(BH203&gt;0,AZ203+BG203,AZ203)</f>
        <v>0</v>
      </c>
      <c r="BC203" s="319">
        <v>1</v>
      </c>
      <c r="BE203" s="208" t="e">
        <f t="array" ref="BE203">STDEV(IF(AA203:AY203&lt;&gt;0,AA203:AY203))</f>
        <v>#DIV/0!</v>
      </c>
      <c r="BF203" s="208">
        <v>1.96</v>
      </c>
      <c r="BG203" s="208" t="e">
        <f t="shared" ref="BG203:BG212" si="56">(BF203*BE203)/(time^0.5)</f>
        <v>#DIV/0!</v>
      </c>
      <c r="BH203" s="208">
        <f t="shared" ref="BH203:BH212" si="57">IFERROR(BE203,0)</f>
        <v>0</v>
      </c>
    </row>
    <row r="204" spans="1:60" hidden="1">
      <c r="A204" s="322" t="str">
        <f>Costs!A204</f>
        <v>Indirect Costs 2</v>
      </c>
      <c r="B204" s="313"/>
      <c r="C204" s="313"/>
      <c r="D204" s="313"/>
      <c r="E204" s="313"/>
      <c r="F204" s="313"/>
      <c r="G204" s="313"/>
      <c r="H204" s="313"/>
      <c r="I204" s="313"/>
      <c r="J204" s="313"/>
      <c r="K204" s="313"/>
      <c r="L204" s="313"/>
      <c r="M204" s="313"/>
      <c r="N204" s="313"/>
      <c r="O204" s="313"/>
      <c r="P204" s="313"/>
      <c r="Q204" s="313"/>
      <c r="R204" s="313"/>
      <c r="S204" s="313"/>
      <c r="T204" s="313"/>
      <c r="U204" s="313"/>
      <c r="V204" s="313"/>
      <c r="W204" s="313"/>
      <c r="X204" s="313"/>
      <c r="Y204" s="313"/>
      <c r="Z204" s="314"/>
      <c r="AA204" s="315">
        <f>IF(AA$225&lt;=time,B204*Costs!AH204,"")</f>
        <v>0</v>
      </c>
      <c r="AB204" s="316">
        <f>IF(AB$225&lt;=time,C204*Costs!AI204,"")</f>
        <v>0</v>
      </c>
      <c r="AC204" s="316">
        <f>IF(AC$225&lt;=time,D204*Costs!AJ204,"")</f>
        <v>0</v>
      </c>
      <c r="AD204" s="316">
        <f>IF(AD$225&lt;=time,E204*Costs!AK204,"")</f>
        <v>0</v>
      </c>
      <c r="AE204" s="316">
        <f>IF(AE$225&lt;=time,F204*Costs!AL204,"")</f>
        <v>0</v>
      </c>
      <c r="AF204" s="316" t="str">
        <f>IF(AF$225&lt;=time,G204*Costs!AM204,"")</f>
        <v/>
      </c>
      <c r="AG204" s="316" t="str">
        <f>IF(AG$225&lt;=time,H204*Costs!AN204,"")</f>
        <v/>
      </c>
      <c r="AH204" s="316" t="str">
        <f>IF(AH$225&lt;=time,I204*Costs!AO204,"")</f>
        <v/>
      </c>
      <c r="AI204" s="316" t="str">
        <f>IF(AI$225&lt;=time,J204*Costs!AP204,"")</f>
        <v/>
      </c>
      <c r="AJ204" s="316" t="str">
        <f>IF(AJ$225&lt;=time,K204*Costs!AQ204,"")</f>
        <v/>
      </c>
      <c r="AK204" s="316" t="str">
        <f>IF(AK$225&lt;=time,L204*Costs!AR204,"")</f>
        <v/>
      </c>
      <c r="AL204" s="316" t="str">
        <f>IF(AL$225&lt;=time,M204*Costs!AS204,"")</f>
        <v/>
      </c>
      <c r="AM204" s="316" t="str">
        <f>IF(AM$225&lt;=time,N204*Costs!AT204,"")</f>
        <v/>
      </c>
      <c r="AN204" s="316" t="str">
        <f>IF(AN$225&lt;=time,O204*Costs!AU204,"")</f>
        <v/>
      </c>
      <c r="AO204" s="316" t="str">
        <f>IF(AO$225&lt;=time,P204*Costs!AV204,"")</f>
        <v/>
      </c>
      <c r="AP204" s="316" t="str">
        <f>IF(AP$225&lt;=time,Q204*Costs!AW204,"")</f>
        <v/>
      </c>
      <c r="AQ204" s="316" t="str">
        <f>IF(AQ$225&lt;=time,R204*Costs!AX204,"")</f>
        <v/>
      </c>
      <c r="AR204" s="316" t="str">
        <f>IF(AR$225&lt;=time,S204*Costs!AY204,"")</f>
        <v/>
      </c>
      <c r="AS204" s="316" t="str">
        <f>IF(AS$225&lt;=time,T204*Costs!AZ204,"")</f>
        <v/>
      </c>
      <c r="AT204" s="316" t="str">
        <f>IF(AT$225&lt;=time,U204*Costs!BA204,"")</f>
        <v/>
      </c>
      <c r="AU204" s="316" t="str">
        <f>IF(AU$225&lt;=time,V204*Costs!BB204,"")</f>
        <v/>
      </c>
      <c r="AV204" s="316" t="str">
        <f>IF(AV$225&lt;=time,W204*Costs!BC204,"")</f>
        <v/>
      </c>
      <c r="AW204" s="316" t="str">
        <f>IF(AW$225&lt;=time,X204*Costs!BD204,"")</f>
        <v/>
      </c>
      <c r="AX204" s="316" t="str">
        <f>IF(AX$225&lt;=time,Y204*Costs!BE204,"")</f>
        <v/>
      </c>
      <c r="AY204" s="316" t="str">
        <f>IF(AY$225&lt;=time,Z204*Costs!BF204,"")</f>
        <v/>
      </c>
      <c r="AZ204" s="317">
        <f t="array" ref="AZ204">(SUM( IF(ISERROR(AA204:AY204),"", AA204:AY204)))/time</f>
        <v>0</v>
      </c>
      <c r="BA204" s="317">
        <f t="shared" si="54"/>
        <v>0</v>
      </c>
      <c r="BB204" s="318">
        <f t="shared" si="55"/>
        <v>0</v>
      </c>
      <c r="BC204" s="319">
        <v>2</v>
      </c>
      <c r="BE204" s="208" t="e">
        <f t="array" ref="BE204">STDEV(IF(AA204:AY204&lt;&gt;0,AA204:AY204))</f>
        <v>#DIV/0!</v>
      </c>
      <c r="BF204" s="208">
        <v>1.96</v>
      </c>
      <c r="BG204" s="208" t="e">
        <f t="shared" si="56"/>
        <v>#DIV/0!</v>
      </c>
      <c r="BH204" s="208">
        <f t="shared" si="57"/>
        <v>0</v>
      </c>
    </row>
    <row r="205" spans="1:60" hidden="1">
      <c r="A205" s="322" t="str">
        <f>Costs!A205</f>
        <v>Indirect Costs 3</v>
      </c>
      <c r="B205" s="313"/>
      <c r="C205" s="313"/>
      <c r="D205" s="313"/>
      <c r="E205" s="313"/>
      <c r="F205" s="313"/>
      <c r="G205" s="313"/>
      <c r="H205" s="313"/>
      <c r="I205" s="313"/>
      <c r="J205" s="313"/>
      <c r="K205" s="313"/>
      <c r="L205" s="313"/>
      <c r="M205" s="313"/>
      <c r="N205" s="313"/>
      <c r="O205" s="313"/>
      <c r="P205" s="313"/>
      <c r="Q205" s="313"/>
      <c r="R205" s="313"/>
      <c r="S205" s="313"/>
      <c r="T205" s="313"/>
      <c r="U205" s="313"/>
      <c r="V205" s="313"/>
      <c r="W205" s="313"/>
      <c r="X205" s="313"/>
      <c r="Y205" s="313"/>
      <c r="Z205" s="314"/>
      <c r="AA205" s="315">
        <f>IF(AA$225&lt;=time,B205*Costs!AH205,"")</f>
        <v>0</v>
      </c>
      <c r="AB205" s="316">
        <f>IF(AB$225&lt;=time,C205*Costs!AI205,"")</f>
        <v>0</v>
      </c>
      <c r="AC205" s="316">
        <f>IF(AC$225&lt;=time,D205*Costs!AJ205,"")</f>
        <v>0</v>
      </c>
      <c r="AD205" s="316">
        <f>IF(AD$225&lt;=time,E205*Costs!AK205,"")</f>
        <v>0</v>
      </c>
      <c r="AE205" s="316">
        <f>IF(AE$225&lt;=time,F205*Costs!AL205,"")</f>
        <v>0</v>
      </c>
      <c r="AF205" s="316" t="str">
        <f>IF(AF$225&lt;=time,G205*Costs!AM205,"")</f>
        <v/>
      </c>
      <c r="AG205" s="316" t="str">
        <f>IF(AG$225&lt;=time,H205*Costs!AN205,"")</f>
        <v/>
      </c>
      <c r="AH205" s="316" t="str">
        <f>IF(AH$225&lt;=time,I205*Costs!AO205,"")</f>
        <v/>
      </c>
      <c r="AI205" s="316" t="str">
        <f>IF(AI$225&lt;=time,J205*Costs!AP205,"")</f>
        <v/>
      </c>
      <c r="AJ205" s="316" t="str">
        <f>IF(AJ$225&lt;=time,K205*Costs!AQ205,"")</f>
        <v/>
      </c>
      <c r="AK205" s="316" t="str">
        <f>IF(AK$225&lt;=time,L205*Costs!AR205,"")</f>
        <v/>
      </c>
      <c r="AL205" s="316" t="str">
        <f>IF(AL$225&lt;=time,M205*Costs!AS205,"")</f>
        <v/>
      </c>
      <c r="AM205" s="316" t="str">
        <f>IF(AM$225&lt;=time,N205*Costs!AT205,"")</f>
        <v/>
      </c>
      <c r="AN205" s="316" t="str">
        <f>IF(AN$225&lt;=time,O205*Costs!AU205,"")</f>
        <v/>
      </c>
      <c r="AO205" s="316" t="str">
        <f>IF(AO$225&lt;=time,P205*Costs!AV205,"")</f>
        <v/>
      </c>
      <c r="AP205" s="316" t="str">
        <f>IF(AP$225&lt;=time,Q205*Costs!AW205,"")</f>
        <v/>
      </c>
      <c r="AQ205" s="316" t="str">
        <f>IF(AQ$225&lt;=time,R205*Costs!AX205,"")</f>
        <v/>
      </c>
      <c r="AR205" s="316" t="str">
        <f>IF(AR$225&lt;=time,S205*Costs!AY205,"")</f>
        <v/>
      </c>
      <c r="AS205" s="316" t="str">
        <f>IF(AS$225&lt;=time,T205*Costs!AZ205,"")</f>
        <v/>
      </c>
      <c r="AT205" s="316" t="str">
        <f>IF(AT$225&lt;=time,U205*Costs!BA205,"")</f>
        <v/>
      </c>
      <c r="AU205" s="316" t="str">
        <f>IF(AU$225&lt;=time,V205*Costs!BB205,"")</f>
        <v/>
      </c>
      <c r="AV205" s="316" t="str">
        <f>IF(AV$225&lt;=time,W205*Costs!BC205,"")</f>
        <v/>
      </c>
      <c r="AW205" s="316" t="str">
        <f>IF(AW$225&lt;=time,X205*Costs!BD205,"")</f>
        <v/>
      </c>
      <c r="AX205" s="316" t="str">
        <f>IF(AX$225&lt;=time,Y205*Costs!BE205,"")</f>
        <v/>
      </c>
      <c r="AY205" s="316" t="str">
        <f>IF(AY$225&lt;=time,Z205*Costs!BF205,"")</f>
        <v/>
      </c>
      <c r="AZ205" s="317">
        <f t="array" ref="AZ205">(SUM( IF(ISERROR(AA205:AY205),"", AA205:AY205)))/time</f>
        <v>0</v>
      </c>
      <c r="BA205" s="317">
        <f t="shared" si="54"/>
        <v>0</v>
      </c>
      <c r="BB205" s="318">
        <f t="shared" si="55"/>
        <v>0</v>
      </c>
      <c r="BC205" s="319">
        <v>3</v>
      </c>
      <c r="BE205" s="208" t="e">
        <f t="array" ref="BE205">STDEV(IF(AA205:AY205&lt;&gt;0,AA205:AY205))</f>
        <v>#DIV/0!</v>
      </c>
      <c r="BF205" s="208">
        <v>1.96</v>
      </c>
      <c r="BG205" s="208" t="e">
        <f t="shared" si="56"/>
        <v>#DIV/0!</v>
      </c>
      <c r="BH205" s="208">
        <f t="shared" si="57"/>
        <v>0</v>
      </c>
    </row>
    <row r="206" spans="1:60" hidden="1">
      <c r="A206" s="322" t="str">
        <f>Costs!A206</f>
        <v>Indirect Costs 4</v>
      </c>
      <c r="B206" s="313"/>
      <c r="C206" s="313"/>
      <c r="D206" s="313"/>
      <c r="E206" s="313"/>
      <c r="F206" s="313"/>
      <c r="G206" s="313"/>
      <c r="H206" s="313"/>
      <c r="I206" s="313"/>
      <c r="J206" s="313"/>
      <c r="K206" s="313"/>
      <c r="L206" s="313"/>
      <c r="M206" s="313"/>
      <c r="N206" s="313"/>
      <c r="O206" s="313"/>
      <c r="P206" s="313"/>
      <c r="Q206" s="313"/>
      <c r="R206" s="313"/>
      <c r="S206" s="313"/>
      <c r="T206" s="313"/>
      <c r="U206" s="313"/>
      <c r="V206" s="313"/>
      <c r="W206" s="313"/>
      <c r="X206" s="313"/>
      <c r="Y206" s="313"/>
      <c r="Z206" s="314"/>
      <c r="AA206" s="315">
        <f>IF(AA$225&lt;=time,B206*Costs!AH206,"")</f>
        <v>0</v>
      </c>
      <c r="AB206" s="316">
        <f>IF(AB$225&lt;=time,C206*Costs!AI206,"")</f>
        <v>0</v>
      </c>
      <c r="AC206" s="316">
        <f>IF(AC$225&lt;=time,D206*Costs!AJ206,"")</f>
        <v>0</v>
      </c>
      <c r="AD206" s="316">
        <f>IF(AD$225&lt;=time,E206*Costs!AK206,"")</f>
        <v>0</v>
      </c>
      <c r="AE206" s="316">
        <f>IF(AE$225&lt;=time,F206*Costs!AL206,"")</f>
        <v>0</v>
      </c>
      <c r="AF206" s="316" t="str">
        <f>IF(AF$225&lt;=time,G206*Costs!AM206,"")</f>
        <v/>
      </c>
      <c r="AG206" s="316" t="str">
        <f>IF(AG$225&lt;=time,H206*Costs!AN206,"")</f>
        <v/>
      </c>
      <c r="AH206" s="316" t="str">
        <f>IF(AH$225&lt;=time,I206*Costs!AO206,"")</f>
        <v/>
      </c>
      <c r="AI206" s="316" t="str">
        <f>IF(AI$225&lt;=time,J206*Costs!AP206,"")</f>
        <v/>
      </c>
      <c r="AJ206" s="316" t="str">
        <f>IF(AJ$225&lt;=time,K206*Costs!AQ206,"")</f>
        <v/>
      </c>
      <c r="AK206" s="316" t="str">
        <f>IF(AK$225&lt;=time,L206*Costs!AR206,"")</f>
        <v/>
      </c>
      <c r="AL206" s="316" t="str">
        <f>IF(AL$225&lt;=time,M206*Costs!AS206,"")</f>
        <v/>
      </c>
      <c r="AM206" s="316" t="str">
        <f>IF(AM$225&lt;=time,N206*Costs!AT206,"")</f>
        <v/>
      </c>
      <c r="AN206" s="316" t="str">
        <f>IF(AN$225&lt;=time,O206*Costs!AU206,"")</f>
        <v/>
      </c>
      <c r="AO206" s="316" t="str">
        <f>IF(AO$225&lt;=time,P206*Costs!AV206,"")</f>
        <v/>
      </c>
      <c r="AP206" s="316" t="str">
        <f>IF(AP$225&lt;=time,Q206*Costs!AW206,"")</f>
        <v/>
      </c>
      <c r="AQ206" s="316" t="str">
        <f>IF(AQ$225&lt;=time,R206*Costs!AX206,"")</f>
        <v/>
      </c>
      <c r="AR206" s="316" t="str">
        <f>IF(AR$225&lt;=time,S206*Costs!AY206,"")</f>
        <v/>
      </c>
      <c r="AS206" s="316" t="str">
        <f>IF(AS$225&lt;=time,T206*Costs!AZ206,"")</f>
        <v/>
      </c>
      <c r="AT206" s="316" t="str">
        <f>IF(AT$225&lt;=time,U206*Costs!BA206,"")</f>
        <v/>
      </c>
      <c r="AU206" s="316" t="str">
        <f>IF(AU$225&lt;=time,V206*Costs!BB206,"")</f>
        <v/>
      </c>
      <c r="AV206" s="316" t="str">
        <f>IF(AV$225&lt;=time,W206*Costs!BC206,"")</f>
        <v/>
      </c>
      <c r="AW206" s="316" t="str">
        <f>IF(AW$225&lt;=time,X206*Costs!BD206,"")</f>
        <v/>
      </c>
      <c r="AX206" s="316" t="str">
        <f>IF(AX$225&lt;=time,Y206*Costs!BE206,"")</f>
        <v/>
      </c>
      <c r="AY206" s="316" t="str">
        <f>IF(AY$225&lt;=time,Z206*Costs!BF206,"")</f>
        <v/>
      </c>
      <c r="AZ206" s="317">
        <f t="array" ref="AZ206">(SUM( IF(ISERROR(AA206:AY206),"", AA206:AY206)))/time</f>
        <v>0</v>
      </c>
      <c r="BA206" s="317">
        <f t="shared" si="54"/>
        <v>0</v>
      </c>
      <c r="BB206" s="318">
        <f t="shared" si="55"/>
        <v>0</v>
      </c>
      <c r="BC206" s="319">
        <v>4</v>
      </c>
      <c r="BE206" s="208" t="e">
        <f t="array" ref="BE206">STDEV(IF(AA206:AY206&lt;&gt;0,AA206:AY206))</f>
        <v>#DIV/0!</v>
      </c>
      <c r="BF206" s="208">
        <v>1.96</v>
      </c>
      <c r="BG206" s="208" t="e">
        <f t="shared" si="56"/>
        <v>#DIV/0!</v>
      </c>
      <c r="BH206" s="208">
        <f t="shared" si="57"/>
        <v>0</v>
      </c>
    </row>
    <row r="207" spans="1:60" hidden="1">
      <c r="A207" s="322" t="str">
        <f>Costs!A207</f>
        <v>Indirect Costs 5</v>
      </c>
      <c r="B207" s="313"/>
      <c r="C207" s="313"/>
      <c r="D207" s="313"/>
      <c r="E207" s="313"/>
      <c r="F207" s="313"/>
      <c r="G207" s="313"/>
      <c r="H207" s="313"/>
      <c r="I207" s="313"/>
      <c r="J207" s="313"/>
      <c r="K207" s="313"/>
      <c r="L207" s="313"/>
      <c r="M207" s="313"/>
      <c r="N207" s="313"/>
      <c r="O207" s="313"/>
      <c r="P207" s="313"/>
      <c r="Q207" s="313"/>
      <c r="R207" s="313"/>
      <c r="S207" s="313"/>
      <c r="T207" s="313"/>
      <c r="U207" s="313"/>
      <c r="V207" s="313"/>
      <c r="W207" s="313"/>
      <c r="X207" s="313"/>
      <c r="Y207" s="313"/>
      <c r="Z207" s="314"/>
      <c r="AA207" s="315">
        <f>IF(AA$225&lt;=time,B207*Costs!AH207,"")</f>
        <v>0</v>
      </c>
      <c r="AB207" s="316">
        <f>IF(AB$225&lt;=time,C207*Costs!AI207,"")</f>
        <v>0</v>
      </c>
      <c r="AC207" s="316">
        <f>IF(AC$225&lt;=time,D207*Costs!AJ207,"")</f>
        <v>0</v>
      </c>
      <c r="AD207" s="316">
        <f>IF(AD$225&lt;=time,E207*Costs!AK207,"")</f>
        <v>0</v>
      </c>
      <c r="AE207" s="316">
        <f>IF(AE$225&lt;=time,F207*Costs!AL207,"")</f>
        <v>0</v>
      </c>
      <c r="AF207" s="316" t="str">
        <f>IF(AF$225&lt;=time,G207*Costs!AM207,"")</f>
        <v/>
      </c>
      <c r="AG207" s="316" t="str">
        <f>IF(AG$225&lt;=time,H207*Costs!AN207,"")</f>
        <v/>
      </c>
      <c r="AH207" s="316" t="str">
        <f>IF(AH$225&lt;=time,I207*Costs!AO207,"")</f>
        <v/>
      </c>
      <c r="AI207" s="316" t="str">
        <f>IF(AI$225&lt;=time,J207*Costs!AP207,"")</f>
        <v/>
      </c>
      <c r="AJ207" s="316" t="str">
        <f>IF(AJ$225&lt;=time,K207*Costs!AQ207,"")</f>
        <v/>
      </c>
      <c r="AK207" s="316" t="str">
        <f>IF(AK$225&lt;=time,L207*Costs!AR207,"")</f>
        <v/>
      </c>
      <c r="AL207" s="316" t="str">
        <f>IF(AL$225&lt;=time,M207*Costs!AS207,"")</f>
        <v/>
      </c>
      <c r="AM207" s="316" t="str">
        <f>IF(AM$225&lt;=time,N207*Costs!AT207,"")</f>
        <v/>
      </c>
      <c r="AN207" s="316" t="str">
        <f>IF(AN$225&lt;=time,O207*Costs!AU207,"")</f>
        <v/>
      </c>
      <c r="AO207" s="316" t="str">
        <f>IF(AO$225&lt;=time,P207*Costs!AV207,"")</f>
        <v/>
      </c>
      <c r="AP207" s="316" t="str">
        <f>IF(AP$225&lt;=time,Q207*Costs!AW207,"")</f>
        <v/>
      </c>
      <c r="AQ207" s="316" t="str">
        <f>IF(AQ$225&lt;=time,R207*Costs!AX207,"")</f>
        <v/>
      </c>
      <c r="AR207" s="316" t="str">
        <f>IF(AR$225&lt;=time,S207*Costs!AY207,"")</f>
        <v/>
      </c>
      <c r="AS207" s="316" t="str">
        <f>IF(AS$225&lt;=time,T207*Costs!AZ207,"")</f>
        <v/>
      </c>
      <c r="AT207" s="316" t="str">
        <f>IF(AT$225&lt;=time,U207*Costs!BA207,"")</f>
        <v/>
      </c>
      <c r="AU207" s="316" t="str">
        <f>IF(AU$225&lt;=time,V207*Costs!BB207,"")</f>
        <v/>
      </c>
      <c r="AV207" s="316" t="str">
        <f>IF(AV$225&lt;=time,W207*Costs!BC207,"")</f>
        <v/>
      </c>
      <c r="AW207" s="316" t="str">
        <f>IF(AW$225&lt;=time,X207*Costs!BD207,"")</f>
        <v/>
      </c>
      <c r="AX207" s="316" t="str">
        <f>IF(AX$225&lt;=time,Y207*Costs!BE207,"")</f>
        <v/>
      </c>
      <c r="AY207" s="316" t="str">
        <f>IF(AY$225&lt;=time,Z207*Costs!BF207,"")</f>
        <v/>
      </c>
      <c r="AZ207" s="317">
        <f t="array" ref="AZ207">(SUM( IF(ISERROR(AA207:AY207),"", AA207:AY207)))/time</f>
        <v>0</v>
      </c>
      <c r="BA207" s="317">
        <f t="shared" si="54"/>
        <v>0</v>
      </c>
      <c r="BB207" s="318">
        <f t="shared" si="55"/>
        <v>0</v>
      </c>
      <c r="BC207" s="319">
        <v>5</v>
      </c>
      <c r="BE207" s="208" t="e">
        <f t="array" ref="BE207">STDEV(IF(AA207:AY207&lt;&gt;0,AA207:AY207))</f>
        <v>#DIV/0!</v>
      </c>
      <c r="BF207" s="208">
        <v>1.96</v>
      </c>
      <c r="BG207" s="208" t="e">
        <f t="shared" si="56"/>
        <v>#DIV/0!</v>
      </c>
      <c r="BH207" s="208">
        <f t="shared" si="57"/>
        <v>0</v>
      </c>
    </row>
    <row r="208" spans="1:60" hidden="1">
      <c r="A208" s="322" t="str">
        <f>Costs!A208</f>
        <v>Indirect Costs 6</v>
      </c>
      <c r="B208" s="313"/>
      <c r="C208" s="313"/>
      <c r="D208" s="313"/>
      <c r="E208" s="313"/>
      <c r="F208" s="313"/>
      <c r="G208" s="313"/>
      <c r="H208" s="313"/>
      <c r="I208" s="313"/>
      <c r="J208" s="313"/>
      <c r="K208" s="313"/>
      <c r="L208" s="313"/>
      <c r="M208" s="313"/>
      <c r="N208" s="313"/>
      <c r="O208" s="313"/>
      <c r="P208" s="313"/>
      <c r="Q208" s="313"/>
      <c r="R208" s="313"/>
      <c r="S208" s="313"/>
      <c r="T208" s="313"/>
      <c r="U208" s="313"/>
      <c r="V208" s="313"/>
      <c r="W208" s="313"/>
      <c r="X208" s="313"/>
      <c r="Y208" s="313"/>
      <c r="Z208" s="314"/>
      <c r="AA208" s="315">
        <f>IF(AA$225&lt;=time,B208*Costs!AH208,"")</f>
        <v>0</v>
      </c>
      <c r="AB208" s="316">
        <f>IF(AB$225&lt;=time,C208*Costs!AI208,"")</f>
        <v>0</v>
      </c>
      <c r="AC208" s="316">
        <f>IF(AC$225&lt;=time,D208*Costs!AJ208,"")</f>
        <v>0</v>
      </c>
      <c r="AD208" s="316">
        <f>IF(AD$225&lt;=time,E208*Costs!AK208,"")</f>
        <v>0</v>
      </c>
      <c r="AE208" s="316">
        <f>IF(AE$225&lt;=time,F208*Costs!AL208,"")</f>
        <v>0</v>
      </c>
      <c r="AF208" s="316" t="str">
        <f>IF(AF$225&lt;=time,G208*Costs!AM208,"")</f>
        <v/>
      </c>
      <c r="AG208" s="316" t="str">
        <f>IF(AG$225&lt;=time,H208*Costs!AN208,"")</f>
        <v/>
      </c>
      <c r="AH208" s="316" t="str">
        <f>IF(AH$225&lt;=time,I208*Costs!AO208,"")</f>
        <v/>
      </c>
      <c r="AI208" s="316" t="str">
        <f>IF(AI$225&lt;=time,J208*Costs!AP208,"")</f>
        <v/>
      </c>
      <c r="AJ208" s="316" t="str">
        <f>IF(AJ$225&lt;=time,K208*Costs!AQ208,"")</f>
        <v/>
      </c>
      <c r="AK208" s="316" t="str">
        <f>IF(AK$225&lt;=time,L208*Costs!AR208,"")</f>
        <v/>
      </c>
      <c r="AL208" s="316" t="str">
        <f>IF(AL$225&lt;=time,M208*Costs!AS208,"")</f>
        <v/>
      </c>
      <c r="AM208" s="316" t="str">
        <f>IF(AM$225&lt;=time,N208*Costs!AT208,"")</f>
        <v/>
      </c>
      <c r="AN208" s="316" t="str">
        <f>IF(AN$225&lt;=time,O208*Costs!AU208,"")</f>
        <v/>
      </c>
      <c r="AO208" s="316" t="str">
        <f>IF(AO$225&lt;=time,P208*Costs!AV208,"")</f>
        <v/>
      </c>
      <c r="AP208" s="316" t="str">
        <f>IF(AP$225&lt;=time,Q208*Costs!AW208,"")</f>
        <v/>
      </c>
      <c r="AQ208" s="316" t="str">
        <f>IF(AQ$225&lt;=time,R208*Costs!AX208,"")</f>
        <v/>
      </c>
      <c r="AR208" s="316" t="str">
        <f>IF(AR$225&lt;=time,S208*Costs!AY208,"")</f>
        <v/>
      </c>
      <c r="AS208" s="316" t="str">
        <f>IF(AS$225&lt;=time,T208*Costs!AZ208,"")</f>
        <v/>
      </c>
      <c r="AT208" s="316" t="str">
        <f>IF(AT$225&lt;=time,U208*Costs!BA208,"")</f>
        <v/>
      </c>
      <c r="AU208" s="316" t="str">
        <f>IF(AU$225&lt;=time,V208*Costs!BB208,"")</f>
        <v/>
      </c>
      <c r="AV208" s="316" t="str">
        <f>IF(AV$225&lt;=time,W208*Costs!BC208,"")</f>
        <v/>
      </c>
      <c r="AW208" s="316" t="str">
        <f>IF(AW$225&lt;=time,X208*Costs!BD208,"")</f>
        <v/>
      </c>
      <c r="AX208" s="316" t="str">
        <f>IF(AX$225&lt;=time,Y208*Costs!BE208,"")</f>
        <v/>
      </c>
      <c r="AY208" s="316" t="str">
        <f>IF(AY$225&lt;=time,Z208*Costs!BF208,"")</f>
        <v/>
      </c>
      <c r="AZ208" s="317">
        <f t="array" ref="AZ208">(SUM( IF(ISERROR(AA208:AY208),"", AA208:AY208)))/time</f>
        <v>0</v>
      </c>
      <c r="BA208" s="317">
        <f t="shared" si="54"/>
        <v>0</v>
      </c>
      <c r="BB208" s="318">
        <f t="shared" si="55"/>
        <v>0</v>
      </c>
      <c r="BC208" s="319">
        <v>6</v>
      </c>
      <c r="BE208" s="208" t="e">
        <f t="array" ref="BE208">STDEV(IF(AA208:AY208&lt;&gt;0,AA208:AY208))</f>
        <v>#DIV/0!</v>
      </c>
      <c r="BF208" s="208">
        <v>1.96</v>
      </c>
      <c r="BG208" s="208" t="e">
        <f t="shared" si="56"/>
        <v>#DIV/0!</v>
      </c>
      <c r="BH208" s="208">
        <f t="shared" si="57"/>
        <v>0</v>
      </c>
    </row>
    <row r="209" spans="1:60" hidden="1">
      <c r="A209" s="322" t="str">
        <f>Costs!A209</f>
        <v>Indirect Costs 7</v>
      </c>
      <c r="B209" s="313"/>
      <c r="C209" s="313"/>
      <c r="D209" s="313"/>
      <c r="E209" s="313"/>
      <c r="F209" s="313"/>
      <c r="G209" s="313"/>
      <c r="H209" s="313"/>
      <c r="I209" s="313"/>
      <c r="J209" s="313"/>
      <c r="K209" s="313"/>
      <c r="L209" s="313"/>
      <c r="M209" s="313"/>
      <c r="N209" s="313"/>
      <c r="O209" s="313"/>
      <c r="P209" s="313"/>
      <c r="Q209" s="313"/>
      <c r="R209" s="313"/>
      <c r="S209" s="313"/>
      <c r="T209" s="313"/>
      <c r="U209" s="313"/>
      <c r="V209" s="313"/>
      <c r="W209" s="313"/>
      <c r="X209" s="313"/>
      <c r="Y209" s="313"/>
      <c r="Z209" s="314"/>
      <c r="AA209" s="315">
        <f>IF(AA$225&lt;=time,B209*Costs!AH209,"")</f>
        <v>0</v>
      </c>
      <c r="AB209" s="316">
        <f>IF(AB$225&lt;=time,C209*Costs!AI209,"")</f>
        <v>0</v>
      </c>
      <c r="AC209" s="316">
        <f>IF(AC$225&lt;=time,D209*Costs!AJ209,"")</f>
        <v>0</v>
      </c>
      <c r="AD209" s="316">
        <f>IF(AD$225&lt;=time,E209*Costs!AK209,"")</f>
        <v>0</v>
      </c>
      <c r="AE209" s="316">
        <f>IF(AE$225&lt;=time,F209*Costs!AL209,"")</f>
        <v>0</v>
      </c>
      <c r="AF209" s="316" t="str">
        <f>IF(AF$225&lt;=time,G209*Costs!AM209,"")</f>
        <v/>
      </c>
      <c r="AG209" s="316" t="str">
        <f>IF(AG$225&lt;=time,H209*Costs!AN209,"")</f>
        <v/>
      </c>
      <c r="AH209" s="316" t="str">
        <f>IF(AH$225&lt;=time,I209*Costs!AO209,"")</f>
        <v/>
      </c>
      <c r="AI209" s="316" t="str">
        <f>IF(AI$225&lt;=time,J209*Costs!AP209,"")</f>
        <v/>
      </c>
      <c r="AJ209" s="316" t="str">
        <f>IF(AJ$225&lt;=time,K209*Costs!AQ209,"")</f>
        <v/>
      </c>
      <c r="AK209" s="316" t="str">
        <f>IF(AK$225&lt;=time,L209*Costs!AR209,"")</f>
        <v/>
      </c>
      <c r="AL209" s="316" t="str">
        <f>IF(AL$225&lt;=time,M209*Costs!AS209,"")</f>
        <v/>
      </c>
      <c r="AM209" s="316" t="str">
        <f>IF(AM$225&lt;=time,N209*Costs!AT209,"")</f>
        <v/>
      </c>
      <c r="AN209" s="316" t="str">
        <f>IF(AN$225&lt;=time,O209*Costs!AU209,"")</f>
        <v/>
      </c>
      <c r="AO209" s="316" t="str">
        <f>IF(AO$225&lt;=time,P209*Costs!AV209,"")</f>
        <v/>
      </c>
      <c r="AP209" s="316" t="str">
        <f>IF(AP$225&lt;=time,Q209*Costs!AW209,"")</f>
        <v/>
      </c>
      <c r="AQ209" s="316" t="str">
        <f>IF(AQ$225&lt;=time,R209*Costs!AX209,"")</f>
        <v/>
      </c>
      <c r="AR209" s="316" t="str">
        <f>IF(AR$225&lt;=time,S209*Costs!AY209,"")</f>
        <v/>
      </c>
      <c r="AS209" s="316" t="str">
        <f>IF(AS$225&lt;=time,T209*Costs!AZ209,"")</f>
        <v/>
      </c>
      <c r="AT209" s="316" t="str">
        <f>IF(AT$225&lt;=time,U209*Costs!BA209,"")</f>
        <v/>
      </c>
      <c r="AU209" s="316" t="str">
        <f>IF(AU$225&lt;=time,V209*Costs!BB209,"")</f>
        <v/>
      </c>
      <c r="AV209" s="316" t="str">
        <f>IF(AV$225&lt;=time,W209*Costs!BC209,"")</f>
        <v/>
      </c>
      <c r="AW209" s="316" t="str">
        <f>IF(AW$225&lt;=time,X209*Costs!BD209,"")</f>
        <v/>
      </c>
      <c r="AX209" s="316" t="str">
        <f>IF(AX$225&lt;=time,Y209*Costs!BE209,"")</f>
        <v/>
      </c>
      <c r="AY209" s="316" t="str">
        <f>IF(AY$225&lt;=time,Z209*Costs!BF209,"")</f>
        <v/>
      </c>
      <c r="AZ209" s="317">
        <f t="array" ref="AZ209">(SUM( IF(ISERROR(AA209:AY209),"", AA209:AY209)))/time</f>
        <v>0</v>
      </c>
      <c r="BA209" s="317">
        <f t="shared" si="54"/>
        <v>0</v>
      </c>
      <c r="BB209" s="318">
        <f t="shared" si="55"/>
        <v>0</v>
      </c>
      <c r="BC209" s="319">
        <v>7</v>
      </c>
      <c r="BE209" s="208" t="e">
        <f t="array" ref="BE209">STDEV(IF(AA209:AY209&lt;&gt;0,AA209:AY209))</f>
        <v>#DIV/0!</v>
      </c>
      <c r="BF209" s="208">
        <v>1.96</v>
      </c>
      <c r="BG209" s="208" t="e">
        <f t="shared" si="56"/>
        <v>#DIV/0!</v>
      </c>
      <c r="BH209" s="208">
        <f t="shared" si="57"/>
        <v>0</v>
      </c>
    </row>
    <row r="210" spans="1:60" hidden="1">
      <c r="A210" s="322" t="str">
        <f>Costs!A210</f>
        <v>Indirect Costs 8</v>
      </c>
      <c r="B210" s="313"/>
      <c r="C210" s="313"/>
      <c r="D210" s="313"/>
      <c r="E210" s="313"/>
      <c r="F210" s="313"/>
      <c r="G210" s="313"/>
      <c r="H210" s="313"/>
      <c r="I210" s="313"/>
      <c r="J210" s="313"/>
      <c r="K210" s="313"/>
      <c r="L210" s="313"/>
      <c r="M210" s="313"/>
      <c r="N210" s="313"/>
      <c r="O210" s="313"/>
      <c r="P210" s="313"/>
      <c r="Q210" s="313"/>
      <c r="R210" s="313"/>
      <c r="S210" s="313"/>
      <c r="T210" s="313"/>
      <c r="U210" s="313"/>
      <c r="V210" s="313"/>
      <c r="W210" s="313"/>
      <c r="X210" s="313"/>
      <c r="Y210" s="313"/>
      <c r="Z210" s="314"/>
      <c r="AA210" s="315">
        <f>IF(AA$225&lt;=time,B210*Costs!AH210,"")</f>
        <v>0</v>
      </c>
      <c r="AB210" s="316">
        <f>IF(AB$225&lt;=time,C210*Costs!AI210,"")</f>
        <v>0</v>
      </c>
      <c r="AC210" s="316">
        <f>IF(AC$225&lt;=time,D210*Costs!AJ210,"")</f>
        <v>0</v>
      </c>
      <c r="AD210" s="316">
        <f>IF(AD$225&lt;=time,E210*Costs!AK210,"")</f>
        <v>0</v>
      </c>
      <c r="AE210" s="316">
        <f>IF(AE$225&lt;=time,F210*Costs!AL210,"")</f>
        <v>0</v>
      </c>
      <c r="AF210" s="316" t="str">
        <f>IF(AF$225&lt;=time,G210*Costs!AM210,"")</f>
        <v/>
      </c>
      <c r="AG210" s="316" t="str">
        <f>IF(AG$225&lt;=time,H210*Costs!AN210,"")</f>
        <v/>
      </c>
      <c r="AH210" s="316" t="str">
        <f>IF(AH$225&lt;=time,I210*Costs!AO210,"")</f>
        <v/>
      </c>
      <c r="AI210" s="316" t="str">
        <f>IF(AI$225&lt;=time,J210*Costs!AP210,"")</f>
        <v/>
      </c>
      <c r="AJ210" s="316" t="str">
        <f>IF(AJ$225&lt;=time,K210*Costs!AQ210,"")</f>
        <v/>
      </c>
      <c r="AK210" s="316" t="str">
        <f>IF(AK$225&lt;=time,L210*Costs!AR210,"")</f>
        <v/>
      </c>
      <c r="AL210" s="316" t="str">
        <f>IF(AL$225&lt;=time,M210*Costs!AS210,"")</f>
        <v/>
      </c>
      <c r="AM210" s="316" t="str">
        <f>IF(AM$225&lt;=time,N210*Costs!AT210,"")</f>
        <v/>
      </c>
      <c r="AN210" s="316" t="str">
        <f>IF(AN$225&lt;=time,O210*Costs!AU210,"")</f>
        <v/>
      </c>
      <c r="AO210" s="316" t="str">
        <f>IF(AO$225&lt;=time,P210*Costs!AV210,"")</f>
        <v/>
      </c>
      <c r="AP210" s="316" t="str">
        <f>IF(AP$225&lt;=time,Q210*Costs!AW210,"")</f>
        <v/>
      </c>
      <c r="AQ210" s="316" t="str">
        <f>IF(AQ$225&lt;=time,R210*Costs!AX210,"")</f>
        <v/>
      </c>
      <c r="AR210" s="316" t="str">
        <f>IF(AR$225&lt;=time,S210*Costs!AY210,"")</f>
        <v/>
      </c>
      <c r="AS210" s="316" t="str">
        <f>IF(AS$225&lt;=time,T210*Costs!AZ210,"")</f>
        <v/>
      </c>
      <c r="AT210" s="316" t="str">
        <f>IF(AT$225&lt;=time,U210*Costs!BA210,"")</f>
        <v/>
      </c>
      <c r="AU210" s="316" t="str">
        <f>IF(AU$225&lt;=time,V210*Costs!BB210,"")</f>
        <v/>
      </c>
      <c r="AV210" s="316" t="str">
        <f>IF(AV$225&lt;=time,W210*Costs!BC210,"")</f>
        <v/>
      </c>
      <c r="AW210" s="316" t="str">
        <f>IF(AW$225&lt;=time,X210*Costs!BD210,"")</f>
        <v/>
      </c>
      <c r="AX210" s="316" t="str">
        <f>IF(AX$225&lt;=time,Y210*Costs!BE210,"")</f>
        <v/>
      </c>
      <c r="AY210" s="316" t="str">
        <f>IF(AY$225&lt;=time,Z210*Costs!BF210,"")</f>
        <v/>
      </c>
      <c r="AZ210" s="317">
        <f t="array" ref="AZ210">(SUM( IF(ISERROR(AA210:AY210),"", AA210:AY210)))/time</f>
        <v>0</v>
      </c>
      <c r="BA210" s="317">
        <f t="shared" si="54"/>
        <v>0</v>
      </c>
      <c r="BB210" s="318">
        <f t="shared" si="55"/>
        <v>0</v>
      </c>
      <c r="BC210" s="319">
        <v>8</v>
      </c>
      <c r="BE210" s="208" t="e">
        <f t="array" ref="BE210">STDEV(IF(AA210:AY210&lt;&gt;0,AA210:AY210))</f>
        <v>#DIV/0!</v>
      </c>
      <c r="BF210" s="208">
        <v>1.96</v>
      </c>
      <c r="BG210" s="208" t="e">
        <f t="shared" si="56"/>
        <v>#DIV/0!</v>
      </c>
      <c r="BH210" s="208">
        <f t="shared" si="57"/>
        <v>0</v>
      </c>
    </row>
    <row r="211" spans="1:60" hidden="1">
      <c r="A211" s="322" t="str">
        <f>Costs!A211</f>
        <v>Indirect Costs 9</v>
      </c>
      <c r="B211" s="313"/>
      <c r="C211" s="313"/>
      <c r="D211" s="313"/>
      <c r="E211" s="313"/>
      <c r="F211" s="313"/>
      <c r="G211" s="313"/>
      <c r="H211" s="313"/>
      <c r="I211" s="313"/>
      <c r="J211" s="313"/>
      <c r="K211" s="313"/>
      <c r="L211" s="313"/>
      <c r="M211" s="313"/>
      <c r="N211" s="313"/>
      <c r="O211" s="313"/>
      <c r="P211" s="313"/>
      <c r="Q211" s="313"/>
      <c r="R211" s="313"/>
      <c r="S211" s="313"/>
      <c r="T211" s="313"/>
      <c r="U211" s="313"/>
      <c r="V211" s="313"/>
      <c r="W211" s="313"/>
      <c r="X211" s="313"/>
      <c r="Y211" s="313"/>
      <c r="Z211" s="314"/>
      <c r="AA211" s="315">
        <f>IF(AA$225&lt;=time,B211*Costs!AH211,"")</f>
        <v>0</v>
      </c>
      <c r="AB211" s="316">
        <f>IF(AB$225&lt;=time,C211*Costs!AI211,"")</f>
        <v>0</v>
      </c>
      <c r="AC211" s="316">
        <f>IF(AC$225&lt;=time,D211*Costs!AJ211,"")</f>
        <v>0</v>
      </c>
      <c r="AD211" s="316">
        <f>IF(AD$225&lt;=time,E211*Costs!AK211,"")</f>
        <v>0</v>
      </c>
      <c r="AE211" s="316">
        <f>IF(AE$225&lt;=time,F211*Costs!AL211,"")</f>
        <v>0</v>
      </c>
      <c r="AF211" s="316" t="str">
        <f>IF(AF$225&lt;=time,G211*Costs!AM211,"")</f>
        <v/>
      </c>
      <c r="AG211" s="316" t="str">
        <f>IF(AG$225&lt;=time,H211*Costs!AN211,"")</f>
        <v/>
      </c>
      <c r="AH211" s="316" t="str">
        <f>IF(AH$225&lt;=time,I211*Costs!AO211,"")</f>
        <v/>
      </c>
      <c r="AI211" s="316" t="str">
        <f>IF(AI$225&lt;=time,J211*Costs!AP211,"")</f>
        <v/>
      </c>
      <c r="AJ211" s="316" t="str">
        <f>IF(AJ$225&lt;=time,K211*Costs!AQ211,"")</f>
        <v/>
      </c>
      <c r="AK211" s="316" t="str">
        <f>IF(AK$225&lt;=time,L211*Costs!AR211,"")</f>
        <v/>
      </c>
      <c r="AL211" s="316" t="str">
        <f>IF(AL$225&lt;=time,M211*Costs!AS211,"")</f>
        <v/>
      </c>
      <c r="AM211" s="316" t="str">
        <f>IF(AM$225&lt;=time,N211*Costs!AT211,"")</f>
        <v/>
      </c>
      <c r="AN211" s="316" t="str">
        <f>IF(AN$225&lt;=time,O211*Costs!AU211,"")</f>
        <v/>
      </c>
      <c r="AO211" s="316" t="str">
        <f>IF(AO$225&lt;=time,P211*Costs!AV211,"")</f>
        <v/>
      </c>
      <c r="AP211" s="316" t="str">
        <f>IF(AP$225&lt;=time,Q211*Costs!AW211,"")</f>
        <v/>
      </c>
      <c r="AQ211" s="316" t="str">
        <f>IF(AQ$225&lt;=time,R211*Costs!AX211,"")</f>
        <v/>
      </c>
      <c r="AR211" s="316" t="str">
        <f>IF(AR$225&lt;=time,S211*Costs!AY211,"")</f>
        <v/>
      </c>
      <c r="AS211" s="316" t="str">
        <f>IF(AS$225&lt;=time,T211*Costs!AZ211,"")</f>
        <v/>
      </c>
      <c r="AT211" s="316" t="str">
        <f>IF(AT$225&lt;=time,U211*Costs!BA211,"")</f>
        <v/>
      </c>
      <c r="AU211" s="316" t="str">
        <f>IF(AU$225&lt;=time,V211*Costs!BB211,"")</f>
        <v/>
      </c>
      <c r="AV211" s="316" t="str">
        <f>IF(AV$225&lt;=time,W211*Costs!BC211,"")</f>
        <v/>
      </c>
      <c r="AW211" s="316" t="str">
        <f>IF(AW$225&lt;=time,X211*Costs!BD211,"")</f>
        <v/>
      </c>
      <c r="AX211" s="316" t="str">
        <f>IF(AX$225&lt;=time,Y211*Costs!BE211,"")</f>
        <v/>
      </c>
      <c r="AY211" s="316" t="str">
        <f>IF(AY$225&lt;=time,Z211*Costs!BF211,"")</f>
        <v/>
      </c>
      <c r="AZ211" s="317">
        <f t="array" ref="AZ211">(SUM( IF(ISERROR(AA211:AY211),"", AA211:AY211)))/time</f>
        <v>0</v>
      </c>
      <c r="BA211" s="317">
        <f t="shared" si="54"/>
        <v>0</v>
      </c>
      <c r="BB211" s="318">
        <f t="shared" si="55"/>
        <v>0</v>
      </c>
      <c r="BC211" s="319">
        <v>9</v>
      </c>
      <c r="BE211" s="208" t="e">
        <f t="array" ref="BE211">STDEV(IF(AA211:AY211&lt;&gt;0,AA211:AY211))</f>
        <v>#DIV/0!</v>
      </c>
      <c r="BF211" s="208">
        <v>1.96</v>
      </c>
      <c r="BG211" s="208" t="e">
        <f t="shared" si="56"/>
        <v>#DIV/0!</v>
      </c>
      <c r="BH211" s="208">
        <f t="shared" si="57"/>
        <v>0</v>
      </c>
    </row>
    <row r="212" spans="1:60" hidden="1">
      <c r="A212" s="322" t="str">
        <f>Costs!A212</f>
        <v>Indirect Costs 10</v>
      </c>
      <c r="B212" s="313"/>
      <c r="C212" s="313"/>
      <c r="D212" s="313"/>
      <c r="E212" s="313"/>
      <c r="F212" s="313"/>
      <c r="G212" s="313"/>
      <c r="H212" s="313"/>
      <c r="I212" s="313"/>
      <c r="J212" s="313"/>
      <c r="K212" s="313"/>
      <c r="L212" s="313"/>
      <c r="M212" s="313"/>
      <c r="N212" s="313"/>
      <c r="O212" s="313"/>
      <c r="P212" s="313"/>
      <c r="Q212" s="313"/>
      <c r="R212" s="313"/>
      <c r="S212" s="313"/>
      <c r="T212" s="313"/>
      <c r="U212" s="313"/>
      <c r="V212" s="313"/>
      <c r="W212" s="313"/>
      <c r="X212" s="313"/>
      <c r="Y212" s="313"/>
      <c r="Z212" s="314"/>
      <c r="AA212" s="315">
        <f>IF(AA$225&lt;=time,B212*Costs!AH212,"")</f>
        <v>0</v>
      </c>
      <c r="AB212" s="316">
        <f>IF(AB$225&lt;=time,C212*Costs!AI212,"")</f>
        <v>0</v>
      </c>
      <c r="AC212" s="316">
        <f>IF(AC$225&lt;=time,D212*Costs!AJ212,"")</f>
        <v>0</v>
      </c>
      <c r="AD212" s="316">
        <f>IF(AD$225&lt;=time,E212*Costs!AK212,"")</f>
        <v>0</v>
      </c>
      <c r="AE212" s="316">
        <f>IF(AE$225&lt;=time,F212*Costs!AL212,"")</f>
        <v>0</v>
      </c>
      <c r="AF212" s="316" t="str">
        <f>IF(AF$225&lt;=time,G212*Costs!AM212,"")</f>
        <v/>
      </c>
      <c r="AG212" s="316" t="str">
        <f>IF(AG$225&lt;=time,H212*Costs!AN212,"")</f>
        <v/>
      </c>
      <c r="AH212" s="316" t="str">
        <f>IF(AH$225&lt;=time,I212*Costs!AO212,"")</f>
        <v/>
      </c>
      <c r="AI212" s="316" t="str">
        <f>IF(AI$225&lt;=time,J212*Costs!AP212,"")</f>
        <v/>
      </c>
      <c r="AJ212" s="316" t="str">
        <f>IF(AJ$225&lt;=time,K212*Costs!AQ212,"")</f>
        <v/>
      </c>
      <c r="AK212" s="316" t="str">
        <f>IF(AK$225&lt;=time,L212*Costs!AR212,"")</f>
        <v/>
      </c>
      <c r="AL212" s="316" t="str">
        <f>IF(AL$225&lt;=time,M212*Costs!AS212,"")</f>
        <v/>
      </c>
      <c r="AM212" s="316" t="str">
        <f>IF(AM$225&lt;=time,N212*Costs!AT212,"")</f>
        <v/>
      </c>
      <c r="AN212" s="316" t="str">
        <f>IF(AN$225&lt;=time,O212*Costs!AU212,"")</f>
        <v/>
      </c>
      <c r="AO212" s="316" t="str">
        <f>IF(AO$225&lt;=time,P212*Costs!AV212,"")</f>
        <v/>
      </c>
      <c r="AP212" s="316" t="str">
        <f>IF(AP$225&lt;=time,Q212*Costs!AW212,"")</f>
        <v/>
      </c>
      <c r="AQ212" s="316" t="str">
        <f>IF(AQ$225&lt;=time,R212*Costs!AX212,"")</f>
        <v/>
      </c>
      <c r="AR212" s="316" t="str">
        <f>IF(AR$225&lt;=time,S212*Costs!AY212,"")</f>
        <v/>
      </c>
      <c r="AS212" s="316" t="str">
        <f>IF(AS$225&lt;=time,T212*Costs!AZ212,"")</f>
        <v/>
      </c>
      <c r="AT212" s="316" t="str">
        <f>IF(AT$225&lt;=time,U212*Costs!BA212,"")</f>
        <v/>
      </c>
      <c r="AU212" s="316" t="str">
        <f>IF(AU$225&lt;=time,V212*Costs!BB212,"")</f>
        <v/>
      </c>
      <c r="AV212" s="316" t="str">
        <f>IF(AV$225&lt;=time,W212*Costs!BC212,"")</f>
        <v/>
      </c>
      <c r="AW212" s="316" t="str">
        <f>IF(AW$225&lt;=time,X212*Costs!BD212,"")</f>
        <v/>
      </c>
      <c r="AX212" s="316" t="str">
        <f>IF(AX$225&lt;=time,Y212*Costs!BE212,"")</f>
        <v/>
      </c>
      <c r="AY212" s="316" t="str">
        <f>IF(AY$225&lt;=time,Z212*Costs!BF212,"")</f>
        <v/>
      </c>
      <c r="AZ212" s="317">
        <f t="array" ref="AZ212">(SUM( IF(ISERROR(AA212:AY212),"", AA212:AY212)))/time</f>
        <v>0</v>
      </c>
      <c r="BA212" s="317">
        <f t="shared" si="54"/>
        <v>0</v>
      </c>
      <c r="BB212" s="318">
        <f t="shared" si="55"/>
        <v>0</v>
      </c>
      <c r="BC212" s="319">
        <v>10</v>
      </c>
      <c r="BE212" s="208" t="e">
        <f t="array" ref="BE212">STDEV(IF(AA212:AY212&lt;&gt;0,AA212:AY212))</f>
        <v>#DIV/0!</v>
      </c>
      <c r="BF212" s="208">
        <v>1.96</v>
      </c>
      <c r="BG212" s="208" t="e">
        <f t="shared" si="56"/>
        <v>#DIV/0!</v>
      </c>
      <c r="BH212" s="208">
        <f t="shared" si="57"/>
        <v>0</v>
      </c>
    </row>
    <row r="213" spans="1:60" s="11" customFormat="1">
      <c r="A213" s="17" t="s">
        <v>219</v>
      </c>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9"/>
      <c r="AA213" s="17"/>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BB213" s="211"/>
    </row>
    <row r="214" spans="1:60" ht="16" thickBot="1">
      <c r="A214" s="32" t="str">
        <f>Costs!A214</f>
        <v>Intangible Costs 1</v>
      </c>
      <c r="B214" s="865"/>
      <c r="C214" s="865"/>
      <c r="D214" s="865"/>
      <c r="E214" s="313"/>
      <c r="F214" s="313"/>
      <c r="G214" s="313"/>
      <c r="H214" s="313"/>
      <c r="I214" s="313"/>
      <c r="J214" s="313"/>
      <c r="K214" s="313"/>
      <c r="L214" s="313"/>
      <c r="M214" s="313"/>
      <c r="N214" s="313"/>
      <c r="O214" s="313"/>
      <c r="P214" s="313"/>
      <c r="Q214" s="313"/>
      <c r="R214" s="313"/>
      <c r="S214" s="313"/>
      <c r="T214" s="313"/>
      <c r="U214" s="313"/>
      <c r="V214" s="313"/>
      <c r="W214" s="313"/>
      <c r="X214" s="313"/>
      <c r="Y214" s="313"/>
      <c r="Z214" s="314"/>
      <c r="AA214" s="315">
        <f>IF(AA$225&lt;=time,B214*Costs!AH214,"")</f>
        <v>0</v>
      </c>
      <c r="AB214" s="316">
        <f>IF(AB$225&lt;=time,C214*Costs!AI214,"")</f>
        <v>0</v>
      </c>
      <c r="AC214" s="316">
        <f>IF(AC$225&lt;=time,D214*Costs!AJ214,"")</f>
        <v>0</v>
      </c>
      <c r="AD214" s="316">
        <f>IF(AD$225&lt;=time,E214*Costs!AK214,"")</f>
        <v>0</v>
      </c>
      <c r="AE214" s="316">
        <f>IF(AE$225&lt;=time,F214*Costs!AL214,"")</f>
        <v>0</v>
      </c>
      <c r="AF214" s="316" t="str">
        <f>IF(AF$225&lt;=time,G214*Costs!AM214,"")</f>
        <v/>
      </c>
      <c r="AG214" s="316" t="str">
        <f>IF(AG$225&lt;=time,H214*Costs!AN214,"")</f>
        <v/>
      </c>
      <c r="AH214" s="316" t="str">
        <f>IF(AH$225&lt;=time,I214*Costs!AO214,"")</f>
        <v/>
      </c>
      <c r="AI214" s="316" t="str">
        <f>IF(AI$225&lt;=time,J214*Costs!AP214,"")</f>
        <v/>
      </c>
      <c r="AJ214" s="316" t="str">
        <f>IF(AJ$225&lt;=time,K214*Costs!AQ214,"")</f>
        <v/>
      </c>
      <c r="AK214" s="316" t="str">
        <f>IF(AK$225&lt;=time,L214*Costs!AR214,"")</f>
        <v/>
      </c>
      <c r="AL214" s="316" t="str">
        <f>IF(AL$225&lt;=time,M214*Costs!AS214,"")</f>
        <v/>
      </c>
      <c r="AM214" s="316" t="str">
        <f>IF(AM$225&lt;=time,N214*Costs!AT214,"")</f>
        <v/>
      </c>
      <c r="AN214" s="316" t="str">
        <f>IF(AN$225&lt;=time,O214*Costs!AU214,"")</f>
        <v/>
      </c>
      <c r="AO214" s="316" t="str">
        <f>IF(AO$225&lt;=time,P214*Costs!AV214,"")</f>
        <v/>
      </c>
      <c r="AP214" s="316" t="str">
        <f>IF(AP$225&lt;=time,Q214*Costs!AW214,"")</f>
        <v/>
      </c>
      <c r="AQ214" s="316" t="str">
        <f>IF(AQ$225&lt;=time,R214*Costs!AX214,"")</f>
        <v/>
      </c>
      <c r="AR214" s="316" t="str">
        <f>IF(AR$225&lt;=time,S214*Costs!AY214,"")</f>
        <v/>
      </c>
      <c r="AS214" s="316" t="str">
        <f>IF(AS$225&lt;=time,T214*Costs!AZ214,"")</f>
        <v/>
      </c>
      <c r="AT214" s="316" t="str">
        <f>IF(AT$225&lt;=time,U214*Costs!BA214,"")</f>
        <v/>
      </c>
      <c r="AU214" s="316" t="str">
        <f>IF(AU$225&lt;=time,V214*Costs!BB214,"")</f>
        <v/>
      </c>
      <c r="AV214" s="316" t="str">
        <f>IF(AV$225&lt;=time,W214*Costs!BC214,"")</f>
        <v/>
      </c>
      <c r="AW214" s="316" t="str">
        <f>IF(AW$225&lt;=time,X214*Costs!BD214,"")</f>
        <v/>
      </c>
      <c r="AX214" s="316" t="str">
        <f>IF(AX$225&lt;=time,Y214*Costs!BE214,"")</f>
        <v/>
      </c>
      <c r="AY214" s="316" t="str">
        <f>IF(AY$225&lt;=time,Z214*Costs!BF214,"")</f>
        <v/>
      </c>
      <c r="AZ214" s="317">
        <f t="array" ref="AZ214">(SUM( IF(ISERROR(AA214:AY214),"", AA214:AY214)))/time</f>
        <v>0</v>
      </c>
      <c r="BA214" s="317">
        <f t="shared" si="54"/>
        <v>0</v>
      </c>
      <c r="BB214" s="318">
        <f t="shared" ref="BB214:BB223" si="58">IF(BH214&gt;0,AZ214+BG214,AZ214)</f>
        <v>0</v>
      </c>
      <c r="BC214" s="319">
        <v>1</v>
      </c>
      <c r="BE214" s="208" t="e">
        <f t="array" ref="BE214">STDEV(IF(AA214:AY214&lt;&gt;0,AA214:AY214))</f>
        <v>#DIV/0!</v>
      </c>
      <c r="BF214" s="208">
        <v>1.96</v>
      </c>
      <c r="BG214" s="208" t="e">
        <f t="shared" ref="BG214:BG223" si="59">(BF214*BE214)/(time^0.5)</f>
        <v>#DIV/0!</v>
      </c>
      <c r="BH214" s="208">
        <f t="shared" ref="BH214:BH223" si="60">IFERROR(BE214,0)</f>
        <v>0</v>
      </c>
    </row>
    <row r="215" spans="1:60" hidden="1">
      <c r="A215" s="322" t="str">
        <f>Costs!A215</f>
        <v>Intangible Costs 2</v>
      </c>
      <c r="B215" s="313"/>
      <c r="C215" s="313"/>
      <c r="D215" s="313"/>
      <c r="E215" s="313"/>
      <c r="F215" s="313"/>
      <c r="G215" s="313"/>
      <c r="H215" s="313"/>
      <c r="I215" s="313"/>
      <c r="J215" s="313"/>
      <c r="K215" s="313"/>
      <c r="L215" s="313"/>
      <c r="M215" s="313"/>
      <c r="N215" s="313"/>
      <c r="O215" s="313"/>
      <c r="P215" s="313"/>
      <c r="Q215" s="313"/>
      <c r="R215" s="313"/>
      <c r="S215" s="313"/>
      <c r="T215" s="313"/>
      <c r="U215" s="313"/>
      <c r="V215" s="313"/>
      <c r="W215" s="313"/>
      <c r="X215" s="313"/>
      <c r="Y215" s="313"/>
      <c r="Z215" s="314"/>
      <c r="AA215" s="315">
        <f>IF(AA$225&lt;=time,B215*Costs!AH215,"")</f>
        <v>0</v>
      </c>
      <c r="AB215" s="316">
        <f>IF(AB$225&lt;=time,C215*Costs!AI215,"")</f>
        <v>0</v>
      </c>
      <c r="AC215" s="316">
        <f>IF(AC$225&lt;=time,D215*Costs!AJ215,"")</f>
        <v>0</v>
      </c>
      <c r="AD215" s="316">
        <f>IF(AD$225&lt;=time,E215*Costs!AK215,"")</f>
        <v>0</v>
      </c>
      <c r="AE215" s="316">
        <f>IF(AE$225&lt;=time,F215*Costs!AL215,"")</f>
        <v>0</v>
      </c>
      <c r="AF215" s="316" t="str">
        <f>IF(AF$225&lt;=time,G215*Costs!AM215,"")</f>
        <v/>
      </c>
      <c r="AG215" s="316" t="str">
        <f>IF(AG$225&lt;=time,H215*Costs!AN215,"")</f>
        <v/>
      </c>
      <c r="AH215" s="316" t="str">
        <f>IF(AH$225&lt;=time,I215*Costs!AO215,"")</f>
        <v/>
      </c>
      <c r="AI215" s="316" t="str">
        <f>IF(AI$225&lt;=time,J215*Costs!AP215,"")</f>
        <v/>
      </c>
      <c r="AJ215" s="316" t="str">
        <f>IF(AJ$225&lt;=time,K215*Costs!AQ215,"")</f>
        <v/>
      </c>
      <c r="AK215" s="316" t="str">
        <f>IF(AK$225&lt;=time,L215*Costs!AR215,"")</f>
        <v/>
      </c>
      <c r="AL215" s="316" t="str">
        <f>IF(AL$225&lt;=time,M215*Costs!AS215,"")</f>
        <v/>
      </c>
      <c r="AM215" s="316" t="str">
        <f>IF(AM$225&lt;=time,N215*Costs!AT215,"")</f>
        <v/>
      </c>
      <c r="AN215" s="316" t="str">
        <f>IF(AN$225&lt;=time,O215*Costs!AU215,"")</f>
        <v/>
      </c>
      <c r="AO215" s="316" t="str">
        <f>IF(AO$225&lt;=time,P215*Costs!AV215,"")</f>
        <v/>
      </c>
      <c r="AP215" s="316" t="str">
        <f>IF(AP$225&lt;=time,Q215*Costs!AW215,"")</f>
        <v/>
      </c>
      <c r="AQ215" s="316" t="str">
        <f>IF(AQ$225&lt;=time,R215*Costs!AX215,"")</f>
        <v/>
      </c>
      <c r="AR215" s="316" t="str">
        <f>IF(AR$225&lt;=time,S215*Costs!AY215,"")</f>
        <v/>
      </c>
      <c r="AS215" s="316" t="str">
        <f>IF(AS$225&lt;=time,T215*Costs!AZ215,"")</f>
        <v/>
      </c>
      <c r="AT215" s="316" t="str">
        <f>IF(AT$225&lt;=time,U215*Costs!BA215,"")</f>
        <v/>
      </c>
      <c r="AU215" s="316" t="str">
        <f>IF(AU$225&lt;=time,V215*Costs!BB215,"")</f>
        <v/>
      </c>
      <c r="AV215" s="316" t="str">
        <f>IF(AV$225&lt;=time,W215*Costs!BC215,"")</f>
        <v/>
      </c>
      <c r="AW215" s="316" t="str">
        <f>IF(AW$225&lt;=time,X215*Costs!BD215,"")</f>
        <v/>
      </c>
      <c r="AX215" s="316" t="str">
        <f>IF(AX$225&lt;=time,Y215*Costs!BE215,"")</f>
        <v/>
      </c>
      <c r="AY215" s="316" t="str">
        <f>IF(AY$225&lt;=time,Z215*Costs!BF215,"")</f>
        <v/>
      </c>
      <c r="AZ215" s="317">
        <f t="array" ref="AZ215">(SUM( IF(ISERROR(AA215:AY215),"", AA215:AY215)))/time</f>
        <v>0</v>
      </c>
      <c r="BA215" s="317">
        <f t="shared" si="54"/>
        <v>0</v>
      </c>
      <c r="BB215" s="318">
        <f t="shared" si="58"/>
        <v>0</v>
      </c>
      <c r="BC215" s="319">
        <v>2</v>
      </c>
      <c r="BE215" s="208" t="e">
        <f t="array" ref="BE215">STDEV(IF(AA215:AY215&lt;&gt;0,AA215:AY215))</f>
        <v>#DIV/0!</v>
      </c>
      <c r="BF215" s="208">
        <v>1.96</v>
      </c>
      <c r="BG215" s="208" t="e">
        <f t="shared" si="59"/>
        <v>#DIV/0!</v>
      </c>
      <c r="BH215" s="208">
        <f t="shared" si="60"/>
        <v>0</v>
      </c>
    </row>
    <row r="216" spans="1:60" hidden="1">
      <c r="A216" s="322" t="str">
        <f>Costs!A216</f>
        <v>Intangible Costs 3</v>
      </c>
      <c r="B216" s="313"/>
      <c r="C216" s="313"/>
      <c r="D216" s="313"/>
      <c r="E216" s="313"/>
      <c r="F216" s="313"/>
      <c r="G216" s="313"/>
      <c r="H216" s="313"/>
      <c r="I216" s="313"/>
      <c r="J216" s="313"/>
      <c r="K216" s="313"/>
      <c r="L216" s="313"/>
      <c r="M216" s="313"/>
      <c r="N216" s="313"/>
      <c r="O216" s="313"/>
      <c r="P216" s="313"/>
      <c r="Q216" s="313"/>
      <c r="R216" s="313"/>
      <c r="S216" s="313"/>
      <c r="T216" s="313"/>
      <c r="U216" s="313"/>
      <c r="V216" s="313"/>
      <c r="W216" s="313"/>
      <c r="X216" s="313"/>
      <c r="Y216" s="313"/>
      <c r="Z216" s="314"/>
      <c r="AA216" s="315">
        <f>IF(AA$225&lt;=time,B216*Costs!AH216,"")</f>
        <v>0</v>
      </c>
      <c r="AB216" s="316">
        <f>IF(AB$225&lt;=time,C216*Costs!AI216,"")</f>
        <v>0</v>
      </c>
      <c r="AC216" s="316">
        <f>IF(AC$225&lt;=time,D216*Costs!AJ216,"")</f>
        <v>0</v>
      </c>
      <c r="AD216" s="316">
        <f>IF(AD$225&lt;=time,E216*Costs!AK216,"")</f>
        <v>0</v>
      </c>
      <c r="AE216" s="316">
        <f>IF(AE$225&lt;=time,F216*Costs!AL216,"")</f>
        <v>0</v>
      </c>
      <c r="AF216" s="316" t="str">
        <f>IF(AF$225&lt;=time,G216*Costs!AM216,"")</f>
        <v/>
      </c>
      <c r="AG216" s="316" t="str">
        <f>IF(AG$225&lt;=time,H216*Costs!AN216,"")</f>
        <v/>
      </c>
      <c r="AH216" s="316" t="str">
        <f>IF(AH$225&lt;=time,I216*Costs!AO216,"")</f>
        <v/>
      </c>
      <c r="AI216" s="316" t="str">
        <f>IF(AI$225&lt;=time,J216*Costs!AP216,"")</f>
        <v/>
      </c>
      <c r="AJ216" s="316" t="str">
        <f>IF(AJ$225&lt;=time,K216*Costs!AQ216,"")</f>
        <v/>
      </c>
      <c r="AK216" s="316" t="str">
        <f>IF(AK$225&lt;=time,L216*Costs!AR216,"")</f>
        <v/>
      </c>
      <c r="AL216" s="316" t="str">
        <f>IF(AL$225&lt;=time,M216*Costs!AS216,"")</f>
        <v/>
      </c>
      <c r="AM216" s="316" t="str">
        <f>IF(AM$225&lt;=time,N216*Costs!AT216,"")</f>
        <v/>
      </c>
      <c r="AN216" s="316" t="str">
        <f>IF(AN$225&lt;=time,O216*Costs!AU216,"")</f>
        <v/>
      </c>
      <c r="AO216" s="316" t="str">
        <f>IF(AO$225&lt;=time,P216*Costs!AV216,"")</f>
        <v/>
      </c>
      <c r="AP216" s="316" t="str">
        <f>IF(AP$225&lt;=time,Q216*Costs!AW216,"")</f>
        <v/>
      </c>
      <c r="AQ216" s="316" t="str">
        <f>IF(AQ$225&lt;=time,R216*Costs!AX216,"")</f>
        <v/>
      </c>
      <c r="AR216" s="316" t="str">
        <f>IF(AR$225&lt;=time,S216*Costs!AY216,"")</f>
        <v/>
      </c>
      <c r="AS216" s="316" t="str">
        <f>IF(AS$225&lt;=time,T216*Costs!AZ216,"")</f>
        <v/>
      </c>
      <c r="AT216" s="316" t="str">
        <f>IF(AT$225&lt;=time,U216*Costs!BA216,"")</f>
        <v/>
      </c>
      <c r="AU216" s="316" t="str">
        <f>IF(AU$225&lt;=time,V216*Costs!BB216,"")</f>
        <v/>
      </c>
      <c r="AV216" s="316" t="str">
        <f>IF(AV$225&lt;=time,W216*Costs!BC216,"")</f>
        <v/>
      </c>
      <c r="AW216" s="316" t="str">
        <f>IF(AW$225&lt;=time,X216*Costs!BD216,"")</f>
        <v/>
      </c>
      <c r="AX216" s="316" t="str">
        <f>IF(AX$225&lt;=time,Y216*Costs!BE216,"")</f>
        <v/>
      </c>
      <c r="AY216" s="316" t="str">
        <f>IF(AY$225&lt;=time,Z216*Costs!BF216,"")</f>
        <v/>
      </c>
      <c r="AZ216" s="317">
        <f t="array" ref="AZ216">(SUM( IF(ISERROR(AA216:AY216),"", AA216:AY216)))/time</f>
        <v>0</v>
      </c>
      <c r="BA216" s="317">
        <f t="shared" si="54"/>
        <v>0</v>
      </c>
      <c r="BB216" s="318">
        <f t="shared" si="58"/>
        <v>0</v>
      </c>
      <c r="BC216" s="319">
        <v>3</v>
      </c>
      <c r="BE216" s="208" t="e">
        <f t="array" ref="BE216">STDEV(IF(AA216:AY216&lt;&gt;0,AA216:AY216))</f>
        <v>#DIV/0!</v>
      </c>
      <c r="BF216" s="208">
        <v>1.96</v>
      </c>
      <c r="BG216" s="208" t="e">
        <f t="shared" si="59"/>
        <v>#DIV/0!</v>
      </c>
      <c r="BH216" s="208">
        <f t="shared" si="60"/>
        <v>0</v>
      </c>
    </row>
    <row r="217" spans="1:60" hidden="1">
      <c r="A217" s="322" t="str">
        <f>Costs!A217</f>
        <v>Intangible Costs 4</v>
      </c>
      <c r="B217" s="313"/>
      <c r="C217" s="313"/>
      <c r="D217" s="313"/>
      <c r="E217" s="313"/>
      <c r="F217" s="313"/>
      <c r="G217" s="313"/>
      <c r="H217" s="313"/>
      <c r="I217" s="313"/>
      <c r="J217" s="313"/>
      <c r="K217" s="313"/>
      <c r="L217" s="313"/>
      <c r="M217" s="313"/>
      <c r="N217" s="313"/>
      <c r="O217" s="313"/>
      <c r="P217" s="313"/>
      <c r="Q217" s="313"/>
      <c r="R217" s="313"/>
      <c r="S217" s="313"/>
      <c r="T217" s="313"/>
      <c r="U217" s="313"/>
      <c r="V217" s="313"/>
      <c r="W217" s="313"/>
      <c r="X217" s="313"/>
      <c r="Y217" s="313"/>
      <c r="Z217" s="314"/>
      <c r="AA217" s="315">
        <f>IF(AA$225&lt;=time,B217*Costs!AH217,"")</f>
        <v>0</v>
      </c>
      <c r="AB217" s="316">
        <f>IF(AB$225&lt;=time,C217*Costs!AI217,"")</f>
        <v>0</v>
      </c>
      <c r="AC217" s="316">
        <f>IF(AC$225&lt;=time,D217*Costs!AJ217,"")</f>
        <v>0</v>
      </c>
      <c r="AD217" s="316">
        <f>IF(AD$225&lt;=time,E217*Costs!AK217,"")</f>
        <v>0</v>
      </c>
      <c r="AE217" s="316">
        <f>IF(AE$225&lt;=time,F217*Costs!AL217,"")</f>
        <v>0</v>
      </c>
      <c r="AF217" s="316" t="str">
        <f>IF(AF$225&lt;=time,G217*Costs!AM217,"")</f>
        <v/>
      </c>
      <c r="AG217" s="316" t="str">
        <f>IF(AG$225&lt;=time,H217*Costs!AN217,"")</f>
        <v/>
      </c>
      <c r="AH217" s="316" t="str">
        <f>IF(AH$225&lt;=time,I217*Costs!AO217,"")</f>
        <v/>
      </c>
      <c r="AI217" s="316" t="str">
        <f>IF(AI$225&lt;=time,J217*Costs!AP217,"")</f>
        <v/>
      </c>
      <c r="AJ217" s="316" t="str">
        <f>IF(AJ$225&lt;=time,K217*Costs!AQ217,"")</f>
        <v/>
      </c>
      <c r="AK217" s="316" t="str">
        <f>IF(AK$225&lt;=time,L217*Costs!AR217,"")</f>
        <v/>
      </c>
      <c r="AL217" s="316" t="str">
        <f>IF(AL$225&lt;=time,M217*Costs!AS217,"")</f>
        <v/>
      </c>
      <c r="AM217" s="316" t="str">
        <f>IF(AM$225&lt;=time,N217*Costs!AT217,"")</f>
        <v/>
      </c>
      <c r="AN217" s="316" t="str">
        <f>IF(AN$225&lt;=time,O217*Costs!AU217,"")</f>
        <v/>
      </c>
      <c r="AO217" s="316" t="str">
        <f>IF(AO$225&lt;=time,P217*Costs!AV217,"")</f>
        <v/>
      </c>
      <c r="AP217" s="316" t="str">
        <f>IF(AP$225&lt;=time,Q217*Costs!AW217,"")</f>
        <v/>
      </c>
      <c r="AQ217" s="316" t="str">
        <f>IF(AQ$225&lt;=time,R217*Costs!AX217,"")</f>
        <v/>
      </c>
      <c r="AR217" s="316" t="str">
        <f>IF(AR$225&lt;=time,S217*Costs!AY217,"")</f>
        <v/>
      </c>
      <c r="AS217" s="316" t="str">
        <f>IF(AS$225&lt;=time,T217*Costs!AZ217,"")</f>
        <v/>
      </c>
      <c r="AT217" s="316" t="str">
        <f>IF(AT$225&lt;=time,U217*Costs!BA217,"")</f>
        <v/>
      </c>
      <c r="AU217" s="316" t="str">
        <f>IF(AU$225&lt;=time,V217*Costs!BB217,"")</f>
        <v/>
      </c>
      <c r="AV217" s="316" t="str">
        <f>IF(AV$225&lt;=time,W217*Costs!BC217,"")</f>
        <v/>
      </c>
      <c r="AW217" s="316" t="str">
        <f>IF(AW$225&lt;=time,X217*Costs!BD217,"")</f>
        <v/>
      </c>
      <c r="AX217" s="316" t="str">
        <f>IF(AX$225&lt;=time,Y217*Costs!BE217,"")</f>
        <v/>
      </c>
      <c r="AY217" s="316" t="str">
        <f>IF(AY$225&lt;=time,Z217*Costs!BF217,"")</f>
        <v/>
      </c>
      <c r="AZ217" s="317">
        <f t="array" ref="AZ217">(SUM( IF(ISERROR(AA217:AY217),"", AA217:AY217)))/time</f>
        <v>0</v>
      </c>
      <c r="BA217" s="317">
        <f t="shared" si="54"/>
        <v>0</v>
      </c>
      <c r="BB217" s="318">
        <f t="shared" si="58"/>
        <v>0</v>
      </c>
      <c r="BC217" s="319">
        <v>4</v>
      </c>
      <c r="BE217" s="208" t="e">
        <f t="array" ref="BE217">STDEV(IF(AA217:AY217&lt;&gt;0,AA217:AY217))</f>
        <v>#DIV/0!</v>
      </c>
      <c r="BF217" s="208">
        <v>1.96</v>
      </c>
      <c r="BG217" s="208" t="e">
        <f t="shared" si="59"/>
        <v>#DIV/0!</v>
      </c>
      <c r="BH217" s="208">
        <f t="shared" si="60"/>
        <v>0</v>
      </c>
    </row>
    <row r="218" spans="1:60" hidden="1">
      <c r="A218" s="322" t="str">
        <f>Costs!A218</f>
        <v>Intangible Costs 5</v>
      </c>
      <c r="B218" s="313"/>
      <c r="C218" s="313"/>
      <c r="D218" s="313"/>
      <c r="E218" s="313"/>
      <c r="F218" s="313"/>
      <c r="G218" s="313"/>
      <c r="H218" s="313"/>
      <c r="I218" s="313"/>
      <c r="J218" s="313"/>
      <c r="K218" s="313"/>
      <c r="L218" s="313"/>
      <c r="M218" s="313"/>
      <c r="N218" s="313"/>
      <c r="O218" s="313"/>
      <c r="P218" s="313"/>
      <c r="Q218" s="313"/>
      <c r="R218" s="313"/>
      <c r="S218" s="313"/>
      <c r="T218" s="313"/>
      <c r="U218" s="313"/>
      <c r="V218" s="313"/>
      <c r="W218" s="313"/>
      <c r="X218" s="313"/>
      <c r="Y218" s="313"/>
      <c r="Z218" s="314"/>
      <c r="AA218" s="315">
        <f>IF(AA$225&lt;=time,B218*Costs!AH218,"")</f>
        <v>0</v>
      </c>
      <c r="AB218" s="316">
        <f>IF(AB$225&lt;=time,C218*Costs!AI218,"")</f>
        <v>0</v>
      </c>
      <c r="AC218" s="316">
        <f>IF(AC$225&lt;=time,D218*Costs!AJ218,"")</f>
        <v>0</v>
      </c>
      <c r="AD218" s="316">
        <f>IF(AD$225&lt;=time,E218*Costs!AK218,"")</f>
        <v>0</v>
      </c>
      <c r="AE218" s="316">
        <f>IF(AE$225&lt;=time,F218*Costs!AL218,"")</f>
        <v>0</v>
      </c>
      <c r="AF218" s="316" t="str">
        <f>IF(AF$225&lt;=time,G218*Costs!AM218,"")</f>
        <v/>
      </c>
      <c r="AG218" s="316" t="str">
        <f>IF(AG$225&lt;=time,H218*Costs!AN218,"")</f>
        <v/>
      </c>
      <c r="AH218" s="316" t="str">
        <f>IF(AH$225&lt;=time,I218*Costs!AO218,"")</f>
        <v/>
      </c>
      <c r="AI218" s="316" t="str">
        <f>IF(AI$225&lt;=time,J218*Costs!AP218,"")</f>
        <v/>
      </c>
      <c r="AJ218" s="316" t="str">
        <f>IF(AJ$225&lt;=time,K218*Costs!AQ218,"")</f>
        <v/>
      </c>
      <c r="AK218" s="316" t="str">
        <f>IF(AK$225&lt;=time,L218*Costs!AR218,"")</f>
        <v/>
      </c>
      <c r="AL218" s="316" t="str">
        <f>IF(AL$225&lt;=time,M218*Costs!AS218,"")</f>
        <v/>
      </c>
      <c r="AM218" s="316" t="str">
        <f>IF(AM$225&lt;=time,N218*Costs!AT218,"")</f>
        <v/>
      </c>
      <c r="AN218" s="316" t="str">
        <f>IF(AN$225&lt;=time,O218*Costs!AU218,"")</f>
        <v/>
      </c>
      <c r="AO218" s="316" t="str">
        <f>IF(AO$225&lt;=time,P218*Costs!AV218,"")</f>
        <v/>
      </c>
      <c r="AP218" s="316" t="str">
        <f>IF(AP$225&lt;=time,Q218*Costs!AW218,"")</f>
        <v/>
      </c>
      <c r="AQ218" s="316" t="str">
        <f>IF(AQ$225&lt;=time,R218*Costs!AX218,"")</f>
        <v/>
      </c>
      <c r="AR218" s="316" t="str">
        <f>IF(AR$225&lt;=time,S218*Costs!AY218,"")</f>
        <v/>
      </c>
      <c r="AS218" s="316" t="str">
        <f>IF(AS$225&lt;=time,T218*Costs!AZ218,"")</f>
        <v/>
      </c>
      <c r="AT218" s="316" t="str">
        <f>IF(AT$225&lt;=time,U218*Costs!BA218,"")</f>
        <v/>
      </c>
      <c r="AU218" s="316" t="str">
        <f>IF(AU$225&lt;=time,V218*Costs!BB218,"")</f>
        <v/>
      </c>
      <c r="AV218" s="316" t="str">
        <f>IF(AV$225&lt;=time,W218*Costs!BC218,"")</f>
        <v/>
      </c>
      <c r="AW218" s="316" t="str">
        <f>IF(AW$225&lt;=time,X218*Costs!BD218,"")</f>
        <v/>
      </c>
      <c r="AX218" s="316" t="str">
        <f>IF(AX$225&lt;=time,Y218*Costs!BE218,"")</f>
        <v/>
      </c>
      <c r="AY218" s="316" t="str">
        <f>IF(AY$225&lt;=time,Z218*Costs!BF218,"")</f>
        <v/>
      </c>
      <c r="AZ218" s="317">
        <f t="array" ref="AZ218">(SUM( IF(ISERROR(AA218:AY218),"", AA218:AY218)))/time</f>
        <v>0</v>
      </c>
      <c r="BA218" s="317">
        <f t="shared" si="54"/>
        <v>0</v>
      </c>
      <c r="BB218" s="318">
        <f t="shared" si="58"/>
        <v>0</v>
      </c>
      <c r="BC218" s="319">
        <v>5</v>
      </c>
      <c r="BE218" s="208" t="e">
        <f t="array" ref="BE218">STDEV(IF(AA218:AY218&lt;&gt;0,AA218:AY218))</f>
        <v>#DIV/0!</v>
      </c>
      <c r="BF218" s="208">
        <v>1.96</v>
      </c>
      <c r="BG218" s="208" t="e">
        <f t="shared" si="59"/>
        <v>#DIV/0!</v>
      </c>
      <c r="BH218" s="208">
        <f t="shared" si="60"/>
        <v>0</v>
      </c>
    </row>
    <row r="219" spans="1:60" hidden="1">
      <c r="A219" s="322" t="str">
        <f>Costs!A219</f>
        <v>Intangible Costs 6</v>
      </c>
      <c r="B219" s="313"/>
      <c r="C219" s="313"/>
      <c r="D219" s="313"/>
      <c r="E219" s="313"/>
      <c r="F219" s="313"/>
      <c r="G219" s="313"/>
      <c r="H219" s="313"/>
      <c r="I219" s="313"/>
      <c r="J219" s="313"/>
      <c r="K219" s="313"/>
      <c r="L219" s="313"/>
      <c r="M219" s="313"/>
      <c r="N219" s="313"/>
      <c r="O219" s="313"/>
      <c r="P219" s="313"/>
      <c r="Q219" s="313"/>
      <c r="R219" s="313"/>
      <c r="S219" s="313"/>
      <c r="T219" s="313"/>
      <c r="U219" s="313"/>
      <c r="V219" s="313"/>
      <c r="W219" s="313"/>
      <c r="X219" s="313"/>
      <c r="Y219" s="313"/>
      <c r="Z219" s="314"/>
      <c r="AA219" s="315">
        <f>IF(AA$225&lt;=time,B219*Costs!AH219,"")</f>
        <v>0</v>
      </c>
      <c r="AB219" s="316">
        <f>IF(AB$225&lt;=time,C219*Costs!AI219,"")</f>
        <v>0</v>
      </c>
      <c r="AC219" s="316">
        <f>IF(AC$225&lt;=time,D219*Costs!AJ219,"")</f>
        <v>0</v>
      </c>
      <c r="AD219" s="316">
        <f>IF(AD$225&lt;=time,E219*Costs!AK219,"")</f>
        <v>0</v>
      </c>
      <c r="AE219" s="316">
        <f>IF(AE$225&lt;=time,F219*Costs!AL219,"")</f>
        <v>0</v>
      </c>
      <c r="AF219" s="316" t="str">
        <f>IF(AF$225&lt;=time,G219*Costs!AM219,"")</f>
        <v/>
      </c>
      <c r="AG219" s="316" t="str">
        <f>IF(AG$225&lt;=time,H219*Costs!AN219,"")</f>
        <v/>
      </c>
      <c r="AH219" s="316" t="str">
        <f>IF(AH$225&lt;=time,I219*Costs!AO219,"")</f>
        <v/>
      </c>
      <c r="AI219" s="316" t="str">
        <f>IF(AI$225&lt;=time,J219*Costs!AP219,"")</f>
        <v/>
      </c>
      <c r="AJ219" s="316" t="str">
        <f>IF(AJ$225&lt;=time,K219*Costs!AQ219,"")</f>
        <v/>
      </c>
      <c r="AK219" s="316" t="str">
        <f>IF(AK$225&lt;=time,L219*Costs!AR219,"")</f>
        <v/>
      </c>
      <c r="AL219" s="316" t="str">
        <f>IF(AL$225&lt;=time,M219*Costs!AS219,"")</f>
        <v/>
      </c>
      <c r="AM219" s="316" t="str">
        <f>IF(AM$225&lt;=time,N219*Costs!AT219,"")</f>
        <v/>
      </c>
      <c r="AN219" s="316" t="str">
        <f>IF(AN$225&lt;=time,O219*Costs!AU219,"")</f>
        <v/>
      </c>
      <c r="AO219" s="316" t="str">
        <f>IF(AO$225&lt;=time,P219*Costs!AV219,"")</f>
        <v/>
      </c>
      <c r="AP219" s="316" t="str">
        <f>IF(AP$225&lt;=time,Q219*Costs!AW219,"")</f>
        <v/>
      </c>
      <c r="AQ219" s="316" t="str">
        <f>IF(AQ$225&lt;=time,R219*Costs!AX219,"")</f>
        <v/>
      </c>
      <c r="AR219" s="316" t="str">
        <f>IF(AR$225&lt;=time,S219*Costs!AY219,"")</f>
        <v/>
      </c>
      <c r="AS219" s="316" t="str">
        <f>IF(AS$225&lt;=time,T219*Costs!AZ219,"")</f>
        <v/>
      </c>
      <c r="AT219" s="316" t="str">
        <f>IF(AT$225&lt;=time,U219*Costs!BA219,"")</f>
        <v/>
      </c>
      <c r="AU219" s="316" t="str">
        <f>IF(AU$225&lt;=time,V219*Costs!BB219,"")</f>
        <v/>
      </c>
      <c r="AV219" s="316" t="str">
        <f>IF(AV$225&lt;=time,W219*Costs!BC219,"")</f>
        <v/>
      </c>
      <c r="AW219" s="316" t="str">
        <f>IF(AW$225&lt;=time,X219*Costs!BD219,"")</f>
        <v/>
      </c>
      <c r="AX219" s="316" t="str">
        <f>IF(AX$225&lt;=time,Y219*Costs!BE219,"")</f>
        <v/>
      </c>
      <c r="AY219" s="316" t="str">
        <f>IF(AY$225&lt;=time,Z219*Costs!BF219,"")</f>
        <v/>
      </c>
      <c r="AZ219" s="317">
        <f t="array" ref="AZ219">(SUM( IF(ISERROR(AA219:AY219),"", AA219:AY219)))/time</f>
        <v>0</v>
      </c>
      <c r="BA219" s="317">
        <f t="shared" si="54"/>
        <v>0</v>
      </c>
      <c r="BB219" s="318">
        <f t="shared" si="58"/>
        <v>0</v>
      </c>
      <c r="BC219" s="319">
        <v>6</v>
      </c>
      <c r="BE219" s="208" t="e">
        <f t="array" ref="BE219">STDEV(IF(AA219:AY219&lt;&gt;0,AA219:AY219))</f>
        <v>#DIV/0!</v>
      </c>
      <c r="BF219" s="208">
        <v>1.96</v>
      </c>
      <c r="BG219" s="208" t="e">
        <f t="shared" si="59"/>
        <v>#DIV/0!</v>
      </c>
      <c r="BH219" s="208">
        <f t="shared" si="60"/>
        <v>0</v>
      </c>
    </row>
    <row r="220" spans="1:60" hidden="1">
      <c r="A220" s="322" t="str">
        <f>Costs!A220</f>
        <v>Intangible Costs 7</v>
      </c>
      <c r="B220" s="313"/>
      <c r="C220" s="313"/>
      <c r="D220" s="313"/>
      <c r="E220" s="313"/>
      <c r="F220" s="313"/>
      <c r="G220" s="313"/>
      <c r="H220" s="313"/>
      <c r="I220" s="313"/>
      <c r="J220" s="313"/>
      <c r="K220" s="313"/>
      <c r="L220" s="313"/>
      <c r="M220" s="313"/>
      <c r="N220" s="313"/>
      <c r="O220" s="313"/>
      <c r="P220" s="313"/>
      <c r="Q220" s="313"/>
      <c r="R220" s="313"/>
      <c r="S220" s="313"/>
      <c r="T220" s="313"/>
      <c r="U220" s="313"/>
      <c r="V220" s="313"/>
      <c r="W220" s="313"/>
      <c r="X220" s="313"/>
      <c r="Y220" s="313"/>
      <c r="Z220" s="314"/>
      <c r="AA220" s="315">
        <f>IF(AA$225&lt;=time,B220*Costs!AH220,"")</f>
        <v>0</v>
      </c>
      <c r="AB220" s="316">
        <f>IF(AB$225&lt;=time,C220*Costs!AI220,"")</f>
        <v>0</v>
      </c>
      <c r="AC220" s="316">
        <f>IF(AC$225&lt;=time,D220*Costs!AJ220,"")</f>
        <v>0</v>
      </c>
      <c r="AD220" s="316">
        <f>IF(AD$225&lt;=time,E220*Costs!AK220,"")</f>
        <v>0</v>
      </c>
      <c r="AE220" s="316">
        <f>IF(AE$225&lt;=time,F220*Costs!AL220,"")</f>
        <v>0</v>
      </c>
      <c r="AF220" s="316" t="str">
        <f>IF(AF$225&lt;=time,G220*Costs!AM220,"")</f>
        <v/>
      </c>
      <c r="AG220" s="316" t="str">
        <f>IF(AG$225&lt;=time,H220*Costs!AN220,"")</f>
        <v/>
      </c>
      <c r="AH220" s="316" t="str">
        <f>IF(AH$225&lt;=time,I220*Costs!AO220,"")</f>
        <v/>
      </c>
      <c r="AI220" s="316" t="str">
        <f>IF(AI$225&lt;=time,J220*Costs!AP220,"")</f>
        <v/>
      </c>
      <c r="AJ220" s="316" t="str">
        <f>IF(AJ$225&lt;=time,K220*Costs!AQ220,"")</f>
        <v/>
      </c>
      <c r="AK220" s="316" t="str">
        <f>IF(AK$225&lt;=time,L220*Costs!AR220,"")</f>
        <v/>
      </c>
      <c r="AL220" s="316" t="str">
        <f>IF(AL$225&lt;=time,M220*Costs!AS220,"")</f>
        <v/>
      </c>
      <c r="AM220" s="316" t="str">
        <f>IF(AM$225&lt;=time,N220*Costs!AT220,"")</f>
        <v/>
      </c>
      <c r="AN220" s="316" t="str">
        <f>IF(AN$225&lt;=time,O220*Costs!AU220,"")</f>
        <v/>
      </c>
      <c r="AO220" s="316" t="str">
        <f>IF(AO$225&lt;=time,P220*Costs!AV220,"")</f>
        <v/>
      </c>
      <c r="AP220" s="316" t="str">
        <f>IF(AP$225&lt;=time,Q220*Costs!AW220,"")</f>
        <v/>
      </c>
      <c r="AQ220" s="316" t="str">
        <f>IF(AQ$225&lt;=time,R220*Costs!AX220,"")</f>
        <v/>
      </c>
      <c r="AR220" s="316" t="str">
        <f>IF(AR$225&lt;=time,S220*Costs!AY220,"")</f>
        <v/>
      </c>
      <c r="AS220" s="316" t="str">
        <f>IF(AS$225&lt;=time,T220*Costs!AZ220,"")</f>
        <v/>
      </c>
      <c r="AT220" s="316" t="str">
        <f>IF(AT$225&lt;=time,U220*Costs!BA220,"")</f>
        <v/>
      </c>
      <c r="AU220" s="316" t="str">
        <f>IF(AU$225&lt;=time,V220*Costs!BB220,"")</f>
        <v/>
      </c>
      <c r="AV220" s="316" t="str">
        <f>IF(AV$225&lt;=time,W220*Costs!BC220,"")</f>
        <v/>
      </c>
      <c r="AW220" s="316" t="str">
        <f>IF(AW$225&lt;=time,X220*Costs!BD220,"")</f>
        <v/>
      </c>
      <c r="AX220" s="316" t="str">
        <f>IF(AX$225&lt;=time,Y220*Costs!BE220,"")</f>
        <v/>
      </c>
      <c r="AY220" s="316" t="str">
        <f>IF(AY$225&lt;=time,Z220*Costs!BF220,"")</f>
        <v/>
      </c>
      <c r="AZ220" s="317">
        <f t="array" ref="AZ220">(SUM( IF(ISERROR(AA220:AY220),"", AA220:AY220)))/time</f>
        <v>0</v>
      </c>
      <c r="BA220" s="317">
        <f t="shared" si="54"/>
        <v>0</v>
      </c>
      <c r="BB220" s="318">
        <f t="shared" si="58"/>
        <v>0</v>
      </c>
      <c r="BC220" s="319">
        <v>7</v>
      </c>
      <c r="BE220" s="208" t="e">
        <f t="array" ref="BE220">STDEV(IF(AA220:AY220&lt;&gt;0,AA220:AY220))</f>
        <v>#DIV/0!</v>
      </c>
      <c r="BF220" s="208">
        <v>1.96</v>
      </c>
      <c r="BG220" s="208" t="e">
        <f t="shared" si="59"/>
        <v>#DIV/0!</v>
      </c>
      <c r="BH220" s="208">
        <f t="shared" si="60"/>
        <v>0</v>
      </c>
    </row>
    <row r="221" spans="1:60" hidden="1">
      <c r="A221" s="322" t="str">
        <f>Costs!A221</f>
        <v>Intangible Costs 8</v>
      </c>
      <c r="B221" s="313"/>
      <c r="C221" s="313"/>
      <c r="D221" s="313"/>
      <c r="E221" s="313"/>
      <c r="F221" s="313"/>
      <c r="G221" s="313"/>
      <c r="H221" s="313"/>
      <c r="I221" s="313"/>
      <c r="J221" s="313"/>
      <c r="K221" s="313"/>
      <c r="L221" s="313"/>
      <c r="M221" s="313"/>
      <c r="N221" s="313"/>
      <c r="O221" s="313"/>
      <c r="P221" s="313"/>
      <c r="Q221" s="313"/>
      <c r="R221" s="313"/>
      <c r="S221" s="313"/>
      <c r="T221" s="313"/>
      <c r="U221" s="313"/>
      <c r="V221" s="313"/>
      <c r="W221" s="313"/>
      <c r="X221" s="313"/>
      <c r="Y221" s="313"/>
      <c r="Z221" s="314"/>
      <c r="AA221" s="315">
        <f>IF(AA$225&lt;=time,B221*Costs!AH221,"")</f>
        <v>0</v>
      </c>
      <c r="AB221" s="316">
        <f>IF(AB$225&lt;=time,C221*Costs!AI221,"")</f>
        <v>0</v>
      </c>
      <c r="AC221" s="316">
        <f>IF(AC$225&lt;=time,D221*Costs!AJ221,"")</f>
        <v>0</v>
      </c>
      <c r="AD221" s="316">
        <f>IF(AD$225&lt;=time,E221*Costs!AK221,"")</f>
        <v>0</v>
      </c>
      <c r="AE221" s="316">
        <f>IF(AE$225&lt;=time,F221*Costs!AL221,"")</f>
        <v>0</v>
      </c>
      <c r="AF221" s="316" t="str">
        <f>IF(AF$225&lt;=time,G221*Costs!AM221,"")</f>
        <v/>
      </c>
      <c r="AG221" s="316" t="str">
        <f>IF(AG$225&lt;=time,H221*Costs!AN221,"")</f>
        <v/>
      </c>
      <c r="AH221" s="316" t="str">
        <f>IF(AH$225&lt;=time,I221*Costs!AO221,"")</f>
        <v/>
      </c>
      <c r="AI221" s="316" t="str">
        <f>IF(AI$225&lt;=time,J221*Costs!AP221,"")</f>
        <v/>
      </c>
      <c r="AJ221" s="316" t="str">
        <f>IF(AJ$225&lt;=time,K221*Costs!AQ221,"")</f>
        <v/>
      </c>
      <c r="AK221" s="316" t="str">
        <f>IF(AK$225&lt;=time,L221*Costs!AR221,"")</f>
        <v/>
      </c>
      <c r="AL221" s="316" t="str">
        <f>IF(AL$225&lt;=time,M221*Costs!AS221,"")</f>
        <v/>
      </c>
      <c r="AM221" s="316" t="str">
        <f>IF(AM$225&lt;=time,N221*Costs!AT221,"")</f>
        <v/>
      </c>
      <c r="AN221" s="316" t="str">
        <f>IF(AN$225&lt;=time,O221*Costs!AU221,"")</f>
        <v/>
      </c>
      <c r="AO221" s="316" t="str">
        <f>IF(AO$225&lt;=time,P221*Costs!AV221,"")</f>
        <v/>
      </c>
      <c r="AP221" s="316" t="str">
        <f>IF(AP$225&lt;=time,Q221*Costs!AW221,"")</f>
        <v/>
      </c>
      <c r="AQ221" s="316" t="str">
        <f>IF(AQ$225&lt;=time,R221*Costs!AX221,"")</f>
        <v/>
      </c>
      <c r="AR221" s="316" t="str">
        <f>IF(AR$225&lt;=time,S221*Costs!AY221,"")</f>
        <v/>
      </c>
      <c r="AS221" s="316" t="str">
        <f>IF(AS$225&lt;=time,T221*Costs!AZ221,"")</f>
        <v/>
      </c>
      <c r="AT221" s="316" t="str">
        <f>IF(AT$225&lt;=time,U221*Costs!BA221,"")</f>
        <v/>
      </c>
      <c r="AU221" s="316" t="str">
        <f>IF(AU$225&lt;=time,V221*Costs!BB221,"")</f>
        <v/>
      </c>
      <c r="AV221" s="316" t="str">
        <f>IF(AV$225&lt;=time,W221*Costs!BC221,"")</f>
        <v/>
      </c>
      <c r="AW221" s="316" t="str">
        <f>IF(AW$225&lt;=time,X221*Costs!BD221,"")</f>
        <v/>
      </c>
      <c r="AX221" s="316" t="str">
        <f>IF(AX$225&lt;=time,Y221*Costs!BE221,"")</f>
        <v/>
      </c>
      <c r="AY221" s="316" t="str">
        <f>IF(AY$225&lt;=time,Z221*Costs!BF221,"")</f>
        <v/>
      </c>
      <c r="AZ221" s="317">
        <f t="array" ref="AZ221">(SUM( IF(ISERROR(AA221:AY221),"", AA221:AY221)))/time</f>
        <v>0</v>
      </c>
      <c r="BA221" s="317">
        <f t="shared" si="54"/>
        <v>0</v>
      </c>
      <c r="BB221" s="318">
        <f t="shared" si="58"/>
        <v>0</v>
      </c>
      <c r="BC221" s="319">
        <v>8</v>
      </c>
      <c r="BE221" s="208" t="e">
        <f t="array" ref="BE221">STDEV(IF(AA221:AY221&lt;&gt;0,AA221:AY221))</f>
        <v>#DIV/0!</v>
      </c>
      <c r="BF221" s="208">
        <v>1.96</v>
      </c>
      <c r="BG221" s="208" t="e">
        <f t="shared" si="59"/>
        <v>#DIV/0!</v>
      </c>
      <c r="BH221" s="208">
        <f t="shared" si="60"/>
        <v>0</v>
      </c>
    </row>
    <row r="222" spans="1:60" hidden="1">
      <c r="A222" s="322" t="str">
        <f>Costs!A222</f>
        <v>Intangible Costs 9</v>
      </c>
      <c r="B222" s="313"/>
      <c r="C222" s="313"/>
      <c r="D222" s="313"/>
      <c r="E222" s="313"/>
      <c r="F222" s="313"/>
      <c r="G222" s="313"/>
      <c r="H222" s="313"/>
      <c r="I222" s="313"/>
      <c r="J222" s="313"/>
      <c r="K222" s="313"/>
      <c r="L222" s="313"/>
      <c r="M222" s="313"/>
      <c r="N222" s="313"/>
      <c r="O222" s="313"/>
      <c r="P222" s="313"/>
      <c r="Q222" s="313"/>
      <c r="R222" s="313"/>
      <c r="S222" s="313"/>
      <c r="T222" s="313"/>
      <c r="U222" s="313"/>
      <c r="V222" s="313"/>
      <c r="W222" s="313"/>
      <c r="X222" s="313"/>
      <c r="Y222" s="313"/>
      <c r="Z222" s="314"/>
      <c r="AA222" s="315">
        <f>IF(AA$225&lt;=time,B222*Costs!AH222,"")</f>
        <v>0</v>
      </c>
      <c r="AB222" s="316">
        <f>IF(AB$225&lt;=time,C222*Costs!AI222,"")</f>
        <v>0</v>
      </c>
      <c r="AC222" s="316">
        <f>IF(AC$225&lt;=time,D222*Costs!AJ222,"")</f>
        <v>0</v>
      </c>
      <c r="AD222" s="316">
        <f>IF(AD$225&lt;=time,E222*Costs!AK222,"")</f>
        <v>0</v>
      </c>
      <c r="AE222" s="316">
        <f>IF(AE$225&lt;=time,F222*Costs!AL222,"")</f>
        <v>0</v>
      </c>
      <c r="AF222" s="316" t="str">
        <f>IF(AF$225&lt;=time,G222*Costs!AM222,"")</f>
        <v/>
      </c>
      <c r="AG222" s="316" t="str">
        <f>IF(AG$225&lt;=time,H222*Costs!AN222,"")</f>
        <v/>
      </c>
      <c r="AH222" s="316" t="str">
        <f>IF(AH$225&lt;=time,I222*Costs!AO222,"")</f>
        <v/>
      </c>
      <c r="AI222" s="316" t="str">
        <f>IF(AI$225&lt;=time,J222*Costs!AP222,"")</f>
        <v/>
      </c>
      <c r="AJ222" s="316" t="str">
        <f>IF(AJ$225&lt;=time,K222*Costs!AQ222,"")</f>
        <v/>
      </c>
      <c r="AK222" s="316" t="str">
        <f>IF(AK$225&lt;=time,L222*Costs!AR222,"")</f>
        <v/>
      </c>
      <c r="AL222" s="316" t="str">
        <f>IF(AL$225&lt;=time,M222*Costs!AS222,"")</f>
        <v/>
      </c>
      <c r="AM222" s="316" t="str">
        <f>IF(AM$225&lt;=time,N222*Costs!AT222,"")</f>
        <v/>
      </c>
      <c r="AN222" s="316" t="str">
        <f>IF(AN$225&lt;=time,O222*Costs!AU222,"")</f>
        <v/>
      </c>
      <c r="AO222" s="316" t="str">
        <f>IF(AO$225&lt;=time,P222*Costs!AV222,"")</f>
        <v/>
      </c>
      <c r="AP222" s="316" t="str">
        <f>IF(AP$225&lt;=time,Q222*Costs!AW222,"")</f>
        <v/>
      </c>
      <c r="AQ222" s="316" t="str">
        <f>IF(AQ$225&lt;=time,R222*Costs!AX222,"")</f>
        <v/>
      </c>
      <c r="AR222" s="316" t="str">
        <f>IF(AR$225&lt;=time,S222*Costs!AY222,"")</f>
        <v/>
      </c>
      <c r="AS222" s="316" t="str">
        <f>IF(AS$225&lt;=time,T222*Costs!AZ222,"")</f>
        <v/>
      </c>
      <c r="AT222" s="316" t="str">
        <f>IF(AT$225&lt;=time,U222*Costs!BA222,"")</f>
        <v/>
      </c>
      <c r="AU222" s="316" t="str">
        <f>IF(AU$225&lt;=time,V222*Costs!BB222,"")</f>
        <v/>
      </c>
      <c r="AV222" s="316" t="str">
        <f>IF(AV$225&lt;=time,W222*Costs!BC222,"")</f>
        <v/>
      </c>
      <c r="AW222" s="316" t="str">
        <f>IF(AW$225&lt;=time,X222*Costs!BD222,"")</f>
        <v/>
      </c>
      <c r="AX222" s="316" t="str">
        <f>IF(AX$225&lt;=time,Y222*Costs!BE222,"")</f>
        <v/>
      </c>
      <c r="AY222" s="316" t="str">
        <f>IF(AY$225&lt;=time,Z222*Costs!BF222,"")</f>
        <v/>
      </c>
      <c r="AZ222" s="317">
        <f t="array" ref="AZ222">(SUM( IF(ISERROR(AA222:AY222),"", AA222:AY222)))/time</f>
        <v>0</v>
      </c>
      <c r="BA222" s="317">
        <f t="shared" si="54"/>
        <v>0</v>
      </c>
      <c r="BB222" s="318">
        <f t="shared" si="58"/>
        <v>0</v>
      </c>
      <c r="BC222" s="319">
        <v>9</v>
      </c>
      <c r="BE222" s="208" t="e">
        <f t="array" ref="BE222">STDEV(IF(AA222:AY222&lt;&gt;0,AA222:AY222))</f>
        <v>#DIV/0!</v>
      </c>
      <c r="BF222" s="208">
        <v>1.96</v>
      </c>
      <c r="BG222" s="208" t="e">
        <f t="shared" si="59"/>
        <v>#DIV/0!</v>
      </c>
      <c r="BH222" s="208">
        <f t="shared" si="60"/>
        <v>0</v>
      </c>
    </row>
    <row r="223" spans="1:60" ht="16" hidden="1" thickBot="1">
      <c r="A223" s="322" t="str">
        <f>Costs!A223</f>
        <v>Intangible Costs 10</v>
      </c>
      <c r="B223" s="313"/>
      <c r="C223" s="313"/>
      <c r="D223" s="313"/>
      <c r="E223" s="313"/>
      <c r="F223" s="313"/>
      <c r="G223" s="313"/>
      <c r="H223" s="313"/>
      <c r="I223" s="313"/>
      <c r="J223" s="313"/>
      <c r="K223" s="313"/>
      <c r="L223" s="313"/>
      <c r="M223" s="313"/>
      <c r="N223" s="313"/>
      <c r="O223" s="313"/>
      <c r="P223" s="313"/>
      <c r="Q223" s="313"/>
      <c r="R223" s="313"/>
      <c r="S223" s="313"/>
      <c r="T223" s="313"/>
      <c r="U223" s="313"/>
      <c r="V223" s="313"/>
      <c r="W223" s="313"/>
      <c r="X223" s="313"/>
      <c r="Y223" s="313"/>
      <c r="Z223" s="314"/>
      <c r="AA223" s="315">
        <f>IF(AA$225&lt;=time,B223*Costs!AH223,"")</f>
        <v>0</v>
      </c>
      <c r="AB223" s="316">
        <f>IF(AB$225&lt;=time,C223*Costs!AI223,"")</f>
        <v>0</v>
      </c>
      <c r="AC223" s="316">
        <f>IF(AC$225&lt;=time,D223*Costs!AJ223,"")</f>
        <v>0</v>
      </c>
      <c r="AD223" s="316">
        <f>IF(AD$225&lt;=time,E223*Costs!AK223,"")</f>
        <v>0</v>
      </c>
      <c r="AE223" s="316">
        <f>IF(AE$225&lt;=time,F223*Costs!AL223,"")</f>
        <v>0</v>
      </c>
      <c r="AF223" s="316" t="str">
        <f>IF(AF$225&lt;=time,G223*Costs!AM223,"")</f>
        <v/>
      </c>
      <c r="AG223" s="316" t="str">
        <f>IF(AG$225&lt;=time,H223*Costs!AN223,"")</f>
        <v/>
      </c>
      <c r="AH223" s="316" t="str">
        <f>IF(AH$225&lt;=time,I223*Costs!AO223,"")</f>
        <v/>
      </c>
      <c r="AI223" s="316" t="str">
        <f>IF(AI$225&lt;=time,J223*Costs!AP223,"")</f>
        <v/>
      </c>
      <c r="AJ223" s="316" t="str">
        <f>IF(AJ$225&lt;=time,K223*Costs!AQ223,"")</f>
        <v/>
      </c>
      <c r="AK223" s="316" t="str">
        <f>IF(AK$225&lt;=time,L223*Costs!AR223,"")</f>
        <v/>
      </c>
      <c r="AL223" s="316" t="str">
        <f>IF(AL$225&lt;=time,M223*Costs!AS223,"")</f>
        <v/>
      </c>
      <c r="AM223" s="316" t="str">
        <f>IF(AM$225&lt;=time,N223*Costs!AT223,"")</f>
        <v/>
      </c>
      <c r="AN223" s="316" t="str">
        <f>IF(AN$225&lt;=time,O223*Costs!AU223,"")</f>
        <v/>
      </c>
      <c r="AO223" s="316" t="str">
        <f>IF(AO$225&lt;=time,P223*Costs!AV223,"")</f>
        <v/>
      </c>
      <c r="AP223" s="316" t="str">
        <f>IF(AP$225&lt;=time,Q223*Costs!AW223,"")</f>
        <v/>
      </c>
      <c r="AQ223" s="316" t="str">
        <f>IF(AQ$225&lt;=time,R223*Costs!AX223,"")</f>
        <v/>
      </c>
      <c r="AR223" s="316" t="str">
        <f>IF(AR$225&lt;=time,S223*Costs!AY223,"")</f>
        <v/>
      </c>
      <c r="AS223" s="316" t="str">
        <f>IF(AS$225&lt;=time,T223*Costs!AZ223,"")</f>
        <v/>
      </c>
      <c r="AT223" s="316" t="str">
        <f>IF(AT$225&lt;=time,U223*Costs!BA223,"")</f>
        <v/>
      </c>
      <c r="AU223" s="316" t="str">
        <f>IF(AU$225&lt;=time,V223*Costs!BB223,"")</f>
        <v/>
      </c>
      <c r="AV223" s="316" t="str">
        <f>IF(AV$225&lt;=time,W223*Costs!BC223,"")</f>
        <v/>
      </c>
      <c r="AW223" s="316" t="str">
        <f>IF(AW$225&lt;=time,X223*Costs!BD223,"")</f>
        <v/>
      </c>
      <c r="AX223" s="316" t="str">
        <f>IF(AX$225&lt;=time,Y223*Costs!BE223,"")</f>
        <v/>
      </c>
      <c r="AY223" s="316" t="str">
        <f>IF(AY$225&lt;=time,Z223*Costs!BF223,"")</f>
        <v/>
      </c>
      <c r="AZ223" s="317">
        <f t="array" ref="AZ223">(SUM( IF(ISERROR(AA223:AY223),"", AA223:AY223)))/time</f>
        <v>0</v>
      </c>
      <c r="BA223" s="317">
        <f t="shared" si="54"/>
        <v>0</v>
      </c>
      <c r="BB223" s="318">
        <f t="shared" si="58"/>
        <v>0</v>
      </c>
      <c r="BC223" s="319">
        <v>10</v>
      </c>
      <c r="BE223" s="208" t="e">
        <f t="array" ref="BE223">STDEV(IF(AA223:AY223&lt;&gt;0,AA223:AY223))</f>
        <v>#DIV/0!</v>
      </c>
      <c r="BF223" s="208">
        <v>1.96</v>
      </c>
      <c r="BG223" s="208" t="e">
        <f t="shared" si="59"/>
        <v>#DIV/0!</v>
      </c>
      <c r="BH223" s="208">
        <f t="shared" si="60"/>
        <v>0</v>
      </c>
    </row>
    <row r="224" spans="1:60" ht="18.5" thickBot="1">
      <c r="A224" s="860" t="s">
        <v>11</v>
      </c>
      <c r="B224" s="861"/>
      <c r="C224" s="861"/>
      <c r="D224" s="861"/>
      <c r="E224" s="861"/>
      <c r="F224" s="861"/>
      <c r="G224" s="861"/>
      <c r="H224" s="861"/>
      <c r="I224" s="861"/>
      <c r="J224" s="861"/>
      <c r="K224" s="861"/>
      <c r="L224" s="861"/>
      <c r="M224" s="861"/>
      <c r="N224" s="861"/>
      <c r="O224" s="861"/>
      <c r="P224" s="861"/>
      <c r="Q224" s="861"/>
      <c r="R224" s="861"/>
      <c r="S224" s="861"/>
      <c r="T224" s="861"/>
      <c r="U224" s="861"/>
      <c r="V224" s="861"/>
      <c r="W224" s="861"/>
      <c r="X224" s="861"/>
      <c r="Y224" s="861"/>
      <c r="Z224" s="862"/>
      <c r="AA224" s="863">
        <f t="shared" ref="AA224:AZ224" si="61">IF(AA$225&lt;=time,SUM(AA8:AA223),"")</f>
        <v>284.73002251534706</v>
      </c>
      <c r="AB224" s="863">
        <f t="shared" si="61"/>
        <v>0</v>
      </c>
      <c r="AC224" s="863">
        <f t="shared" si="61"/>
        <v>0</v>
      </c>
      <c r="AD224" s="863">
        <f t="shared" si="61"/>
        <v>0</v>
      </c>
      <c r="AE224" s="863">
        <f t="shared" si="61"/>
        <v>0</v>
      </c>
      <c r="AF224" s="863" t="str">
        <f t="shared" si="61"/>
        <v/>
      </c>
      <c r="AG224" s="863" t="str">
        <f t="shared" si="61"/>
        <v/>
      </c>
      <c r="AH224" s="863" t="str">
        <f t="shared" si="61"/>
        <v/>
      </c>
      <c r="AI224" s="863" t="str">
        <f t="shared" si="61"/>
        <v/>
      </c>
      <c r="AJ224" s="863" t="str">
        <f t="shared" si="61"/>
        <v/>
      </c>
      <c r="AK224" s="863" t="str">
        <f t="shared" si="61"/>
        <v/>
      </c>
      <c r="AL224" s="863" t="str">
        <f t="shared" si="61"/>
        <v/>
      </c>
      <c r="AM224" s="863" t="str">
        <f t="shared" si="61"/>
        <v/>
      </c>
      <c r="AN224" s="863" t="str">
        <f t="shared" si="61"/>
        <v/>
      </c>
      <c r="AO224" s="863" t="str">
        <f t="shared" si="61"/>
        <v/>
      </c>
      <c r="AP224" s="863" t="str">
        <f t="shared" si="61"/>
        <v/>
      </c>
      <c r="AQ224" s="863" t="str">
        <f t="shared" si="61"/>
        <v/>
      </c>
      <c r="AR224" s="863" t="str">
        <f t="shared" si="61"/>
        <v/>
      </c>
      <c r="AS224" s="863" t="str">
        <f t="shared" si="61"/>
        <v/>
      </c>
      <c r="AT224" s="863" t="str">
        <f t="shared" si="61"/>
        <v/>
      </c>
      <c r="AU224" s="863" t="str">
        <f t="shared" si="61"/>
        <v/>
      </c>
      <c r="AV224" s="863" t="str">
        <f t="shared" si="61"/>
        <v/>
      </c>
      <c r="AW224" s="863" t="str">
        <f t="shared" si="61"/>
        <v/>
      </c>
      <c r="AX224" s="863" t="str">
        <f t="shared" si="61"/>
        <v/>
      </c>
      <c r="AY224" s="863" t="str">
        <f t="shared" si="61"/>
        <v/>
      </c>
      <c r="AZ224" s="863">
        <f t="shared" si="61"/>
        <v>56.946004503069418</v>
      </c>
      <c r="BA224" s="863">
        <f t="shared" ref="BA224" si="62">IF(BA$225&lt;=time,SUM(BA8:BA223),"")</f>
        <v>56.946004503069418</v>
      </c>
      <c r="BB224" s="864">
        <f>IF(BB$225&lt;=time,SUM(BB8:BB223),"")</f>
        <v>56.946004503069418</v>
      </c>
      <c r="BC224" s="325"/>
    </row>
    <row r="225" spans="1:51" ht="18" hidden="1">
      <c r="A225" s="8"/>
      <c r="B225" s="208">
        <v>1</v>
      </c>
      <c r="C225" s="208">
        <v>2</v>
      </c>
      <c r="D225" s="208">
        <v>3</v>
      </c>
      <c r="E225" s="208">
        <v>4</v>
      </c>
      <c r="F225" s="208">
        <v>5</v>
      </c>
      <c r="G225" s="208">
        <v>6</v>
      </c>
      <c r="H225" s="208">
        <v>7</v>
      </c>
      <c r="I225" s="208">
        <v>8</v>
      </c>
      <c r="J225" s="208">
        <v>9</v>
      </c>
      <c r="K225" s="208">
        <v>10</v>
      </c>
      <c r="L225" s="208">
        <v>11</v>
      </c>
      <c r="M225" s="208">
        <v>12</v>
      </c>
      <c r="N225" s="208">
        <v>13</v>
      </c>
      <c r="O225" s="208">
        <v>14</v>
      </c>
      <c r="P225" s="208">
        <v>15</v>
      </c>
      <c r="Q225" s="208">
        <v>16</v>
      </c>
      <c r="R225" s="208">
        <v>17</v>
      </c>
      <c r="S225" s="208">
        <v>18</v>
      </c>
      <c r="T225" s="208">
        <v>19</v>
      </c>
      <c r="U225" s="208">
        <v>20</v>
      </c>
      <c r="V225" s="208">
        <v>21</v>
      </c>
      <c r="W225" s="208">
        <v>22</v>
      </c>
      <c r="X225" s="208">
        <v>23</v>
      </c>
      <c r="Y225" s="208">
        <v>24</v>
      </c>
      <c r="Z225" s="208">
        <v>25</v>
      </c>
      <c r="AA225" s="208">
        <v>1</v>
      </c>
      <c r="AB225" s="208">
        <v>2</v>
      </c>
      <c r="AC225" s="208">
        <v>3</v>
      </c>
      <c r="AD225" s="208">
        <v>4</v>
      </c>
      <c r="AE225" s="208">
        <v>5</v>
      </c>
      <c r="AF225" s="208">
        <v>6</v>
      </c>
      <c r="AG225" s="208">
        <v>7</v>
      </c>
      <c r="AH225" s="208">
        <v>8</v>
      </c>
      <c r="AI225" s="208">
        <v>9</v>
      </c>
      <c r="AJ225" s="208">
        <v>10</v>
      </c>
      <c r="AK225" s="208">
        <v>11</v>
      </c>
      <c r="AL225" s="208">
        <v>12</v>
      </c>
      <c r="AM225" s="208">
        <v>13</v>
      </c>
      <c r="AN225" s="208">
        <v>14</v>
      </c>
      <c r="AO225" s="208">
        <v>15</v>
      </c>
      <c r="AP225" s="208">
        <v>16</v>
      </c>
      <c r="AQ225" s="208">
        <v>17</v>
      </c>
      <c r="AR225" s="208">
        <v>18</v>
      </c>
      <c r="AS225" s="208">
        <v>19</v>
      </c>
      <c r="AT225" s="208">
        <v>20</v>
      </c>
      <c r="AU225" s="208">
        <v>21</v>
      </c>
      <c r="AV225" s="208">
        <v>22</v>
      </c>
      <c r="AW225" s="208">
        <v>23</v>
      </c>
      <c r="AX225" s="208">
        <v>24</v>
      </c>
      <c r="AY225" s="208">
        <v>25</v>
      </c>
    </row>
    <row r="226" spans="1:51" ht="18">
      <c r="A226" s="8"/>
    </row>
  </sheetData>
  <sheetProtection formatColumns="0" formatRows="0"/>
  <phoneticPr fontId="41" type="noConversion"/>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theme="2" tint="-0.249977111117893"/>
  </sheetPr>
  <dimension ref="A1:G23"/>
  <sheetViews>
    <sheetView workbookViewId="0"/>
  </sheetViews>
  <sheetFormatPr defaultColWidth="10.921875" defaultRowHeight="15.5"/>
  <cols>
    <col min="1" max="1" width="57.69140625" style="114" customWidth="1"/>
    <col min="2" max="2" width="20.15234375" style="114" customWidth="1"/>
    <col min="3" max="3" width="20.23046875" style="114" customWidth="1"/>
    <col min="4" max="4" width="18.69140625" style="114" customWidth="1"/>
    <col min="5" max="5" width="16.15234375" style="114" customWidth="1"/>
    <col min="6" max="7" width="18.61328125" style="114" customWidth="1"/>
    <col min="8" max="16384" width="10.921875" style="114"/>
  </cols>
  <sheetData>
    <row r="1" spans="1:7" ht="20.5">
      <c r="A1" s="235" t="s">
        <v>0</v>
      </c>
      <c r="B1" s="760" t="s">
        <v>11</v>
      </c>
    </row>
    <row r="2" spans="1:7" ht="25.5">
      <c r="A2" s="326" t="str">
        <f>Title</f>
        <v>Economic evaluation of Restorative Justice</v>
      </c>
    </row>
    <row r="3" spans="1:7" ht="54.5" thickBot="1">
      <c r="A3" s="329" t="s">
        <v>798</v>
      </c>
    </row>
    <row r="4" spans="1:7" s="113" customFormat="1" ht="93.5" thickBot="1">
      <c r="A4" s="866" t="s">
        <v>4</v>
      </c>
      <c r="B4" s="867" t="str">
        <f>CONCATENATE("Budget / Average annual costs before the intervention (input by evaluator)"," ", "(",'Proposition Summary'!$B76,")")</f>
        <v>Budget / Average annual costs before the intervention (input by evaluator) (GBP (£))</v>
      </c>
      <c r="C4" s="868" t="str">
        <f>CONCATENATE("Total costs after the intervention (corrected by optimism bias)"," ", "(",'Proposition Summary'!$B76,")")</f>
        <v>Total costs after the intervention (corrected by optimism bias) (GBP (£))</v>
      </c>
      <c r="D4" s="867" t="str">
        <f>CONCATENATE("Annual costs after the intervention (corrected by optimism bias)"," ", "(",'Proposition Summary'!$B76,")")</f>
        <v>Annual costs after the intervention (corrected by optimism bias) (GBP (£))</v>
      </c>
      <c r="E4" s="868" t="str">
        <f>CONCATENATE("Annual costs after the intervention (worst-case)"," ", "(",'Proposition Summary'!$B76,")")</f>
        <v>Annual costs after the intervention (worst-case) (GBP (£))</v>
      </c>
      <c r="F4" s="868" t="str">
        <f>CONCATENATE("Annual costs after the intervention (best- case)"," ", "(",'Proposition Summary'!$B76,")")</f>
        <v>Annual costs after the intervention (best- case) (GBP (£))</v>
      </c>
      <c r="G4" s="869" t="str">
        <f>CONCATENATE("Difference between annual costs after and before intervention (Columns B-D)"," ", "(",'Proposition Summary'!$B76,")")</f>
        <v>Difference between annual costs after and before intervention (Columns B-D) (GBP (£))</v>
      </c>
    </row>
    <row r="5" spans="1:7" ht="16" thickTop="1">
      <c r="A5" s="328" t="s">
        <v>5</v>
      </c>
      <c r="B5" s="330"/>
      <c r="C5" s="330"/>
      <c r="D5" s="330"/>
      <c r="E5" s="330"/>
      <c r="F5" s="330"/>
      <c r="G5" s="331"/>
    </row>
    <row r="6" spans="1:7">
      <c r="A6" s="332" t="s">
        <v>6</v>
      </c>
      <c r="B6" s="886"/>
      <c r="C6" s="333">
        <f>'Costs with economics'!AA40</f>
        <v>0</v>
      </c>
      <c r="D6" s="333">
        <f>C6/time</f>
        <v>0</v>
      </c>
      <c r="E6" s="333">
        <f>SUM('Costs with economics'!AD64:AD73,'Costs with economics'!AD75:AD84)</f>
        <v>0</v>
      </c>
      <c r="F6" s="333">
        <f>SUM('Costs with economics'!AB64:AB73,'Costs with economics'!AB75:AB84)</f>
        <v>0</v>
      </c>
      <c r="G6" s="334">
        <f>D6-B6</f>
        <v>0</v>
      </c>
    </row>
    <row r="7" spans="1:7">
      <c r="A7" s="332" t="s">
        <v>7</v>
      </c>
      <c r="B7" s="886"/>
      <c r="C7" s="333">
        <f>'Costs with economics'!AA41</f>
        <v>0</v>
      </c>
      <c r="D7" s="333">
        <f>C7/time</f>
        <v>0</v>
      </c>
      <c r="E7" s="333">
        <f>SUM('Costs with economics'!AD87:AD96)</f>
        <v>0</v>
      </c>
      <c r="F7" s="333">
        <f>SUM('Costs with economics'!AB87:AB96)</f>
        <v>0</v>
      </c>
      <c r="G7" s="334">
        <f t="shared" ref="G7:G23" si="0">D7-B7</f>
        <v>0</v>
      </c>
    </row>
    <row r="8" spans="1:7">
      <c r="A8" s="870" t="s">
        <v>12</v>
      </c>
      <c r="B8" s="871">
        <f>SUM(B6:B7)</f>
        <v>0</v>
      </c>
      <c r="C8" s="871">
        <f>'Costs with economics'!AA42</f>
        <v>0</v>
      </c>
      <c r="D8" s="871">
        <f>C8/time</f>
        <v>0</v>
      </c>
      <c r="E8" s="871">
        <f>SUM(E6:E7)</f>
        <v>0</v>
      </c>
      <c r="F8" s="871">
        <f>SUM(F6:F7)</f>
        <v>0</v>
      </c>
      <c r="G8" s="872">
        <f t="shared" si="0"/>
        <v>0</v>
      </c>
    </row>
    <row r="9" spans="1:7" s="196" customFormat="1">
      <c r="A9" s="328" t="s">
        <v>8</v>
      </c>
      <c r="B9" s="330"/>
      <c r="C9" s="330"/>
      <c r="D9" s="330"/>
      <c r="E9" s="330"/>
      <c r="F9" s="330"/>
      <c r="G9" s="331"/>
    </row>
    <row r="10" spans="1:7">
      <c r="A10" s="335" t="s">
        <v>284</v>
      </c>
      <c r="B10" s="886"/>
      <c r="C10" s="732">
        <f>'Costs with economics'!AA44</f>
        <v>284.73002251534706</v>
      </c>
      <c r="D10" s="732">
        <f t="shared" ref="D10:D19" si="1">C10/time</f>
        <v>56.94600450306941</v>
      </c>
      <c r="E10" s="732">
        <f>SUM('Costs with economics'!AD101:AD110,'Costs with economics'!AD112:AD121,'Costs with economics'!AD123:AD132)</f>
        <v>0</v>
      </c>
      <c r="F10" s="732">
        <f>SUM('Costs with economics'!AB101:AB110,'Costs with economics'!AB112:AB121,'Costs with economics'!AB123:AB132)</f>
        <v>0</v>
      </c>
      <c r="G10" s="733">
        <f t="shared" si="0"/>
        <v>56.94600450306941</v>
      </c>
    </row>
    <row r="11" spans="1:7">
      <c r="A11" s="335" t="s">
        <v>285</v>
      </c>
      <c r="B11" s="886"/>
      <c r="C11" s="333">
        <f>'Costs with economics'!AA45</f>
        <v>0</v>
      </c>
      <c r="D11" s="333">
        <f t="shared" si="1"/>
        <v>0</v>
      </c>
      <c r="E11" s="333">
        <f>SUM('Costs with economics'!AD134:AD143)</f>
        <v>0</v>
      </c>
      <c r="F11" s="333">
        <f>SUM('Costs with economics'!AB134:AB143)</f>
        <v>0</v>
      </c>
      <c r="G11" s="334">
        <f t="shared" si="0"/>
        <v>0</v>
      </c>
    </row>
    <row r="12" spans="1:7">
      <c r="A12" s="335" t="s">
        <v>286</v>
      </c>
      <c r="B12" s="886"/>
      <c r="C12" s="333">
        <f>'Costs with economics'!AA46</f>
        <v>0</v>
      </c>
      <c r="D12" s="333">
        <f t="shared" si="1"/>
        <v>0</v>
      </c>
      <c r="E12" s="333">
        <f>SUM('Costs with economics'!AD145:AD154)</f>
        <v>0</v>
      </c>
      <c r="F12" s="333">
        <f>SUM('Costs with economics'!AB145:AB154)</f>
        <v>0</v>
      </c>
      <c r="G12" s="334">
        <f t="shared" si="0"/>
        <v>0</v>
      </c>
    </row>
    <row r="13" spans="1:7">
      <c r="A13" s="335" t="s">
        <v>192</v>
      </c>
      <c r="B13" s="886"/>
      <c r="C13" s="333">
        <f>'Costs with economics'!AA47</f>
        <v>0</v>
      </c>
      <c r="D13" s="333">
        <f t="shared" si="1"/>
        <v>0</v>
      </c>
      <c r="E13" s="333">
        <f>SUM('Costs with economics'!AD157:AD166,'Costs with economics'!AD168:AD177,'Costs with economics'!AD179:AD188)</f>
        <v>0</v>
      </c>
      <c r="F13" s="333">
        <f>SUM('Costs with economics'!AB157:AB166,'Costs with economics'!AB168:AB177,'Costs with economics'!AB179:AB188)</f>
        <v>0</v>
      </c>
      <c r="G13" s="334">
        <f t="shared" si="0"/>
        <v>0</v>
      </c>
    </row>
    <row r="14" spans="1:7">
      <c r="A14" s="335" t="s">
        <v>193</v>
      </c>
      <c r="B14" s="886"/>
      <c r="C14" s="333">
        <f>'Costs with economics'!AA48</f>
        <v>0</v>
      </c>
      <c r="D14" s="333">
        <f t="shared" si="1"/>
        <v>0</v>
      </c>
      <c r="E14" s="333">
        <f>SUM('Costs with economics'!AD190:AD199)</f>
        <v>0</v>
      </c>
      <c r="F14" s="333">
        <f>SUM('Costs with economics'!AB190:AB199)</f>
        <v>0</v>
      </c>
      <c r="G14" s="334">
        <f t="shared" si="0"/>
        <v>0</v>
      </c>
    </row>
    <row r="15" spans="1:7">
      <c r="A15" s="335" t="s">
        <v>194</v>
      </c>
      <c r="B15" s="886"/>
      <c r="C15" s="333">
        <f>'Costs with economics'!AA49</f>
        <v>0</v>
      </c>
      <c r="D15" s="333">
        <f t="shared" si="1"/>
        <v>0</v>
      </c>
      <c r="E15" s="333">
        <f>SUM('Costs with economics'!AD201:AD210)</f>
        <v>0</v>
      </c>
      <c r="F15" s="333">
        <f>SUM('Costs with economics'!AB201:AB210)</f>
        <v>0</v>
      </c>
      <c r="G15" s="334">
        <f t="shared" si="0"/>
        <v>0</v>
      </c>
    </row>
    <row r="16" spans="1:7">
      <c r="A16" s="335" t="s">
        <v>17</v>
      </c>
      <c r="B16" s="886"/>
      <c r="C16" s="333">
        <f>'Costs with economics'!AA50</f>
        <v>0</v>
      </c>
      <c r="D16" s="333">
        <f t="shared" si="1"/>
        <v>0</v>
      </c>
      <c r="E16" s="333">
        <f>SUM('Costs with economics'!AD213:AD222,'Costs with economics'!AD224:AD233)</f>
        <v>0</v>
      </c>
      <c r="F16" s="333">
        <f>SUM('Costs with economics'!AB213:AB222,'Costs with economics'!AB224:AB233)</f>
        <v>0</v>
      </c>
      <c r="G16" s="334">
        <f t="shared" si="0"/>
        <v>0</v>
      </c>
    </row>
    <row r="17" spans="1:7">
      <c r="A17" s="335" t="s">
        <v>9</v>
      </c>
      <c r="B17" s="886"/>
      <c r="C17" s="333">
        <f>'Costs with economics'!AA51</f>
        <v>0</v>
      </c>
      <c r="D17" s="333">
        <f t="shared" si="1"/>
        <v>0</v>
      </c>
      <c r="E17" s="333">
        <f>SUM('Costs with economics'!AD235:AD244)</f>
        <v>0</v>
      </c>
      <c r="F17" s="333">
        <f>SUM('Costs with economics'!AB235:AB244)</f>
        <v>0</v>
      </c>
      <c r="G17" s="334">
        <f t="shared" si="0"/>
        <v>0</v>
      </c>
    </row>
    <row r="18" spans="1:7">
      <c r="A18" s="335" t="s">
        <v>10</v>
      </c>
      <c r="B18" s="886"/>
      <c r="C18" s="333">
        <f>'Costs with economics'!AA52</f>
        <v>0</v>
      </c>
      <c r="D18" s="333">
        <f t="shared" si="1"/>
        <v>0</v>
      </c>
      <c r="E18" s="333">
        <f>SUM('Costs with economics'!AD246:AD255)</f>
        <v>0</v>
      </c>
      <c r="F18" s="333">
        <f>SUM('Costs with economics'!AB246:AB255)</f>
        <v>0</v>
      </c>
      <c r="G18" s="334">
        <f t="shared" si="0"/>
        <v>0</v>
      </c>
    </row>
    <row r="19" spans="1:7">
      <c r="A19" s="870" t="s">
        <v>19</v>
      </c>
      <c r="B19" s="871">
        <f>SUM(B10:B18)</f>
        <v>0</v>
      </c>
      <c r="C19" s="873">
        <f>'Costs with economics'!AA53</f>
        <v>284.73002251534706</v>
      </c>
      <c r="D19" s="873">
        <f t="shared" si="1"/>
        <v>56.94600450306941</v>
      </c>
      <c r="E19" s="873">
        <f>SUM(E10:E18)</f>
        <v>0</v>
      </c>
      <c r="F19" s="873">
        <f>SUM(F10:F18)</f>
        <v>0</v>
      </c>
      <c r="G19" s="874">
        <f t="shared" si="0"/>
        <v>56.94600450306941</v>
      </c>
    </row>
    <row r="20" spans="1:7">
      <c r="A20" s="875" t="s">
        <v>241</v>
      </c>
      <c r="B20" s="876">
        <f>B8+B19</f>
        <v>0</v>
      </c>
      <c r="C20" s="877">
        <f>'Costs with economics'!AA54</f>
        <v>284.73002251534706</v>
      </c>
      <c r="D20" s="877">
        <f>D8+D19</f>
        <v>56.94600450306941</v>
      </c>
      <c r="E20" s="877">
        <f>E8+E19</f>
        <v>0</v>
      </c>
      <c r="F20" s="877">
        <f>F8+F19</f>
        <v>0</v>
      </c>
      <c r="G20" s="878">
        <f t="shared" si="0"/>
        <v>56.94600450306941</v>
      </c>
    </row>
    <row r="21" spans="1:7">
      <c r="A21" s="875" t="s">
        <v>242</v>
      </c>
      <c r="B21" s="879"/>
      <c r="C21" s="880">
        <f>'Costs with economics'!AA55</f>
        <v>0</v>
      </c>
      <c r="D21" s="880">
        <f t="shared" ref="D21:D23" si="2">C21/time</f>
        <v>0</v>
      </c>
      <c r="E21" s="880">
        <f>SUM('Costs with economics'!AD259:AD268)</f>
        <v>0</v>
      </c>
      <c r="F21" s="880">
        <f>SUM('Costs with economics'!AB259:AB268)</f>
        <v>0</v>
      </c>
      <c r="G21" s="881">
        <f t="shared" si="0"/>
        <v>0</v>
      </c>
    </row>
    <row r="22" spans="1:7">
      <c r="A22" s="875" t="s">
        <v>240</v>
      </c>
      <c r="B22" s="879"/>
      <c r="C22" s="880">
        <f>'Costs with economics'!AA56</f>
        <v>0</v>
      </c>
      <c r="D22" s="880">
        <f t="shared" si="2"/>
        <v>0</v>
      </c>
      <c r="E22" s="880">
        <f>SUM('Costs with economics'!AD270:AD279)</f>
        <v>0</v>
      </c>
      <c r="F22" s="880">
        <f>SUM('Costs with economics'!AB270:AB279)</f>
        <v>0</v>
      </c>
      <c r="G22" s="881">
        <f t="shared" si="0"/>
        <v>0</v>
      </c>
    </row>
    <row r="23" spans="1:7" ht="23.4" customHeight="1" thickBot="1">
      <c r="A23" s="882" t="s">
        <v>11</v>
      </c>
      <c r="B23" s="883">
        <f>SUM(B20:B22)</f>
        <v>0</v>
      </c>
      <c r="C23" s="884">
        <f>'Costs with economics'!AA57</f>
        <v>284.73002251534706</v>
      </c>
      <c r="D23" s="884">
        <f t="shared" si="2"/>
        <v>56.94600450306941</v>
      </c>
      <c r="E23" s="884">
        <f>SUM(E20:E22)</f>
        <v>0</v>
      </c>
      <c r="F23" s="884">
        <f>SUM(F20:F22)</f>
        <v>0</v>
      </c>
      <c r="G23" s="885">
        <f t="shared" si="0"/>
        <v>56.94600450306941</v>
      </c>
    </row>
  </sheetData>
  <phoneticPr fontId="41" type="noConversion"/>
  <conditionalFormatting sqref="G6:G8">
    <cfRule type="cellIs" dxfId="3" priority="3" operator="lessThan">
      <formula>0</formula>
    </cfRule>
    <cfRule type="cellIs" dxfId="2" priority="4" operator="greaterThan">
      <formula>0</formula>
    </cfRule>
  </conditionalFormatting>
  <conditionalFormatting sqref="G10:G23">
    <cfRule type="cellIs" dxfId="1" priority="1" operator="greaterThan">
      <formula>0</formula>
    </cfRule>
    <cfRule type="cellIs" dxfId="0" priority="2" operator="lessThan">
      <formula>0</formula>
    </cfRule>
  </conditionalFormatting>
  <dataValidations xWindow="422" yWindow="572" count="14">
    <dataValidation allowBlank="1" showInputMessage="1" showErrorMessage="1" promptTitle="Cell colour" prompt="Yellow cell: costs after intervention are lower then costs before intervention_x000d__x000d_Red cell: costs after intervention are higher then costs before intervention " sqref="G6:G8 G10:G23" xr:uid="{00000000-0002-0000-1400-000000000000}"/>
    <dataValidation type="decimal" operator="greaterThanOrEqual" showInputMessage="1" showErrorMessage="1" prompt="Please provide the average annual costs for all plant and equipment before the introduction of the new intervention. This should be based on the specified costs rather than the best/worst case estimates." sqref="B6" xr:uid="{00000000-0002-0000-1400-000001000000}">
      <formula1>0</formula1>
    </dataValidation>
    <dataValidation type="decimal" operator="greaterThanOrEqual" showInputMessage="1" showErrorMessage="1" prompt="Please provide the average annual costs for all buildings before the introduction of the new intervention. This should be based on the specified costs rather than the best/worst case estimates." sqref="B7" xr:uid="{00000000-0002-0000-1400-000002000000}">
      <formula1>0</formula1>
    </dataValidation>
    <dataValidation type="decimal" operator="greaterThanOrEqual" showInputMessage="1" showErrorMessage="1" prompt="Please provide the average annual costs for all police staffing expenses before the introduction of the new intervention. This should be based on the specified costs rather than the best/worst case estimates." sqref="B10" xr:uid="{00000000-0002-0000-1400-000003000000}">
      <formula1>0</formula1>
    </dataValidation>
    <dataValidation type="decimal" operator="greaterThanOrEqual" allowBlank="1" showInputMessage="1" showErrorMessage="1" prompt="Please provide the average annual costs for all supplies (intervention-related) before the introduction of the new intervention. This should be based on the specified costs rather than the best/worst case estimates." sqref="B11" xr:uid="{00000000-0002-0000-1400-000004000000}">
      <formula1>0</formula1>
    </dataValidation>
    <dataValidation type="decimal" operator="greaterThanOrEqual" showInputMessage="1" showErrorMessage="1" prompt="Please provide the average annual costs for all services (intervention-related) before the introduction of the new intervention. This should be based on the specified costs rather than the best/worst case estimates." sqref="B12" xr:uid="{00000000-0002-0000-1400-000005000000}">
      <formula1>0</formula1>
    </dataValidation>
    <dataValidation type="decimal" operator="greaterThanOrEqual" showInputMessage="1" showErrorMessage="1" prompt="Please provide the average annual costs for all other staffing expenses before the introduction of the new intervention. This should be based on the specified costs rather than the best/worst case estimates." sqref="B13" xr:uid="{00000000-0002-0000-1400-000006000000}">
      <formula1>0</formula1>
    </dataValidation>
    <dataValidation type="decimal" operator="greaterThanOrEqual" showInputMessage="1" showErrorMessage="1" prompt="Please provide the average annual costs for all supplies before the introduction of the new intervention. This should be based on the specified costs rather than the best/worst case estimates." sqref="B14" xr:uid="{00000000-0002-0000-1400-000007000000}">
      <formula1>0</formula1>
    </dataValidation>
    <dataValidation type="decimal" operator="greaterThanOrEqual" allowBlank="1" showInputMessage="1" showErrorMessage="1" prompt="Please provide the average annual costs for all services before the introduction of the new intervention. This should be based on the specified costs rather than the best/worst case estimates." sqref="B15" xr:uid="{00000000-0002-0000-1400-000008000000}">
      <formula1>0</formula1>
    </dataValidation>
    <dataValidation type="decimal" operator="greaterThanOrEqual" allowBlank="1" showInputMessage="1" showErrorMessage="1" prompt="Please provide the average annual costs for all other administrative expenses before the introduction of the new intervention. This should be based on the specified costs rather than the best/worst case estimates." sqref="B16" xr:uid="{00000000-0002-0000-1400-000009000000}">
      <formula1>0</formula1>
    </dataValidation>
    <dataValidation type="decimal" operator="greaterThanOrEqual" allowBlank="1" showInputMessage="1" showErrorMessage="1" prompt="Please provide the average annual costs for skills and development training before the introduction of the new intervention. This should be based on the specified costs rather than the best/worst case estimates." sqref="B17" xr:uid="{00000000-0002-0000-1400-00000A000000}">
      <formula1>0</formula1>
    </dataValidation>
    <dataValidation type="decimal" operator="greaterThanOrEqual" allowBlank="1" showInputMessage="1" showErrorMessage="1" prompt="Please provide the average annual costs for all other costs before the introduction of the new intervention. This should be based on the specified costs rather than the best/worst case estimates." sqref="B18" xr:uid="{00000000-0002-0000-1400-00000B000000}">
      <formula1>0</formula1>
    </dataValidation>
    <dataValidation type="decimal" operator="greaterThanOrEqual" showInputMessage="1" showErrorMessage="1" prompt="Please provide the average annual costs for all indirect costs before the introduction of the new intervention. This should be based on the specified costs rather than the best/worst case estimates." sqref="B21" xr:uid="{00000000-0002-0000-1400-00000C000000}">
      <formula1>0</formula1>
    </dataValidation>
    <dataValidation type="decimal" operator="greaterThanOrEqual" showInputMessage="1" showErrorMessage="1" prompt="Please provide the average annual costs for all intangible costs before the introduction of the new intervention. This should be based on the specified costs rather than the best/worst case estimates." sqref="B22" xr:uid="{00000000-0002-0000-1400-00000D000000}">
      <formula1>0</formula1>
    </dataValidation>
  </dataValidations>
  <pageMargins left="0.75" right="0.75" top="1" bottom="1" header="0.5" footer="0.5"/>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70E25-E5B9-4C47-B88A-F4F7C921F59C}">
  <sheetPr codeName="Sheet35">
    <tabColor theme="5" tint="-0.249977111117893"/>
  </sheetPr>
  <dimension ref="A3:F50"/>
  <sheetViews>
    <sheetView workbookViewId="0"/>
  </sheetViews>
  <sheetFormatPr defaultColWidth="8.69140625" defaultRowHeight="15.5"/>
  <cols>
    <col min="1" max="16384" width="8.69140625" style="2"/>
  </cols>
  <sheetData>
    <row r="3" spans="1:6">
      <c r="A3" s="703" t="s">
        <v>820</v>
      </c>
    </row>
    <row r="4" spans="1:6" ht="62">
      <c r="A4" s="1064" t="s">
        <v>817</v>
      </c>
      <c r="B4" s="1065" t="s">
        <v>821</v>
      </c>
      <c r="C4" s="1064" t="s">
        <v>822</v>
      </c>
      <c r="D4" s="1064" t="s">
        <v>823</v>
      </c>
      <c r="E4" s="1064" t="s">
        <v>824</v>
      </c>
      <c r="F4" s="73" t="s">
        <v>596</v>
      </c>
    </row>
    <row r="6" spans="1:6">
      <c r="A6" s="2">
        <v>10</v>
      </c>
      <c r="B6" s="2">
        <v>409</v>
      </c>
      <c r="C6" s="2">
        <v>6</v>
      </c>
      <c r="D6" s="2">
        <v>6</v>
      </c>
      <c r="E6" s="2">
        <v>7</v>
      </c>
      <c r="F6" s="2" t="s">
        <v>847</v>
      </c>
    </row>
    <row r="7" spans="1:6">
      <c r="A7" s="2">
        <v>11</v>
      </c>
      <c r="B7" s="2">
        <v>409</v>
      </c>
      <c r="C7" s="2">
        <v>6</v>
      </c>
      <c r="D7" s="2">
        <v>8</v>
      </c>
      <c r="E7" s="2">
        <v>10</v>
      </c>
    </row>
    <row r="8" spans="1:6">
      <c r="A8" s="2">
        <v>12</v>
      </c>
      <c r="B8" s="2">
        <v>409</v>
      </c>
      <c r="C8" s="2">
        <v>8</v>
      </c>
      <c r="D8" s="2">
        <v>12</v>
      </c>
      <c r="E8" s="2">
        <v>15</v>
      </c>
    </row>
    <row r="9" spans="1:6">
      <c r="A9" s="2">
        <v>13</v>
      </c>
      <c r="B9" s="2">
        <v>409</v>
      </c>
      <c r="C9" s="2">
        <v>15</v>
      </c>
      <c r="D9" s="2">
        <v>22</v>
      </c>
      <c r="E9" s="2">
        <v>28</v>
      </c>
    </row>
    <row r="10" spans="1:6">
      <c r="A10" s="2">
        <v>14</v>
      </c>
      <c r="B10" s="2">
        <v>409</v>
      </c>
      <c r="C10" s="2">
        <v>19</v>
      </c>
      <c r="D10" s="2">
        <v>34</v>
      </c>
      <c r="E10" s="2">
        <v>49</v>
      </c>
    </row>
    <row r="11" spans="1:6">
      <c r="A11" s="2">
        <v>15</v>
      </c>
      <c r="B11" s="2">
        <v>408</v>
      </c>
      <c r="C11" s="2">
        <v>17</v>
      </c>
      <c r="D11" s="2">
        <v>33</v>
      </c>
      <c r="E11" s="2">
        <v>46</v>
      </c>
    </row>
    <row r="12" spans="1:6">
      <c r="A12" s="2">
        <v>16</v>
      </c>
      <c r="B12" s="2">
        <v>408</v>
      </c>
      <c r="C12" s="2">
        <v>15</v>
      </c>
      <c r="D12" s="2">
        <v>33</v>
      </c>
      <c r="E12" s="2">
        <v>59</v>
      </c>
    </row>
    <row r="13" spans="1:6">
      <c r="A13" s="2">
        <v>17</v>
      </c>
      <c r="B13" s="2">
        <v>407</v>
      </c>
      <c r="C13" s="2">
        <v>17</v>
      </c>
      <c r="D13" s="2">
        <v>46</v>
      </c>
      <c r="E13" s="2">
        <v>69</v>
      </c>
    </row>
    <row r="14" spans="1:6">
      <c r="A14" s="2">
        <v>18</v>
      </c>
      <c r="B14" s="2">
        <v>405</v>
      </c>
      <c r="C14" s="2">
        <v>8</v>
      </c>
      <c r="D14" s="2">
        <v>43</v>
      </c>
      <c r="E14" s="2">
        <v>64</v>
      </c>
    </row>
    <row r="15" spans="1:6">
      <c r="A15" s="2">
        <v>19</v>
      </c>
      <c r="B15" s="2">
        <v>404</v>
      </c>
      <c r="C15" s="2">
        <v>9</v>
      </c>
      <c r="D15" s="2">
        <v>40</v>
      </c>
      <c r="E15" s="2">
        <v>52</v>
      </c>
    </row>
    <row r="16" spans="1:6">
      <c r="A16" s="2">
        <v>20</v>
      </c>
      <c r="B16" s="2">
        <v>403</v>
      </c>
      <c r="C16" s="2">
        <v>9</v>
      </c>
      <c r="D16" s="2">
        <v>31</v>
      </c>
      <c r="E16" s="2">
        <v>50</v>
      </c>
    </row>
    <row r="17" spans="1:5">
      <c r="A17" s="2">
        <v>21</v>
      </c>
      <c r="B17" s="2">
        <v>403</v>
      </c>
      <c r="C17" s="2">
        <v>2</v>
      </c>
      <c r="D17" s="2">
        <v>20</v>
      </c>
      <c r="E17" s="2">
        <v>23</v>
      </c>
    </row>
    <row r="18" spans="1:5">
      <c r="A18" s="2">
        <v>22</v>
      </c>
      <c r="B18" s="2">
        <v>400</v>
      </c>
      <c r="C18" s="2">
        <v>3</v>
      </c>
      <c r="D18" s="2">
        <v>26</v>
      </c>
      <c r="E18" s="2">
        <v>40</v>
      </c>
    </row>
    <row r="19" spans="1:5">
      <c r="A19" s="2">
        <v>23</v>
      </c>
      <c r="B19" s="2">
        <v>399</v>
      </c>
      <c r="C19" s="2">
        <v>2</v>
      </c>
      <c r="D19" s="2">
        <v>11</v>
      </c>
      <c r="E19" s="2">
        <v>12</v>
      </c>
    </row>
    <row r="20" spans="1:5">
      <c r="A20" s="2">
        <v>24</v>
      </c>
      <c r="B20" s="2">
        <v>398</v>
      </c>
      <c r="C20" s="2">
        <v>2</v>
      </c>
      <c r="D20" s="2">
        <v>15</v>
      </c>
      <c r="E20" s="2">
        <v>20</v>
      </c>
    </row>
    <row r="21" spans="1:5">
      <c r="A21" s="2">
        <v>25</v>
      </c>
      <c r="B21" s="2">
        <v>398</v>
      </c>
      <c r="C21" s="2">
        <v>3</v>
      </c>
      <c r="D21" s="2">
        <v>15</v>
      </c>
      <c r="E21" s="2">
        <v>20</v>
      </c>
    </row>
    <row r="22" spans="1:5">
      <c r="A22" s="2">
        <v>26</v>
      </c>
      <c r="B22" s="2">
        <v>398</v>
      </c>
      <c r="C22" s="2">
        <v>4</v>
      </c>
      <c r="D22" s="2">
        <v>14</v>
      </c>
      <c r="E22" s="2">
        <v>16</v>
      </c>
    </row>
    <row r="23" spans="1:5">
      <c r="A23" s="2">
        <v>27</v>
      </c>
      <c r="B23" s="2">
        <v>397</v>
      </c>
      <c r="C23" s="2">
        <v>0</v>
      </c>
      <c r="D23" s="2">
        <v>12</v>
      </c>
      <c r="E23" s="2">
        <v>18</v>
      </c>
    </row>
    <row r="24" spans="1:5">
      <c r="A24" s="2">
        <v>28</v>
      </c>
      <c r="B24" s="2">
        <v>397</v>
      </c>
      <c r="C24" s="2">
        <v>2</v>
      </c>
      <c r="D24" s="2">
        <v>13</v>
      </c>
      <c r="E24" s="2">
        <v>15</v>
      </c>
    </row>
    <row r="25" spans="1:5">
      <c r="A25" s="2">
        <v>29</v>
      </c>
      <c r="B25" s="2">
        <v>397</v>
      </c>
      <c r="C25" s="2">
        <v>0</v>
      </c>
      <c r="D25" s="2">
        <v>14</v>
      </c>
      <c r="E25" s="2">
        <v>19</v>
      </c>
    </row>
    <row r="26" spans="1:5">
      <c r="A26" s="2">
        <v>30</v>
      </c>
      <c r="B26" s="2">
        <v>397</v>
      </c>
      <c r="C26" s="2">
        <v>1</v>
      </c>
      <c r="D26" s="2">
        <v>11</v>
      </c>
      <c r="E26" s="2">
        <v>13</v>
      </c>
    </row>
    <row r="27" spans="1:5">
      <c r="A27" s="2">
        <v>31</v>
      </c>
      <c r="B27" s="2">
        <v>397</v>
      </c>
      <c r="C27" s="2">
        <v>4</v>
      </c>
      <c r="D27" s="2">
        <v>10</v>
      </c>
      <c r="E27" s="2">
        <v>10</v>
      </c>
    </row>
    <row r="28" spans="1:5">
      <c r="A28" s="2">
        <v>32</v>
      </c>
      <c r="B28" s="2">
        <v>396</v>
      </c>
      <c r="C28" s="2">
        <v>2</v>
      </c>
      <c r="D28" s="2">
        <v>8</v>
      </c>
      <c r="E28" s="2">
        <v>10</v>
      </c>
    </row>
    <row r="29" spans="1:5">
      <c r="A29" s="2">
        <v>33</v>
      </c>
      <c r="B29" s="2">
        <v>396</v>
      </c>
      <c r="C29" s="2">
        <v>3</v>
      </c>
      <c r="D29" s="2">
        <v>9</v>
      </c>
      <c r="E29" s="2">
        <v>9</v>
      </c>
    </row>
    <row r="30" spans="1:5">
      <c r="A30" s="2">
        <v>34</v>
      </c>
      <c r="B30" s="2">
        <v>396</v>
      </c>
      <c r="C30" s="2">
        <v>2</v>
      </c>
      <c r="D30" s="2">
        <v>11</v>
      </c>
      <c r="E30" s="2">
        <v>13</v>
      </c>
    </row>
    <row r="31" spans="1:5">
      <c r="A31" s="2">
        <v>35</v>
      </c>
      <c r="B31" s="2">
        <v>396</v>
      </c>
      <c r="C31" s="2">
        <v>2</v>
      </c>
      <c r="D31" s="2">
        <v>12</v>
      </c>
      <c r="E31" s="2">
        <v>14</v>
      </c>
    </row>
    <row r="32" spans="1:5">
      <c r="A32" s="2">
        <v>36</v>
      </c>
      <c r="B32" s="2">
        <v>396</v>
      </c>
      <c r="C32" s="2">
        <v>0</v>
      </c>
      <c r="D32" s="2">
        <v>6</v>
      </c>
      <c r="E32" s="2">
        <v>7</v>
      </c>
    </row>
    <row r="33" spans="1:5">
      <c r="A33" s="2">
        <v>37</v>
      </c>
      <c r="B33" s="2">
        <v>396</v>
      </c>
      <c r="C33" s="2">
        <v>1</v>
      </c>
      <c r="D33" s="2">
        <v>9</v>
      </c>
      <c r="E33" s="2">
        <v>12</v>
      </c>
    </row>
    <row r="34" spans="1:5">
      <c r="A34" s="2">
        <v>38</v>
      </c>
      <c r="B34" s="2">
        <v>394</v>
      </c>
      <c r="C34" s="2">
        <v>0</v>
      </c>
      <c r="D34" s="2">
        <v>7</v>
      </c>
      <c r="E34" s="2">
        <v>7</v>
      </c>
    </row>
    <row r="35" spans="1:5">
      <c r="A35" s="2">
        <v>39</v>
      </c>
      <c r="B35" s="2">
        <v>394</v>
      </c>
      <c r="C35" s="2">
        <v>1</v>
      </c>
      <c r="D35" s="2">
        <v>3</v>
      </c>
      <c r="E35" s="2">
        <v>3</v>
      </c>
    </row>
    <row r="36" spans="1:5">
      <c r="A36" s="2">
        <v>40</v>
      </c>
      <c r="B36" s="2">
        <v>394</v>
      </c>
      <c r="C36" s="2">
        <v>1</v>
      </c>
      <c r="D36" s="2">
        <v>8</v>
      </c>
      <c r="E36" s="2">
        <v>8</v>
      </c>
    </row>
    <row r="37" spans="1:5">
      <c r="A37" s="2">
        <v>41</v>
      </c>
      <c r="B37" s="2">
        <v>393</v>
      </c>
      <c r="C37" s="2">
        <v>0</v>
      </c>
      <c r="D37" s="2">
        <v>5</v>
      </c>
      <c r="E37" s="2">
        <v>8</v>
      </c>
    </row>
    <row r="38" spans="1:5">
      <c r="A38" s="2">
        <v>42</v>
      </c>
      <c r="B38" s="2">
        <v>392</v>
      </c>
      <c r="C38" s="2">
        <v>0</v>
      </c>
      <c r="D38" s="2">
        <v>7</v>
      </c>
      <c r="E38" s="2">
        <v>7</v>
      </c>
    </row>
    <row r="39" spans="1:5">
      <c r="A39" s="2">
        <v>43</v>
      </c>
      <c r="B39" s="2">
        <v>392</v>
      </c>
      <c r="C39" s="2">
        <v>0</v>
      </c>
      <c r="D39" s="2">
        <v>11</v>
      </c>
      <c r="E39" s="2">
        <v>13</v>
      </c>
    </row>
    <row r="40" spans="1:5">
      <c r="A40" s="2">
        <v>44</v>
      </c>
      <c r="B40" s="2">
        <v>392</v>
      </c>
      <c r="C40" s="2">
        <v>1</v>
      </c>
      <c r="D40" s="2">
        <v>9</v>
      </c>
      <c r="E40" s="2">
        <v>9</v>
      </c>
    </row>
    <row r="41" spans="1:5">
      <c r="A41" s="2">
        <v>45</v>
      </c>
      <c r="B41" s="2">
        <v>391</v>
      </c>
      <c r="C41" s="2">
        <v>1</v>
      </c>
      <c r="D41" s="2">
        <v>8</v>
      </c>
      <c r="E41" s="2">
        <v>11</v>
      </c>
    </row>
    <row r="42" spans="1:5">
      <c r="A42" s="2">
        <v>46</v>
      </c>
      <c r="B42" s="2">
        <v>390</v>
      </c>
      <c r="C42" s="2">
        <v>0</v>
      </c>
      <c r="D42" s="2">
        <v>8</v>
      </c>
      <c r="E42" s="2">
        <v>11</v>
      </c>
    </row>
    <row r="43" spans="1:5">
      <c r="A43" s="2">
        <v>47</v>
      </c>
      <c r="B43" s="2">
        <v>389</v>
      </c>
      <c r="C43" s="2">
        <v>1</v>
      </c>
      <c r="D43" s="2">
        <v>3</v>
      </c>
      <c r="E43" s="2">
        <v>3</v>
      </c>
    </row>
    <row r="44" spans="1:5">
      <c r="A44" s="2">
        <v>48</v>
      </c>
      <c r="B44" s="2">
        <v>387</v>
      </c>
      <c r="C44" s="2">
        <v>0</v>
      </c>
      <c r="D44" s="2">
        <v>0</v>
      </c>
      <c r="E44" s="2">
        <v>0</v>
      </c>
    </row>
    <row r="45" spans="1:5">
      <c r="A45" s="2">
        <v>49</v>
      </c>
      <c r="B45" s="2">
        <v>387</v>
      </c>
      <c r="C45" s="2">
        <v>0</v>
      </c>
      <c r="D45" s="2">
        <v>1</v>
      </c>
      <c r="E45" s="2">
        <v>1</v>
      </c>
    </row>
    <row r="46" spans="1:5">
      <c r="A46" s="2">
        <v>50</v>
      </c>
      <c r="B46" s="2">
        <v>386</v>
      </c>
      <c r="C46" s="2">
        <v>0</v>
      </c>
      <c r="D46" s="2">
        <v>5</v>
      </c>
      <c r="E46" s="2">
        <v>7</v>
      </c>
    </row>
    <row r="50" spans="1:1" s="222" customFormat="1">
      <c r="A50" s="222" t="s">
        <v>697</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EF2EC-D78B-4128-A852-C1A7C2A08CEB}">
  <sheetPr codeName="Sheet32">
    <tabColor theme="5" tint="-0.249977111117893"/>
  </sheetPr>
  <dimension ref="A1:AZ631"/>
  <sheetViews>
    <sheetView workbookViewId="0"/>
  </sheetViews>
  <sheetFormatPr defaultColWidth="8.69140625" defaultRowHeight="15.5"/>
  <cols>
    <col min="1" max="1" width="28.53515625" style="114" customWidth="1"/>
    <col min="2" max="2" width="28.15234375" style="114" customWidth="1"/>
    <col min="3" max="3" width="24" style="114" customWidth="1"/>
    <col min="4" max="4" width="24.921875" style="114" customWidth="1"/>
    <col min="5" max="5" width="45.69140625" style="114" customWidth="1"/>
    <col min="6" max="6" width="46.53515625" style="114" customWidth="1"/>
    <col min="7" max="7" width="34.15234375" style="114" customWidth="1"/>
    <col min="8" max="8" width="38.84375" style="114" customWidth="1"/>
    <col min="9" max="9" width="24.921875" style="114" customWidth="1"/>
    <col min="10" max="10" width="20.4609375" style="114" customWidth="1"/>
    <col min="11" max="17" width="24.921875" style="114" customWidth="1"/>
    <col min="18" max="18" width="20.3828125" style="114" customWidth="1"/>
    <col min="19" max="19" width="17.61328125" style="114" customWidth="1"/>
    <col min="20" max="20" width="16.53515625" style="114" customWidth="1"/>
    <col min="21" max="21" width="32" style="114" customWidth="1"/>
    <col min="22" max="22" width="34.07421875" style="114" bestFit="1" customWidth="1"/>
    <col min="23" max="23" width="21.61328125" style="114" customWidth="1"/>
    <col min="24" max="24" width="23.15234375" style="114" customWidth="1"/>
    <col min="25" max="25" width="25.15234375" style="114" customWidth="1"/>
    <col min="26" max="26" width="24.53515625" style="114" customWidth="1"/>
    <col min="27" max="27" width="25.53515625" style="114" customWidth="1"/>
    <col min="28" max="28" width="18.61328125" style="114" customWidth="1"/>
    <col min="29" max="29" width="22.53515625" style="114" customWidth="1"/>
    <col min="30" max="30" width="142.23046875" style="114" bestFit="1" customWidth="1"/>
    <col min="31" max="31" width="57.3828125" style="114" bestFit="1" customWidth="1"/>
    <col min="32" max="32" width="48.07421875" style="114" bestFit="1" customWidth="1"/>
    <col min="33" max="33" width="78.15234375" style="114" bestFit="1" customWidth="1"/>
    <col min="34" max="34" width="41.53515625" style="114" bestFit="1" customWidth="1"/>
    <col min="35" max="35" width="27.15234375" style="114" bestFit="1" customWidth="1"/>
    <col min="36" max="36" width="19.69140625" style="114" bestFit="1" customWidth="1"/>
    <col min="37" max="37" width="21.07421875" style="114" bestFit="1" customWidth="1"/>
    <col min="38" max="38" width="45.3828125" style="114" bestFit="1" customWidth="1"/>
    <col min="39" max="39" width="59.4609375" style="114" bestFit="1" customWidth="1"/>
    <col min="40" max="40" width="23.23046875" style="114" bestFit="1" customWidth="1"/>
    <col min="41" max="41" width="21" style="114" bestFit="1" customWidth="1"/>
    <col min="42" max="42" width="37.07421875" style="114" bestFit="1" customWidth="1"/>
    <col min="43" max="43" width="142.23046875" style="114" bestFit="1" customWidth="1"/>
    <col min="44" max="44" width="57.3828125" style="114" bestFit="1" customWidth="1"/>
    <col min="45" max="45" width="48.07421875" style="114" bestFit="1" customWidth="1"/>
    <col min="46" max="46" width="78.15234375" style="114" bestFit="1" customWidth="1"/>
    <col min="47" max="47" width="41.53515625" style="114" bestFit="1" customWidth="1"/>
    <col min="48" max="48" width="27.15234375" style="114" bestFit="1" customWidth="1"/>
    <col min="49" max="49" width="19.69140625" style="114" bestFit="1" customWidth="1"/>
    <col min="50" max="50" width="21.07421875" style="114" bestFit="1" customWidth="1"/>
    <col min="51" max="51" width="45.3828125" style="114" bestFit="1" customWidth="1"/>
    <col min="52" max="52" width="59.4609375" style="114" bestFit="1" customWidth="1"/>
    <col min="53" max="53" width="23.23046875" style="114" bestFit="1" customWidth="1"/>
    <col min="54" max="54" width="41" style="114" bestFit="1" customWidth="1"/>
    <col min="55" max="55" width="20.53515625" style="114" bestFit="1" customWidth="1"/>
    <col min="56" max="56" width="142.23046875" style="114" bestFit="1" customWidth="1"/>
    <col min="57" max="57" width="57.3828125" style="114" bestFit="1" customWidth="1"/>
    <col min="58" max="58" width="48.07421875" style="114" bestFit="1" customWidth="1"/>
    <col min="59" max="59" width="78.15234375" style="114" bestFit="1" customWidth="1"/>
    <col min="60" max="60" width="41.53515625" style="114" bestFit="1" customWidth="1"/>
    <col min="61" max="61" width="27.15234375" style="114" bestFit="1" customWidth="1"/>
    <col min="62" max="62" width="19.69140625" style="114" bestFit="1" customWidth="1"/>
    <col min="63" max="63" width="21.07421875" style="114" bestFit="1" customWidth="1"/>
    <col min="64" max="64" width="45.3828125" style="114" bestFit="1" customWidth="1"/>
    <col min="65" max="65" width="59.4609375" style="114" bestFit="1" customWidth="1"/>
    <col min="66" max="66" width="23.23046875" style="114" bestFit="1" customWidth="1"/>
    <col min="67" max="67" width="22.23046875" style="114" bestFit="1" customWidth="1"/>
    <col min="68" max="68" width="24.84375" style="114" bestFit="1" customWidth="1"/>
    <col min="69" max="69" width="142.23046875" style="114" bestFit="1" customWidth="1"/>
    <col min="70" max="70" width="57.3828125" style="114" bestFit="1" customWidth="1"/>
    <col min="71" max="71" width="48.07421875" style="114" bestFit="1" customWidth="1"/>
    <col min="72" max="72" width="78.15234375" style="114" bestFit="1" customWidth="1"/>
    <col min="73" max="73" width="41.53515625" style="114" bestFit="1" customWidth="1"/>
    <col min="74" max="74" width="27.15234375" style="114" bestFit="1" customWidth="1"/>
    <col min="75" max="75" width="19.69140625" style="114" bestFit="1" customWidth="1"/>
    <col min="76" max="76" width="21.07421875" style="114" bestFit="1" customWidth="1"/>
    <col min="77" max="77" width="45.3828125" style="114" bestFit="1" customWidth="1"/>
    <col min="78" max="78" width="59.4609375" style="114" bestFit="1" customWidth="1"/>
    <col min="79" max="79" width="23.23046875" style="114" bestFit="1" customWidth="1"/>
    <col min="80" max="80" width="28.84375" style="114" bestFit="1" customWidth="1"/>
    <col min="81" max="81" width="20.53515625" style="114" bestFit="1" customWidth="1"/>
    <col min="82" max="82" width="142.23046875" style="114" bestFit="1" customWidth="1"/>
    <col min="83" max="83" width="57.3828125" style="114" bestFit="1" customWidth="1"/>
    <col min="84" max="84" width="48.07421875" style="114" bestFit="1" customWidth="1"/>
    <col min="85" max="85" width="78.15234375" style="114" bestFit="1" customWidth="1"/>
    <col min="86" max="86" width="41.53515625" style="114" bestFit="1" customWidth="1"/>
    <col min="87" max="87" width="27.15234375" style="114" bestFit="1" customWidth="1"/>
    <col min="88" max="88" width="19.69140625" style="114" bestFit="1" customWidth="1"/>
    <col min="89" max="89" width="21.07421875" style="114" bestFit="1" customWidth="1"/>
    <col min="90" max="90" width="45.3828125" style="114" bestFit="1" customWidth="1"/>
    <col min="91" max="91" width="59.4609375" style="114" bestFit="1" customWidth="1"/>
    <col min="92" max="92" width="23.23046875" style="114" bestFit="1" customWidth="1"/>
    <col min="93" max="93" width="14.69140625" style="114" bestFit="1" customWidth="1"/>
    <col min="94" max="94" width="21.69140625" style="114" bestFit="1" customWidth="1"/>
    <col min="95" max="95" width="142.23046875" style="114" bestFit="1" customWidth="1"/>
    <col min="96" max="96" width="57.3828125" style="114" bestFit="1" customWidth="1"/>
    <col min="97" max="97" width="48.07421875" style="114" bestFit="1" customWidth="1"/>
    <col min="98" max="98" width="78.15234375" style="114" bestFit="1" customWidth="1"/>
    <col min="99" max="99" width="41.53515625" style="114" bestFit="1" customWidth="1"/>
    <col min="100" max="100" width="27.15234375" style="114" bestFit="1" customWidth="1"/>
    <col min="101" max="101" width="19.69140625" style="114" bestFit="1" customWidth="1"/>
    <col min="102" max="102" width="21.07421875" style="114" bestFit="1" customWidth="1"/>
    <col min="103" max="103" width="45.3828125" style="114" bestFit="1" customWidth="1"/>
    <col min="104" max="104" width="59.4609375" style="114" bestFit="1" customWidth="1"/>
    <col min="105" max="105" width="23.23046875" style="114" bestFit="1" customWidth="1"/>
    <col min="106" max="106" width="25.61328125" style="114" bestFit="1" customWidth="1"/>
    <col min="107" max="107" width="22.23046875" style="114" bestFit="1" customWidth="1"/>
    <col min="108" max="108" width="142.23046875" style="114" bestFit="1" customWidth="1"/>
    <col min="109" max="109" width="57.3828125" style="114" bestFit="1" customWidth="1"/>
    <col min="110" max="110" width="48.07421875" style="114" bestFit="1" customWidth="1"/>
    <col min="111" max="111" width="78.15234375" style="114" bestFit="1" customWidth="1"/>
    <col min="112" max="112" width="41.53515625" style="114" bestFit="1" customWidth="1"/>
    <col min="113" max="113" width="27.15234375" style="114" bestFit="1" customWidth="1"/>
    <col min="114" max="114" width="19.69140625" style="114" bestFit="1" customWidth="1"/>
    <col min="115" max="115" width="21.07421875" style="114" bestFit="1" customWidth="1"/>
    <col min="116" max="116" width="45.3828125" style="114" bestFit="1" customWidth="1"/>
    <col min="117" max="117" width="59.4609375" style="114" bestFit="1" customWidth="1"/>
    <col min="118" max="118" width="23.23046875" style="114" bestFit="1" customWidth="1"/>
    <col min="119" max="119" width="26.3828125" style="114" bestFit="1" customWidth="1"/>
    <col min="120" max="120" width="21.53515625" style="114" bestFit="1" customWidth="1"/>
    <col min="121" max="121" width="142.23046875" style="114" bestFit="1" customWidth="1"/>
    <col min="122" max="122" width="57.3828125" style="114" bestFit="1" customWidth="1"/>
    <col min="123" max="123" width="48.07421875" style="114" bestFit="1" customWidth="1"/>
    <col min="124" max="124" width="78.15234375" style="114" bestFit="1" customWidth="1"/>
    <col min="125" max="125" width="41.53515625" style="114" bestFit="1" customWidth="1"/>
    <col min="126" max="126" width="27.15234375" style="114" bestFit="1" customWidth="1"/>
    <col min="127" max="127" width="19.69140625" style="114" bestFit="1" customWidth="1"/>
    <col min="128" max="128" width="21.07421875" style="114" bestFit="1" customWidth="1"/>
    <col min="129" max="129" width="45.3828125" style="114" bestFit="1" customWidth="1"/>
    <col min="130" max="130" width="59.4609375" style="114" bestFit="1" customWidth="1"/>
    <col min="131" max="131" width="23.23046875" style="114" bestFit="1" customWidth="1"/>
    <col min="132" max="132" width="25.53515625" style="114" bestFit="1" customWidth="1"/>
    <col min="133" max="133" width="20.53515625" style="114" bestFit="1" customWidth="1"/>
    <col min="134" max="134" width="142.23046875" style="114" bestFit="1" customWidth="1"/>
    <col min="135" max="135" width="57.3828125" style="114" bestFit="1" customWidth="1"/>
    <col min="136" max="136" width="48.07421875" style="114" bestFit="1" customWidth="1"/>
    <col min="137" max="137" width="78.15234375" style="114" bestFit="1" customWidth="1"/>
    <col min="138" max="138" width="41.53515625" style="114" bestFit="1" customWidth="1"/>
    <col min="139" max="139" width="27.15234375" style="114" bestFit="1" customWidth="1"/>
    <col min="140" max="140" width="19.69140625" style="114" bestFit="1" customWidth="1"/>
    <col min="141" max="141" width="21.07421875" style="114" bestFit="1" customWidth="1"/>
    <col min="142" max="142" width="45.3828125" style="114" bestFit="1" customWidth="1"/>
    <col min="143" max="143" width="59.4609375" style="114" bestFit="1" customWidth="1"/>
    <col min="144" max="144" width="23.23046875" style="114" bestFit="1" customWidth="1"/>
    <col min="145" max="145" width="24.07421875" style="114" bestFit="1" customWidth="1"/>
    <col min="146" max="146" width="20.921875" style="114" bestFit="1" customWidth="1"/>
    <col min="147" max="147" width="142.23046875" style="114" bestFit="1" customWidth="1"/>
    <col min="148" max="148" width="57.3828125" style="114" bestFit="1" customWidth="1"/>
    <col min="149" max="149" width="48.07421875" style="114" bestFit="1" customWidth="1"/>
    <col min="150" max="150" width="78.15234375" style="114" bestFit="1" customWidth="1"/>
    <col min="151" max="151" width="41.53515625" style="114" bestFit="1" customWidth="1"/>
    <col min="152" max="152" width="27.15234375" style="114" bestFit="1" customWidth="1"/>
    <col min="153" max="153" width="19.69140625" style="114" bestFit="1" customWidth="1"/>
    <col min="154" max="154" width="21.07421875" style="114" bestFit="1" customWidth="1"/>
    <col min="155" max="155" width="45.3828125" style="114" bestFit="1" customWidth="1"/>
    <col min="156" max="156" width="59.4609375" style="114" bestFit="1" customWidth="1"/>
    <col min="157" max="157" width="23.23046875" style="114" bestFit="1" customWidth="1"/>
    <col min="158" max="158" width="24.921875" style="114" bestFit="1" customWidth="1"/>
    <col min="159" max="159" width="32.53515625" style="114" bestFit="1" customWidth="1"/>
    <col min="160" max="160" width="142.23046875" style="114" bestFit="1" customWidth="1"/>
    <col min="161" max="161" width="57.3828125" style="114" bestFit="1" customWidth="1"/>
    <col min="162" max="162" width="48.07421875" style="114" bestFit="1" customWidth="1"/>
    <col min="163" max="163" width="78.15234375" style="114" bestFit="1" customWidth="1"/>
    <col min="164" max="164" width="41.53515625" style="114" bestFit="1" customWidth="1"/>
    <col min="165" max="165" width="27.15234375" style="114" bestFit="1" customWidth="1"/>
    <col min="166" max="166" width="19.69140625" style="114" bestFit="1" customWidth="1"/>
    <col min="167" max="167" width="21.07421875" style="114" bestFit="1" customWidth="1"/>
    <col min="168" max="168" width="45.3828125" style="114" bestFit="1" customWidth="1"/>
    <col min="169" max="169" width="59.4609375" style="114" bestFit="1" customWidth="1"/>
    <col min="170" max="170" width="23.23046875" style="114" bestFit="1" customWidth="1"/>
    <col min="171" max="171" width="36.4609375" style="114" bestFit="1" customWidth="1"/>
    <col min="172" max="172" width="21.23046875" style="114" bestFit="1" customWidth="1"/>
    <col min="173" max="173" width="142.23046875" style="114" bestFit="1" customWidth="1"/>
    <col min="174" max="174" width="57.3828125" style="114" bestFit="1" customWidth="1"/>
    <col min="175" max="175" width="48.07421875" style="114" bestFit="1" customWidth="1"/>
    <col min="176" max="176" width="78.15234375" style="114" bestFit="1" customWidth="1"/>
    <col min="177" max="177" width="41.53515625" style="114" bestFit="1" customWidth="1"/>
    <col min="178" max="178" width="27.15234375" style="114" bestFit="1" customWidth="1"/>
    <col min="179" max="179" width="19.69140625" style="114" bestFit="1" customWidth="1"/>
    <col min="180" max="180" width="21.07421875" style="114" bestFit="1" customWidth="1"/>
    <col min="181" max="181" width="45.3828125" style="114" bestFit="1" customWidth="1"/>
    <col min="182" max="182" width="59.4609375" style="114" bestFit="1" customWidth="1"/>
    <col min="183" max="183" width="23.23046875" style="114" bestFit="1" customWidth="1"/>
    <col min="184" max="184" width="25.3828125" style="114" bestFit="1" customWidth="1"/>
    <col min="185" max="185" width="20.53515625" style="114" bestFit="1" customWidth="1"/>
    <col min="186" max="186" width="142.23046875" style="114" bestFit="1" customWidth="1"/>
    <col min="187" max="187" width="57.3828125" style="114" bestFit="1" customWidth="1"/>
    <col min="188" max="188" width="48.07421875" style="114" bestFit="1" customWidth="1"/>
    <col min="189" max="189" width="78.15234375" style="114" bestFit="1" customWidth="1"/>
    <col min="190" max="190" width="41.53515625" style="114" bestFit="1" customWidth="1"/>
    <col min="191" max="191" width="27.15234375" style="114" bestFit="1" customWidth="1"/>
    <col min="192" max="192" width="19.69140625" style="114" bestFit="1" customWidth="1"/>
    <col min="193" max="193" width="21.07421875" style="114" bestFit="1" customWidth="1"/>
    <col min="194" max="194" width="45.3828125" style="114" bestFit="1" customWidth="1"/>
    <col min="195" max="195" width="59.4609375" style="114" bestFit="1" customWidth="1"/>
    <col min="196" max="196" width="23.23046875" style="114" bestFit="1" customWidth="1"/>
    <col min="197" max="197" width="10.921875" style="114" bestFit="1" customWidth="1"/>
    <col min="198" max="198" width="20.53515625" style="114" bestFit="1" customWidth="1"/>
    <col min="199" max="199" width="142.23046875" style="114" bestFit="1" customWidth="1"/>
    <col min="200" max="200" width="57.3828125" style="114" bestFit="1" customWidth="1"/>
    <col min="201" max="201" width="48.07421875" style="114" bestFit="1" customWidth="1"/>
    <col min="202" max="202" width="78.15234375" style="114" bestFit="1" customWidth="1"/>
    <col min="203" max="203" width="41.53515625" style="114" bestFit="1" customWidth="1"/>
    <col min="204" max="204" width="27.15234375" style="114" bestFit="1" customWidth="1"/>
    <col min="205" max="205" width="19.69140625" style="114" bestFit="1" customWidth="1"/>
    <col min="206" max="206" width="21.07421875" style="114" bestFit="1" customWidth="1"/>
    <col min="207" max="207" width="45.3828125" style="114" bestFit="1" customWidth="1"/>
    <col min="208" max="208" width="59.4609375" style="114" bestFit="1" customWidth="1"/>
    <col min="209" max="209" width="23.23046875" style="114" bestFit="1" customWidth="1"/>
    <col min="210" max="210" width="13.53515625" style="114" bestFit="1" customWidth="1"/>
    <col min="211" max="211" width="20.53515625" style="114" bestFit="1" customWidth="1"/>
    <col min="212" max="212" width="142.23046875" style="114" bestFit="1" customWidth="1"/>
    <col min="213" max="213" width="57.3828125" style="114" bestFit="1" customWidth="1"/>
    <col min="214" max="214" width="48.07421875" style="114" bestFit="1" customWidth="1"/>
    <col min="215" max="215" width="78.15234375" style="114" bestFit="1" customWidth="1"/>
    <col min="216" max="216" width="41.53515625" style="114" bestFit="1" customWidth="1"/>
    <col min="217" max="217" width="27.15234375" style="114" bestFit="1" customWidth="1"/>
    <col min="218" max="218" width="19.69140625" style="114" bestFit="1" customWidth="1"/>
    <col min="219" max="219" width="21.07421875" style="114" bestFit="1" customWidth="1"/>
    <col min="220" max="220" width="45.3828125" style="114" bestFit="1" customWidth="1"/>
    <col min="221" max="221" width="59.4609375" style="114" bestFit="1" customWidth="1"/>
    <col min="222" max="222" width="23.23046875" style="114" bestFit="1" customWidth="1"/>
    <col min="223" max="223" width="15.53515625" style="114" bestFit="1" customWidth="1"/>
    <col min="224" max="224" width="24" style="114" bestFit="1" customWidth="1"/>
    <col min="225" max="225" width="142.23046875" style="114" bestFit="1" customWidth="1"/>
    <col min="226" max="226" width="57.3828125" style="114" bestFit="1" customWidth="1"/>
    <col min="227" max="227" width="48.07421875" style="114" bestFit="1" customWidth="1"/>
    <col min="228" max="228" width="78.15234375" style="114" bestFit="1" customWidth="1"/>
    <col min="229" max="229" width="41.53515625" style="114" bestFit="1" customWidth="1"/>
    <col min="230" max="230" width="27.15234375" style="114" bestFit="1" customWidth="1"/>
    <col min="231" max="231" width="19.69140625" style="114" bestFit="1" customWidth="1"/>
    <col min="232" max="232" width="21.07421875" style="114" bestFit="1" customWidth="1"/>
    <col min="233" max="233" width="45.3828125" style="114" bestFit="1" customWidth="1"/>
    <col min="234" max="234" width="59.4609375" style="114" bestFit="1" customWidth="1"/>
    <col min="235" max="235" width="23.23046875" style="114" bestFit="1" customWidth="1"/>
    <col min="236" max="236" width="27.921875" style="114" bestFit="1" customWidth="1"/>
    <col min="237" max="237" width="20.53515625" style="114" bestFit="1" customWidth="1"/>
    <col min="238" max="238" width="142.23046875" style="114" bestFit="1" customWidth="1"/>
    <col min="239" max="239" width="57.3828125" style="114" bestFit="1" customWidth="1"/>
    <col min="240" max="240" width="48.07421875" style="114" bestFit="1" customWidth="1"/>
    <col min="241" max="241" width="78.15234375" style="114" bestFit="1" customWidth="1"/>
    <col min="242" max="242" width="41.53515625" style="114" bestFit="1" customWidth="1"/>
    <col min="243" max="243" width="27.15234375" style="114" bestFit="1" customWidth="1"/>
    <col min="244" max="244" width="19.69140625" style="114" bestFit="1" customWidth="1"/>
    <col min="245" max="245" width="21.07421875" style="114" bestFit="1" customWidth="1"/>
    <col min="246" max="246" width="45.3828125" style="114" bestFit="1" customWidth="1"/>
    <col min="247" max="247" width="59.4609375" style="114" bestFit="1" customWidth="1"/>
    <col min="248" max="248" width="23.23046875" style="114" bestFit="1" customWidth="1"/>
    <col min="249" max="249" width="23.84375" style="114" bestFit="1" customWidth="1"/>
    <col min="250" max="250" width="21.53515625" style="114" bestFit="1" customWidth="1"/>
    <col min="251" max="251" width="142.23046875" style="114" bestFit="1" customWidth="1"/>
    <col min="252" max="252" width="57.3828125" style="114" bestFit="1" customWidth="1"/>
    <col min="253" max="253" width="48.07421875" style="114" bestFit="1" customWidth="1"/>
    <col min="254" max="254" width="78.15234375" style="114" bestFit="1" customWidth="1"/>
    <col min="255" max="255" width="41.53515625" style="114" bestFit="1" customWidth="1"/>
    <col min="256" max="256" width="27.15234375" style="114" bestFit="1" customWidth="1"/>
    <col min="257" max="257" width="19.69140625" style="114" bestFit="1" customWidth="1"/>
    <col min="258" max="258" width="21.07421875" style="114" bestFit="1" customWidth="1"/>
    <col min="259" max="259" width="45.3828125" style="114" bestFit="1" customWidth="1"/>
    <col min="260" max="260" width="59.4609375" style="114" bestFit="1" customWidth="1"/>
    <col min="261" max="261" width="23.23046875" style="114" bestFit="1" customWidth="1"/>
    <col min="262" max="262" width="25.53515625" style="114" bestFit="1" customWidth="1"/>
    <col min="263" max="263" width="23.4609375" style="114" bestFit="1" customWidth="1"/>
    <col min="264" max="264" width="142.23046875" style="114" bestFit="1" customWidth="1"/>
    <col min="265" max="265" width="57.3828125" style="114" bestFit="1" customWidth="1"/>
    <col min="266" max="266" width="48.07421875" style="114" bestFit="1" customWidth="1"/>
    <col min="267" max="267" width="78.15234375" style="114" bestFit="1" customWidth="1"/>
    <col min="268" max="268" width="41.53515625" style="114" bestFit="1" customWidth="1"/>
    <col min="269" max="269" width="27.15234375" style="114" bestFit="1" customWidth="1"/>
    <col min="270" max="270" width="19.69140625" style="114" bestFit="1" customWidth="1"/>
    <col min="271" max="271" width="21.07421875" style="114" bestFit="1" customWidth="1"/>
    <col min="272" max="272" width="45.3828125" style="114" bestFit="1" customWidth="1"/>
    <col min="273" max="273" width="59.4609375" style="114" bestFit="1" customWidth="1"/>
    <col min="274" max="274" width="23.23046875" style="114" bestFit="1" customWidth="1"/>
    <col min="275" max="275" width="27.61328125" style="114" bestFit="1" customWidth="1"/>
    <col min="276" max="276" width="20.53515625" style="114" bestFit="1" customWidth="1"/>
    <col min="277" max="277" width="142.23046875" style="114" bestFit="1" customWidth="1"/>
    <col min="278" max="278" width="57.3828125" style="114" bestFit="1" customWidth="1"/>
    <col min="279" max="279" width="48.07421875" style="114" bestFit="1" customWidth="1"/>
    <col min="280" max="280" width="78.15234375" style="114" bestFit="1" customWidth="1"/>
    <col min="281" max="281" width="41.53515625" style="114" bestFit="1" customWidth="1"/>
    <col min="282" max="282" width="27.15234375" style="114" bestFit="1" customWidth="1"/>
    <col min="283" max="283" width="19.69140625" style="114" bestFit="1" customWidth="1"/>
    <col min="284" max="284" width="21.07421875" style="114" bestFit="1" customWidth="1"/>
    <col min="285" max="285" width="45.3828125" style="114" bestFit="1" customWidth="1"/>
    <col min="286" max="286" width="59.4609375" style="114" bestFit="1" customWidth="1"/>
    <col min="287" max="287" width="23.23046875" style="114" bestFit="1" customWidth="1"/>
    <col min="288" max="288" width="23.3828125" style="114" bestFit="1" customWidth="1"/>
    <col min="289" max="289" width="20.53515625" style="114" bestFit="1" customWidth="1"/>
    <col min="290" max="290" width="142.23046875" style="114" bestFit="1" customWidth="1"/>
    <col min="291" max="291" width="57.3828125" style="114" bestFit="1" customWidth="1"/>
    <col min="292" max="292" width="48.07421875" style="114" bestFit="1" customWidth="1"/>
    <col min="293" max="293" width="78.15234375" style="114" bestFit="1" customWidth="1"/>
    <col min="294" max="294" width="41.53515625" style="114" bestFit="1" customWidth="1"/>
    <col min="295" max="295" width="27.15234375" style="114" bestFit="1" customWidth="1"/>
    <col min="296" max="296" width="19.69140625" style="114" bestFit="1" customWidth="1"/>
    <col min="297" max="297" width="21.07421875" style="114" bestFit="1" customWidth="1"/>
    <col min="298" max="298" width="45.3828125" style="114" bestFit="1" customWidth="1"/>
    <col min="299" max="299" width="59.4609375" style="114" bestFit="1" customWidth="1"/>
    <col min="300" max="300" width="23.23046875" style="114" bestFit="1" customWidth="1"/>
    <col min="301" max="301" width="23.61328125" style="114" bestFit="1" customWidth="1"/>
    <col min="302" max="302" width="20.53515625" style="114" bestFit="1" customWidth="1"/>
    <col min="303" max="303" width="142.23046875" style="114" bestFit="1" customWidth="1"/>
    <col min="304" max="304" width="57.3828125" style="114" bestFit="1" customWidth="1"/>
    <col min="305" max="305" width="48.07421875" style="114" bestFit="1" customWidth="1"/>
    <col min="306" max="306" width="78.15234375" style="114" bestFit="1" customWidth="1"/>
    <col min="307" max="307" width="41.53515625" style="114" bestFit="1" customWidth="1"/>
    <col min="308" max="308" width="27.15234375" style="114" bestFit="1" customWidth="1"/>
    <col min="309" max="309" width="19.69140625" style="114" bestFit="1" customWidth="1"/>
    <col min="310" max="310" width="21.07421875" style="114" bestFit="1" customWidth="1"/>
    <col min="311" max="311" width="45.3828125" style="114" bestFit="1" customWidth="1"/>
    <col min="312" max="312" width="59.4609375" style="114" bestFit="1" customWidth="1"/>
    <col min="313" max="313" width="23.23046875" style="114" bestFit="1" customWidth="1"/>
    <col min="314" max="314" width="22.84375" style="114" bestFit="1" customWidth="1"/>
    <col min="315" max="315" width="21.69140625" style="114" bestFit="1" customWidth="1"/>
    <col min="316" max="316" width="142.23046875" style="114" bestFit="1" customWidth="1"/>
    <col min="317" max="317" width="57.3828125" style="114" bestFit="1" customWidth="1"/>
    <col min="318" max="318" width="48.07421875" style="114" bestFit="1" customWidth="1"/>
    <col min="319" max="319" width="78.15234375" style="114" bestFit="1" customWidth="1"/>
    <col min="320" max="320" width="41.53515625" style="114" bestFit="1" customWidth="1"/>
    <col min="321" max="321" width="27.15234375" style="114" bestFit="1" customWidth="1"/>
    <col min="322" max="322" width="19.69140625" style="114" bestFit="1" customWidth="1"/>
    <col min="323" max="323" width="21.07421875" style="114" bestFit="1" customWidth="1"/>
    <col min="324" max="324" width="45.3828125" style="114" bestFit="1" customWidth="1"/>
    <col min="325" max="325" width="59.4609375" style="114" bestFit="1" customWidth="1"/>
    <col min="326" max="326" width="23.23046875" style="114" bestFit="1" customWidth="1"/>
    <col min="327" max="327" width="25.61328125" style="114" bestFit="1" customWidth="1"/>
    <col min="328" max="328" width="11.4609375" style="114" bestFit="1" customWidth="1"/>
    <col min="329" max="16384" width="8.69140625" style="114"/>
  </cols>
  <sheetData>
    <row r="1" spans="1:10">
      <c r="A1" s="174" t="s">
        <v>624</v>
      </c>
      <c r="E1" s="150"/>
    </row>
    <row r="3" spans="1:10">
      <c r="A3" s="150" t="s">
        <v>733</v>
      </c>
      <c r="B3" s="150" t="s">
        <v>610</v>
      </c>
      <c r="C3" s="150" t="s">
        <v>613</v>
      </c>
      <c r="D3" s="150" t="s">
        <v>614</v>
      </c>
      <c r="E3" s="150" t="s">
        <v>609</v>
      </c>
      <c r="F3" s="150" t="s">
        <v>637</v>
      </c>
      <c r="G3" s="150" t="s">
        <v>730</v>
      </c>
      <c r="H3" s="150" t="s">
        <v>731</v>
      </c>
      <c r="I3" s="150" t="s">
        <v>596</v>
      </c>
      <c r="J3" s="150" t="s">
        <v>639</v>
      </c>
    </row>
    <row r="4" spans="1:10">
      <c r="A4" s="114" t="s">
        <v>615</v>
      </c>
      <c r="B4" s="114" t="s">
        <v>735</v>
      </c>
      <c r="C4" s="114" t="s">
        <v>627</v>
      </c>
      <c r="D4" s="114" t="s">
        <v>625</v>
      </c>
      <c r="E4" s="114" t="s">
        <v>626</v>
      </c>
      <c r="F4" s="114" t="str">
        <f t="shared" ref="F4:F35" si="0">A4&amp;C4&amp;D4&amp;E4</f>
        <v>AdultsAll_offendersnaTotal_number_of_offenders</v>
      </c>
      <c r="G4" s="114">
        <f>H4</f>
        <v>354531</v>
      </c>
      <c r="H4" s="114">
        <v>354531</v>
      </c>
      <c r="I4" s="114" t="s">
        <v>623</v>
      </c>
    </row>
    <row r="5" spans="1:10">
      <c r="A5" s="114" t="s">
        <v>615</v>
      </c>
      <c r="B5" s="114" t="s">
        <v>735</v>
      </c>
      <c r="C5" s="114" t="s">
        <v>628</v>
      </c>
      <c r="D5" s="114" t="s">
        <v>625</v>
      </c>
      <c r="E5" s="114" t="s">
        <v>626</v>
      </c>
      <c r="F5" s="114" t="str">
        <f t="shared" si="0"/>
        <v>AdultsViolence_against_the_personnaTotal_number_of_offenders</v>
      </c>
      <c r="G5" s="114">
        <f t="shared" ref="G5:G68" si="1">H5</f>
        <v>35263</v>
      </c>
      <c r="H5" s="114">
        <v>35263</v>
      </c>
      <c r="I5" s="114" t="s">
        <v>623</v>
      </c>
      <c r="J5" s="386"/>
    </row>
    <row r="6" spans="1:10">
      <c r="A6" s="114" t="s">
        <v>615</v>
      </c>
      <c r="B6" s="114" t="s">
        <v>735</v>
      </c>
      <c r="C6" s="114" t="s">
        <v>617</v>
      </c>
      <c r="D6" s="114" t="s">
        <v>625</v>
      </c>
      <c r="E6" s="114" t="s">
        <v>626</v>
      </c>
      <c r="F6" s="114" t="str">
        <f t="shared" si="0"/>
        <v>AdultsSexualnaTotal_number_of_offenders</v>
      </c>
      <c r="G6" s="114">
        <f t="shared" si="1"/>
        <v>5219</v>
      </c>
      <c r="H6" s="114">
        <v>5219</v>
      </c>
      <c r="I6" s="114" t="s">
        <v>623</v>
      </c>
      <c r="J6" s="386"/>
    </row>
    <row r="7" spans="1:10">
      <c r="A7" s="114" t="s">
        <v>615</v>
      </c>
      <c r="B7" s="114" t="s">
        <v>735</v>
      </c>
      <c r="C7" s="114" t="s">
        <v>292</v>
      </c>
      <c r="D7" s="114" t="s">
        <v>625</v>
      </c>
      <c r="E7" s="114" t="s">
        <v>626</v>
      </c>
      <c r="F7" s="114" t="str">
        <f t="shared" si="0"/>
        <v>AdultsRobberynaTotal_number_of_offenders</v>
      </c>
      <c r="G7" s="114">
        <f t="shared" si="1"/>
        <v>2423</v>
      </c>
      <c r="H7" s="114">
        <v>2423</v>
      </c>
      <c r="I7" s="114" t="s">
        <v>623</v>
      </c>
      <c r="J7" s="386"/>
    </row>
    <row r="8" spans="1:10">
      <c r="A8" s="114" t="s">
        <v>615</v>
      </c>
      <c r="B8" s="114" t="s">
        <v>735</v>
      </c>
      <c r="C8" s="114" t="s">
        <v>293</v>
      </c>
      <c r="D8" s="114" t="s">
        <v>625</v>
      </c>
      <c r="E8" s="114" t="s">
        <v>626</v>
      </c>
      <c r="F8" s="114" t="str">
        <f t="shared" si="0"/>
        <v>AdultsTheftnaTotal_number_of_offenders</v>
      </c>
      <c r="G8" s="114">
        <f t="shared" si="1"/>
        <v>47819</v>
      </c>
      <c r="H8" s="114">
        <v>47819</v>
      </c>
      <c r="I8" s="114" t="s">
        <v>623</v>
      </c>
      <c r="J8" s="386"/>
    </row>
    <row r="9" spans="1:10">
      <c r="A9" s="114" t="s">
        <v>615</v>
      </c>
      <c r="B9" s="114" t="s">
        <v>735</v>
      </c>
      <c r="C9" s="114" t="s">
        <v>629</v>
      </c>
      <c r="D9" s="114" t="s">
        <v>625</v>
      </c>
      <c r="E9" s="114" t="s">
        <v>626</v>
      </c>
      <c r="F9" s="114" t="str">
        <f t="shared" si="0"/>
        <v>AdultsCriminal_damage_and_arsonnaTotal_number_of_offenders</v>
      </c>
      <c r="G9" s="114">
        <f t="shared" si="1"/>
        <v>1614</v>
      </c>
      <c r="H9" s="114">
        <v>1614</v>
      </c>
      <c r="I9" s="114" t="s">
        <v>623</v>
      </c>
      <c r="J9" s="386"/>
    </row>
    <row r="10" spans="1:10">
      <c r="A10" s="114" t="s">
        <v>622</v>
      </c>
      <c r="B10" s="114" t="s">
        <v>735</v>
      </c>
      <c r="C10" s="114" t="s">
        <v>627</v>
      </c>
      <c r="D10" s="114" t="s">
        <v>625</v>
      </c>
      <c r="E10" s="114" t="s">
        <v>626</v>
      </c>
      <c r="F10" s="114" t="str">
        <f t="shared" si="0"/>
        <v>JuvenileAll_offendersnaTotal_number_of_offenders</v>
      </c>
      <c r="G10" s="114">
        <f t="shared" si="1"/>
        <v>20695</v>
      </c>
      <c r="H10" s="114">
        <v>20695</v>
      </c>
      <c r="I10" s="114" t="s">
        <v>623</v>
      </c>
    </row>
    <row r="11" spans="1:10">
      <c r="A11" s="114" t="s">
        <v>622</v>
      </c>
      <c r="B11" s="114" t="s">
        <v>735</v>
      </c>
      <c r="C11" s="114" t="s">
        <v>628</v>
      </c>
      <c r="D11" s="114" t="s">
        <v>625</v>
      </c>
      <c r="E11" s="114" t="s">
        <v>626</v>
      </c>
      <c r="F11" s="114" t="str">
        <f t="shared" si="0"/>
        <v>JuvenileViolence_against_the_personnaTotal_number_of_offenders</v>
      </c>
      <c r="G11" s="114">
        <f t="shared" si="1"/>
        <v>2503</v>
      </c>
      <c r="H11" s="114">
        <v>2503</v>
      </c>
      <c r="I11" s="114" t="s">
        <v>623</v>
      </c>
    </row>
    <row r="12" spans="1:10">
      <c r="A12" s="114" t="s">
        <v>622</v>
      </c>
      <c r="B12" s="114" t="s">
        <v>735</v>
      </c>
      <c r="C12" s="114" t="s">
        <v>617</v>
      </c>
      <c r="D12" s="114" t="s">
        <v>625</v>
      </c>
      <c r="E12" s="114" t="s">
        <v>626</v>
      </c>
      <c r="F12" s="114" t="str">
        <f t="shared" si="0"/>
        <v>JuvenileSexualnaTotal_number_of_offenders</v>
      </c>
      <c r="G12" s="114">
        <f t="shared" si="1"/>
        <v>289</v>
      </c>
      <c r="H12" s="114">
        <v>289</v>
      </c>
      <c r="I12" s="114" t="s">
        <v>623</v>
      </c>
    </row>
    <row r="13" spans="1:10">
      <c r="A13" s="114" t="s">
        <v>622</v>
      </c>
      <c r="B13" s="114" t="s">
        <v>735</v>
      </c>
      <c r="C13" s="114" t="s">
        <v>292</v>
      </c>
      <c r="D13" s="114" t="s">
        <v>625</v>
      </c>
      <c r="E13" s="114" t="s">
        <v>626</v>
      </c>
      <c r="F13" s="114" t="str">
        <f t="shared" si="0"/>
        <v>JuvenileRobberynaTotal_number_of_offenders</v>
      </c>
      <c r="G13" s="114">
        <f t="shared" si="1"/>
        <v>1150</v>
      </c>
      <c r="H13" s="114">
        <v>1150</v>
      </c>
      <c r="I13" s="114" t="s">
        <v>623</v>
      </c>
    </row>
    <row r="14" spans="1:10">
      <c r="A14" s="114" t="s">
        <v>622</v>
      </c>
      <c r="B14" s="114" t="s">
        <v>735</v>
      </c>
      <c r="C14" s="114" t="s">
        <v>293</v>
      </c>
      <c r="D14" s="114" t="s">
        <v>625</v>
      </c>
      <c r="E14" s="114" t="s">
        <v>626</v>
      </c>
      <c r="F14" s="114" t="str">
        <f t="shared" si="0"/>
        <v>JuvenileTheftnaTotal_number_of_offenders</v>
      </c>
      <c r="G14" s="114">
        <f t="shared" si="1"/>
        <v>3196</v>
      </c>
      <c r="H14" s="114">
        <v>3196</v>
      </c>
      <c r="I14" s="114" t="s">
        <v>623</v>
      </c>
    </row>
    <row r="15" spans="1:10">
      <c r="A15" s="114" t="s">
        <v>622</v>
      </c>
      <c r="B15" s="114" t="s">
        <v>735</v>
      </c>
      <c r="C15" s="114" t="s">
        <v>629</v>
      </c>
      <c r="D15" s="114" t="s">
        <v>625</v>
      </c>
      <c r="E15" s="114" t="s">
        <v>626</v>
      </c>
      <c r="F15" s="114" t="str">
        <f t="shared" si="0"/>
        <v>JuvenileCriminal_damage_and_arsonnaTotal_number_of_offenders</v>
      </c>
      <c r="G15" s="114">
        <f t="shared" si="1"/>
        <v>346</v>
      </c>
      <c r="H15" s="114">
        <v>346</v>
      </c>
      <c r="I15" s="114" t="s">
        <v>623</v>
      </c>
    </row>
    <row r="16" spans="1:10">
      <c r="A16" s="114" t="s">
        <v>615</v>
      </c>
      <c r="B16" s="114" t="s">
        <v>735</v>
      </c>
      <c r="C16" s="114" t="s">
        <v>627</v>
      </c>
      <c r="D16" s="114" t="s">
        <v>628</v>
      </c>
      <c r="E16" s="114" t="s">
        <v>636</v>
      </c>
      <c r="F16" s="114" t="str">
        <f t="shared" si="0"/>
        <v>AdultsAll_offendersViolence_against_the_personNo_of_reoffences</v>
      </c>
      <c r="G16" s="114">
        <f t="shared" si="1"/>
        <v>34331</v>
      </c>
      <c r="H16" s="114">
        <v>34331</v>
      </c>
      <c r="I16" s="114" t="s">
        <v>623</v>
      </c>
    </row>
    <row r="17" spans="1:9">
      <c r="A17" s="114" t="s">
        <v>615</v>
      </c>
      <c r="B17" s="114" t="s">
        <v>735</v>
      </c>
      <c r="C17" s="114" t="s">
        <v>627</v>
      </c>
      <c r="D17" s="114" t="s">
        <v>617</v>
      </c>
      <c r="E17" s="114" t="s">
        <v>636</v>
      </c>
      <c r="F17" s="114" t="str">
        <f t="shared" si="0"/>
        <v>AdultsAll_offendersSexualNo_of_reoffences</v>
      </c>
      <c r="G17" s="114">
        <f t="shared" si="1"/>
        <v>1068</v>
      </c>
      <c r="H17" s="114">
        <v>1068</v>
      </c>
      <c r="I17" s="114" t="s">
        <v>623</v>
      </c>
    </row>
    <row r="18" spans="1:9">
      <c r="A18" s="114" t="s">
        <v>615</v>
      </c>
      <c r="B18" s="114" t="s">
        <v>735</v>
      </c>
      <c r="C18" s="114" t="s">
        <v>627</v>
      </c>
      <c r="D18" s="114" t="s">
        <v>292</v>
      </c>
      <c r="E18" s="114" t="s">
        <v>636</v>
      </c>
      <c r="F18" s="114" t="str">
        <f t="shared" si="0"/>
        <v>AdultsAll_offendersRobberyNo_of_reoffences</v>
      </c>
      <c r="G18" s="114">
        <f t="shared" si="1"/>
        <v>1599</v>
      </c>
      <c r="H18" s="114">
        <v>1599</v>
      </c>
      <c r="I18" s="114" t="s">
        <v>623</v>
      </c>
    </row>
    <row r="19" spans="1:9">
      <c r="A19" s="114" t="s">
        <v>615</v>
      </c>
      <c r="B19" s="114" t="s">
        <v>735</v>
      </c>
      <c r="C19" s="114" t="s">
        <v>627</v>
      </c>
      <c r="D19" s="114" t="s">
        <v>293</v>
      </c>
      <c r="E19" s="114" t="s">
        <v>636</v>
      </c>
      <c r="F19" s="114" t="str">
        <f t="shared" si="0"/>
        <v>AdultsAll_offendersTheftNo_of_reoffences</v>
      </c>
      <c r="G19" s="114">
        <f t="shared" si="1"/>
        <v>103903</v>
      </c>
      <c r="H19" s="114">
        <v>103903</v>
      </c>
      <c r="I19" s="114" t="s">
        <v>623</v>
      </c>
    </row>
    <row r="20" spans="1:9">
      <c r="A20" s="114" t="s">
        <v>615</v>
      </c>
      <c r="B20" s="114" t="s">
        <v>735</v>
      </c>
      <c r="C20" s="114" t="s">
        <v>627</v>
      </c>
      <c r="D20" s="114" t="s">
        <v>629</v>
      </c>
      <c r="E20" s="114" t="s">
        <v>636</v>
      </c>
      <c r="F20" s="114" t="str">
        <f t="shared" si="0"/>
        <v>AdultsAll_offendersCriminal_damage_and_arsonNo_of_reoffences</v>
      </c>
      <c r="G20" s="114">
        <f t="shared" si="1"/>
        <v>1075</v>
      </c>
      <c r="H20" s="114">
        <v>1075</v>
      </c>
      <c r="I20" s="114" t="s">
        <v>623</v>
      </c>
    </row>
    <row r="21" spans="1:9">
      <c r="A21" s="114" t="s">
        <v>615</v>
      </c>
      <c r="B21" s="114" t="s">
        <v>735</v>
      </c>
      <c r="C21" s="114" t="s">
        <v>627</v>
      </c>
      <c r="D21" s="177" t="s">
        <v>619</v>
      </c>
      <c r="E21" s="114" t="s">
        <v>636</v>
      </c>
      <c r="F21" s="114" t="str">
        <f t="shared" si="0"/>
        <v>AdultsAll_offendersDrugNo_of_reoffences</v>
      </c>
      <c r="G21" s="114">
        <f t="shared" si="1"/>
        <v>27095</v>
      </c>
      <c r="H21" s="114">
        <v>27095</v>
      </c>
      <c r="I21" s="114" t="s">
        <v>623</v>
      </c>
    </row>
    <row r="22" spans="1:9">
      <c r="A22" s="114" t="s">
        <v>615</v>
      </c>
      <c r="B22" s="114" t="s">
        <v>735</v>
      </c>
      <c r="C22" s="114" t="s">
        <v>627</v>
      </c>
      <c r="D22" s="177" t="s">
        <v>630</v>
      </c>
      <c r="E22" s="114" t="s">
        <v>636</v>
      </c>
      <c r="F22" s="114" t="str">
        <f t="shared" si="0"/>
        <v>AdultsAll_offendersPossession_of_weaponsNo_of_reoffences</v>
      </c>
      <c r="G22" s="114">
        <f t="shared" si="1"/>
        <v>7128</v>
      </c>
      <c r="H22" s="114">
        <v>7128</v>
      </c>
      <c r="I22" s="114" t="s">
        <v>623</v>
      </c>
    </row>
    <row r="23" spans="1:9">
      <c r="A23" s="114" t="s">
        <v>615</v>
      </c>
      <c r="B23" s="114" t="s">
        <v>735</v>
      </c>
      <c r="C23" s="114" t="s">
        <v>627</v>
      </c>
      <c r="D23" s="177" t="s">
        <v>631</v>
      </c>
      <c r="E23" s="114" t="s">
        <v>636</v>
      </c>
      <c r="F23" s="114" t="str">
        <f t="shared" si="0"/>
        <v>AdultsAll_offendersPublic_orderNo_of_reoffences</v>
      </c>
      <c r="G23" s="114">
        <f t="shared" si="1"/>
        <v>21278</v>
      </c>
      <c r="H23" s="114">
        <v>21278</v>
      </c>
      <c r="I23" s="114" t="s">
        <v>623</v>
      </c>
    </row>
    <row r="24" spans="1:9">
      <c r="A24" s="114" t="s">
        <v>615</v>
      </c>
      <c r="B24" s="114" t="s">
        <v>735</v>
      </c>
      <c r="C24" s="114" t="s">
        <v>627</v>
      </c>
      <c r="D24" s="177" t="s">
        <v>632</v>
      </c>
      <c r="E24" s="114" t="s">
        <v>636</v>
      </c>
      <c r="F24" s="114" t="str">
        <f t="shared" si="0"/>
        <v>AdultsAll_offendersMiscellaneous_crimes_against_societyNo_of_reoffences</v>
      </c>
      <c r="G24" s="114">
        <f t="shared" si="1"/>
        <v>13714</v>
      </c>
      <c r="H24" s="114">
        <v>13714</v>
      </c>
      <c r="I24" s="114" t="s">
        <v>623</v>
      </c>
    </row>
    <row r="25" spans="1:9">
      <c r="A25" s="114" t="s">
        <v>615</v>
      </c>
      <c r="B25" s="114" t="s">
        <v>735</v>
      </c>
      <c r="C25" s="114" t="s">
        <v>627</v>
      </c>
      <c r="D25" s="177" t="s">
        <v>424</v>
      </c>
      <c r="E25" s="114" t="s">
        <v>636</v>
      </c>
      <c r="F25" s="114" t="str">
        <f t="shared" si="0"/>
        <v>AdultsAll_offendersFraudNo_of_reoffences</v>
      </c>
      <c r="G25" s="114">
        <f t="shared" si="1"/>
        <v>6419</v>
      </c>
      <c r="H25" s="114">
        <v>6419</v>
      </c>
      <c r="I25" s="114" t="s">
        <v>623</v>
      </c>
    </row>
    <row r="26" spans="1:9">
      <c r="A26" s="114" t="s">
        <v>615</v>
      </c>
      <c r="B26" s="114" t="s">
        <v>735</v>
      </c>
      <c r="C26" s="114" t="s">
        <v>627</v>
      </c>
      <c r="D26" s="177" t="s">
        <v>633</v>
      </c>
      <c r="E26" s="114" t="s">
        <v>636</v>
      </c>
      <c r="F26" s="114" t="str">
        <f t="shared" si="0"/>
        <v>AdultsAll_offendersSummary_non-motoringNo_of_reoffences</v>
      </c>
      <c r="G26" s="114">
        <f t="shared" si="1"/>
        <v>75983</v>
      </c>
      <c r="H26" s="114">
        <v>75983</v>
      </c>
      <c r="I26" s="114" t="s">
        <v>623</v>
      </c>
    </row>
    <row r="27" spans="1:9">
      <c r="A27" s="114" t="s">
        <v>615</v>
      </c>
      <c r="B27" s="114" t="s">
        <v>735</v>
      </c>
      <c r="C27" s="114" t="s">
        <v>627</v>
      </c>
      <c r="D27" s="177" t="s">
        <v>634</v>
      </c>
      <c r="E27" s="114" t="s">
        <v>636</v>
      </c>
      <c r="F27" s="114" t="str">
        <f t="shared" si="0"/>
        <v>AdultsAll_offendersSummary_motoringNo_of_reoffences</v>
      </c>
      <c r="G27" s="114">
        <f t="shared" si="1"/>
        <v>35675</v>
      </c>
      <c r="H27" s="114">
        <v>35675</v>
      </c>
      <c r="I27" s="114" t="s">
        <v>623</v>
      </c>
    </row>
    <row r="28" spans="1:9">
      <c r="A28" s="114" t="s">
        <v>615</v>
      </c>
      <c r="B28" s="114" t="s">
        <v>735</v>
      </c>
      <c r="C28" s="114" t="s">
        <v>627</v>
      </c>
      <c r="D28" s="177" t="s">
        <v>621</v>
      </c>
      <c r="E28" s="114" t="s">
        <v>636</v>
      </c>
      <c r="F28" s="114" t="str">
        <f t="shared" si="0"/>
        <v>AdultsAll_offendersOtherNo_of_reoffences</v>
      </c>
      <c r="G28" s="114">
        <f t="shared" si="1"/>
        <v>1955</v>
      </c>
      <c r="H28" s="114">
        <v>1955</v>
      </c>
      <c r="I28" s="114" t="s">
        <v>623</v>
      </c>
    </row>
    <row r="29" spans="1:9">
      <c r="A29" s="114" t="s">
        <v>615</v>
      </c>
      <c r="B29" s="114" t="s">
        <v>735</v>
      </c>
      <c r="C29" s="114" t="s">
        <v>627</v>
      </c>
      <c r="D29" s="177" t="s">
        <v>635</v>
      </c>
      <c r="E29" s="114" t="s">
        <v>636</v>
      </c>
      <c r="F29" s="114" t="str">
        <f t="shared" si="0"/>
        <v>AdultsAll_offendersTotal_reoffencesNo_of_reoffences</v>
      </c>
      <c r="G29" s="114">
        <f t="shared" si="1"/>
        <v>331223</v>
      </c>
      <c r="H29" s="114">
        <v>331223</v>
      </c>
      <c r="I29" s="114" t="s">
        <v>623</v>
      </c>
    </row>
    <row r="30" spans="1:9">
      <c r="A30" s="114" t="s">
        <v>615</v>
      </c>
      <c r="B30" s="114" t="s">
        <v>735</v>
      </c>
      <c r="C30" s="114" t="s">
        <v>628</v>
      </c>
      <c r="D30" s="114" t="s">
        <v>628</v>
      </c>
      <c r="E30" s="114" t="s">
        <v>636</v>
      </c>
      <c r="F30" s="114" t="str">
        <f t="shared" si="0"/>
        <v>AdultsViolence_against_the_personViolence_against_the_personNo_of_reoffences</v>
      </c>
      <c r="G30" s="114">
        <f t="shared" si="1"/>
        <v>9296</v>
      </c>
      <c r="H30" s="114">
        <v>9296</v>
      </c>
      <c r="I30" s="114" t="s">
        <v>623</v>
      </c>
    </row>
    <row r="31" spans="1:9">
      <c r="A31" s="114" t="s">
        <v>615</v>
      </c>
      <c r="B31" s="114" t="s">
        <v>735</v>
      </c>
      <c r="C31" s="114" t="s">
        <v>628</v>
      </c>
      <c r="D31" s="114" t="s">
        <v>617</v>
      </c>
      <c r="E31" s="114" t="s">
        <v>636</v>
      </c>
      <c r="F31" s="114" t="str">
        <f t="shared" si="0"/>
        <v>AdultsViolence_against_the_personSexualNo_of_reoffences</v>
      </c>
      <c r="G31" s="114">
        <f t="shared" si="1"/>
        <v>127</v>
      </c>
      <c r="H31" s="114">
        <v>127</v>
      </c>
      <c r="I31" s="114" t="s">
        <v>623</v>
      </c>
    </row>
    <row r="32" spans="1:9">
      <c r="A32" s="114" t="s">
        <v>615</v>
      </c>
      <c r="B32" s="114" t="s">
        <v>735</v>
      </c>
      <c r="C32" s="114" t="s">
        <v>628</v>
      </c>
      <c r="D32" s="114" t="s">
        <v>292</v>
      </c>
      <c r="E32" s="114" t="s">
        <v>636</v>
      </c>
      <c r="F32" s="114" t="str">
        <f t="shared" si="0"/>
        <v>AdultsViolence_against_the_personRobberyNo_of_reoffences</v>
      </c>
      <c r="G32" s="114">
        <f t="shared" si="1"/>
        <v>118</v>
      </c>
      <c r="H32" s="114">
        <v>118</v>
      </c>
      <c r="I32" s="114" t="s">
        <v>623</v>
      </c>
    </row>
    <row r="33" spans="1:9">
      <c r="A33" s="114" t="s">
        <v>615</v>
      </c>
      <c r="B33" s="114" t="s">
        <v>735</v>
      </c>
      <c r="C33" s="114" t="s">
        <v>628</v>
      </c>
      <c r="D33" s="114" t="s">
        <v>293</v>
      </c>
      <c r="E33" s="114" t="s">
        <v>636</v>
      </c>
      <c r="F33" s="114" t="str">
        <f t="shared" si="0"/>
        <v>AdultsViolence_against_the_personTheftNo_of_reoffences</v>
      </c>
      <c r="G33" s="114">
        <f t="shared" si="1"/>
        <v>3884</v>
      </c>
      <c r="H33" s="114">
        <v>3884</v>
      </c>
      <c r="I33" s="114" t="s">
        <v>623</v>
      </c>
    </row>
    <row r="34" spans="1:9">
      <c r="A34" s="114" t="s">
        <v>615</v>
      </c>
      <c r="B34" s="114" t="s">
        <v>735</v>
      </c>
      <c r="C34" s="114" t="s">
        <v>628</v>
      </c>
      <c r="D34" s="114" t="s">
        <v>629</v>
      </c>
      <c r="E34" s="114" t="s">
        <v>636</v>
      </c>
      <c r="F34" s="114" t="str">
        <f t="shared" si="0"/>
        <v>AdultsViolence_against_the_personCriminal_damage_and_arsonNo_of_reoffences</v>
      </c>
      <c r="G34" s="114">
        <f t="shared" si="1"/>
        <v>173</v>
      </c>
      <c r="H34" s="114">
        <v>173</v>
      </c>
      <c r="I34" s="114" t="s">
        <v>623</v>
      </c>
    </row>
    <row r="35" spans="1:9">
      <c r="A35" s="114" t="s">
        <v>615</v>
      </c>
      <c r="B35" s="114" t="s">
        <v>735</v>
      </c>
      <c r="C35" s="114" t="s">
        <v>628</v>
      </c>
      <c r="D35" s="177" t="s">
        <v>619</v>
      </c>
      <c r="E35" s="114" t="s">
        <v>636</v>
      </c>
      <c r="F35" s="114" t="str">
        <f t="shared" si="0"/>
        <v>AdultsViolence_against_the_personDrugNo_of_reoffences</v>
      </c>
      <c r="G35" s="114">
        <f t="shared" si="1"/>
        <v>1679</v>
      </c>
      <c r="H35" s="114">
        <v>1679</v>
      </c>
      <c r="I35" s="114" t="s">
        <v>623</v>
      </c>
    </row>
    <row r="36" spans="1:9">
      <c r="A36" s="114" t="s">
        <v>615</v>
      </c>
      <c r="B36" s="114" t="s">
        <v>735</v>
      </c>
      <c r="C36" s="114" t="s">
        <v>628</v>
      </c>
      <c r="D36" s="177" t="s">
        <v>630</v>
      </c>
      <c r="E36" s="114" t="s">
        <v>636</v>
      </c>
      <c r="F36" s="114" t="str">
        <f t="shared" ref="F36:F67" si="2">A36&amp;C36&amp;D36&amp;E36</f>
        <v>AdultsViolence_against_the_personPossession_of_weaponsNo_of_reoffences</v>
      </c>
      <c r="G36" s="114">
        <f t="shared" si="1"/>
        <v>713</v>
      </c>
      <c r="H36" s="114">
        <v>713</v>
      </c>
      <c r="I36" s="114" t="s">
        <v>623</v>
      </c>
    </row>
    <row r="37" spans="1:9">
      <c r="A37" s="114" t="s">
        <v>615</v>
      </c>
      <c r="B37" s="114" t="s">
        <v>735</v>
      </c>
      <c r="C37" s="114" t="s">
        <v>628</v>
      </c>
      <c r="D37" s="177" t="s">
        <v>631</v>
      </c>
      <c r="E37" s="114" t="s">
        <v>636</v>
      </c>
      <c r="F37" s="114" t="str">
        <f t="shared" si="2"/>
        <v>AdultsViolence_against_the_personPublic_orderNo_of_reoffences</v>
      </c>
      <c r="G37" s="114">
        <f t="shared" si="1"/>
        <v>1802</v>
      </c>
      <c r="H37" s="114">
        <v>1802</v>
      </c>
      <c r="I37" s="114" t="s">
        <v>623</v>
      </c>
    </row>
    <row r="38" spans="1:9">
      <c r="A38" s="114" t="s">
        <v>615</v>
      </c>
      <c r="B38" s="114" t="s">
        <v>735</v>
      </c>
      <c r="C38" s="114" t="s">
        <v>628</v>
      </c>
      <c r="D38" s="177" t="s">
        <v>632</v>
      </c>
      <c r="E38" s="114" t="s">
        <v>636</v>
      </c>
      <c r="F38" s="114" t="str">
        <f t="shared" si="2"/>
        <v>AdultsViolence_against_the_personMiscellaneous_crimes_against_societyNo_of_reoffences</v>
      </c>
      <c r="G38" s="114">
        <f t="shared" si="1"/>
        <v>936</v>
      </c>
      <c r="H38" s="114">
        <v>936</v>
      </c>
      <c r="I38" s="114" t="s">
        <v>623</v>
      </c>
    </row>
    <row r="39" spans="1:9">
      <c r="A39" s="114" t="s">
        <v>615</v>
      </c>
      <c r="B39" s="114" t="s">
        <v>735</v>
      </c>
      <c r="C39" s="114" t="s">
        <v>628</v>
      </c>
      <c r="D39" s="177" t="s">
        <v>424</v>
      </c>
      <c r="E39" s="114" t="s">
        <v>636</v>
      </c>
      <c r="F39" s="114" t="str">
        <f t="shared" si="2"/>
        <v>AdultsViolence_against_the_personFraudNo_of_reoffences</v>
      </c>
      <c r="G39" s="114">
        <f t="shared" si="1"/>
        <v>304</v>
      </c>
      <c r="H39" s="114">
        <v>304</v>
      </c>
      <c r="I39" s="114" t="s">
        <v>623</v>
      </c>
    </row>
    <row r="40" spans="1:9">
      <c r="A40" s="114" t="s">
        <v>615</v>
      </c>
      <c r="B40" s="114" t="s">
        <v>735</v>
      </c>
      <c r="C40" s="114" t="s">
        <v>628</v>
      </c>
      <c r="D40" s="177" t="s">
        <v>633</v>
      </c>
      <c r="E40" s="114" t="s">
        <v>636</v>
      </c>
      <c r="F40" s="114" t="str">
        <f t="shared" si="2"/>
        <v>AdultsViolence_against_the_personSummary_non-motoringNo_of_reoffences</v>
      </c>
      <c r="G40" s="114">
        <f t="shared" si="1"/>
        <v>9894</v>
      </c>
      <c r="H40" s="114">
        <v>9894</v>
      </c>
      <c r="I40" s="114" t="s">
        <v>623</v>
      </c>
    </row>
    <row r="41" spans="1:9">
      <c r="A41" s="114" t="s">
        <v>615</v>
      </c>
      <c r="B41" s="114" t="s">
        <v>735</v>
      </c>
      <c r="C41" s="114" t="s">
        <v>628</v>
      </c>
      <c r="D41" s="177" t="s">
        <v>634</v>
      </c>
      <c r="E41" s="114" t="s">
        <v>636</v>
      </c>
      <c r="F41" s="114" t="str">
        <f t="shared" si="2"/>
        <v>AdultsViolence_against_the_personSummary_motoringNo_of_reoffences</v>
      </c>
      <c r="G41" s="114">
        <f t="shared" si="1"/>
        <v>2281</v>
      </c>
      <c r="H41" s="114">
        <v>2281</v>
      </c>
      <c r="I41" s="114" t="s">
        <v>623</v>
      </c>
    </row>
    <row r="42" spans="1:9">
      <c r="A42" s="114" t="s">
        <v>615</v>
      </c>
      <c r="B42" s="114" t="s">
        <v>735</v>
      </c>
      <c r="C42" s="114" t="s">
        <v>628</v>
      </c>
      <c r="D42" s="177" t="s">
        <v>621</v>
      </c>
      <c r="E42" s="114" t="s">
        <v>636</v>
      </c>
      <c r="F42" s="114" t="str">
        <f t="shared" si="2"/>
        <v>AdultsViolence_against_the_personOtherNo_of_reoffences</v>
      </c>
      <c r="G42" s="114">
        <f t="shared" si="1"/>
        <v>290</v>
      </c>
      <c r="H42" s="114">
        <v>290</v>
      </c>
      <c r="I42" s="114" t="s">
        <v>623</v>
      </c>
    </row>
    <row r="43" spans="1:9">
      <c r="A43" s="114" t="s">
        <v>615</v>
      </c>
      <c r="B43" s="114" t="s">
        <v>735</v>
      </c>
      <c r="C43" s="114" t="s">
        <v>628</v>
      </c>
      <c r="D43" s="177" t="s">
        <v>635</v>
      </c>
      <c r="E43" s="114" t="s">
        <v>636</v>
      </c>
      <c r="F43" s="114" t="str">
        <f t="shared" si="2"/>
        <v>AdultsViolence_against_the_personTotal_reoffencesNo_of_reoffences</v>
      </c>
      <c r="G43" s="114">
        <f t="shared" si="1"/>
        <v>31497</v>
      </c>
      <c r="H43" s="114">
        <v>31497</v>
      </c>
      <c r="I43" s="114" t="s">
        <v>623</v>
      </c>
    </row>
    <row r="44" spans="1:9">
      <c r="A44" s="114" t="s">
        <v>615</v>
      </c>
      <c r="B44" s="114" t="s">
        <v>735</v>
      </c>
      <c r="C44" s="114" t="s">
        <v>617</v>
      </c>
      <c r="D44" s="114" t="s">
        <v>628</v>
      </c>
      <c r="E44" s="114" t="s">
        <v>636</v>
      </c>
      <c r="F44" s="114" t="str">
        <f t="shared" si="2"/>
        <v>AdultsSexualViolence_against_the_personNo_of_reoffences</v>
      </c>
      <c r="G44" s="114">
        <f t="shared" si="1"/>
        <v>141</v>
      </c>
      <c r="H44" s="114">
        <v>141</v>
      </c>
      <c r="I44" s="114" t="s">
        <v>623</v>
      </c>
    </row>
    <row r="45" spans="1:9">
      <c r="A45" s="114" t="s">
        <v>615</v>
      </c>
      <c r="B45" s="114" t="s">
        <v>735</v>
      </c>
      <c r="C45" s="114" t="s">
        <v>617</v>
      </c>
      <c r="D45" s="114" t="s">
        <v>617</v>
      </c>
      <c r="E45" s="114" t="s">
        <v>636</v>
      </c>
      <c r="F45" s="114" t="str">
        <f t="shared" si="2"/>
        <v>AdultsSexualSexualNo_of_reoffences</v>
      </c>
      <c r="G45" s="114">
        <f t="shared" si="1"/>
        <v>180</v>
      </c>
      <c r="H45" s="114">
        <v>180</v>
      </c>
      <c r="I45" s="114" t="s">
        <v>623</v>
      </c>
    </row>
    <row r="46" spans="1:9">
      <c r="A46" s="114" t="s">
        <v>615</v>
      </c>
      <c r="B46" s="114" t="s">
        <v>735</v>
      </c>
      <c r="C46" s="114" t="s">
        <v>617</v>
      </c>
      <c r="D46" s="114" t="s">
        <v>292</v>
      </c>
      <c r="E46" s="114" t="s">
        <v>636</v>
      </c>
      <c r="F46" s="114" t="str">
        <f t="shared" si="2"/>
        <v>AdultsSexualRobberyNo_of_reoffences</v>
      </c>
      <c r="G46" s="114">
        <f t="shared" si="1"/>
        <v>5</v>
      </c>
      <c r="H46" s="114">
        <v>5</v>
      </c>
      <c r="I46" s="114" t="s">
        <v>623</v>
      </c>
    </row>
    <row r="47" spans="1:9">
      <c r="A47" s="114" t="s">
        <v>615</v>
      </c>
      <c r="B47" s="114" t="s">
        <v>735</v>
      </c>
      <c r="C47" s="114" t="s">
        <v>617</v>
      </c>
      <c r="D47" s="114" t="s">
        <v>293</v>
      </c>
      <c r="E47" s="114" t="s">
        <v>636</v>
      </c>
      <c r="F47" s="114" t="str">
        <f t="shared" si="2"/>
        <v>AdultsSexualTheftNo_of_reoffences</v>
      </c>
      <c r="G47" s="114">
        <f t="shared" si="1"/>
        <v>80</v>
      </c>
      <c r="H47" s="114">
        <v>80</v>
      </c>
      <c r="I47" s="114" t="s">
        <v>623</v>
      </c>
    </row>
    <row r="48" spans="1:9">
      <c r="A48" s="114" t="s">
        <v>615</v>
      </c>
      <c r="B48" s="114" t="s">
        <v>735</v>
      </c>
      <c r="C48" s="114" t="s">
        <v>617</v>
      </c>
      <c r="D48" s="114" t="s">
        <v>629</v>
      </c>
      <c r="E48" s="114" t="s">
        <v>636</v>
      </c>
      <c r="F48" s="114" t="str">
        <f t="shared" si="2"/>
        <v>AdultsSexualCriminal_damage_and_arsonNo_of_reoffences</v>
      </c>
      <c r="G48" s="114">
        <f t="shared" si="1"/>
        <v>5</v>
      </c>
      <c r="H48" s="114">
        <v>5</v>
      </c>
      <c r="I48" s="114" t="s">
        <v>623</v>
      </c>
    </row>
    <row r="49" spans="1:9">
      <c r="A49" s="114" t="s">
        <v>615</v>
      </c>
      <c r="B49" s="114" t="s">
        <v>735</v>
      </c>
      <c r="C49" s="114" t="s">
        <v>617</v>
      </c>
      <c r="D49" s="177" t="s">
        <v>619</v>
      </c>
      <c r="E49" s="114" t="s">
        <v>636</v>
      </c>
      <c r="F49" s="114" t="str">
        <f t="shared" si="2"/>
        <v>AdultsSexualDrugNo_of_reoffences</v>
      </c>
      <c r="G49" s="114">
        <f t="shared" si="1"/>
        <v>54</v>
      </c>
      <c r="H49" s="114">
        <v>54</v>
      </c>
      <c r="I49" s="114" t="s">
        <v>623</v>
      </c>
    </row>
    <row r="50" spans="1:9">
      <c r="A50" s="114" t="s">
        <v>615</v>
      </c>
      <c r="B50" s="114" t="s">
        <v>735</v>
      </c>
      <c r="C50" s="114" t="s">
        <v>617</v>
      </c>
      <c r="D50" s="177" t="s">
        <v>630</v>
      </c>
      <c r="E50" s="114" t="s">
        <v>636</v>
      </c>
      <c r="F50" s="114" t="str">
        <f t="shared" si="2"/>
        <v>AdultsSexualPossession_of_weaponsNo_of_reoffences</v>
      </c>
      <c r="G50" s="114">
        <f t="shared" si="1"/>
        <v>16</v>
      </c>
      <c r="H50" s="114">
        <v>16</v>
      </c>
      <c r="I50" s="114" t="s">
        <v>623</v>
      </c>
    </row>
    <row r="51" spans="1:9">
      <c r="A51" s="114" t="s">
        <v>615</v>
      </c>
      <c r="B51" s="114" t="s">
        <v>735</v>
      </c>
      <c r="C51" s="114" t="s">
        <v>617</v>
      </c>
      <c r="D51" s="177" t="s">
        <v>631</v>
      </c>
      <c r="E51" s="114" t="s">
        <v>636</v>
      </c>
      <c r="F51" s="114" t="str">
        <f t="shared" si="2"/>
        <v>AdultsSexualPublic_orderNo_of_reoffences</v>
      </c>
      <c r="G51" s="114">
        <f t="shared" si="1"/>
        <v>708</v>
      </c>
      <c r="H51" s="114">
        <v>708</v>
      </c>
      <c r="I51" s="114" t="s">
        <v>623</v>
      </c>
    </row>
    <row r="52" spans="1:9">
      <c r="A52" s="114" t="s">
        <v>615</v>
      </c>
      <c r="B52" s="114" t="s">
        <v>735</v>
      </c>
      <c r="C52" s="114" t="s">
        <v>617</v>
      </c>
      <c r="D52" s="177" t="s">
        <v>632</v>
      </c>
      <c r="E52" s="114" t="s">
        <v>636</v>
      </c>
      <c r="F52" s="114" t="str">
        <f t="shared" si="2"/>
        <v>AdultsSexualMiscellaneous_crimes_against_societyNo_of_reoffences</v>
      </c>
      <c r="G52" s="114">
        <f t="shared" si="1"/>
        <v>38</v>
      </c>
      <c r="H52" s="114">
        <v>38</v>
      </c>
      <c r="I52" s="114" t="s">
        <v>623</v>
      </c>
    </row>
    <row r="53" spans="1:9">
      <c r="A53" s="114" t="s">
        <v>615</v>
      </c>
      <c r="B53" s="114" t="s">
        <v>735</v>
      </c>
      <c r="C53" s="114" t="s">
        <v>617</v>
      </c>
      <c r="D53" s="177" t="s">
        <v>424</v>
      </c>
      <c r="E53" s="114" t="s">
        <v>636</v>
      </c>
      <c r="F53" s="114" t="str">
        <f t="shared" si="2"/>
        <v>AdultsSexualFraudNo_of_reoffences</v>
      </c>
      <c r="G53" s="114">
        <f t="shared" si="1"/>
        <v>6</v>
      </c>
      <c r="H53" s="114">
        <v>6</v>
      </c>
      <c r="I53" s="114" t="s">
        <v>623</v>
      </c>
    </row>
    <row r="54" spans="1:9">
      <c r="A54" s="114" t="s">
        <v>615</v>
      </c>
      <c r="B54" s="114" t="s">
        <v>735</v>
      </c>
      <c r="C54" s="114" t="s">
        <v>617</v>
      </c>
      <c r="D54" s="177" t="s">
        <v>633</v>
      </c>
      <c r="E54" s="114" t="s">
        <v>636</v>
      </c>
      <c r="F54" s="114" t="str">
        <f t="shared" si="2"/>
        <v>AdultsSexualSummary_non-motoringNo_of_reoffences</v>
      </c>
      <c r="G54" s="114">
        <f t="shared" si="1"/>
        <v>297</v>
      </c>
      <c r="H54" s="114">
        <v>297</v>
      </c>
      <c r="I54" s="114" t="s">
        <v>623</v>
      </c>
    </row>
    <row r="55" spans="1:9">
      <c r="A55" s="114" t="s">
        <v>615</v>
      </c>
      <c r="B55" s="114" t="s">
        <v>735</v>
      </c>
      <c r="C55" s="114" t="s">
        <v>617</v>
      </c>
      <c r="D55" s="177" t="s">
        <v>634</v>
      </c>
      <c r="E55" s="114" t="s">
        <v>636</v>
      </c>
      <c r="F55" s="114" t="str">
        <f t="shared" si="2"/>
        <v>AdultsSexualSummary_motoringNo_of_reoffences</v>
      </c>
      <c r="G55" s="114">
        <f t="shared" si="1"/>
        <v>74</v>
      </c>
      <c r="H55" s="114">
        <v>74</v>
      </c>
      <c r="I55" s="114" t="s">
        <v>623</v>
      </c>
    </row>
    <row r="56" spans="1:9">
      <c r="A56" s="114" t="s">
        <v>615</v>
      </c>
      <c r="B56" s="114" t="s">
        <v>735</v>
      </c>
      <c r="C56" s="114" t="s">
        <v>617</v>
      </c>
      <c r="D56" s="177" t="s">
        <v>621</v>
      </c>
      <c r="E56" s="114" t="s">
        <v>636</v>
      </c>
      <c r="F56" s="114" t="str">
        <f t="shared" si="2"/>
        <v>AdultsSexualOtherNo_of_reoffences</v>
      </c>
      <c r="G56" s="114">
        <f t="shared" si="1"/>
        <v>23</v>
      </c>
      <c r="H56" s="114">
        <v>23</v>
      </c>
      <c r="I56" s="114" t="s">
        <v>623</v>
      </c>
    </row>
    <row r="57" spans="1:9">
      <c r="A57" s="114" t="s">
        <v>615</v>
      </c>
      <c r="B57" s="114" t="s">
        <v>735</v>
      </c>
      <c r="C57" s="114" t="s">
        <v>617</v>
      </c>
      <c r="D57" s="177" t="s">
        <v>635</v>
      </c>
      <c r="E57" s="114" t="s">
        <v>636</v>
      </c>
      <c r="F57" s="114" t="str">
        <f t="shared" si="2"/>
        <v>AdultsSexualTotal_reoffencesNo_of_reoffences</v>
      </c>
      <c r="G57" s="114">
        <f t="shared" si="1"/>
        <v>1627</v>
      </c>
      <c r="H57" s="114">
        <v>1627</v>
      </c>
      <c r="I57" s="114" t="s">
        <v>623</v>
      </c>
    </row>
    <row r="58" spans="1:9">
      <c r="A58" s="114" t="s">
        <v>615</v>
      </c>
      <c r="B58" s="114" t="s">
        <v>735</v>
      </c>
      <c r="C58" s="114" t="s">
        <v>292</v>
      </c>
      <c r="D58" s="114" t="s">
        <v>628</v>
      </c>
      <c r="E58" s="114" t="s">
        <v>636</v>
      </c>
      <c r="F58" s="114" t="str">
        <f t="shared" si="2"/>
        <v>AdultsRobberyViolence_against_the_personNo_of_reoffences</v>
      </c>
      <c r="G58" s="114">
        <f t="shared" si="1"/>
        <v>138</v>
      </c>
      <c r="H58" s="114">
        <v>138</v>
      </c>
      <c r="I58" s="114" t="s">
        <v>623</v>
      </c>
    </row>
    <row r="59" spans="1:9">
      <c r="A59" s="114" t="s">
        <v>615</v>
      </c>
      <c r="B59" s="114" t="s">
        <v>735</v>
      </c>
      <c r="C59" s="114" t="s">
        <v>292</v>
      </c>
      <c r="D59" s="114" t="s">
        <v>617</v>
      </c>
      <c r="E59" s="114" t="s">
        <v>636</v>
      </c>
      <c r="F59" s="114" t="str">
        <f t="shared" si="2"/>
        <v>AdultsRobberySexualNo_of_reoffences</v>
      </c>
      <c r="G59" s="114">
        <f t="shared" si="1"/>
        <v>3</v>
      </c>
      <c r="H59" s="114">
        <v>3</v>
      </c>
      <c r="I59" s="114" t="s">
        <v>623</v>
      </c>
    </row>
    <row r="60" spans="1:9">
      <c r="A60" s="114" t="s">
        <v>615</v>
      </c>
      <c r="B60" s="114" t="s">
        <v>735</v>
      </c>
      <c r="C60" s="114" t="s">
        <v>292</v>
      </c>
      <c r="D60" s="114" t="s">
        <v>292</v>
      </c>
      <c r="E60" s="114" t="s">
        <v>636</v>
      </c>
      <c r="F60" s="114" t="str">
        <f t="shared" si="2"/>
        <v>AdultsRobberyRobberyNo_of_reoffences</v>
      </c>
      <c r="G60" s="114">
        <f t="shared" si="1"/>
        <v>64</v>
      </c>
      <c r="H60" s="114">
        <v>64</v>
      </c>
      <c r="I60" s="114" t="s">
        <v>623</v>
      </c>
    </row>
    <row r="61" spans="1:9">
      <c r="A61" s="114" t="s">
        <v>615</v>
      </c>
      <c r="B61" s="114" t="s">
        <v>735</v>
      </c>
      <c r="C61" s="114" t="s">
        <v>292</v>
      </c>
      <c r="D61" s="114" t="s">
        <v>293</v>
      </c>
      <c r="E61" s="114" t="s">
        <v>636</v>
      </c>
      <c r="F61" s="114" t="str">
        <f t="shared" si="2"/>
        <v>AdultsRobberyTheftNo_of_reoffences</v>
      </c>
      <c r="G61" s="114">
        <f t="shared" si="1"/>
        <v>360</v>
      </c>
      <c r="H61" s="114">
        <v>360</v>
      </c>
      <c r="I61" s="114" t="s">
        <v>623</v>
      </c>
    </row>
    <row r="62" spans="1:9">
      <c r="A62" s="114" t="s">
        <v>615</v>
      </c>
      <c r="B62" s="114" t="s">
        <v>735</v>
      </c>
      <c r="C62" s="114" t="s">
        <v>292</v>
      </c>
      <c r="D62" s="114" t="s">
        <v>629</v>
      </c>
      <c r="E62" s="114" t="s">
        <v>636</v>
      </c>
      <c r="F62" s="114" t="str">
        <f t="shared" si="2"/>
        <v>AdultsRobberyCriminal_damage_and_arsonNo_of_reoffences</v>
      </c>
      <c r="G62" s="114">
        <f t="shared" si="1"/>
        <v>6</v>
      </c>
      <c r="H62" s="114">
        <v>6</v>
      </c>
      <c r="I62" s="114" t="s">
        <v>623</v>
      </c>
    </row>
    <row r="63" spans="1:9">
      <c r="A63" s="114" t="s">
        <v>615</v>
      </c>
      <c r="B63" s="114" t="s">
        <v>735</v>
      </c>
      <c r="C63" s="114" t="s">
        <v>292</v>
      </c>
      <c r="D63" s="177" t="s">
        <v>619</v>
      </c>
      <c r="E63" s="114" t="s">
        <v>636</v>
      </c>
      <c r="F63" s="114" t="str">
        <f t="shared" si="2"/>
        <v>AdultsRobberyDrugNo_of_reoffences</v>
      </c>
      <c r="G63" s="114">
        <f t="shared" si="1"/>
        <v>174</v>
      </c>
      <c r="H63" s="114">
        <v>174</v>
      </c>
      <c r="I63" s="114" t="s">
        <v>623</v>
      </c>
    </row>
    <row r="64" spans="1:9">
      <c r="A64" s="114" t="s">
        <v>615</v>
      </c>
      <c r="B64" s="114" t="s">
        <v>735</v>
      </c>
      <c r="C64" s="114" t="s">
        <v>292</v>
      </c>
      <c r="D64" s="177" t="s">
        <v>630</v>
      </c>
      <c r="E64" s="114" t="s">
        <v>636</v>
      </c>
      <c r="F64" s="114" t="str">
        <f t="shared" si="2"/>
        <v>AdultsRobberyPossession_of_weaponsNo_of_reoffences</v>
      </c>
      <c r="G64" s="114">
        <f t="shared" si="1"/>
        <v>80</v>
      </c>
      <c r="H64" s="114">
        <v>80</v>
      </c>
      <c r="I64" s="114" t="s">
        <v>623</v>
      </c>
    </row>
    <row r="65" spans="1:9">
      <c r="A65" s="114" t="s">
        <v>615</v>
      </c>
      <c r="B65" s="114" t="s">
        <v>735</v>
      </c>
      <c r="C65" s="114" t="s">
        <v>292</v>
      </c>
      <c r="D65" s="177" t="s">
        <v>631</v>
      </c>
      <c r="E65" s="114" t="s">
        <v>636</v>
      </c>
      <c r="F65" s="114" t="str">
        <f t="shared" si="2"/>
        <v>AdultsRobberyPublic_orderNo_of_reoffences</v>
      </c>
      <c r="G65" s="114">
        <f t="shared" si="1"/>
        <v>49</v>
      </c>
      <c r="H65" s="114">
        <v>49</v>
      </c>
      <c r="I65" s="114" t="s">
        <v>623</v>
      </c>
    </row>
    <row r="66" spans="1:9">
      <c r="A66" s="114" t="s">
        <v>615</v>
      </c>
      <c r="B66" s="114" t="s">
        <v>735</v>
      </c>
      <c r="C66" s="114" t="s">
        <v>292</v>
      </c>
      <c r="D66" s="177" t="s">
        <v>632</v>
      </c>
      <c r="E66" s="114" t="s">
        <v>636</v>
      </c>
      <c r="F66" s="114" t="str">
        <f t="shared" si="2"/>
        <v>AdultsRobberyMiscellaneous_crimes_against_societyNo_of_reoffences</v>
      </c>
      <c r="G66" s="114">
        <f t="shared" si="1"/>
        <v>63</v>
      </c>
      <c r="H66" s="114">
        <v>63</v>
      </c>
      <c r="I66" s="114" t="s">
        <v>623</v>
      </c>
    </row>
    <row r="67" spans="1:9">
      <c r="A67" s="114" t="s">
        <v>615</v>
      </c>
      <c r="B67" s="114" t="s">
        <v>735</v>
      </c>
      <c r="C67" s="114" t="s">
        <v>292</v>
      </c>
      <c r="D67" s="177" t="s">
        <v>424</v>
      </c>
      <c r="E67" s="114" t="s">
        <v>636</v>
      </c>
      <c r="F67" s="114" t="str">
        <f t="shared" si="2"/>
        <v>AdultsRobberyFraudNo_of_reoffences</v>
      </c>
      <c r="G67" s="114">
        <f t="shared" si="1"/>
        <v>60</v>
      </c>
      <c r="H67" s="114">
        <v>60</v>
      </c>
      <c r="I67" s="114" t="s">
        <v>623</v>
      </c>
    </row>
    <row r="68" spans="1:9">
      <c r="A68" s="114" t="s">
        <v>615</v>
      </c>
      <c r="B68" s="114" t="s">
        <v>735</v>
      </c>
      <c r="C68" s="114" t="s">
        <v>292</v>
      </c>
      <c r="D68" s="177" t="s">
        <v>633</v>
      </c>
      <c r="E68" s="114" t="s">
        <v>636</v>
      </c>
      <c r="F68" s="114" t="str">
        <f t="shared" ref="F68:F99" si="3">A68&amp;C68&amp;D68&amp;E68</f>
        <v>AdultsRobberySummary_non-motoringNo_of_reoffences</v>
      </c>
      <c r="G68" s="114">
        <f t="shared" si="1"/>
        <v>307</v>
      </c>
      <c r="H68" s="114">
        <v>307</v>
      </c>
      <c r="I68" s="114" t="s">
        <v>623</v>
      </c>
    </row>
    <row r="69" spans="1:9">
      <c r="A69" s="114" t="s">
        <v>615</v>
      </c>
      <c r="B69" s="114" t="s">
        <v>735</v>
      </c>
      <c r="C69" s="114" t="s">
        <v>292</v>
      </c>
      <c r="D69" s="177" t="s">
        <v>634</v>
      </c>
      <c r="E69" s="114" t="s">
        <v>636</v>
      </c>
      <c r="F69" s="114" t="str">
        <f t="shared" si="3"/>
        <v>AdultsRobberySummary_motoringNo_of_reoffences</v>
      </c>
      <c r="G69" s="114">
        <f t="shared" ref="G69:G132" si="4">H69</f>
        <v>191</v>
      </c>
      <c r="H69" s="114">
        <v>191</v>
      </c>
      <c r="I69" s="114" t="s">
        <v>623</v>
      </c>
    </row>
    <row r="70" spans="1:9">
      <c r="A70" s="114" t="s">
        <v>615</v>
      </c>
      <c r="B70" s="114" t="s">
        <v>735</v>
      </c>
      <c r="C70" s="114" t="s">
        <v>292</v>
      </c>
      <c r="D70" s="177" t="s">
        <v>621</v>
      </c>
      <c r="E70" s="114" t="s">
        <v>636</v>
      </c>
      <c r="F70" s="114" t="str">
        <f t="shared" si="3"/>
        <v>AdultsRobberyOtherNo_of_reoffences</v>
      </c>
      <c r="G70" s="114">
        <f t="shared" si="4"/>
        <v>3</v>
      </c>
      <c r="H70" s="114">
        <v>3</v>
      </c>
      <c r="I70" s="114" t="s">
        <v>623</v>
      </c>
    </row>
    <row r="71" spans="1:9">
      <c r="A71" s="114" t="s">
        <v>615</v>
      </c>
      <c r="B71" s="114" t="s">
        <v>735</v>
      </c>
      <c r="C71" s="114" t="s">
        <v>292</v>
      </c>
      <c r="D71" s="177" t="s">
        <v>635</v>
      </c>
      <c r="E71" s="114" t="s">
        <v>636</v>
      </c>
      <c r="F71" s="114" t="str">
        <f t="shared" si="3"/>
        <v>AdultsRobberyTotal_reoffencesNo_of_reoffences</v>
      </c>
      <c r="G71" s="114">
        <f t="shared" si="4"/>
        <v>1498</v>
      </c>
      <c r="H71" s="114">
        <v>1498</v>
      </c>
      <c r="I71" s="114" t="s">
        <v>623</v>
      </c>
    </row>
    <row r="72" spans="1:9">
      <c r="A72" s="114" t="s">
        <v>615</v>
      </c>
      <c r="B72" s="114" t="s">
        <v>735</v>
      </c>
      <c r="C72" s="114" t="s">
        <v>293</v>
      </c>
      <c r="D72" s="114" t="s">
        <v>628</v>
      </c>
      <c r="E72" s="114" t="s">
        <v>636</v>
      </c>
      <c r="F72" s="114" t="str">
        <f t="shared" si="3"/>
        <v>AdultsTheftViolence_against_the_personNo_of_reoffences</v>
      </c>
      <c r="G72" s="114">
        <f t="shared" si="4"/>
        <v>4188</v>
      </c>
      <c r="H72" s="114">
        <v>4188</v>
      </c>
      <c r="I72" s="114" t="s">
        <v>623</v>
      </c>
    </row>
    <row r="73" spans="1:9">
      <c r="A73" s="114" t="s">
        <v>615</v>
      </c>
      <c r="B73" s="114" t="s">
        <v>735</v>
      </c>
      <c r="C73" s="114" t="s">
        <v>293</v>
      </c>
      <c r="D73" s="114" t="s">
        <v>617</v>
      </c>
      <c r="E73" s="114" t="s">
        <v>636</v>
      </c>
      <c r="F73" s="114" t="str">
        <f t="shared" si="3"/>
        <v>AdultsTheftSexualNo_of_reoffences</v>
      </c>
      <c r="G73" s="114">
        <f t="shared" si="4"/>
        <v>114</v>
      </c>
      <c r="H73" s="114">
        <v>114</v>
      </c>
      <c r="I73" s="114" t="s">
        <v>623</v>
      </c>
    </row>
    <row r="74" spans="1:9">
      <c r="A74" s="114" t="s">
        <v>615</v>
      </c>
      <c r="B74" s="114" t="s">
        <v>735</v>
      </c>
      <c r="C74" s="114" t="s">
        <v>293</v>
      </c>
      <c r="D74" s="114" t="s">
        <v>292</v>
      </c>
      <c r="E74" s="114" t="s">
        <v>636</v>
      </c>
      <c r="F74" s="114" t="str">
        <f t="shared" si="3"/>
        <v>AdultsTheftRobberyNo_of_reoffences</v>
      </c>
      <c r="G74" s="114">
        <f t="shared" si="4"/>
        <v>604</v>
      </c>
      <c r="H74" s="114">
        <v>604</v>
      </c>
      <c r="I74" s="114" t="s">
        <v>623</v>
      </c>
    </row>
    <row r="75" spans="1:9">
      <c r="A75" s="114" t="s">
        <v>615</v>
      </c>
      <c r="B75" s="114" t="s">
        <v>735</v>
      </c>
      <c r="C75" s="114" t="s">
        <v>293</v>
      </c>
      <c r="D75" s="114" t="s">
        <v>293</v>
      </c>
      <c r="E75" s="114" t="s">
        <v>636</v>
      </c>
      <c r="F75" s="114" t="str">
        <f t="shared" si="3"/>
        <v>AdultsTheftTheftNo_of_reoffences</v>
      </c>
      <c r="G75" s="114">
        <f t="shared" si="4"/>
        <v>69440</v>
      </c>
      <c r="H75" s="114">
        <v>69440</v>
      </c>
      <c r="I75" s="114" t="s">
        <v>623</v>
      </c>
    </row>
    <row r="76" spans="1:9">
      <c r="A76" s="114" t="s">
        <v>615</v>
      </c>
      <c r="B76" s="114" t="s">
        <v>735</v>
      </c>
      <c r="C76" s="114" t="s">
        <v>293</v>
      </c>
      <c r="D76" s="114" t="s">
        <v>629</v>
      </c>
      <c r="E76" s="114" t="s">
        <v>636</v>
      </c>
      <c r="F76" s="114" t="str">
        <f t="shared" si="3"/>
        <v>AdultsTheftCriminal_damage_and_arsonNo_of_reoffences</v>
      </c>
      <c r="G76" s="114">
        <f t="shared" si="4"/>
        <v>187</v>
      </c>
      <c r="H76" s="114">
        <v>187</v>
      </c>
      <c r="I76" s="114" t="s">
        <v>623</v>
      </c>
    </row>
    <row r="77" spans="1:9">
      <c r="A77" s="114" t="s">
        <v>615</v>
      </c>
      <c r="B77" s="114" t="s">
        <v>735</v>
      </c>
      <c r="C77" s="114" t="s">
        <v>293</v>
      </c>
      <c r="D77" s="177" t="s">
        <v>619</v>
      </c>
      <c r="E77" s="114" t="s">
        <v>636</v>
      </c>
      <c r="F77" s="114" t="str">
        <f t="shared" si="3"/>
        <v>AdultsTheftDrugNo_of_reoffences</v>
      </c>
      <c r="G77" s="114">
        <f t="shared" si="4"/>
        <v>5608</v>
      </c>
      <c r="H77" s="114">
        <v>5608</v>
      </c>
      <c r="I77" s="114" t="s">
        <v>623</v>
      </c>
    </row>
    <row r="78" spans="1:9">
      <c r="A78" s="114" t="s">
        <v>615</v>
      </c>
      <c r="B78" s="114" t="s">
        <v>735</v>
      </c>
      <c r="C78" s="114" t="s">
        <v>293</v>
      </c>
      <c r="D78" s="177" t="s">
        <v>630</v>
      </c>
      <c r="E78" s="114" t="s">
        <v>636</v>
      </c>
      <c r="F78" s="114" t="str">
        <f t="shared" si="3"/>
        <v>AdultsTheftPossession_of_weaponsNo_of_reoffences</v>
      </c>
      <c r="G78" s="114">
        <f t="shared" si="4"/>
        <v>1788</v>
      </c>
      <c r="H78" s="114">
        <v>1788</v>
      </c>
      <c r="I78" s="114" t="s">
        <v>623</v>
      </c>
    </row>
    <row r="79" spans="1:9">
      <c r="A79" s="114" t="s">
        <v>615</v>
      </c>
      <c r="B79" s="114" t="s">
        <v>735</v>
      </c>
      <c r="C79" s="114" t="s">
        <v>293</v>
      </c>
      <c r="D79" s="177" t="s">
        <v>631</v>
      </c>
      <c r="E79" s="114" t="s">
        <v>636</v>
      </c>
      <c r="F79" s="114" t="str">
        <f t="shared" si="3"/>
        <v>AdultsTheftPublic_orderNo_of_reoffences</v>
      </c>
      <c r="G79" s="114">
        <f t="shared" si="4"/>
        <v>3303</v>
      </c>
      <c r="H79" s="114">
        <v>3303</v>
      </c>
      <c r="I79" s="114" t="s">
        <v>623</v>
      </c>
    </row>
    <row r="80" spans="1:9">
      <c r="A80" s="114" t="s">
        <v>615</v>
      </c>
      <c r="B80" s="114" t="s">
        <v>735</v>
      </c>
      <c r="C80" s="114" t="s">
        <v>293</v>
      </c>
      <c r="D80" s="177" t="s">
        <v>632</v>
      </c>
      <c r="E80" s="114" t="s">
        <v>636</v>
      </c>
      <c r="F80" s="114" t="str">
        <f t="shared" si="3"/>
        <v>AdultsTheftMiscellaneous_crimes_against_societyNo_of_reoffences</v>
      </c>
      <c r="G80" s="114">
        <f t="shared" si="4"/>
        <v>5025</v>
      </c>
      <c r="H80" s="114">
        <v>5025</v>
      </c>
      <c r="I80" s="114" t="s">
        <v>623</v>
      </c>
    </row>
    <row r="81" spans="1:9">
      <c r="A81" s="114" t="s">
        <v>615</v>
      </c>
      <c r="B81" s="114" t="s">
        <v>735</v>
      </c>
      <c r="C81" s="114" t="s">
        <v>293</v>
      </c>
      <c r="D81" s="177" t="s">
        <v>424</v>
      </c>
      <c r="E81" s="114" t="s">
        <v>636</v>
      </c>
      <c r="F81" s="114" t="str">
        <f t="shared" si="3"/>
        <v>AdultsTheftFraudNo_of_reoffences</v>
      </c>
      <c r="G81" s="114">
        <f t="shared" si="4"/>
        <v>3195</v>
      </c>
      <c r="H81" s="114">
        <v>3195</v>
      </c>
      <c r="I81" s="114" t="s">
        <v>623</v>
      </c>
    </row>
    <row r="82" spans="1:9">
      <c r="A82" s="114" t="s">
        <v>615</v>
      </c>
      <c r="B82" s="114" t="s">
        <v>735</v>
      </c>
      <c r="C82" s="114" t="s">
        <v>293</v>
      </c>
      <c r="D82" s="177" t="s">
        <v>633</v>
      </c>
      <c r="E82" s="114" t="s">
        <v>636</v>
      </c>
      <c r="F82" s="114" t="str">
        <f t="shared" si="3"/>
        <v>AdultsTheftSummary_non-motoringNo_of_reoffences</v>
      </c>
      <c r="G82" s="114">
        <f t="shared" si="4"/>
        <v>15527</v>
      </c>
      <c r="H82" s="114">
        <v>15527</v>
      </c>
      <c r="I82" s="114" t="s">
        <v>623</v>
      </c>
    </row>
    <row r="83" spans="1:9">
      <c r="A83" s="114" t="s">
        <v>615</v>
      </c>
      <c r="B83" s="114" t="s">
        <v>735</v>
      </c>
      <c r="C83" s="114" t="s">
        <v>293</v>
      </c>
      <c r="D83" s="177" t="s">
        <v>634</v>
      </c>
      <c r="E83" s="114" t="s">
        <v>636</v>
      </c>
      <c r="F83" s="114" t="str">
        <f t="shared" si="3"/>
        <v>AdultsTheftSummary_motoringNo_of_reoffences</v>
      </c>
      <c r="G83" s="114">
        <f t="shared" si="4"/>
        <v>5249</v>
      </c>
      <c r="H83" s="114">
        <v>5249</v>
      </c>
      <c r="I83" s="114" t="s">
        <v>623</v>
      </c>
    </row>
    <row r="84" spans="1:9">
      <c r="A84" s="114" t="s">
        <v>615</v>
      </c>
      <c r="B84" s="114" t="s">
        <v>735</v>
      </c>
      <c r="C84" s="114" t="s">
        <v>293</v>
      </c>
      <c r="D84" s="177" t="s">
        <v>621</v>
      </c>
      <c r="E84" s="114" t="s">
        <v>636</v>
      </c>
      <c r="F84" s="114" t="str">
        <f t="shared" si="3"/>
        <v>AdultsTheftOtherNo_of_reoffences</v>
      </c>
      <c r="G84" s="114">
        <f t="shared" si="4"/>
        <v>515</v>
      </c>
      <c r="H84" s="114">
        <v>515</v>
      </c>
      <c r="I84" s="114" t="s">
        <v>623</v>
      </c>
    </row>
    <row r="85" spans="1:9">
      <c r="A85" s="114" t="s">
        <v>615</v>
      </c>
      <c r="B85" s="114" t="s">
        <v>735</v>
      </c>
      <c r="C85" s="114" t="s">
        <v>293</v>
      </c>
      <c r="D85" s="177" t="s">
        <v>635</v>
      </c>
      <c r="E85" s="114" t="s">
        <v>636</v>
      </c>
      <c r="F85" s="114" t="str">
        <f t="shared" si="3"/>
        <v>AdultsTheftTotal_reoffencesNo_of_reoffences</v>
      </c>
      <c r="G85" s="114">
        <f t="shared" si="4"/>
        <v>114743</v>
      </c>
      <c r="H85" s="114">
        <v>114743</v>
      </c>
      <c r="I85" s="114" t="s">
        <v>623</v>
      </c>
    </row>
    <row r="86" spans="1:9">
      <c r="A86" s="114" t="s">
        <v>615</v>
      </c>
      <c r="B86" s="114" t="s">
        <v>735</v>
      </c>
      <c r="C86" s="114" t="s">
        <v>629</v>
      </c>
      <c r="D86" s="114" t="s">
        <v>628</v>
      </c>
      <c r="E86" s="114" t="s">
        <v>636</v>
      </c>
      <c r="F86" s="114" t="str">
        <f t="shared" si="3"/>
        <v>AdultsCriminal_damage_and_arsonViolence_against_the_personNo_of_reoffences</v>
      </c>
      <c r="G86" s="114">
        <f t="shared" si="4"/>
        <v>143</v>
      </c>
      <c r="H86" s="114">
        <v>143</v>
      </c>
      <c r="I86" s="114" t="s">
        <v>623</v>
      </c>
    </row>
    <row r="87" spans="1:9">
      <c r="A87" s="114" t="s">
        <v>615</v>
      </c>
      <c r="B87" s="114" t="s">
        <v>735</v>
      </c>
      <c r="C87" s="114" t="s">
        <v>629</v>
      </c>
      <c r="D87" s="114" t="s">
        <v>617</v>
      </c>
      <c r="E87" s="114" t="s">
        <v>636</v>
      </c>
      <c r="F87" s="114" t="str">
        <f t="shared" si="3"/>
        <v>AdultsCriminal_damage_and_arsonSexualNo_of_reoffences</v>
      </c>
      <c r="G87" s="114">
        <f t="shared" si="4"/>
        <v>4</v>
      </c>
      <c r="H87" s="114">
        <v>4</v>
      </c>
      <c r="I87" s="114" t="s">
        <v>623</v>
      </c>
    </row>
    <row r="88" spans="1:9">
      <c r="A88" s="114" t="s">
        <v>615</v>
      </c>
      <c r="B88" s="114" t="s">
        <v>735</v>
      </c>
      <c r="C88" s="114" t="s">
        <v>629</v>
      </c>
      <c r="D88" s="114" t="s">
        <v>292</v>
      </c>
      <c r="E88" s="114" t="s">
        <v>636</v>
      </c>
      <c r="F88" s="114" t="str">
        <f t="shared" si="3"/>
        <v>AdultsCriminal_damage_and_arsonRobberyNo_of_reoffences</v>
      </c>
      <c r="G88" s="114">
        <f t="shared" si="4"/>
        <v>5</v>
      </c>
      <c r="H88" s="114">
        <v>5</v>
      </c>
      <c r="I88" s="114" t="s">
        <v>623</v>
      </c>
    </row>
    <row r="89" spans="1:9">
      <c r="A89" s="114" t="s">
        <v>615</v>
      </c>
      <c r="B89" s="114" t="s">
        <v>735</v>
      </c>
      <c r="C89" s="114" t="s">
        <v>629</v>
      </c>
      <c r="D89" s="114" t="s">
        <v>293</v>
      </c>
      <c r="E89" s="114" t="s">
        <v>636</v>
      </c>
      <c r="F89" s="114" t="str">
        <f t="shared" si="3"/>
        <v>AdultsCriminal_damage_and_arsonTheftNo_of_reoffences</v>
      </c>
      <c r="G89" s="114">
        <f t="shared" si="4"/>
        <v>259</v>
      </c>
      <c r="H89" s="114">
        <v>259</v>
      </c>
      <c r="I89" s="114" t="s">
        <v>623</v>
      </c>
    </row>
    <row r="90" spans="1:9">
      <c r="A90" s="114" t="s">
        <v>615</v>
      </c>
      <c r="B90" s="114" t="s">
        <v>735</v>
      </c>
      <c r="C90" s="114" t="s">
        <v>629</v>
      </c>
      <c r="D90" s="114" t="s">
        <v>629</v>
      </c>
      <c r="E90" s="114" t="s">
        <v>636</v>
      </c>
      <c r="F90" s="114" t="str">
        <f t="shared" si="3"/>
        <v>AdultsCriminal_damage_and_arsonCriminal_damage_and_arsonNo_of_reoffences</v>
      </c>
      <c r="G90" s="114">
        <f t="shared" si="4"/>
        <v>26</v>
      </c>
      <c r="H90" s="114">
        <v>26</v>
      </c>
      <c r="I90" s="114" t="s">
        <v>623</v>
      </c>
    </row>
    <row r="91" spans="1:9">
      <c r="A91" s="114" t="s">
        <v>615</v>
      </c>
      <c r="B91" s="114" t="s">
        <v>735</v>
      </c>
      <c r="C91" s="114" t="s">
        <v>629</v>
      </c>
      <c r="D91" s="177" t="s">
        <v>619</v>
      </c>
      <c r="E91" s="114" t="s">
        <v>636</v>
      </c>
      <c r="F91" s="114" t="str">
        <f t="shared" si="3"/>
        <v>AdultsCriminal_damage_and_arsonDrugNo_of_reoffences</v>
      </c>
      <c r="G91" s="114">
        <f t="shared" si="4"/>
        <v>52</v>
      </c>
      <c r="H91" s="114">
        <v>52</v>
      </c>
      <c r="I91" s="114" t="s">
        <v>623</v>
      </c>
    </row>
    <row r="92" spans="1:9">
      <c r="A92" s="114" t="s">
        <v>615</v>
      </c>
      <c r="B92" s="114" t="s">
        <v>735</v>
      </c>
      <c r="C92" s="114" t="s">
        <v>629</v>
      </c>
      <c r="D92" s="177" t="s">
        <v>630</v>
      </c>
      <c r="E92" s="114" t="s">
        <v>636</v>
      </c>
      <c r="F92" s="114" t="str">
        <f t="shared" si="3"/>
        <v>AdultsCriminal_damage_and_arsonPossession_of_weaponsNo_of_reoffences</v>
      </c>
      <c r="G92" s="114">
        <f t="shared" si="4"/>
        <v>38</v>
      </c>
      <c r="H92" s="114">
        <v>38</v>
      </c>
      <c r="I92" s="114" t="s">
        <v>623</v>
      </c>
    </row>
    <row r="93" spans="1:9">
      <c r="A93" s="114" t="s">
        <v>615</v>
      </c>
      <c r="B93" s="114" t="s">
        <v>735</v>
      </c>
      <c r="C93" s="114" t="s">
        <v>629</v>
      </c>
      <c r="D93" s="177" t="s">
        <v>631</v>
      </c>
      <c r="E93" s="114" t="s">
        <v>636</v>
      </c>
      <c r="F93" s="114" t="str">
        <f t="shared" si="3"/>
        <v>AdultsCriminal_damage_and_arsonPublic_orderNo_of_reoffences</v>
      </c>
      <c r="G93" s="114">
        <f t="shared" si="4"/>
        <v>67</v>
      </c>
      <c r="H93" s="114">
        <v>67</v>
      </c>
      <c r="I93" s="114" t="s">
        <v>623</v>
      </c>
    </row>
    <row r="94" spans="1:9">
      <c r="A94" s="114" t="s">
        <v>615</v>
      </c>
      <c r="B94" s="114" t="s">
        <v>735</v>
      </c>
      <c r="C94" s="114" t="s">
        <v>629</v>
      </c>
      <c r="D94" s="177" t="s">
        <v>632</v>
      </c>
      <c r="E94" s="114" t="s">
        <v>636</v>
      </c>
      <c r="F94" s="114" t="str">
        <f t="shared" si="3"/>
        <v>AdultsCriminal_damage_and_arsonMiscellaneous_crimes_against_societyNo_of_reoffences</v>
      </c>
      <c r="G94" s="114">
        <f t="shared" si="4"/>
        <v>56</v>
      </c>
      <c r="H94" s="114">
        <v>56</v>
      </c>
      <c r="I94" s="114" t="s">
        <v>623</v>
      </c>
    </row>
    <row r="95" spans="1:9">
      <c r="A95" s="114" t="s">
        <v>615</v>
      </c>
      <c r="B95" s="114" t="s">
        <v>735</v>
      </c>
      <c r="C95" s="114" t="s">
        <v>629</v>
      </c>
      <c r="D95" s="177" t="s">
        <v>424</v>
      </c>
      <c r="E95" s="114" t="s">
        <v>636</v>
      </c>
      <c r="F95" s="114" t="str">
        <f t="shared" si="3"/>
        <v>AdultsCriminal_damage_and_arsonFraudNo_of_reoffences</v>
      </c>
      <c r="G95" s="114">
        <f t="shared" si="4"/>
        <v>18</v>
      </c>
      <c r="H95" s="114">
        <v>18</v>
      </c>
      <c r="I95" s="114" t="s">
        <v>623</v>
      </c>
    </row>
    <row r="96" spans="1:9">
      <c r="A96" s="114" t="s">
        <v>615</v>
      </c>
      <c r="B96" s="114" t="s">
        <v>735</v>
      </c>
      <c r="C96" s="114" t="s">
        <v>629</v>
      </c>
      <c r="D96" s="177" t="s">
        <v>633</v>
      </c>
      <c r="E96" s="114" t="s">
        <v>636</v>
      </c>
      <c r="F96" s="114" t="str">
        <f t="shared" si="3"/>
        <v>AdultsCriminal_damage_and_arsonSummary_non-motoringNo_of_reoffences</v>
      </c>
      <c r="G96" s="114">
        <f t="shared" si="4"/>
        <v>399</v>
      </c>
      <c r="H96" s="114">
        <v>399</v>
      </c>
      <c r="I96" s="114" t="s">
        <v>623</v>
      </c>
    </row>
    <row r="97" spans="1:9">
      <c r="A97" s="114" t="s">
        <v>615</v>
      </c>
      <c r="B97" s="114" t="s">
        <v>735</v>
      </c>
      <c r="C97" s="114" t="s">
        <v>629</v>
      </c>
      <c r="D97" s="177" t="s">
        <v>634</v>
      </c>
      <c r="E97" s="114" t="s">
        <v>636</v>
      </c>
      <c r="F97" s="114" t="str">
        <f t="shared" si="3"/>
        <v>AdultsCriminal_damage_and_arsonSummary_motoringNo_of_reoffences</v>
      </c>
      <c r="G97" s="114">
        <f t="shared" si="4"/>
        <v>119</v>
      </c>
      <c r="H97" s="114">
        <v>119</v>
      </c>
      <c r="I97" s="114" t="s">
        <v>623</v>
      </c>
    </row>
    <row r="98" spans="1:9">
      <c r="A98" s="114" t="s">
        <v>615</v>
      </c>
      <c r="B98" s="114" t="s">
        <v>735</v>
      </c>
      <c r="C98" s="114" t="s">
        <v>629</v>
      </c>
      <c r="D98" s="177" t="s">
        <v>621</v>
      </c>
      <c r="E98" s="114" t="s">
        <v>636</v>
      </c>
      <c r="F98" s="114" t="str">
        <f t="shared" si="3"/>
        <v>AdultsCriminal_damage_and_arsonOtherNo_of_reoffences</v>
      </c>
      <c r="G98" s="114">
        <f t="shared" si="4"/>
        <v>9</v>
      </c>
      <c r="H98" s="114">
        <v>9</v>
      </c>
      <c r="I98" s="114" t="s">
        <v>623</v>
      </c>
    </row>
    <row r="99" spans="1:9">
      <c r="A99" s="114" t="s">
        <v>615</v>
      </c>
      <c r="B99" s="114" t="s">
        <v>735</v>
      </c>
      <c r="C99" s="114" t="s">
        <v>629</v>
      </c>
      <c r="D99" s="177" t="s">
        <v>635</v>
      </c>
      <c r="E99" s="114" t="s">
        <v>636</v>
      </c>
      <c r="F99" s="114" t="str">
        <f t="shared" si="3"/>
        <v>AdultsCriminal_damage_and_arsonTotal_reoffencesNo_of_reoffences</v>
      </c>
      <c r="G99" s="114">
        <f t="shared" si="4"/>
        <v>1195</v>
      </c>
      <c r="H99" s="114">
        <v>1195</v>
      </c>
      <c r="I99" s="114" t="s">
        <v>623</v>
      </c>
    </row>
    <row r="100" spans="1:9">
      <c r="A100" s="114" t="s">
        <v>622</v>
      </c>
      <c r="B100" s="114" t="s">
        <v>735</v>
      </c>
      <c r="C100" s="114" t="s">
        <v>627</v>
      </c>
      <c r="D100" s="114" t="s">
        <v>628</v>
      </c>
      <c r="E100" s="114" t="s">
        <v>636</v>
      </c>
      <c r="F100" s="114" t="str">
        <f t="shared" ref="F100:F131" si="5">A100&amp;C100&amp;D100&amp;E100</f>
        <v>JuvenileAll_offendersViolence_against_the_personNo_of_reoffences</v>
      </c>
      <c r="G100" s="114">
        <f t="shared" si="4"/>
        <v>2309</v>
      </c>
      <c r="H100" s="114">
        <v>2309</v>
      </c>
      <c r="I100" s="114" t="s">
        <v>623</v>
      </c>
    </row>
    <row r="101" spans="1:9">
      <c r="A101" s="114" t="s">
        <v>622</v>
      </c>
      <c r="B101" s="114" t="s">
        <v>735</v>
      </c>
      <c r="C101" s="114" t="s">
        <v>627</v>
      </c>
      <c r="D101" s="114" t="s">
        <v>617</v>
      </c>
      <c r="E101" s="114" t="s">
        <v>636</v>
      </c>
      <c r="F101" s="114" t="str">
        <f t="shared" si="5"/>
        <v>JuvenileAll_offendersSexualNo_of_reoffences</v>
      </c>
      <c r="G101" s="114">
        <f t="shared" si="4"/>
        <v>49</v>
      </c>
      <c r="H101" s="114">
        <v>49</v>
      </c>
      <c r="I101" s="114" t="s">
        <v>623</v>
      </c>
    </row>
    <row r="102" spans="1:9">
      <c r="A102" s="114" t="s">
        <v>622</v>
      </c>
      <c r="B102" s="114" t="s">
        <v>735</v>
      </c>
      <c r="C102" s="114" t="s">
        <v>627</v>
      </c>
      <c r="D102" s="114" t="s">
        <v>292</v>
      </c>
      <c r="E102" s="114" t="s">
        <v>636</v>
      </c>
      <c r="F102" s="114" t="str">
        <f t="shared" si="5"/>
        <v>JuvenileAll_offendersRobberyNo_of_reoffences</v>
      </c>
      <c r="G102" s="114">
        <f t="shared" si="4"/>
        <v>1022</v>
      </c>
      <c r="H102" s="114">
        <v>1022</v>
      </c>
      <c r="I102" s="114" t="s">
        <v>623</v>
      </c>
    </row>
    <row r="103" spans="1:9">
      <c r="A103" s="114" t="s">
        <v>622</v>
      </c>
      <c r="B103" s="114" t="s">
        <v>735</v>
      </c>
      <c r="C103" s="114" t="s">
        <v>627</v>
      </c>
      <c r="D103" s="114" t="s">
        <v>293</v>
      </c>
      <c r="E103" s="114" t="s">
        <v>636</v>
      </c>
      <c r="F103" s="114" t="str">
        <f t="shared" si="5"/>
        <v>JuvenileAll_offendersTheftNo_of_reoffences</v>
      </c>
      <c r="G103" s="114">
        <f t="shared" si="4"/>
        <v>4191</v>
      </c>
      <c r="H103" s="114">
        <v>4191</v>
      </c>
      <c r="I103" s="114" t="s">
        <v>623</v>
      </c>
    </row>
    <row r="104" spans="1:9">
      <c r="A104" s="114" t="s">
        <v>622</v>
      </c>
      <c r="B104" s="114" t="s">
        <v>735</v>
      </c>
      <c r="C104" s="114" t="s">
        <v>627</v>
      </c>
      <c r="D104" s="114" t="s">
        <v>629</v>
      </c>
      <c r="E104" s="114" t="s">
        <v>636</v>
      </c>
      <c r="F104" s="114" t="str">
        <f t="shared" si="5"/>
        <v>JuvenileAll_offendersCriminal_damage_and_arsonNo_of_reoffences</v>
      </c>
      <c r="G104" s="114">
        <f t="shared" si="4"/>
        <v>192</v>
      </c>
      <c r="H104" s="114">
        <v>192</v>
      </c>
      <c r="I104" s="114" t="s">
        <v>623</v>
      </c>
    </row>
    <row r="105" spans="1:9">
      <c r="A105" s="114" t="s">
        <v>622</v>
      </c>
      <c r="B105" s="114" t="s">
        <v>735</v>
      </c>
      <c r="C105" s="114" t="s">
        <v>627</v>
      </c>
      <c r="D105" s="177" t="s">
        <v>619</v>
      </c>
      <c r="E105" s="114" t="s">
        <v>636</v>
      </c>
      <c r="F105" s="114" t="str">
        <f t="shared" si="5"/>
        <v>JuvenileAll_offendersDrugNo_of_reoffences</v>
      </c>
      <c r="G105" s="114">
        <f t="shared" si="4"/>
        <v>3282</v>
      </c>
      <c r="H105" s="114">
        <v>3282</v>
      </c>
      <c r="I105" s="114" t="s">
        <v>623</v>
      </c>
    </row>
    <row r="106" spans="1:9">
      <c r="A106" s="114" t="s">
        <v>622</v>
      </c>
      <c r="B106" s="114" t="s">
        <v>735</v>
      </c>
      <c r="C106" s="114" t="s">
        <v>627</v>
      </c>
      <c r="D106" s="177" t="s">
        <v>630</v>
      </c>
      <c r="E106" s="114" t="s">
        <v>636</v>
      </c>
      <c r="F106" s="114" t="str">
        <f t="shared" si="5"/>
        <v>JuvenileAll_offendersPossession_of_weaponsNo_of_reoffences</v>
      </c>
      <c r="G106" s="114">
        <f t="shared" si="4"/>
        <v>1532</v>
      </c>
      <c r="H106" s="114">
        <v>1532</v>
      </c>
      <c r="I106" s="114" t="s">
        <v>623</v>
      </c>
    </row>
    <row r="107" spans="1:9">
      <c r="A107" s="114" t="s">
        <v>622</v>
      </c>
      <c r="B107" s="114" t="s">
        <v>735</v>
      </c>
      <c r="C107" s="114" t="s">
        <v>627</v>
      </c>
      <c r="D107" s="177" t="s">
        <v>631</v>
      </c>
      <c r="E107" s="114" t="s">
        <v>636</v>
      </c>
      <c r="F107" s="114" t="str">
        <f t="shared" si="5"/>
        <v>JuvenileAll_offendersPublic_orderNo_of_reoffences</v>
      </c>
      <c r="G107" s="114">
        <f t="shared" si="4"/>
        <v>1413</v>
      </c>
      <c r="H107" s="114">
        <v>1413</v>
      </c>
      <c r="I107" s="114" t="s">
        <v>623</v>
      </c>
    </row>
    <row r="108" spans="1:9">
      <c r="A108" s="114" t="s">
        <v>622</v>
      </c>
      <c r="B108" s="114" t="s">
        <v>735</v>
      </c>
      <c r="C108" s="114" t="s">
        <v>627</v>
      </c>
      <c r="D108" s="177" t="s">
        <v>632</v>
      </c>
      <c r="E108" s="114" t="s">
        <v>636</v>
      </c>
      <c r="F108" s="114" t="str">
        <f t="shared" si="5"/>
        <v>JuvenileAll_offendersMiscellaneous_crimes_against_societyNo_of_reoffences</v>
      </c>
      <c r="G108" s="114">
        <f t="shared" si="4"/>
        <v>794</v>
      </c>
      <c r="H108" s="114">
        <v>794</v>
      </c>
      <c r="I108" s="114" t="s">
        <v>623</v>
      </c>
    </row>
    <row r="109" spans="1:9">
      <c r="A109" s="114" t="s">
        <v>622</v>
      </c>
      <c r="B109" s="114" t="s">
        <v>735</v>
      </c>
      <c r="C109" s="114" t="s">
        <v>627</v>
      </c>
      <c r="D109" s="177" t="s">
        <v>424</v>
      </c>
      <c r="E109" s="114" t="s">
        <v>636</v>
      </c>
      <c r="F109" s="114" t="str">
        <f t="shared" si="5"/>
        <v>JuvenileAll_offendersFraudNo_of_reoffences</v>
      </c>
      <c r="G109" s="114">
        <f t="shared" si="4"/>
        <v>483</v>
      </c>
      <c r="H109" s="114">
        <v>483</v>
      </c>
      <c r="I109" s="114" t="s">
        <v>623</v>
      </c>
    </row>
    <row r="110" spans="1:9">
      <c r="A110" s="114" t="s">
        <v>622</v>
      </c>
      <c r="B110" s="114" t="s">
        <v>735</v>
      </c>
      <c r="C110" s="114" t="s">
        <v>627</v>
      </c>
      <c r="D110" s="177" t="s">
        <v>633</v>
      </c>
      <c r="E110" s="114" t="s">
        <v>636</v>
      </c>
      <c r="F110" s="114" t="str">
        <f t="shared" si="5"/>
        <v>JuvenileAll_offendersSummary_non-motoringNo_of_reoffences</v>
      </c>
      <c r="G110" s="114">
        <f t="shared" si="4"/>
        <v>7721</v>
      </c>
      <c r="H110" s="114">
        <v>7721</v>
      </c>
      <c r="I110" s="114" t="s">
        <v>623</v>
      </c>
    </row>
    <row r="111" spans="1:9">
      <c r="A111" s="114" t="s">
        <v>622</v>
      </c>
      <c r="B111" s="114" t="s">
        <v>735</v>
      </c>
      <c r="C111" s="114" t="s">
        <v>627</v>
      </c>
      <c r="D111" s="177" t="s">
        <v>634</v>
      </c>
      <c r="E111" s="114" t="s">
        <v>636</v>
      </c>
      <c r="F111" s="114" t="str">
        <f t="shared" si="5"/>
        <v>JuvenileAll_offendersSummary_motoringNo_of_reoffences</v>
      </c>
      <c r="G111" s="114">
        <f t="shared" si="4"/>
        <v>2738</v>
      </c>
      <c r="H111" s="114">
        <v>2738</v>
      </c>
      <c r="I111" s="114" t="s">
        <v>623</v>
      </c>
    </row>
    <row r="112" spans="1:9">
      <c r="A112" s="114" t="s">
        <v>622</v>
      </c>
      <c r="B112" s="114" t="s">
        <v>735</v>
      </c>
      <c r="C112" s="114" t="s">
        <v>627</v>
      </c>
      <c r="D112" s="177" t="s">
        <v>621</v>
      </c>
      <c r="E112" s="114" t="s">
        <v>636</v>
      </c>
      <c r="F112" s="114" t="str">
        <f t="shared" si="5"/>
        <v>JuvenileAll_offendersOtherNo_of_reoffences</v>
      </c>
      <c r="G112" s="114">
        <f t="shared" si="4"/>
        <v>104</v>
      </c>
      <c r="H112" s="114">
        <v>104</v>
      </c>
      <c r="I112" s="114" t="s">
        <v>623</v>
      </c>
    </row>
    <row r="113" spans="1:9">
      <c r="A113" s="114" t="s">
        <v>622</v>
      </c>
      <c r="B113" s="114" t="s">
        <v>735</v>
      </c>
      <c r="C113" s="114" t="s">
        <v>627</v>
      </c>
      <c r="D113" s="177" t="s">
        <v>635</v>
      </c>
      <c r="E113" s="114" t="s">
        <v>636</v>
      </c>
      <c r="F113" s="114" t="str">
        <f t="shared" si="5"/>
        <v>JuvenileAll_offendersTotal_reoffencesNo_of_reoffences</v>
      </c>
      <c r="G113" s="114">
        <f t="shared" si="4"/>
        <v>25830</v>
      </c>
      <c r="H113" s="114">
        <v>25830</v>
      </c>
      <c r="I113" s="114" t="s">
        <v>623</v>
      </c>
    </row>
    <row r="114" spans="1:9">
      <c r="A114" s="114" t="s">
        <v>622</v>
      </c>
      <c r="B114" s="114" t="s">
        <v>735</v>
      </c>
      <c r="C114" s="114" t="s">
        <v>628</v>
      </c>
      <c r="D114" s="114" t="s">
        <v>628</v>
      </c>
      <c r="E114" s="114" t="s">
        <v>636</v>
      </c>
      <c r="F114" s="114" t="str">
        <f t="shared" si="5"/>
        <v>JuvenileViolence_against_the_personViolence_against_the_personNo_of_reoffences</v>
      </c>
      <c r="G114" s="114">
        <f t="shared" si="4"/>
        <v>546</v>
      </c>
      <c r="H114" s="114">
        <v>546</v>
      </c>
      <c r="I114" s="114" t="s">
        <v>623</v>
      </c>
    </row>
    <row r="115" spans="1:9">
      <c r="A115" s="114" t="s">
        <v>622</v>
      </c>
      <c r="B115" s="114" t="s">
        <v>735</v>
      </c>
      <c r="C115" s="114" t="s">
        <v>628</v>
      </c>
      <c r="D115" s="114" t="s">
        <v>617</v>
      </c>
      <c r="E115" s="114" t="s">
        <v>636</v>
      </c>
      <c r="F115" s="114" t="str">
        <f t="shared" si="5"/>
        <v>JuvenileViolence_against_the_personSexualNo_of_reoffences</v>
      </c>
      <c r="G115" s="114">
        <f t="shared" si="4"/>
        <v>8</v>
      </c>
      <c r="H115" s="114">
        <v>8</v>
      </c>
      <c r="I115" s="114" t="s">
        <v>623</v>
      </c>
    </row>
    <row r="116" spans="1:9">
      <c r="A116" s="114" t="s">
        <v>622</v>
      </c>
      <c r="B116" s="114" t="s">
        <v>735</v>
      </c>
      <c r="C116" s="114" t="s">
        <v>628</v>
      </c>
      <c r="D116" s="114" t="s">
        <v>292</v>
      </c>
      <c r="E116" s="114" t="s">
        <v>636</v>
      </c>
      <c r="F116" s="114" t="str">
        <f t="shared" si="5"/>
        <v>JuvenileViolence_against_the_personRobberyNo_of_reoffences</v>
      </c>
      <c r="G116" s="114">
        <f t="shared" si="4"/>
        <v>78</v>
      </c>
      <c r="H116" s="114">
        <v>78</v>
      </c>
      <c r="I116" s="114" t="s">
        <v>623</v>
      </c>
    </row>
    <row r="117" spans="1:9">
      <c r="A117" s="114" t="s">
        <v>622</v>
      </c>
      <c r="B117" s="114" t="s">
        <v>735</v>
      </c>
      <c r="C117" s="114" t="s">
        <v>628</v>
      </c>
      <c r="D117" s="114" t="s">
        <v>293</v>
      </c>
      <c r="E117" s="114" t="s">
        <v>636</v>
      </c>
      <c r="F117" s="114" t="str">
        <f t="shared" si="5"/>
        <v>JuvenileViolence_against_the_personTheftNo_of_reoffences</v>
      </c>
      <c r="G117" s="114">
        <f t="shared" si="4"/>
        <v>345</v>
      </c>
      <c r="H117" s="114">
        <v>345</v>
      </c>
      <c r="I117" s="114" t="s">
        <v>623</v>
      </c>
    </row>
    <row r="118" spans="1:9">
      <c r="A118" s="114" t="s">
        <v>622</v>
      </c>
      <c r="B118" s="114" t="s">
        <v>735</v>
      </c>
      <c r="C118" s="114" t="s">
        <v>628</v>
      </c>
      <c r="D118" s="114" t="s">
        <v>629</v>
      </c>
      <c r="E118" s="114" t="s">
        <v>636</v>
      </c>
      <c r="F118" s="114" t="str">
        <f t="shared" si="5"/>
        <v>JuvenileViolence_against_the_personCriminal_damage_and_arsonNo_of_reoffences</v>
      </c>
      <c r="G118" s="114">
        <f t="shared" si="4"/>
        <v>23</v>
      </c>
      <c r="H118" s="114">
        <v>23</v>
      </c>
      <c r="I118" s="114" t="s">
        <v>623</v>
      </c>
    </row>
    <row r="119" spans="1:9">
      <c r="A119" s="114" t="s">
        <v>622</v>
      </c>
      <c r="B119" s="114" t="s">
        <v>735</v>
      </c>
      <c r="C119" s="114" t="s">
        <v>628</v>
      </c>
      <c r="D119" s="177" t="s">
        <v>619</v>
      </c>
      <c r="E119" s="114" t="s">
        <v>636</v>
      </c>
      <c r="F119" s="114" t="str">
        <f t="shared" si="5"/>
        <v>JuvenileViolence_against_the_personDrugNo_of_reoffences</v>
      </c>
      <c r="G119" s="114">
        <f t="shared" si="4"/>
        <v>230</v>
      </c>
      <c r="H119" s="114">
        <v>230</v>
      </c>
      <c r="I119" s="114" t="s">
        <v>623</v>
      </c>
    </row>
    <row r="120" spans="1:9">
      <c r="A120" s="114" t="s">
        <v>622</v>
      </c>
      <c r="B120" s="114" t="s">
        <v>735</v>
      </c>
      <c r="C120" s="114" t="s">
        <v>628</v>
      </c>
      <c r="D120" s="177" t="s">
        <v>630</v>
      </c>
      <c r="E120" s="114" t="s">
        <v>636</v>
      </c>
      <c r="F120" s="114" t="str">
        <f t="shared" si="5"/>
        <v>JuvenileViolence_against_the_personPossession_of_weaponsNo_of_reoffences</v>
      </c>
      <c r="G120" s="114">
        <f t="shared" si="4"/>
        <v>154</v>
      </c>
      <c r="H120" s="114">
        <v>154</v>
      </c>
      <c r="I120" s="114" t="s">
        <v>623</v>
      </c>
    </row>
    <row r="121" spans="1:9">
      <c r="A121" s="114" t="s">
        <v>622</v>
      </c>
      <c r="B121" s="114" t="s">
        <v>735</v>
      </c>
      <c r="C121" s="114" t="s">
        <v>628</v>
      </c>
      <c r="D121" s="177" t="s">
        <v>631</v>
      </c>
      <c r="E121" s="114" t="s">
        <v>636</v>
      </c>
      <c r="F121" s="114" t="str">
        <f t="shared" si="5"/>
        <v>JuvenileViolence_against_the_personPublic_orderNo_of_reoffences</v>
      </c>
      <c r="G121" s="114">
        <f t="shared" si="4"/>
        <v>162</v>
      </c>
      <c r="H121" s="114">
        <v>162</v>
      </c>
      <c r="I121" s="114" t="s">
        <v>623</v>
      </c>
    </row>
    <row r="122" spans="1:9">
      <c r="A122" s="114" t="s">
        <v>622</v>
      </c>
      <c r="B122" s="114" t="s">
        <v>735</v>
      </c>
      <c r="C122" s="114" t="s">
        <v>628</v>
      </c>
      <c r="D122" s="177" t="s">
        <v>632</v>
      </c>
      <c r="E122" s="114" t="s">
        <v>636</v>
      </c>
      <c r="F122" s="114" t="str">
        <f t="shared" si="5"/>
        <v>JuvenileViolence_against_the_personMiscellaneous_crimes_against_societyNo_of_reoffences</v>
      </c>
      <c r="G122" s="114">
        <f t="shared" si="4"/>
        <v>76</v>
      </c>
      <c r="H122" s="114">
        <v>76</v>
      </c>
      <c r="I122" s="114" t="s">
        <v>623</v>
      </c>
    </row>
    <row r="123" spans="1:9">
      <c r="A123" s="114" t="s">
        <v>622</v>
      </c>
      <c r="B123" s="114" t="s">
        <v>735</v>
      </c>
      <c r="C123" s="114" t="s">
        <v>628</v>
      </c>
      <c r="D123" s="177" t="s">
        <v>424</v>
      </c>
      <c r="E123" s="114" t="s">
        <v>636</v>
      </c>
      <c r="F123" s="114" t="str">
        <f t="shared" si="5"/>
        <v>JuvenileViolence_against_the_personFraudNo_of_reoffences</v>
      </c>
      <c r="G123" s="114">
        <f t="shared" si="4"/>
        <v>29</v>
      </c>
      <c r="H123" s="114">
        <v>29</v>
      </c>
      <c r="I123" s="114" t="s">
        <v>623</v>
      </c>
    </row>
    <row r="124" spans="1:9">
      <c r="A124" s="114" t="s">
        <v>622</v>
      </c>
      <c r="B124" s="114" t="s">
        <v>735</v>
      </c>
      <c r="C124" s="114" t="s">
        <v>628</v>
      </c>
      <c r="D124" s="177" t="s">
        <v>633</v>
      </c>
      <c r="E124" s="114" t="s">
        <v>636</v>
      </c>
      <c r="F124" s="114" t="str">
        <f t="shared" si="5"/>
        <v>JuvenileViolence_against_the_personSummary_non-motoringNo_of_reoffences</v>
      </c>
      <c r="G124" s="114">
        <f t="shared" si="4"/>
        <v>1074</v>
      </c>
      <c r="H124" s="114">
        <v>1074</v>
      </c>
      <c r="I124" s="114" t="s">
        <v>623</v>
      </c>
    </row>
    <row r="125" spans="1:9">
      <c r="A125" s="114" t="s">
        <v>622</v>
      </c>
      <c r="B125" s="114" t="s">
        <v>735</v>
      </c>
      <c r="C125" s="114" t="s">
        <v>628</v>
      </c>
      <c r="D125" s="177" t="s">
        <v>634</v>
      </c>
      <c r="E125" s="114" t="s">
        <v>636</v>
      </c>
      <c r="F125" s="114" t="str">
        <f t="shared" si="5"/>
        <v>JuvenileViolence_against_the_personSummary_motoringNo_of_reoffences</v>
      </c>
      <c r="G125" s="114">
        <f t="shared" si="4"/>
        <v>181</v>
      </c>
      <c r="H125" s="114">
        <v>181</v>
      </c>
      <c r="I125" s="114" t="s">
        <v>623</v>
      </c>
    </row>
    <row r="126" spans="1:9">
      <c r="A126" s="114" t="s">
        <v>622</v>
      </c>
      <c r="B126" s="114" t="s">
        <v>735</v>
      </c>
      <c r="C126" s="114" t="s">
        <v>628</v>
      </c>
      <c r="D126" s="177" t="s">
        <v>621</v>
      </c>
      <c r="E126" s="114" t="s">
        <v>636</v>
      </c>
      <c r="F126" s="114" t="str">
        <f t="shared" si="5"/>
        <v>JuvenileViolence_against_the_personOtherNo_of_reoffences</v>
      </c>
      <c r="G126" s="114">
        <f t="shared" si="4"/>
        <v>15</v>
      </c>
      <c r="H126" s="114">
        <v>15</v>
      </c>
      <c r="I126" s="114" t="s">
        <v>623</v>
      </c>
    </row>
    <row r="127" spans="1:9">
      <c r="A127" s="114" t="s">
        <v>622</v>
      </c>
      <c r="B127" s="114" t="s">
        <v>735</v>
      </c>
      <c r="C127" s="114" t="s">
        <v>628</v>
      </c>
      <c r="D127" s="177" t="s">
        <v>635</v>
      </c>
      <c r="E127" s="114" t="s">
        <v>636</v>
      </c>
      <c r="F127" s="114" t="str">
        <f t="shared" si="5"/>
        <v>JuvenileViolence_against_the_personTotal_reoffencesNo_of_reoffences</v>
      </c>
      <c r="G127" s="114">
        <f t="shared" si="4"/>
        <v>2921</v>
      </c>
      <c r="H127" s="114">
        <v>2921</v>
      </c>
      <c r="I127" s="114" t="s">
        <v>623</v>
      </c>
    </row>
    <row r="128" spans="1:9">
      <c r="A128" s="114" t="s">
        <v>622</v>
      </c>
      <c r="B128" s="114" t="s">
        <v>735</v>
      </c>
      <c r="C128" s="114" t="s">
        <v>617</v>
      </c>
      <c r="D128" s="114" t="s">
        <v>628</v>
      </c>
      <c r="E128" s="114" t="s">
        <v>636</v>
      </c>
      <c r="F128" s="114" t="str">
        <f t="shared" si="5"/>
        <v>JuvenileSexualViolence_against_the_personNo_of_reoffences</v>
      </c>
      <c r="G128" s="114">
        <f t="shared" si="4"/>
        <v>2</v>
      </c>
      <c r="H128" s="114">
        <v>2</v>
      </c>
      <c r="I128" s="114" t="s">
        <v>623</v>
      </c>
    </row>
    <row r="129" spans="1:9">
      <c r="A129" s="114" t="s">
        <v>622</v>
      </c>
      <c r="B129" s="114" t="s">
        <v>735</v>
      </c>
      <c r="C129" s="114" t="s">
        <v>617</v>
      </c>
      <c r="D129" s="114" t="s">
        <v>617</v>
      </c>
      <c r="E129" s="114" t="s">
        <v>636</v>
      </c>
      <c r="F129" s="114" t="str">
        <f t="shared" si="5"/>
        <v>JuvenileSexualSexualNo_of_reoffences</v>
      </c>
      <c r="G129" s="114">
        <f t="shared" si="4"/>
        <v>4</v>
      </c>
      <c r="H129" s="114">
        <v>4</v>
      </c>
      <c r="I129" s="114" t="s">
        <v>623</v>
      </c>
    </row>
    <row r="130" spans="1:9">
      <c r="A130" s="114" t="s">
        <v>622</v>
      </c>
      <c r="B130" s="114" t="s">
        <v>735</v>
      </c>
      <c r="C130" s="114" t="s">
        <v>617</v>
      </c>
      <c r="D130" s="114" t="s">
        <v>292</v>
      </c>
      <c r="E130" s="114" t="s">
        <v>636</v>
      </c>
      <c r="F130" s="114" t="str">
        <f t="shared" si="5"/>
        <v>JuvenileSexualRobberyNo_of_reoffences</v>
      </c>
      <c r="G130" s="114">
        <f t="shared" si="4"/>
        <v>0</v>
      </c>
      <c r="H130" s="114">
        <v>0</v>
      </c>
      <c r="I130" s="114" t="s">
        <v>623</v>
      </c>
    </row>
    <row r="131" spans="1:9">
      <c r="A131" s="114" t="s">
        <v>622</v>
      </c>
      <c r="B131" s="114" t="s">
        <v>735</v>
      </c>
      <c r="C131" s="114" t="s">
        <v>617</v>
      </c>
      <c r="D131" s="114" t="s">
        <v>293</v>
      </c>
      <c r="E131" s="114" t="s">
        <v>636</v>
      </c>
      <c r="F131" s="114" t="str">
        <f t="shared" si="5"/>
        <v>JuvenileSexualTheftNo_of_reoffences</v>
      </c>
      <c r="G131" s="114">
        <f t="shared" si="4"/>
        <v>8</v>
      </c>
      <c r="H131" s="114">
        <v>8</v>
      </c>
      <c r="I131" s="114" t="s">
        <v>623</v>
      </c>
    </row>
    <row r="132" spans="1:9">
      <c r="A132" s="114" t="s">
        <v>622</v>
      </c>
      <c r="B132" s="114" t="s">
        <v>735</v>
      </c>
      <c r="C132" s="114" t="s">
        <v>617</v>
      </c>
      <c r="D132" s="114" t="s">
        <v>629</v>
      </c>
      <c r="E132" s="114" t="s">
        <v>636</v>
      </c>
      <c r="F132" s="114" t="str">
        <f t="shared" ref="F132:F163" si="6">A132&amp;C132&amp;D132&amp;E132</f>
        <v>JuvenileSexualCriminal_damage_and_arsonNo_of_reoffences</v>
      </c>
      <c r="G132" s="114">
        <f t="shared" si="4"/>
        <v>0</v>
      </c>
      <c r="H132" s="114">
        <v>0</v>
      </c>
      <c r="I132" s="114" t="s">
        <v>623</v>
      </c>
    </row>
    <row r="133" spans="1:9">
      <c r="A133" s="114" t="s">
        <v>622</v>
      </c>
      <c r="B133" s="114" t="s">
        <v>735</v>
      </c>
      <c r="C133" s="114" t="s">
        <v>617</v>
      </c>
      <c r="D133" s="177" t="s">
        <v>619</v>
      </c>
      <c r="E133" s="114" t="s">
        <v>636</v>
      </c>
      <c r="F133" s="114" t="str">
        <f t="shared" si="6"/>
        <v>JuvenileSexualDrugNo_of_reoffences</v>
      </c>
      <c r="G133" s="114">
        <f t="shared" ref="G133:G183" si="7">H133</f>
        <v>7</v>
      </c>
      <c r="H133" s="114">
        <v>7</v>
      </c>
      <c r="I133" s="114" t="s">
        <v>623</v>
      </c>
    </row>
    <row r="134" spans="1:9">
      <c r="A134" s="114" t="s">
        <v>622</v>
      </c>
      <c r="B134" s="114" t="s">
        <v>735</v>
      </c>
      <c r="C134" s="114" t="s">
        <v>617</v>
      </c>
      <c r="D134" s="177" t="s">
        <v>630</v>
      </c>
      <c r="E134" s="114" t="s">
        <v>636</v>
      </c>
      <c r="F134" s="114" t="str">
        <f t="shared" si="6"/>
        <v>JuvenileSexualPossession_of_weaponsNo_of_reoffences</v>
      </c>
      <c r="G134" s="114">
        <f t="shared" si="7"/>
        <v>2</v>
      </c>
      <c r="H134" s="114">
        <v>2</v>
      </c>
      <c r="I134" s="114" t="s">
        <v>623</v>
      </c>
    </row>
    <row r="135" spans="1:9">
      <c r="A135" s="114" t="s">
        <v>622</v>
      </c>
      <c r="B135" s="114" t="s">
        <v>735</v>
      </c>
      <c r="C135" s="114" t="s">
        <v>617</v>
      </c>
      <c r="D135" s="177" t="s">
        <v>631</v>
      </c>
      <c r="E135" s="114" t="s">
        <v>636</v>
      </c>
      <c r="F135" s="114" t="str">
        <f t="shared" si="6"/>
        <v>JuvenileSexualPublic_orderNo_of_reoffences</v>
      </c>
      <c r="G135" s="114">
        <f t="shared" si="7"/>
        <v>10</v>
      </c>
      <c r="H135" s="114">
        <v>10</v>
      </c>
      <c r="I135" s="114" t="s">
        <v>623</v>
      </c>
    </row>
    <row r="136" spans="1:9">
      <c r="A136" s="114" t="s">
        <v>622</v>
      </c>
      <c r="B136" s="114" t="s">
        <v>735</v>
      </c>
      <c r="C136" s="114" t="s">
        <v>617</v>
      </c>
      <c r="D136" s="177" t="s">
        <v>632</v>
      </c>
      <c r="E136" s="114" t="s">
        <v>636</v>
      </c>
      <c r="F136" s="114" t="str">
        <f t="shared" si="6"/>
        <v>JuvenileSexualMiscellaneous_crimes_against_societyNo_of_reoffences</v>
      </c>
      <c r="G136" s="114">
        <f t="shared" si="7"/>
        <v>2</v>
      </c>
      <c r="H136" s="114">
        <v>2</v>
      </c>
      <c r="I136" s="114" t="s">
        <v>623</v>
      </c>
    </row>
    <row r="137" spans="1:9">
      <c r="A137" s="114" t="s">
        <v>622</v>
      </c>
      <c r="B137" s="114" t="s">
        <v>735</v>
      </c>
      <c r="C137" s="114" t="s">
        <v>617</v>
      </c>
      <c r="D137" s="177" t="s">
        <v>424</v>
      </c>
      <c r="E137" s="114" t="s">
        <v>636</v>
      </c>
      <c r="F137" s="114" t="str">
        <f t="shared" si="6"/>
        <v>JuvenileSexualFraudNo_of_reoffences</v>
      </c>
      <c r="G137" s="114">
        <f t="shared" si="7"/>
        <v>1</v>
      </c>
      <c r="H137" s="114">
        <v>1</v>
      </c>
      <c r="I137" s="114" t="s">
        <v>623</v>
      </c>
    </row>
    <row r="138" spans="1:9">
      <c r="A138" s="114" t="s">
        <v>622</v>
      </c>
      <c r="B138" s="114" t="s">
        <v>735</v>
      </c>
      <c r="C138" s="114" t="s">
        <v>617</v>
      </c>
      <c r="D138" s="177" t="s">
        <v>633</v>
      </c>
      <c r="E138" s="114" t="s">
        <v>636</v>
      </c>
      <c r="F138" s="114" t="str">
        <f t="shared" si="6"/>
        <v>JuvenileSexualSummary_non-motoringNo_of_reoffences</v>
      </c>
      <c r="G138" s="114">
        <f t="shared" si="7"/>
        <v>37</v>
      </c>
      <c r="H138" s="114">
        <v>37</v>
      </c>
      <c r="I138" s="114" t="s">
        <v>623</v>
      </c>
    </row>
    <row r="139" spans="1:9">
      <c r="A139" s="114" t="s">
        <v>622</v>
      </c>
      <c r="B139" s="114" t="s">
        <v>735</v>
      </c>
      <c r="C139" s="114" t="s">
        <v>617</v>
      </c>
      <c r="D139" s="177" t="s">
        <v>634</v>
      </c>
      <c r="E139" s="114" t="s">
        <v>636</v>
      </c>
      <c r="F139" s="114" t="str">
        <f t="shared" si="6"/>
        <v>JuvenileSexualSummary_motoringNo_of_reoffences</v>
      </c>
      <c r="G139" s="114">
        <f t="shared" si="7"/>
        <v>0</v>
      </c>
      <c r="H139" s="114">
        <v>0</v>
      </c>
      <c r="I139" s="114" t="s">
        <v>623</v>
      </c>
    </row>
    <row r="140" spans="1:9">
      <c r="A140" s="114" t="s">
        <v>622</v>
      </c>
      <c r="B140" s="114" t="s">
        <v>735</v>
      </c>
      <c r="C140" s="114" t="s">
        <v>617</v>
      </c>
      <c r="D140" s="177" t="s">
        <v>621</v>
      </c>
      <c r="E140" s="114" t="s">
        <v>636</v>
      </c>
      <c r="F140" s="114" t="str">
        <f t="shared" si="6"/>
        <v>JuvenileSexualOtherNo_of_reoffences</v>
      </c>
      <c r="G140" s="114">
        <f t="shared" si="7"/>
        <v>0</v>
      </c>
      <c r="H140" s="114">
        <v>0</v>
      </c>
      <c r="I140" s="114" t="s">
        <v>623</v>
      </c>
    </row>
    <row r="141" spans="1:9">
      <c r="A141" s="114" t="s">
        <v>622</v>
      </c>
      <c r="B141" s="114" t="s">
        <v>735</v>
      </c>
      <c r="C141" s="114" t="s">
        <v>617</v>
      </c>
      <c r="D141" s="177" t="s">
        <v>635</v>
      </c>
      <c r="E141" s="114" t="s">
        <v>636</v>
      </c>
      <c r="F141" s="114" t="str">
        <f t="shared" si="6"/>
        <v>JuvenileSexualTotal_reoffencesNo_of_reoffences</v>
      </c>
      <c r="G141" s="114">
        <f t="shared" si="7"/>
        <v>73</v>
      </c>
      <c r="H141" s="114">
        <v>73</v>
      </c>
      <c r="I141" s="114" t="s">
        <v>623</v>
      </c>
    </row>
    <row r="142" spans="1:9">
      <c r="A142" s="114" t="s">
        <v>622</v>
      </c>
      <c r="B142" s="114" t="s">
        <v>735</v>
      </c>
      <c r="C142" s="114" t="s">
        <v>292</v>
      </c>
      <c r="D142" s="114" t="s">
        <v>628</v>
      </c>
      <c r="E142" s="114" t="s">
        <v>636</v>
      </c>
      <c r="F142" s="114" t="str">
        <f t="shared" si="6"/>
        <v>JuvenileRobberyViolence_against_the_personNo_of_reoffences</v>
      </c>
      <c r="G142" s="114">
        <f t="shared" si="7"/>
        <v>88</v>
      </c>
      <c r="H142" s="114">
        <v>88</v>
      </c>
      <c r="I142" s="114" t="s">
        <v>623</v>
      </c>
    </row>
    <row r="143" spans="1:9">
      <c r="A143" s="114" t="s">
        <v>622</v>
      </c>
      <c r="B143" s="114" t="s">
        <v>735</v>
      </c>
      <c r="C143" s="114" t="s">
        <v>292</v>
      </c>
      <c r="D143" s="114" t="s">
        <v>617</v>
      </c>
      <c r="E143" s="114" t="s">
        <v>636</v>
      </c>
      <c r="F143" s="114" t="str">
        <f t="shared" si="6"/>
        <v>JuvenileRobberySexualNo_of_reoffences</v>
      </c>
      <c r="G143" s="114">
        <f t="shared" si="7"/>
        <v>2</v>
      </c>
      <c r="H143" s="114">
        <v>2</v>
      </c>
      <c r="I143" s="114" t="s">
        <v>623</v>
      </c>
    </row>
    <row r="144" spans="1:9">
      <c r="A144" s="114" t="s">
        <v>622</v>
      </c>
      <c r="B144" s="114" t="s">
        <v>735</v>
      </c>
      <c r="C144" s="114" t="s">
        <v>292</v>
      </c>
      <c r="D144" s="114" t="s">
        <v>292</v>
      </c>
      <c r="E144" s="114" t="s">
        <v>636</v>
      </c>
      <c r="F144" s="114" t="str">
        <f t="shared" si="6"/>
        <v>JuvenileRobberyRobberyNo_of_reoffences</v>
      </c>
      <c r="G144" s="114">
        <f t="shared" si="7"/>
        <v>206</v>
      </c>
      <c r="H144" s="114">
        <v>206</v>
      </c>
      <c r="I144" s="114" t="s">
        <v>623</v>
      </c>
    </row>
    <row r="145" spans="1:9">
      <c r="A145" s="114" t="s">
        <v>622</v>
      </c>
      <c r="B145" s="114" t="s">
        <v>735</v>
      </c>
      <c r="C145" s="114" t="s">
        <v>292</v>
      </c>
      <c r="D145" s="114" t="s">
        <v>293</v>
      </c>
      <c r="E145" s="114" t="s">
        <v>636</v>
      </c>
      <c r="F145" s="114" t="str">
        <f t="shared" si="6"/>
        <v>JuvenileRobberyTheftNo_of_reoffences</v>
      </c>
      <c r="G145" s="114">
        <f t="shared" si="7"/>
        <v>208</v>
      </c>
      <c r="H145" s="114">
        <v>208</v>
      </c>
      <c r="I145" s="114" t="s">
        <v>623</v>
      </c>
    </row>
    <row r="146" spans="1:9">
      <c r="A146" s="114" t="s">
        <v>622</v>
      </c>
      <c r="B146" s="114" t="s">
        <v>735</v>
      </c>
      <c r="C146" s="114" t="s">
        <v>292</v>
      </c>
      <c r="D146" s="114" t="s">
        <v>629</v>
      </c>
      <c r="E146" s="114" t="s">
        <v>636</v>
      </c>
      <c r="F146" s="114" t="str">
        <f t="shared" si="6"/>
        <v>JuvenileRobberyCriminal_damage_and_arsonNo_of_reoffences</v>
      </c>
      <c r="G146" s="114">
        <f t="shared" si="7"/>
        <v>4</v>
      </c>
      <c r="H146" s="114">
        <v>4</v>
      </c>
      <c r="I146" s="114" t="s">
        <v>623</v>
      </c>
    </row>
    <row r="147" spans="1:9">
      <c r="A147" s="114" t="s">
        <v>622</v>
      </c>
      <c r="B147" s="114" t="s">
        <v>735</v>
      </c>
      <c r="C147" s="114" t="s">
        <v>292</v>
      </c>
      <c r="D147" s="177" t="s">
        <v>619</v>
      </c>
      <c r="E147" s="114" t="s">
        <v>636</v>
      </c>
      <c r="F147" s="114" t="str">
        <f t="shared" si="6"/>
        <v>JuvenileRobberyDrugNo_of_reoffences</v>
      </c>
      <c r="G147" s="114">
        <f t="shared" si="7"/>
        <v>249</v>
      </c>
      <c r="H147" s="114">
        <v>249</v>
      </c>
      <c r="I147" s="114" t="s">
        <v>623</v>
      </c>
    </row>
    <row r="148" spans="1:9">
      <c r="A148" s="114" t="s">
        <v>622</v>
      </c>
      <c r="B148" s="114" t="s">
        <v>735</v>
      </c>
      <c r="C148" s="114" t="s">
        <v>292</v>
      </c>
      <c r="D148" s="177" t="s">
        <v>630</v>
      </c>
      <c r="E148" s="114" t="s">
        <v>636</v>
      </c>
      <c r="F148" s="114" t="str">
        <f t="shared" si="6"/>
        <v>JuvenileRobberyPossession_of_weaponsNo_of_reoffences</v>
      </c>
      <c r="G148" s="114">
        <f t="shared" si="7"/>
        <v>135</v>
      </c>
      <c r="H148" s="114">
        <v>135</v>
      </c>
      <c r="I148" s="114" t="s">
        <v>623</v>
      </c>
    </row>
    <row r="149" spans="1:9">
      <c r="A149" s="114" t="s">
        <v>622</v>
      </c>
      <c r="B149" s="114" t="s">
        <v>735</v>
      </c>
      <c r="C149" s="114" t="s">
        <v>292</v>
      </c>
      <c r="D149" s="177" t="s">
        <v>631</v>
      </c>
      <c r="E149" s="114" t="s">
        <v>636</v>
      </c>
      <c r="F149" s="114" t="str">
        <f t="shared" si="6"/>
        <v>JuvenileRobberyPublic_orderNo_of_reoffences</v>
      </c>
      <c r="G149" s="114">
        <f t="shared" si="7"/>
        <v>77</v>
      </c>
      <c r="H149" s="114">
        <v>77</v>
      </c>
      <c r="I149" s="114" t="s">
        <v>623</v>
      </c>
    </row>
    <row r="150" spans="1:9">
      <c r="A150" s="114" t="s">
        <v>622</v>
      </c>
      <c r="B150" s="114" t="s">
        <v>735</v>
      </c>
      <c r="C150" s="114" t="s">
        <v>292</v>
      </c>
      <c r="D150" s="177" t="s">
        <v>632</v>
      </c>
      <c r="E150" s="114" t="s">
        <v>636</v>
      </c>
      <c r="F150" s="114" t="str">
        <f t="shared" si="6"/>
        <v>JuvenileRobberyMiscellaneous_crimes_against_societyNo_of_reoffences</v>
      </c>
      <c r="G150" s="114">
        <f t="shared" si="7"/>
        <v>33</v>
      </c>
      <c r="H150" s="114">
        <v>33</v>
      </c>
      <c r="I150" s="114" t="s">
        <v>623</v>
      </c>
    </row>
    <row r="151" spans="1:9">
      <c r="A151" s="114" t="s">
        <v>622</v>
      </c>
      <c r="B151" s="114" t="s">
        <v>735</v>
      </c>
      <c r="C151" s="114" t="s">
        <v>292</v>
      </c>
      <c r="D151" s="177" t="s">
        <v>424</v>
      </c>
      <c r="E151" s="114" t="s">
        <v>636</v>
      </c>
      <c r="F151" s="114" t="str">
        <f t="shared" si="6"/>
        <v>JuvenileRobberyFraudNo_of_reoffences</v>
      </c>
      <c r="G151" s="114">
        <f t="shared" si="7"/>
        <v>45</v>
      </c>
      <c r="H151" s="114">
        <v>45</v>
      </c>
      <c r="I151" s="114" t="s">
        <v>623</v>
      </c>
    </row>
    <row r="152" spans="1:9">
      <c r="A152" s="114" t="s">
        <v>622</v>
      </c>
      <c r="B152" s="114" t="s">
        <v>735</v>
      </c>
      <c r="C152" s="114" t="s">
        <v>292</v>
      </c>
      <c r="D152" s="177" t="s">
        <v>633</v>
      </c>
      <c r="E152" s="114" t="s">
        <v>636</v>
      </c>
      <c r="F152" s="114" t="str">
        <f t="shared" si="6"/>
        <v>JuvenileRobberySummary_non-motoringNo_of_reoffences</v>
      </c>
      <c r="G152" s="114">
        <f t="shared" si="7"/>
        <v>260</v>
      </c>
      <c r="H152" s="114">
        <v>260</v>
      </c>
      <c r="I152" s="114" t="s">
        <v>623</v>
      </c>
    </row>
    <row r="153" spans="1:9">
      <c r="A153" s="114" t="s">
        <v>622</v>
      </c>
      <c r="B153" s="114" t="s">
        <v>735</v>
      </c>
      <c r="C153" s="114" t="s">
        <v>292</v>
      </c>
      <c r="D153" s="177" t="s">
        <v>634</v>
      </c>
      <c r="E153" s="114" t="s">
        <v>636</v>
      </c>
      <c r="F153" s="114" t="str">
        <f t="shared" si="6"/>
        <v>JuvenileRobberySummary_motoringNo_of_reoffences</v>
      </c>
      <c r="G153" s="114">
        <f t="shared" si="7"/>
        <v>168</v>
      </c>
      <c r="H153" s="114">
        <v>168</v>
      </c>
      <c r="I153" s="114" t="s">
        <v>623</v>
      </c>
    </row>
    <row r="154" spans="1:9">
      <c r="A154" s="114" t="s">
        <v>622</v>
      </c>
      <c r="B154" s="114" t="s">
        <v>735</v>
      </c>
      <c r="C154" s="114" t="s">
        <v>292</v>
      </c>
      <c r="D154" s="177" t="s">
        <v>621</v>
      </c>
      <c r="E154" s="114" t="s">
        <v>636</v>
      </c>
      <c r="F154" s="114" t="str">
        <f t="shared" si="6"/>
        <v>JuvenileRobberyOtherNo_of_reoffences</v>
      </c>
      <c r="G154" s="114">
        <f t="shared" si="7"/>
        <v>3</v>
      </c>
      <c r="H154" s="114">
        <v>3</v>
      </c>
      <c r="I154" s="114" t="s">
        <v>623</v>
      </c>
    </row>
    <row r="155" spans="1:9">
      <c r="A155" s="114" t="s">
        <v>622</v>
      </c>
      <c r="B155" s="114" t="s">
        <v>735</v>
      </c>
      <c r="C155" s="114" t="s">
        <v>292</v>
      </c>
      <c r="D155" s="177" t="s">
        <v>635</v>
      </c>
      <c r="E155" s="114" t="s">
        <v>636</v>
      </c>
      <c r="F155" s="114" t="str">
        <f t="shared" si="6"/>
        <v>JuvenileRobberyTotal_reoffencesNo_of_reoffences</v>
      </c>
      <c r="G155" s="114">
        <f t="shared" si="7"/>
        <v>1478</v>
      </c>
      <c r="H155" s="114">
        <v>1478</v>
      </c>
      <c r="I155" s="114" t="s">
        <v>623</v>
      </c>
    </row>
    <row r="156" spans="1:9">
      <c r="A156" s="114" t="s">
        <v>622</v>
      </c>
      <c r="B156" s="114" t="s">
        <v>735</v>
      </c>
      <c r="C156" s="114" t="s">
        <v>293</v>
      </c>
      <c r="D156" s="114" t="s">
        <v>628</v>
      </c>
      <c r="E156" s="114" t="s">
        <v>636</v>
      </c>
      <c r="F156" s="114" t="str">
        <f t="shared" si="6"/>
        <v>JuvenileTheftViolence_against_the_personNo_of_reoffences</v>
      </c>
      <c r="G156" s="114">
        <f t="shared" si="7"/>
        <v>330</v>
      </c>
      <c r="H156" s="114">
        <v>330</v>
      </c>
      <c r="I156" s="114" t="s">
        <v>623</v>
      </c>
    </row>
    <row r="157" spans="1:9">
      <c r="A157" s="114" t="s">
        <v>622</v>
      </c>
      <c r="B157" s="114" t="s">
        <v>735</v>
      </c>
      <c r="C157" s="114" t="s">
        <v>293</v>
      </c>
      <c r="D157" s="114" t="s">
        <v>617</v>
      </c>
      <c r="E157" s="114" t="s">
        <v>636</v>
      </c>
      <c r="F157" s="114" t="str">
        <f t="shared" si="6"/>
        <v>JuvenileTheftSexualNo_of_reoffences</v>
      </c>
      <c r="G157" s="114">
        <f t="shared" si="7"/>
        <v>14</v>
      </c>
      <c r="H157" s="114">
        <v>14</v>
      </c>
      <c r="I157" s="114" t="s">
        <v>623</v>
      </c>
    </row>
    <row r="158" spans="1:9">
      <c r="A158" s="114" t="s">
        <v>622</v>
      </c>
      <c r="B158" s="114" t="s">
        <v>735</v>
      </c>
      <c r="C158" s="114" t="s">
        <v>293</v>
      </c>
      <c r="D158" s="114" t="s">
        <v>292</v>
      </c>
      <c r="E158" s="114" t="s">
        <v>636</v>
      </c>
      <c r="F158" s="114" t="str">
        <f t="shared" si="6"/>
        <v>JuvenileTheftRobberyNo_of_reoffences</v>
      </c>
      <c r="G158" s="114">
        <f t="shared" si="7"/>
        <v>231</v>
      </c>
      <c r="H158" s="114">
        <v>231</v>
      </c>
      <c r="I158" s="114" t="s">
        <v>623</v>
      </c>
    </row>
    <row r="159" spans="1:9">
      <c r="A159" s="114" t="s">
        <v>622</v>
      </c>
      <c r="B159" s="114" t="s">
        <v>735</v>
      </c>
      <c r="C159" s="114" t="s">
        <v>293</v>
      </c>
      <c r="D159" s="114" t="s">
        <v>293</v>
      </c>
      <c r="E159" s="114" t="s">
        <v>636</v>
      </c>
      <c r="F159" s="114" t="str">
        <f t="shared" si="6"/>
        <v>JuvenileTheftTheftNo_of_reoffences</v>
      </c>
      <c r="G159" s="114">
        <f t="shared" si="7"/>
        <v>1736</v>
      </c>
      <c r="H159" s="114">
        <v>1736</v>
      </c>
      <c r="I159" s="114" t="s">
        <v>623</v>
      </c>
    </row>
    <row r="160" spans="1:9">
      <c r="A160" s="114" t="s">
        <v>622</v>
      </c>
      <c r="B160" s="114" t="s">
        <v>735</v>
      </c>
      <c r="C160" s="114" t="s">
        <v>293</v>
      </c>
      <c r="D160" s="114" t="s">
        <v>629</v>
      </c>
      <c r="E160" s="114" t="s">
        <v>636</v>
      </c>
      <c r="F160" s="114" t="str">
        <f t="shared" si="6"/>
        <v>JuvenileTheftCriminal_damage_and_arsonNo_of_reoffences</v>
      </c>
      <c r="G160" s="114">
        <f t="shared" si="7"/>
        <v>33</v>
      </c>
      <c r="H160" s="114">
        <v>33</v>
      </c>
      <c r="I160" s="114" t="s">
        <v>623</v>
      </c>
    </row>
    <row r="161" spans="1:9">
      <c r="A161" s="114" t="s">
        <v>622</v>
      </c>
      <c r="B161" s="114" t="s">
        <v>735</v>
      </c>
      <c r="C161" s="114" t="s">
        <v>293</v>
      </c>
      <c r="D161" s="177" t="s">
        <v>619</v>
      </c>
      <c r="E161" s="114" t="s">
        <v>636</v>
      </c>
      <c r="F161" s="114" t="str">
        <f t="shared" si="6"/>
        <v>JuvenileTheftDrugNo_of_reoffences</v>
      </c>
      <c r="G161" s="114">
        <f t="shared" si="7"/>
        <v>423</v>
      </c>
      <c r="H161" s="114">
        <v>423</v>
      </c>
      <c r="I161" s="114" t="s">
        <v>623</v>
      </c>
    </row>
    <row r="162" spans="1:9">
      <c r="A162" s="114" t="s">
        <v>622</v>
      </c>
      <c r="B162" s="114" t="s">
        <v>735</v>
      </c>
      <c r="C162" s="114" t="s">
        <v>293</v>
      </c>
      <c r="D162" s="177" t="s">
        <v>630</v>
      </c>
      <c r="E162" s="114" t="s">
        <v>636</v>
      </c>
      <c r="F162" s="114" t="str">
        <f t="shared" si="6"/>
        <v>JuvenileTheftPossession_of_weaponsNo_of_reoffences</v>
      </c>
      <c r="G162" s="114">
        <f t="shared" si="7"/>
        <v>214</v>
      </c>
      <c r="H162" s="114">
        <v>214</v>
      </c>
      <c r="I162" s="114" t="s">
        <v>623</v>
      </c>
    </row>
    <row r="163" spans="1:9">
      <c r="A163" s="114" t="s">
        <v>622</v>
      </c>
      <c r="B163" s="114" t="s">
        <v>735</v>
      </c>
      <c r="C163" s="114" t="s">
        <v>293</v>
      </c>
      <c r="D163" s="177" t="s">
        <v>631</v>
      </c>
      <c r="E163" s="114" t="s">
        <v>636</v>
      </c>
      <c r="F163" s="114" t="str">
        <f t="shared" si="6"/>
        <v>JuvenileTheftPublic_orderNo_of_reoffences</v>
      </c>
      <c r="G163" s="114">
        <f t="shared" si="7"/>
        <v>232</v>
      </c>
      <c r="H163" s="114">
        <v>232</v>
      </c>
      <c r="I163" s="114" t="s">
        <v>623</v>
      </c>
    </row>
    <row r="164" spans="1:9">
      <c r="A164" s="114" t="s">
        <v>622</v>
      </c>
      <c r="B164" s="114" t="s">
        <v>735</v>
      </c>
      <c r="C164" s="114" t="s">
        <v>293</v>
      </c>
      <c r="D164" s="177" t="s">
        <v>632</v>
      </c>
      <c r="E164" s="114" t="s">
        <v>636</v>
      </c>
      <c r="F164" s="114" t="str">
        <f t="shared" ref="F164:F183" si="8">A164&amp;C164&amp;D164&amp;E164</f>
        <v>JuvenileTheftMiscellaneous_crimes_against_societyNo_of_reoffences</v>
      </c>
      <c r="G164" s="114">
        <f t="shared" si="7"/>
        <v>159</v>
      </c>
      <c r="H164" s="114">
        <v>159</v>
      </c>
      <c r="I164" s="114" t="s">
        <v>623</v>
      </c>
    </row>
    <row r="165" spans="1:9">
      <c r="A165" s="114" t="s">
        <v>622</v>
      </c>
      <c r="B165" s="114" t="s">
        <v>735</v>
      </c>
      <c r="C165" s="114" t="s">
        <v>293</v>
      </c>
      <c r="D165" s="177" t="s">
        <v>424</v>
      </c>
      <c r="E165" s="114" t="s">
        <v>636</v>
      </c>
      <c r="F165" s="114" t="str">
        <f t="shared" si="8"/>
        <v>JuvenileTheftFraudNo_of_reoffences</v>
      </c>
      <c r="G165" s="114">
        <f t="shared" si="7"/>
        <v>137</v>
      </c>
      <c r="H165" s="114">
        <v>137</v>
      </c>
      <c r="I165" s="114" t="s">
        <v>623</v>
      </c>
    </row>
    <row r="166" spans="1:9">
      <c r="A166" s="114" t="s">
        <v>622</v>
      </c>
      <c r="B166" s="114" t="s">
        <v>735</v>
      </c>
      <c r="C166" s="114" t="s">
        <v>293</v>
      </c>
      <c r="D166" s="177" t="s">
        <v>633</v>
      </c>
      <c r="E166" s="114" t="s">
        <v>636</v>
      </c>
      <c r="F166" s="114" t="str">
        <f t="shared" si="8"/>
        <v>JuvenileTheftSummary_non-motoringNo_of_reoffences</v>
      </c>
      <c r="G166" s="114">
        <f t="shared" si="7"/>
        <v>1245</v>
      </c>
      <c r="H166" s="114">
        <v>1245</v>
      </c>
      <c r="I166" s="114" t="s">
        <v>623</v>
      </c>
    </row>
    <row r="167" spans="1:9">
      <c r="A167" s="114" t="s">
        <v>622</v>
      </c>
      <c r="B167" s="114" t="s">
        <v>735</v>
      </c>
      <c r="C167" s="114" t="s">
        <v>293</v>
      </c>
      <c r="D167" s="177" t="s">
        <v>634</v>
      </c>
      <c r="E167" s="114" t="s">
        <v>636</v>
      </c>
      <c r="F167" s="114" t="str">
        <f t="shared" si="8"/>
        <v>JuvenileTheftSummary_motoringNo_of_reoffences</v>
      </c>
      <c r="G167" s="114">
        <f t="shared" si="7"/>
        <v>663</v>
      </c>
      <c r="H167" s="114">
        <v>663</v>
      </c>
      <c r="I167" s="114" t="s">
        <v>623</v>
      </c>
    </row>
    <row r="168" spans="1:9">
      <c r="A168" s="114" t="s">
        <v>622</v>
      </c>
      <c r="B168" s="114" t="s">
        <v>735</v>
      </c>
      <c r="C168" s="114" t="s">
        <v>293</v>
      </c>
      <c r="D168" s="177" t="s">
        <v>621</v>
      </c>
      <c r="E168" s="114" t="s">
        <v>636</v>
      </c>
      <c r="F168" s="114" t="str">
        <f t="shared" si="8"/>
        <v>JuvenileTheftOtherNo_of_reoffences</v>
      </c>
      <c r="G168" s="114">
        <f t="shared" si="7"/>
        <v>12</v>
      </c>
      <c r="H168" s="114">
        <v>12</v>
      </c>
      <c r="I168" s="114" t="s">
        <v>623</v>
      </c>
    </row>
    <row r="169" spans="1:9">
      <c r="A169" s="114" t="s">
        <v>622</v>
      </c>
      <c r="B169" s="114" t="s">
        <v>735</v>
      </c>
      <c r="C169" s="114" t="s">
        <v>293</v>
      </c>
      <c r="D169" s="177" t="s">
        <v>635</v>
      </c>
      <c r="E169" s="114" t="s">
        <v>636</v>
      </c>
      <c r="F169" s="114" t="str">
        <f t="shared" si="8"/>
        <v>JuvenileTheftTotal_reoffencesNo_of_reoffences</v>
      </c>
      <c r="G169" s="114">
        <f t="shared" si="7"/>
        <v>5429</v>
      </c>
      <c r="H169" s="114">
        <v>5429</v>
      </c>
      <c r="I169" s="114" t="s">
        <v>623</v>
      </c>
    </row>
    <row r="170" spans="1:9">
      <c r="A170" s="114" t="s">
        <v>622</v>
      </c>
      <c r="B170" s="114" t="s">
        <v>735</v>
      </c>
      <c r="C170" s="114" t="s">
        <v>629</v>
      </c>
      <c r="D170" s="114" t="s">
        <v>628</v>
      </c>
      <c r="E170" s="114" t="s">
        <v>636</v>
      </c>
      <c r="F170" s="114" t="str">
        <f t="shared" si="8"/>
        <v>JuvenileCriminal_damage_and_arsonViolence_against_the_personNo_of_reoffences</v>
      </c>
      <c r="G170" s="114">
        <f t="shared" si="7"/>
        <v>31</v>
      </c>
      <c r="H170" s="114">
        <v>31</v>
      </c>
      <c r="I170" s="114" t="s">
        <v>623</v>
      </c>
    </row>
    <row r="171" spans="1:9">
      <c r="A171" s="114" t="s">
        <v>622</v>
      </c>
      <c r="B171" s="114" t="s">
        <v>735</v>
      </c>
      <c r="C171" s="114" t="s">
        <v>629</v>
      </c>
      <c r="D171" s="114" t="s">
        <v>617</v>
      </c>
      <c r="E171" s="114" t="s">
        <v>636</v>
      </c>
      <c r="F171" s="114" t="str">
        <f t="shared" si="8"/>
        <v>JuvenileCriminal_damage_and_arsonSexualNo_of_reoffences</v>
      </c>
      <c r="G171" s="114">
        <f t="shared" si="7"/>
        <v>0</v>
      </c>
      <c r="H171" s="114">
        <v>0</v>
      </c>
      <c r="I171" s="114" t="s">
        <v>623</v>
      </c>
    </row>
    <row r="172" spans="1:9">
      <c r="A172" s="114" t="s">
        <v>622</v>
      </c>
      <c r="B172" s="114" t="s">
        <v>735</v>
      </c>
      <c r="C172" s="114" t="s">
        <v>629</v>
      </c>
      <c r="D172" s="114" t="s">
        <v>292</v>
      </c>
      <c r="E172" s="114" t="s">
        <v>636</v>
      </c>
      <c r="F172" s="114" t="str">
        <f t="shared" si="8"/>
        <v>JuvenileCriminal_damage_and_arsonRobberyNo_of_reoffences</v>
      </c>
      <c r="G172" s="114">
        <f t="shared" si="7"/>
        <v>17</v>
      </c>
      <c r="H172" s="114">
        <v>17</v>
      </c>
      <c r="I172" s="114" t="s">
        <v>623</v>
      </c>
    </row>
    <row r="173" spans="1:9">
      <c r="A173" s="114" t="s">
        <v>622</v>
      </c>
      <c r="B173" s="114" t="s">
        <v>735</v>
      </c>
      <c r="C173" s="114" t="s">
        <v>629</v>
      </c>
      <c r="D173" s="114" t="s">
        <v>293</v>
      </c>
      <c r="E173" s="114" t="s">
        <v>636</v>
      </c>
      <c r="F173" s="114" t="str">
        <f t="shared" si="8"/>
        <v>JuvenileCriminal_damage_and_arsonTheftNo_of_reoffences</v>
      </c>
      <c r="G173" s="114">
        <f t="shared" si="7"/>
        <v>113</v>
      </c>
      <c r="H173" s="114">
        <v>113</v>
      </c>
      <c r="I173" s="114" t="s">
        <v>623</v>
      </c>
    </row>
    <row r="174" spans="1:9">
      <c r="A174" s="114" t="s">
        <v>622</v>
      </c>
      <c r="B174" s="114" t="s">
        <v>735</v>
      </c>
      <c r="C174" s="114" t="s">
        <v>629</v>
      </c>
      <c r="D174" s="114" t="s">
        <v>629</v>
      </c>
      <c r="E174" s="114" t="s">
        <v>636</v>
      </c>
      <c r="F174" s="114" t="str">
        <f t="shared" si="8"/>
        <v>JuvenileCriminal_damage_and_arsonCriminal_damage_and_arsonNo_of_reoffences</v>
      </c>
      <c r="G174" s="114">
        <f t="shared" si="7"/>
        <v>24</v>
      </c>
      <c r="H174" s="114">
        <v>24</v>
      </c>
      <c r="I174" s="114" t="s">
        <v>623</v>
      </c>
    </row>
    <row r="175" spans="1:9">
      <c r="A175" s="114" t="s">
        <v>622</v>
      </c>
      <c r="B175" s="114" t="s">
        <v>735</v>
      </c>
      <c r="C175" s="114" t="s">
        <v>629</v>
      </c>
      <c r="D175" s="177" t="s">
        <v>619</v>
      </c>
      <c r="E175" s="114" t="s">
        <v>636</v>
      </c>
      <c r="F175" s="114" t="str">
        <f t="shared" si="8"/>
        <v>JuvenileCriminal_damage_and_arsonDrugNo_of_reoffences</v>
      </c>
      <c r="G175" s="114">
        <f t="shared" si="7"/>
        <v>25</v>
      </c>
      <c r="H175" s="114">
        <v>25</v>
      </c>
      <c r="I175" s="114" t="s">
        <v>623</v>
      </c>
    </row>
    <row r="176" spans="1:9">
      <c r="A176" s="114" t="s">
        <v>622</v>
      </c>
      <c r="B176" s="114" t="s">
        <v>735</v>
      </c>
      <c r="C176" s="114" t="s">
        <v>629</v>
      </c>
      <c r="D176" s="177" t="s">
        <v>630</v>
      </c>
      <c r="E176" s="114" t="s">
        <v>636</v>
      </c>
      <c r="F176" s="114" t="str">
        <f t="shared" si="8"/>
        <v>JuvenileCriminal_damage_and_arsonPossession_of_weaponsNo_of_reoffences</v>
      </c>
      <c r="G176" s="114">
        <f t="shared" si="7"/>
        <v>19</v>
      </c>
      <c r="H176" s="114">
        <v>19</v>
      </c>
      <c r="I176" s="114" t="s">
        <v>623</v>
      </c>
    </row>
    <row r="177" spans="1:9">
      <c r="A177" s="114" t="s">
        <v>622</v>
      </c>
      <c r="B177" s="114" t="s">
        <v>735</v>
      </c>
      <c r="C177" s="114" t="s">
        <v>629</v>
      </c>
      <c r="D177" s="177" t="s">
        <v>631</v>
      </c>
      <c r="E177" s="114" t="s">
        <v>636</v>
      </c>
      <c r="F177" s="114" t="str">
        <f t="shared" si="8"/>
        <v>JuvenileCriminal_damage_and_arsonPublic_orderNo_of_reoffences</v>
      </c>
      <c r="G177" s="114">
        <f t="shared" si="7"/>
        <v>14</v>
      </c>
      <c r="H177" s="114">
        <v>14</v>
      </c>
      <c r="I177" s="114" t="s">
        <v>623</v>
      </c>
    </row>
    <row r="178" spans="1:9">
      <c r="A178" s="114" t="s">
        <v>622</v>
      </c>
      <c r="B178" s="114" t="s">
        <v>735</v>
      </c>
      <c r="C178" s="114" t="s">
        <v>629</v>
      </c>
      <c r="D178" s="177" t="s">
        <v>632</v>
      </c>
      <c r="E178" s="114" t="s">
        <v>636</v>
      </c>
      <c r="F178" s="114" t="str">
        <f t="shared" si="8"/>
        <v>JuvenileCriminal_damage_and_arsonMiscellaneous_crimes_against_societyNo_of_reoffences</v>
      </c>
      <c r="G178" s="114">
        <f t="shared" si="7"/>
        <v>10</v>
      </c>
      <c r="H178" s="114">
        <v>10</v>
      </c>
      <c r="I178" s="114" t="s">
        <v>623</v>
      </c>
    </row>
    <row r="179" spans="1:9">
      <c r="A179" s="114" t="s">
        <v>622</v>
      </c>
      <c r="B179" s="114" t="s">
        <v>735</v>
      </c>
      <c r="C179" s="114" t="s">
        <v>629</v>
      </c>
      <c r="D179" s="177" t="s">
        <v>424</v>
      </c>
      <c r="E179" s="114" t="s">
        <v>636</v>
      </c>
      <c r="F179" s="114" t="str">
        <f t="shared" si="8"/>
        <v>JuvenileCriminal_damage_and_arsonFraudNo_of_reoffences</v>
      </c>
      <c r="G179" s="114">
        <f t="shared" si="7"/>
        <v>6</v>
      </c>
      <c r="H179" s="114">
        <v>6</v>
      </c>
      <c r="I179" s="114" t="s">
        <v>623</v>
      </c>
    </row>
    <row r="180" spans="1:9">
      <c r="A180" s="114" t="s">
        <v>622</v>
      </c>
      <c r="B180" s="114" t="s">
        <v>735</v>
      </c>
      <c r="C180" s="114" t="s">
        <v>629</v>
      </c>
      <c r="D180" s="177" t="s">
        <v>633</v>
      </c>
      <c r="E180" s="114" t="s">
        <v>636</v>
      </c>
      <c r="F180" s="114" t="str">
        <f t="shared" si="8"/>
        <v>JuvenileCriminal_damage_and_arsonSummary_non-motoringNo_of_reoffences</v>
      </c>
      <c r="G180" s="114">
        <f t="shared" si="7"/>
        <v>204</v>
      </c>
      <c r="H180" s="114">
        <v>204</v>
      </c>
      <c r="I180" s="114" t="s">
        <v>623</v>
      </c>
    </row>
    <row r="181" spans="1:9">
      <c r="A181" s="114" t="s">
        <v>622</v>
      </c>
      <c r="B181" s="114" t="s">
        <v>735</v>
      </c>
      <c r="C181" s="114" t="s">
        <v>629</v>
      </c>
      <c r="D181" s="177" t="s">
        <v>634</v>
      </c>
      <c r="E181" s="114" t="s">
        <v>636</v>
      </c>
      <c r="F181" s="114" t="str">
        <f t="shared" si="8"/>
        <v>JuvenileCriminal_damage_and_arsonSummary_motoringNo_of_reoffences</v>
      </c>
      <c r="G181" s="114">
        <f t="shared" si="7"/>
        <v>25</v>
      </c>
      <c r="H181" s="114">
        <v>25</v>
      </c>
      <c r="I181" s="114" t="s">
        <v>623</v>
      </c>
    </row>
    <row r="182" spans="1:9">
      <c r="A182" s="114" t="s">
        <v>622</v>
      </c>
      <c r="B182" s="114" t="s">
        <v>735</v>
      </c>
      <c r="C182" s="114" t="s">
        <v>629</v>
      </c>
      <c r="D182" s="177" t="s">
        <v>621</v>
      </c>
      <c r="E182" s="114" t="s">
        <v>636</v>
      </c>
      <c r="F182" s="114" t="str">
        <f t="shared" si="8"/>
        <v>JuvenileCriminal_damage_and_arsonOtherNo_of_reoffences</v>
      </c>
      <c r="G182" s="114">
        <f t="shared" si="7"/>
        <v>10</v>
      </c>
      <c r="H182" s="114">
        <v>10</v>
      </c>
      <c r="I182" s="114" t="s">
        <v>623</v>
      </c>
    </row>
    <row r="183" spans="1:9">
      <c r="A183" s="114" t="s">
        <v>622</v>
      </c>
      <c r="B183" s="114" t="s">
        <v>735</v>
      </c>
      <c r="C183" s="114" t="s">
        <v>629</v>
      </c>
      <c r="D183" s="177" t="s">
        <v>635</v>
      </c>
      <c r="E183" s="114" t="s">
        <v>636</v>
      </c>
      <c r="F183" s="114" t="str">
        <f t="shared" si="8"/>
        <v>JuvenileCriminal_damage_and_arsonTotal_reoffencesNo_of_reoffences</v>
      </c>
      <c r="G183" s="114">
        <f t="shared" si="7"/>
        <v>498</v>
      </c>
      <c r="H183" s="114">
        <v>498</v>
      </c>
      <c r="I183" s="114" t="s">
        <v>623</v>
      </c>
    </row>
    <row r="184" spans="1:9">
      <c r="I184" s="383"/>
    </row>
    <row r="185" spans="1:9">
      <c r="A185" s="114" t="s">
        <v>732</v>
      </c>
      <c r="B185" s="114" t="s">
        <v>642</v>
      </c>
      <c r="C185" s="114" t="s">
        <v>732</v>
      </c>
      <c r="D185" s="114" t="s">
        <v>290</v>
      </c>
      <c r="E185" s="114" t="s">
        <v>690</v>
      </c>
      <c r="F185" s="114" t="str">
        <f>A185&amp;B185&amp;C185&amp;D185&amp;E185</f>
        <v>AllMultiplier_1AllHomicideTotal_Crime</v>
      </c>
      <c r="G185" s="114">
        <f>H185</f>
        <v>570</v>
      </c>
      <c r="H185" s="114">
        <v>570</v>
      </c>
      <c r="I185" s="114" t="s">
        <v>641</v>
      </c>
    </row>
    <row r="186" spans="1:9">
      <c r="A186" s="114" t="s">
        <v>732</v>
      </c>
      <c r="B186" s="114" t="s">
        <v>642</v>
      </c>
      <c r="C186" s="114" t="s">
        <v>732</v>
      </c>
      <c r="D186" s="114" t="s">
        <v>649</v>
      </c>
      <c r="E186" s="114" t="s">
        <v>690</v>
      </c>
      <c r="F186" s="114" t="str">
        <f t="shared" ref="F186:F226" si="9">A186&amp;B186&amp;C186&amp;D186&amp;E186</f>
        <v>AllMultiplier_1AllViolence_with_injuryTotal_Crime</v>
      </c>
      <c r="G186" s="114">
        <f t="shared" ref="G186:G201" si="10">H186</f>
        <v>1104930</v>
      </c>
      <c r="H186" s="383">
        <v>1104930</v>
      </c>
      <c r="I186" s="114" t="s">
        <v>641</v>
      </c>
    </row>
    <row r="187" spans="1:9">
      <c r="A187" s="114" t="s">
        <v>732</v>
      </c>
      <c r="B187" s="114" t="s">
        <v>642</v>
      </c>
      <c r="C187" s="114" t="s">
        <v>732</v>
      </c>
      <c r="D187" s="114" t="s">
        <v>650</v>
      </c>
      <c r="E187" s="114" t="s">
        <v>690</v>
      </c>
      <c r="F187" s="114" t="str">
        <f t="shared" si="9"/>
        <v>AllMultiplier_1AllViolence_without_injuryTotal_Crime</v>
      </c>
      <c r="G187" s="114">
        <f t="shared" si="10"/>
        <v>852900</v>
      </c>
      <c r="H187" s="383">
        <v>852900</v>
      </c>
      <c r="I187" s="114" t="s">
        <v>641</v>
      </c>
    </row>
    <row r="188" spans="1:9">
      <c r="A188" s="176" t="s">
        <v>732</v>
      </c>
      <c r="B188" s="176" t="s">
        <v>642</v>
      </c>
      <c r="C188" s="176" t="s">
        <v>732</v>
      </c>
      <c r="D188" s="176" t="s">
        <v>544</v>
      </c>
      <c r="E188" s="176" t="s">
        <v>690</v>
      </c>
      <c r="F188" s="176" t="str">
        <f t="shared" si="9"/>
        <v>AllMultiplier_1AllRapeTotal_Crime</v>
      </c>
      <c r="G188" s="176">
        <f t="shared" si="10"/>
        <v>121750</v>
      </c>
      <c r="H188" s="687">
        <v>121750</v>
      </c>
      <c r="I188" s="176" t="s">
        <v>641</v>
      </c>
    </row>
    <row r="189" spans="1:9">
      <c r="A189" s="176" t="s">
        <v>732</v>
      </c>
      <c r="B189" s="176" t="s">
        <v>642</v>
      </c>
      <c r="C189" s="176" t="s">
        <v>732</v>
      </c>
      <c r="D189" s="176" t="s">
        <v>651</v>
      </c>
      <c r="E189" s="176" t="s">
        <v>690</v>
      </c>
      <c r="F189" s="176" t="str">
        <f t="shared" si="9"/>
        <v>AllMultiplier_1AllOther_sexual_offencesTotal_Crime</v>
      </c>
      <c r="G189" s="176">
        <f t="shared" si="10"/>
        <v>1137320</v>
      </c>
      <c r="H189" s="687">
        <v>1137320</v>
      </c>
      <c r="I189" s="176" t="s">
        <v>641</v>
      </c>
    </row>
    <row r="190" spans="1:9">
      <c r="A190" s="114" t="s">
        <v>732</v>
      </c>
      <c r="B190" s="114" t="s">
        <v>642</v>
      </c>
      <c r="C190" s="114" t="s">
        <v>732</v>
      </c>
      <c r="D190" s="114" t="s">
        <v>292</v>
      </c>
      <c r="E190" s="114" t="s">
        <v>690</v>
      </c>
      <c r="F190" s="114" t="str">
        <f t="shared" si="9"/>
        <v>AllMultiplier_1AllRobberyTotal_Crime</v>
      </c>
      <c r="G190" s="114">
        <f t="shared" si="10"/>
        <v>193470</v>
      </c>
      <c r="H190" s="383">
        <v>193470</v>
      </c>
      <c r="I190" s="114" t="s">
        <v>641</v>
      </c>
    </row>
    <row r="191" spans="1:9">
      <c r="A191" s="114" t="s">
        <v>732</v>
      </c>
      <c r="B191" s="114" t="s">
        <v>642</v>
      </c>
      <c r="C191" s="114" t="s">
        <v>732</v>
      </c>
      <c r="D191" s="114" t="s">
        <v>746</v>
      </c>
      <c r="E191" s="114" t="s">
        <v>690</v>
      </c>
      <c r="F191" s="114" t="str">
        <f>A191&amp;B191&amp;C191&amp;D191&amp;E191</f>
        <v>AllMultiplier_1AllCommercial_RobberyTotal_Crime</v>
      </c>
      <c r="G191" s="114">
        <f>H191</f>
        <v>102570</v>
      </c>
      <c r="H191" s="383">
        <v>102570</v>
      </c>
      <c r="I191" s="114" t="s">
        <v>641</v>
      </c>
    </row>
    <row r="192" spans="1:9">
      <c r="A192" s="176" t="s">
        <v>732</v>
      </c>
      <c r="B192" s="176" t="s">
        <v>642</v>
      </c>
      <c r="C192" s="176" t="s">
        <v>732</v>
      </c>
      <c r="D192" s="176" t="s">
        <v>652</v>
      </c>
      <c r="E192" s="176" t="s">
        <v>690</v>
      </c>
      <c r="F192" s="176" t="str">
        <f t="shared" si="9"/>
        <v>AllMultiplier_1AllDomestic_BurglaryTotal_Crime</v>
      </c>
      <c r="G192" s="176">
        <f t="shared" si="10"/>
        <v>695000</v>
      </c>
      <c r="H192" s="687">
        <v>695000</v>
      </c>
      <c r="I192" s="176" t="s">
        <v>641</v>
      </c>
    </row>
    <row r="193" spans="1:9">
      <c r="A193" s="176" t="s">
        <v>732</v>
      </c>
      <c r="B193" s="176" t="s">
        <v>642</v>
      </c>
      <c r="C193" s="176" t="s">
        <v>732</v>
      </c>
      <c r="D193" s="176" t="s">
        <v>659</v>
      </c>
      <c r="E193" s="176" t="s">
        <v>690</v>
      </c>
      <c r="F193" s="176" t="str">
        <f>A193&amp;B193&amp;C193&amp;D193&amp;E193</f>
        <v>AllMultiplier_1AllCommercial_burglaryTotal_Crime</v>
      </c>
      <c r="G193" s="176">
        <f>H193</f>
        <v>310700</v>
      </c>
      <c r="H193" s="687">
        <v>310700</v>
      </c>
      <c r="I193" s="176" t="s">
        <v>641</v>
      </c>
    </row>
    <row r="194" spans="1:9">
      <c r="A194" s="176" t="s">
        <v>732</v>
      </c>
      <c r="B194" s="176" t="s">
        <v>642</v>
      </c>
      <c r="C194" s="176" t="s">
        <v>732</v>
      </c>
      <c r="D194" s="176" t="s">
        <v>660</v>
      </c>
      <c r="E194" s="176" t="s">
        <v>690</v>
      </c>
      <c r="F194" s="176" t="str">
        <f>A194&amp;B194&amp;C194&amp;D194&amp;E194</f>
        <v>AllMultiplier_1AllCommercial_theftTotal_Crime</v>
      </c>
      <c r="G194" s="176">
        <f>H194</f>
        <v>8400</v>
      </c>
      <c r="H194" s="687">
        <v>8400</v>
      </c>
      <c r="I194" s="176" t="s">
        <v>641</v>
      </c>
    </row>
    <row r="195" spans="1:9">
      <c r="A195" s="176" t="s">
        <v>732</v>
      </c>
      <c r="B195" s="176" t="s">
        <v>642</v>
      </c>
      <c r="C195" s="176" t="s">
        <v>732</v>
      </c>
      <c r="D195" s="176" t="s">
        <v>653</v>
      </c>
      <c r="E195" s="176" t="s">
        <v>690</v>
      </c>
      <c r="F195" s="176" t="str">
        <f t="shared" si="9"/>
        <v>AllMultiplier_1AllTheft_of_vehicleTotal_Crime</v>
      </c>
      <c r="G195" s="176">
        <f t="shared" si="10"/>
        <v>68000</v>
      </c>
      <c r="H195" s="687">
        <v>68000</v>
      </c>
      <c r="I195" s="176" t="s">
        <v>641</v>
      </c>
    </row>
    <row r="196" spans="1:9">
      <c r="A196" s="176" t="s">
        <v>732</v>
      </c>
      <c r="B196" s="176" t="s">
        <v>642</v>
      </c>
      <c r="C196" s="176" t="s">
        <v>732</v>
      </c>
      <c r="D196" s="176" t="s">
        <v>694</v>
      </c>
      <c r="E196" s="176" t="s">
        <v>690</v>
      </c>
      <c r="F196" s="176" t="str">
        <f>A196&amp;B196&amp;C196&amp;D196&amp;E196</f>
        <v>AllMultiplier_1AllTheft_of_commercial_vehicleTotal_Crime</v>
      </c>
      <c r="G196" s="176">
        <f>H196</f>
        <v>59890</v>
      </c>
      <c r="H196" s="687">
        <v>59890</v>
      </c>
      <c r="I196" s="176" t="s">
        <v>641</v>
      </c>
    </row>
    <row r="197" spans="1:9">
      <c r="A197" s="176" t="s">
        <v>732</v>
      </c>
      <c r="B197" s="176" t="s">
        <v>642</v>
      </c>
      <c r="C197" s="176" t="s">
        <v>732</v>
      </c>
      <c r="D197" s="176" t="s">
        <v>654</v>
      </c>
      <c r="E197" s="176" t="s">
        <v>690</v>
      </c>
      <c r="F197" s="176" t="str">
        <f t="shared" si="9"/>
        <v>AllMultiplier_1AllTheft_from_vehicleTotal_Crime</v>
      </c>
      <c r="G197" s="176">
        <f t="shared" si="10"/>
        <v>574110</v>
      </c>
      <c r="H197" s="687">
        <v>574110</v>
      </c>
      <c r="I197" s="176" t="s">
        <v>641</v>
      </c>
    </row>
    <row r="198" spans="1:9">
      <c r="A198" s="176" t="s">
        <v>732</v>
      </c>
      <c r="B198" s="176" t="s">
        <v>642</v>
      </c>
      <c r="C198" s="176" t="s">
        <v>732</v>
      </c>
      <c r="D198" s="176" t="s">
        <v>668</v>
      </c>
      <c r="E198" s="176" t="s">
        <v>690</v>
      </c>
      <c r="F198" s="176" t="str">
        <f>A198&amp;B198&amp;C198&amp;D198&amp;E198</f>
        <v>AllMultiplier_1AllTheft_from_commercial_vehicleTotal_Crime</v>
      </c>
      <c r="G198" s="176">
        <f>H198</f>
        <v>136150</v>
      </c>
      <c r="H198" s="687">
        <v>136150</v>
      </c>
      <c r="I198" s="176" t="s">
        <v>641</v>
      </c>
    </row>
    <row r="199" spans="1:9">
      <c r="A199" s="176" t="s">
        <v>732</v>
      </c>
      <c r="B199" s="176" t="s">
        <v>642</v>
      </c>
      <c r="C199" s="176" t="s">
        <v>732</v>
      </c>
      <c r="D199" s="176" t="s">
        <v>655</v>
      </c>
      <c r="E199" s="176" t="s">
        <v>690</v>
      </c>
      <c r="F199" s="176" t="str">
        <f t="shared" si="9"/>
        <v>AllMultiplier_1AllTheft_from_personTotal_Crime</v>
      </c>
      <c r="G199" s="176">
        <f t="shared" si="10"/>
        <v>459240</v>
      </c>
      <c r="H199" s="687">
        <v>459240</v>
      </c>
      <c r="I199" s="176" t="s">
        <v>641</v>
      </c>
    </row>
    <row r="200" spans="1:9">
      <c r="A200" s="114" t="s">
        <v>732</v>
      </c>
      <c r="B200" s="114" t="s">
        <v>642</v>
      </c>
      <c r="C200" s="114" t="s">
        <v>732</v>
      </c>
      <c r="D200" s="114" t="s">
        <v>656</v>
      </c>
      <c r="E200" s="114" t="s">
        <v>690</v>
      </c>
      <c r="F200" s="114" t="str">
        <f t="shared" si="9"/>
        <v>AllMultiplier_1AllCriminal_damage_arsonTotal_Crime</v>
      </c>
      <c r="G200" s="114">
        <f t="shared" si="10"/>
        <v>22620</v>
      </c>
      <c r="H200" s="383">
        <v>22620</v>
      </c>
      <c r="I200" s="114" t="s">
        <v>641</v>
      </c>
    </row>
    <row r="201" spans="1:9">
      <c r="A201" s="114" t="s">
        <v>732</v>
      </c>
      <c r="B201" s="114" t="s">
        <v>642</v>
      </c>
      <c r="C201" s="114" t="s">
        <v>732</v>
      </c>
      <c r="D201" s="114" t="s">
        <v>657</v>
      </c>
      <c r="E201" s="114" t="s">
        <v>690</v>
      </c>
      <c r="F201" s="114" t="str">
        <f t="shared" si="9"/>
        <v>AllMultiplier_1AllCriminal_damage_otherTotal_Crime</v>
      </c>
      <c r="G201" s="114">
        <f t="shared" si="10"/>
        <v>1007160</v>
      </c>
      <c r="H201" s="383">
        <v>1007160</v>
      </c>
      <c r="I201" s="114" t="s">
        <v>641</v>
      </c>
    </row>
    <row r="202" spans="1:9">
      <c r="A202" s="114" t="s">
        <v>732</v>
      </c>
      <c r="B202" s="114" t="s">
        <v>642</v>
      </c>
      <c r="C202" s="114" t="s">
        <v>732</v>
      </c>
      <c r="D202" s="114" t="s">
        <v>669</v>
      </c>
      <c r="E202" s="114" t="s">
        <v>690</v>
      </c>
      <c r="F202" s="114" t="str">
        <f>A202&amp;B202&amp;C202&amp;D202&amp;E202</f>
        <v>AllMultiplier_1AllCommercial_criminal_damage–arsonTotal_Crime</v>
      </c>
      <c r="G202" s="114">
        <f>H202</f>
        <v>102570</v>
      </c>
      <c r="H202" s="383">
        <v>102570</v>
      </c>
      <c r="I202" s="114" t="s">
        <v>641</v>
      </c>
    </row>
    <row r="203" spans="1:9">
      <c r="A203" s="114" t="s">
        <v>732</v>
      </c>
      <c r="B203" s="114" t="s">
        <v>642</v>
      </c>
      <c r="C203" s="114" t="s">
        <v>732</v>
      </c>
      <c r="D203" s="114" t="s">
        <v>670</v>
      </c>
      <c r="E203" s="114" t="s">
        <v>690</v>
      </c>
      <c r="F203" s="114" t="str">
        <f>A203&amp;B203&amp;C203&amp;D203&amp;E203</f>
        <v>AllMultiplier_1AllCommercial_criminal_damage–otherTotal_Crime</v>
      </c>
      <c r="G203" s="114">
        <f>H203</f>
        <v>4312970</v>
      </c>
      <c r="H203" s="383">
        <v>4312970</v>
      </c>
      <c r="I203" s="114" t="s">
        <v>641</v>
      </c>
    </row>
    <row r="204" spans="1:9">
      <c r="A204" s="176" t="s">
        <v>732</v>
      </c>
      <c r="B204" s="176" t="s">
        <v>642</v>
      </c>
      <c r="C204" s="176" t="s">
        <v>732</v>
      </c>
      <c r="D204" s="176" t="s">
        <v>424</v>
      </c>
      <c r="E204" s="176" t="s">
        <v>690</v>
      </c>
      <c r="F204" s="176" t="str">
        <f>A204&amp;B204&amp;C204&amp;D204&amp;E204</f>
        <v>AllMultiplier_1AllFraudTotal_Crime</v>
      </c>
      <c r="G204" s="176">
        <f>H204</f>
        <v>3616460</v>
      </c>
      <c r="H204" s="687">
        <v>3616460</v>
      </c>
      <c r="I204" s="176" t="s">
        <v>641</v>
      </c>
    </row>
    <row r="205" spans="1:9">
      <c r="A205" s="176" t="s">
        <v>732</v>
      </c>
      <c r="B205" s="176" t="s">
        <v>642</v>
      </c>
      <c r="C205" s="176" t="s">
        <v>732</v>
      </c>
      <c r="D205" s="176" t="s">
        <v>676</v>
      </c>
      <c r="E205" s="176" t="s">
        <v>690</v>
      </c>
      <c r="F205" s="176" t="str">
        <f>A205&amp;B205&amp;C205&amp;D205&amp;E205</f>
        <v>AllMultiplier_1AllCyber CrimeTotal_Crime</v>
      </c>
      <c r="G205" s="176">
        <f>H205</f>
        <v>2021330</v>
      </c>
      <c r="H205" s="687">
        <v>2021330</v>
      </c>
      <c r="I205" s="176" t="s">
        <v>641</v>
      </c>
    </row>
    <row r="206" spans="1:9">
      <c r="A206" s="114" t="s">
        <v>732</v>
      </c>
      <c r="B206" s="114" t="s">
        <v>642</v>
      </c>
      <c r="C206" s="114" t="s">
        <v>732</v>
      </c>
      <c r="D206" s="114" t="s">
        <v>290</v>
      </c>
      <c r="E206" s="114" t="s">
        <v>691</v>
      </c>
      <c r="F206" s="114" t="str">
        <f t="shared" si="9"/>
        <v>AllMultiplier_1AllHomicidePolice_reported_Crime</v>
      </c>
      <c r="G206" s="114">
        <f>H206</f>
        <v>570</v>
      </c>
      <c r="H206" s="114">
        <v>570</v>
      </c>
      <c r="I206" s="114" t="s">
        <v>641</v>
      </c>
    </row>
    <row r="207" spans="1:9">
      <c r="A207" s="114" t="s">
        <v>732</v>
      </c>
      <c r="B207" s="114" t="s">
        <v>642</v>
      </c>
      <c r="C207" s="114" t="s">
        <v>732</v>
      </c>
      <c r="D207" s="114" t="s">
        <v>649</v>
      </c>
      <c r="E207" s="114" t="s">
        <v>691</v>
      </c>
      <c r="F207" s="114" t="str">
        <f t="shared" si="9"/>
        <v>AllMultiplier_1AllViolence_with_injuryPolice_reported_Crime</v>
      </c>
      <c r="G207" s="114">
        <f t="shared" ref="G207:G218" si="11">H207</f>
        <v>428800</v>
      </c>
      <c r="H207" s="383">
        <v>428800</v>
      </c>
      <c r="I207" s="114" t="s">
        <v>641</v>
      </c>
    </row>
    <row r="208" spans="1:9">
      <c r="A208" s="114" t="s">
        <v>732</v>
      </c>
      <c r="B208" s="114" t="s">
        <v>642</v>
      </c>
      <c r="C208" s="114" t="s">
        <v>732</v>
      </c>
      <c r="D208" s="114" t="s">
        <v>650</v>
      </c>
      <c r="E208" s="114" t="s">
        <v>691</v>
      </c>
      <c r="F208" s="114" t="str">
        <f t="shared" si="9"/>
        <v>AllMultiplier_1AllViolence_without_injuryPolice_reported_Crime</v>
      </c>
      <c r="G208" s="114">
        <f t="shared" si="11"/>
        <v>554580</v>
      </c>
      <c r="H208" s="383">
        <v>554580</v>
      </c>
      <c r="I208" s="114" t="s">
        <v>641</v>
      </c>
    </row>
    <row r="209" spans="1:9">
      <c r="A209" s="114" t="s">
        <v>732</v>
      </c>
      <c r="B209" s="114" t="s">
        <v>642</v>
      </c>
      <c r="C209" s="114" t="s">
        <v>732</v>
      </c>
      <c r="D209" s="114" t="s">
        <v>544</v>
      </c>
      <c r="E209" s="114" t="s">
        <v>691</v>
      </c>
      <c r="F209" s="114" t="str">
        <f t="shared" si="9"/>
        <v>AllMultiplier_1AllRapePolice_reported_Crime</v>
      </c>
      <c r="G209" s="114">
        <f t="shared" si="11"/>
        <v>35690</v>
      </c>
      <c r="H209" s="383">
        <v>35690</v>
      </c>
      <c r="I209" s="114" t="s">
        <v>641</v>
      </c>
    </row>
    <row r="210" spans="1:9">
      <c r="A210" s="114" t="s">
        <v>732</v>
      </c>
      <c r="B210" s="114" t="s">
        <v>642</v>
      </c>
      <c r="C210" s="114" t="s">
        <v>732</v>
      </c>
      <c r="D210" s="114" t="s">
        <v>651</v>
      </c>
      <c r="E210" s="114" t="s">
        <v>691</v>
      </c>
      <c r="F210" s="114" t="str">
        <f t="shared" si="9"/>
        <v>AllMultiplier_1AllOther_sexual_offencesPolice_reported_Crime</v>
      </c>
      <c r="G210" s="114">
        <f t="shared" si="11"/>
        <v>68980</v>
      </c>
      <c r="H210" s="383">
        <v>68980</v>
      </c>
      <c r="I210" s="114" t="s">
        <v>641</v>
      </c>
    </row>
    <row r="211" spans="1:9">
      <c r="A211" s="114" t="s">
        <v>732</v>
      </c>
      <c r="B211" s="114" t="s">
        <v>642</v>
      </c>
      <c r="C211" s="114" t="s">
        <v>732</v>
      </c>
      <c r="D211" s="114" t="s">
        <v>292</v>
      </c>
      <c r="E211" s="114" t="s">
        <v>691</v>
      </c>
      <c r="F211" s="114" t="str">
        <f t="shared" si="9"/>
        <v>AllMultiplier_1AllRobberyPolice_reported_Crime</v>
      </c>
      <c r="G211" s="114">
        <f t="shared" si="11"/>
        <v>45330</v>
      </c>
      <c r="H211" s="383">
        <v>45330</v>
      </c>
      <c r="I211" s="114" t="s">
        <v>641</v>
      </c>
    </row>
    <row r="212" spans="1:9">
      <c r="A212" s="114" t="s">
        <v>732</v>
      </c>
      <c r="B212" s="114" t="s">
        <v>642</v>
      </c>
      <c r="C212" s="114" t="s">
        <v>732</v>
      </c>
      <c r="D212" s="114" t="s">
        <v>652</v>
      </c>
      <c r="E212" s="114" t="s">
        <v>691</v>
      </c>
      <c r="F212" s="114" t="str">
        <f t="shared" si="9"/>
        <v>AllMultiplier_1AllDomestic_BurglaryPolice_reported_Crime</v>
      </c>
      <c r="G212" s="114">
        <f t="shared" si="11"/>
        <v>194410</v>
      </c>
      <c r="H212" s="383">
        <v>194410</v>
      </c>
      <c r="I212" s="114" t="s">
        <v>641</v>
      </c>
    </row>
    <row r="213" spans="1:9">
      <c r="A213" s="114" t="s">
        <v>732</v>
      </c>
      <c r="B213" s="114" t="s">
        <v>642</v>
      </c>
      <c r="C213" s="114" t="s">
        <v>732</v>
      </c>
      <c r="D213" s="114" t="s">
        <v>653</v>
      </c>
      <c r="E213" s="114" t="s">
        <v>691</v>
      </c>
      <c r="F213" s="114" t="str">
        <f t="shared" si="9"/>
        <v>AllMultiplier_1AllTheft_of_vehiclePolice_reported_Crime</v>
      </c>
      <c r="G213" s="114">
        <f t="shared" si="11"/>
        <v>81670</v>
      </c>
      <c r="H213" s="383">
        <v>81670</v>
      </c>
      <c r="I213" s="114" t="s">
        <v>641</v>
      </c>
    </row>
    <row r="214" spans="1:9">
      <c r="A214" s="114" t="s">
        <v>732</v>
      </c>
      <c r="B214" s="114" t="s">
        <v>642</v>
      </c>
      <c r="C214" s="114" t="s">
        <v>732</v>
      </c>
      <c r="D214" s="114" t="s">
        <v>654</v>
      </c>
      <c r="E214" s="114" t="s">
        <v>691</v>
      </c>
      <c r="F214" s="114" t="str">
        <f t="shared" si="9"/>
        <v>AllMultiplier_1AllTheft_from_vehiclePolice_reported_Crime</v>
      </c>
      <c r="G214" s="114">
        <f t="shared" si="11"/>
        <v>223950</v>
      </c>
      <c r="H214" s="383">
        <v>223950</v>
      </c>
      <c r="I214" s="114" t="s">
        <v>641</v>
      </c>
    </row>
    <row r="215" spans="1:9">
      <c r="A215" s="114" t="s">
        <v>732</v>
      </c>
      <c r="B215" s="114" t="s">
        <v>642</v>
      </c>
      <c r="C215" s="114" t="s">
        <v>732</v>
      </c>
      <c r="D215" s="114" t="s">
        <v>655</v>
      </c>
      <c r="E215" s="114" t="s">
        <v>691</v>
      </c>
      <c r="F215" s="114" t="str">
        <f t="shared" si="9"/>
        <v>AllMultiplier_1AllTheft_from_personPolice_reported_Crime</v>
      </c>
      <c r="G215" s="114">
        <f t="shared" si="11"/>
        <v>77760</v>
      </c>
      <c r="H215" s="383">
        <v>77760</v>
      </c>
      <c r="I215" s="114" t="s">
        <v>641</v>
      </c>
    </row>
    <row r="216" spans="1:9">
      <c r="A216" s="114" t="s">
        <v>732</v>
      </c>
      <c r="B216" s="114" t="s">
        <v>642</v>
      </c>
      <c r="C216" s="114" t="s">
        <v>732</v>
      </c>
      <c r="D216" s="114" t="s">
        <v>656</v>
      </c>
      <c r="E216" s="114" t="s">
        <v>691</v>
      </c>
      <c r="F216" s="114" t="str">
        <f t="shared" si="9"/>
        <v>AllMultiplier_1AllCriminal_damage_arsonPolice_reported_Crime</v>
      </c>
      <c r="G216" s="114">
        <f t="shared" si="11"/>
        <v>21880</v>
      </c>
      <c r="H216" s="383">
        <v>21880</v>
      </c>
      <c r="I216" s="114" t="s">
        <v>641</v>
      </c>
    </row>
    <row r="217" spans="1:9">
      <c r="A217" s="114" t="s">
        <v>732</v>
      </c>
      <c r="B217" s="114" t="s">
        <v>642</v>
      </c>
      <c r="C217" s="114" t="s">
        <v>732</v>
      </c>
      <c r="D217" s="114" t="s">
        <v>657</v>
      </c>
      <c r="E217" s="114" t="s">
        <v>691</v>
      </c>
      <c r="F217" s="114" t="str">
        <f t="shared" si="9"/>
        <v>AllMultiplier_1AllCriminal_damage_otherPolice_reported_Crime</v>
      </c>
      <c r="G217" s="114">
        <f t="shared" si="11"/>
        <v>512110</v>
      </c>
      <c r="H217" s="383">
        <v>512110</v>
      </c>
      <c r="I217" s="114" t="s">
        <v>641</v>
      </c>
    </row>
    <row r="218" spans="1:9">
      <c r="A218" s="114" t="s">
        <v>732</v>
      </c>
      <c r="B218" s="114" t="s">
        <v>642</v>
      </c>
      <c r="C218" s="114" t="s">
        <v>732</v>
      </c>
      <c r="D218" s="114" t="s">
        <v>424</v>
      </c>
      <c r="E218" s="114" t="s">
        <v>691</v>
      </c>
      <c r="F218" s="114" t="str">
        <f t="shared" si="9"/>
        <v>AllMultiplier_1AllFraudPolice_reported_Crime</v>
      </c>
      <c r="G218" s="114">
        <f t="shared" si="11"/>
        <v>67480</v>
      </c>
      <c r="H218" s="383">
        <v>67480</v>
      </c>
      <c r="I218" s="114" t="s">
        <v>641</v>
      </c>
    </row>
    <row r="219" spans="1:9">
      <c r="A219" s="114" t="s">
        <v>732</v>
      </c>
      <c r="B219" s="114" t="s">
        <v>642</v>
      </c>
      <c r="C219" s="114" t="s">
        <v>732</v>
      </c>
      <c r="D219" s="114" t="s">
        <v>676</v>
      </c>
      <c r="E219" s="114" t="s">
        <v>691</v>
      </c>
      <c r="F219" s="114" t="str">
        <f t="shared" si="9"/>
        <v>AllMultiplier_1AllCyber CrimePolice_reported_Crime</v>
      </c>
      <c r="G219" s="114">
        <v>0</v>
      </c>
      <c r="H219" s="114" t="s">
        <v>675</v>
      </c>
      <c r="I219" s="114" t="s">
        <v>641</v>
      </c>
    </row>
    <row r="220" spans="1:9">
      <c r="A220" s="114" t="s">
        <v>732</v>
      </c>
      <c r="B220" s="114" t="s">
        <v>642</v>
      </c>
      <c r="C220" s="114" t="s">
        <v>732</v>
      </c>
      <c r="D220" s="114" t="s">
        <v>658</v>
      </c>
      <c r="E220" s="114" t="s">
        <v>691</v>
      </c>
      <c r="F220" s="114" t="str">
        <f t="shared" si="9"/>
        <v>AllMultiplier_1AllCommercial_robberyPolice_reported_Crime</v>
      </c>
      <c r="G220" s="114">
        <v>0</v>
      </c>
      <c r="H220" s="114" t="s">
        <v>675</v>
      </c>
      <c r="I220" s="114" t="s">
        <v>641</v>
      </c>
    </row>
    <row r="221" spans="1:9">
      <c r="A221" s="114" t="s">
        <v>732</v>
      </c>
      <c r="B221" s="114" t="s">
        <v>642</v>
      </c>
      <c r="C221" s="114" t="s">
        <v>732</v>
      </c>
      <c r="D221" s="114" t="s">
        <v>659</v>
      </c>
      <c r="E221" s="114" t="s">
        <v>691</v>
      </c>
      <c r="F221" s="114" t="str">
        <f t="shared" si="9"/>
        <v>AllMultiplier_1AllCommercial_burglaryPolice_reported_Crime</v>
      </c>
      <c r="G221" s="114">
        <v>0</v>
      </c>
      <c r="H221" s="114" t="s">
        <v>675</v>
      </c>
      <c r="I221" s="114" t="s">
        <v>641</v>
      </c>
    </row>
    <row r="222" spans="1:9">
      <c r="A222" s="114" t="s">
        <v>732</v>
      </c>
      <c r="B222" s="114" t="s">
        <v>642</v>
      </c>
      <c r="C222" s="114" t="s">
        <v>732</v>
      </c>
      <c r="D222" s="114" t="s">
        <v>660</v>
      </c>
      <c r="E222" s="114" t="s">
        <v>691</v>
      </c>
      <c r="F222" s="114" t="str">
        <f t="shared" si="9"/>
        <v>AllMultiplier_1AllCommercial_theftPolice_reported_Crime</v>
      </c>
      <c r="G222" s="114">
        <v>0</v>
      </c>
      <c r="H222" s="114" t="s">
        <v>675</v>
      </c>
      <c r="I222" s="114" t="s">
        <v>641</v>
      </c>
    </row>
    <row r="223" spans="1:9">
      <c r="A223" s="114" t="s">
        <v>732</v>
      </c>
      <c r="B223" s="114" t="s">
        <v>642</v>
      </c>
      <c r="C223" s="114" t="s">
        <v>732</v>
      </c>
      <c r="D223" s="114" t="s">
        <v>694</v>
      </c>
      <c r="E223" s="114" t="s">
        <v>691</v>
      </c>
      <c r="F223" s="114" t="str">
        <f t="shared" si="9"/>
        <v>AllMultiplier_1AllTheft_of_commercial_vehiclePolice_reported_Crime</v>
      </c>
      <c r="G223" s="114">
        <v>0</v>
      </c>
      <c r="H223" s="114" t="s">
        <v>675</v>
      </c>
      <c r="I223" s="114" t="s">
        <v>641</v>
      </c>
    </row>
    <row r="224" spans="1:9">
      <c r="A224" s="114" t="s">
        <v>732</v>
      </c>
      <c r="B224" s="114" t="s">
        <v>642</v>
      </c>
      <c r="C224" s="114" t="s">
        <v>732</v>
      </c>
      <c r="D224" s="114" t="s">
        <v>668</v>
      </c>
      <c r="E224" s="114" t="s">
        <v>691</v>
      </c>
      <c r="F224" s="114" t="str">
        <f t="shared" si="9"/>
        <v>AllMultiplier_1AllTheft_from_commercial_vehiclePolice_reported_Crime</v>
      </c>
      <c r="G224" s="114">
        <v>0</v>
      </c>
      <c r="H224" s="114" t="s">
        <v>675</v>
      </c>
      <c r="I224" s="114" t="s">
        <v>641</v>
      </c>
    </row>
    <row r="225" spans="1:9">
      <c r="A225" s="114" t="s">
        <v>732</v>
      </c>
      <c r="B225" s="114" t="s">
        <v>642</v>
      </c>
      <c r="C225" s="114" t="s">
        <v>732</v>
      </c>
      <c r="D225" s="114" t="s">
        <v>669</v>
      </c>
      <c r="E225" s="114" t="s">
        <v>691</v>
      </c>
      <c r="F225" s="114" t="str">
        <f t="shared" si="9"/>
        <v>AllMultiplier_1AllCommercial_criminal_damage–arsonPolice_reported_Crime</v>
      </c>
      <c r="G225" s="114">
        <v>0</v>
      </c>
      <c r="H225" s="114" t="s">
        <v>675</v>
      </c>
      <c r="I225" s="114" t="s">
        <v>641</v>
      </c>
    </row>
    <row r="226" spans="1:9">
      <c r="A226" s="114" t="s">
        <v>732</v>
      </c>
      <c r="B226" s="114" t="s">
        <v>642</v>
      </c>
      <c r="C226" s="114" t="s">
        <v>732</v>
      </c>
      <c r="D226" s="114" t="s">
        <v>670</v>
      </c>
      <c r="E226" s="114" t="s">
        <v>691</v>
      </c>
      <c r="F226" s="114" t="str">
        <f t="shared" si="9"/>
        <v>AllMultiplier_1AllCommercial_criminal_damage–otherPolice_reported_Crime</v>
      </c>
      <c r="G226" s="114">
        <v>0</v>
      </c>
      <c r="H226" s="114" t="s">
        <v>675</v>
      </c>
      <c r="I226" s="114" t="s">
        <v>641</v>
      </c>
    </row>
    <row r="227" spans="1:9">
      <c r="D227" s="150"/>
      <c r="E227" s="150"/>
      <c r="F227" s="150"/>
      <c r="G227" s="150"/>
      <c r="I227" s="150"/>
    </row>
    <row r="228" spans="1:9">
      <c r="A228" s="114" t="s">
        <v>732</v>
      </c>
      <c r="B228" s="114" t="s">
        <v>693</v>
      </c>
      <c r="C228" s="114" t="s">
        <v>732</v>
      </c>
      <c r="D228" s="114" t="s">
        <v>628</v>
      </c>
      <c r="E228" s="114" t="s">
        <v>747</v>
      </c>
      <c r="F228" s="114" t="str">
        <f t="shared" ref="F228:F259" si="12">D228&amp;E228</f>
        <v>Violence_against_the_personConviction_ratio</v>
      </c>
      <c r="G228" s="384">
        <f>H228</f>
        <v>0.71563533301842197</v>
      </c>
      <c r="H228" s="384">
        <v>0.71563533301842197</v>
      </c>
      <c r="I228" s="114" t="s">
        <v>662</v>
      </c>
    </row>
    <row r="229" spans="1:9">
      <c r="A229" s="114" t="s">
        <v>732</v>
      </c>
      <c r="B229" s="114" t="s">
        <v>693</v>
      </c>
      <c r="C229" s="114" t="s">
        <v>732</v>
      </c>
      <c r="D229" s="114" t="s">
        <v>617</v>
      </c>
      <c r="E229" s="114" t="s">
        <v>747</v>
      </c>
      <c r="F229" s="114" t="str">
        <f t="shared" si="12"/>
        <v>SexualConviction_ratio</v>
      </c>
      <c r="G229" s="384">
        <f t="shared" ref="G229:G292" si="13">H229</f>
        <v>0.55517572908877255</v>
      </c>
      <c r="H229" s="384">
        <v>0.55517572908877255</v>
      </c>
      <c r="I229" s="114" t="s">
        <v>662</v>
      </c>
    </row>
    <row r="230" spans="1:9">
      <c r="A230" s="114" t="s">
        <v>732</v>
      </c>
      <c r="B230" s="114" t="s">
        <v>693</v>
      </c>
      <c r="C230" s="114" t="s">
        <v>732</v>
      </c>
      <c r="D230" s="114" t="s">
        <v>292</v>
      </c>
      <c r="E230" s="114" t="s">
        <v>747</v>
      </c>
      <c r="F230" s="114" t="str">
        <f t="shared" si="12"/>
        <v>RobberyConviction_ratio</v>
      </c>
      <c r="G230" s="384">
        <f t="shared" si="13"/>
        <v>0.62941787941787941</v>
      </c>
      <c r="H230" s="384">
        <v>0.62941787941787941</v>
      </c>
      <c r="I230" s="114" t="s">
        <v>662</v>
      </c>
    </row>
    <row r="231" spans="1:9">
      <c r="A231" s="114" t="s">
        <v>732</v>
      </c>
      <c r="B231" s="114" t="s">
        <v>693</v>
      </c>
      <c r="C231" s="114" t="s">
        <v>732</v>
      </c>
      <c r="D231" s="114" t="s">
        <v>293</v>
      </c>
      <c r="E231" s="114" t="s">
        <v>747</v>
      </c>
      <c r="F231" s="114" t="str">
        <f t="shared" si="12"/>
        <v>TheftConviction_ratio</v>
      </c>
      <c r="G231" s="384">
        <f t="shared" si="13"/>
        <v>0.82978579328713631</v>
      </c>
      <c r="H231" s="384">
        <v>0.82978579328713631</v>
      </c>
      <c r="I231" s="114" t="s">
        <v>662</v>
      </c>
    </row>
    <row r="232" spans="1:9">
      <c r="A232" s="114" t="s">
        <v>732</v>
      </c>
      <c r="B232" s="114" t="s">
        <v>693</v>
      </c>
      <c r="C232" s="114" t="s">
        <v>732</v>
      </c>
      <c r="D232" s="114" t="s">
        <v>629</v>
      </c>
      <c r="E232" s="114" t="s">
        <v>747</v>
      </c>
      <c r="F232" s="114" t="str">
        <f t="shared" si="12"/>
        <v>Criminal_damage_and_arsonConviction_ratio</v>
      </c>
      <c r="G232" s="384">
        <f t="shared" si="13"/>
        <v>0.67562802996914939</v>
      </c>
      <c r="H232" s="384">
        <v>0.67562802996914939</v>
      </c>
      <c r="I232" s="114" t="s">
        <v>662</v>
      </c>
    </row>
    <row r="233" spans="1:9">
      <c r="A233" s="114" t="s">
        <v>732</v>
      </c>
      <c r="B233" s="114" t="s">
        <v>693</v>
      </c>
      <c r="C233" s="114" t="s">
        <v>732</v>
      </c>
      <c r="D233" s="114" t="s">
        <v>619</v>
      </c>
      <c r="E233" s="114" t="s">
        <v>747</v>
      </c>
      <c r="F233" s="114" t="str">
        <f t="shared" si="12"/>
        <v>DrugConviction_ratio</v>
      </c>
      <c r="G233" s="384">
        <f t="shared" si="13"/>
        <v>0.83140438763171531</v>
      </c>
      <c r="H233" s="384">
        <v>0.83140438763171531</v>
      </c>
      <c r="I233" s="114" t="s">
        <v>662</v>
      </c>
    </row>
    <row r="234" spans="1:9">
      <c r="A234" s="114" t="s">
        <v>732</v>
      </c>
      <c r="B234" s="114" t="s">
        <v>693</v>
      </c>
      <c r="C234" s="114" t="s">
        <v>732</v>
      </c>
      <c r="D234" s="114" t="s">
        <v>630</v>
      </c>
      <c r="E234" s="114" t="s">
        <v>747</v>
      </c>
      <c r="F234" s="114" t="str">
        <f t="shared" si="12"/>
        <v>Possession_of_weaponsConviction_ratio</v>
      </c>
      <c r="G234" s="384">
        <f t="shared" si="13"/>
        <v>0.84524969549330076</v>
      </c>
      <c r="H234" s="384">
        <v>0.84524969549330076</v>
      </c>
      <c r="I234" s="114" t="s">
        <v>662</v>
      </c>
    </row>
    <row r="235" spans="1:9">
      <c r="A235" s="114" t="s">
        <v>732</v>
      </c>
      <c r="B235" s="114" t="s">
        <v>693</v>
      </c>
      <c r="C235" s="114" t="s">
        <v>732</v>
      </c>
      <c r="D235" s="114" t="s">
        <v>631</v>
      </c>
      <c r="E235" s="114" t="s">
        <v>747</v>
      </c>
      <c r="F235" s="114" t="str">
        <f t="shared" si="12"/>
        <v>Public_orderConviction_ratio</v>
      </c>
      <c r="G235" s="384">
        <f t="shared" si="13"/>
        <v>0.91149328859060408</v>
      </c>
      <c r="H235" s="384">
        <v>0.91149328859060408</v>
      </c>
      <c r="I235" s="114" t="s">
        <v>662</v>
      </c>
    </row>
    <row r="236" spans="1:9">
      <c r="A236" s="114" t="s">
        <v>732</v>
      </c>
      <c r="B236" s="114" t="s">
        <v>693</v>
      </c>
      <c r="C236" s="114" t="s">
        <v>732</v>
      </c>
      <c r="D236" s="114" t="s">
        <v>632</v>
      </c>
      <c r="E236" s="114" t="s">
        <v>747</v>
      </c>
      <c r="F236" s="114" t="str">
        <f t="shared" si="12"/>
        <v>Miscellaneous_crimes_against_societyConviction_ratio</v>
      </c>
      <c r="G236" s="384">
        <f t="shared" si="13"/>
        <v>0.7339318583073513</v>
      </c>
      <c r="H236" s="384">
        <v>0.7339318583073513</v>
      </c>
      <c r="I236" s="114" t="s">
        <v>662</v>
      </c>
    </row>
    <row r="237" spans="1:9">
      <c r="A237" s="114" t="s">
        <v>732</v>
      </c>
      <c r="B237" s="114" t="s">
        <v>693</v>
      </c>
      <c r="C237" s="114" t="s">
        <v>732</v>
      </c>
      <c r="D237" s="114" t="s">
        <v>424</v>
      </c>
      <c r="E237" s="114" t="s">
        <v>747</v>
      </c>
      <c r="F237" s="114" t="str">
        <f t="shared" si="12"/>
        <v>FraudConviction_ratio</v>
      </c>
      <c r="G237" s="384">
        <f t="shared" si="13"/>
        <v>0.80661577608142498</v>
      </c>
      <c r="H237" s="384">
        <v>0.80661577608142498</v>
      </c>
      <c r="I237" s="114" t="s">
        <v>662</v>
      </c>
    </row>
    <row r="238" spans="1:9">
      <c r="A238" s="114" t="s">
        <v>732</v>
      </c>
      <c r="B238" s="114" t="s">
        <v>693</v>
      </c>
      <c r="C238" s="114" t="s">
        <v>732</v>
      </c>
      <c r="D238" s="114" t="s">
        <v>679</v>
      </c>
      <c r="E238" s="114" t="s">
        <v>747</v>
      </c>
      <c r="F238" s="114" t="str">
        <f t="shared" si="12"/>
        <v>Indictable_offencesConviction_ratio</v>
      </c>
      <c r="G238" s="384">
        <f t="shared" si="13"/>
        <v>0.78195135410110272</v>
      </c>
      <c r="H238" s="384">
        <v>0.78195135410110272</v>
      </c>
      <c r="I238" s="114" t="s">
        <v>662</v>
      </c>
    </row>
    <row r="239" spans="1:9">
      <c r="A239" s="114" t="s">
        <v>732</v>
      </c>
      <c r="B239" s="114" t="s">
        <v>693</v>
      </c>
      <c r="C239" s="114" t="s">
        <v>732</v>
      </c>
      <c r="D239" s="114" t="s">
        <v>633</v>
      </c>
      <c r="E239" s="114" t="s">
        <v>747</v>
      </c>
      <c r="F239" s="114" t="str">
        <f t="shared" si="12"/>
        <v>Summary_non-motoringConviction_ratio</v>
      </c>
      <c r="G239" s="384">
        <f t="shared" si="13"/>
        <v>0.823151794737496</v>
      </c>
      <c r="H239" s="384">
        <v>0.823151794737496</v>
      </c>
      <c r="I239" s="114" t="s">
        <v>662</v>
      </c>
    </row>
    <row r="240" spans="1:9">
      <c r="A240" s="114" t="s">
        <v>732</v>
      </c>
      <c r="B240" s="114" t="s">
        <v>693</v>
      </c>
      <c r="C240" s="114" t="s">
        <v>732</v>
      </c>
      <c r="D240" s="114" t="s">
        <v>680</v>
      </c>
      <c r="E240" s="114" t="s">
        <v>747</v>
      </c>
      <c r="F240" s="114" t="str">
        <f t="shared" si="12"/>
        <v>Summary_motoring offencesConviction_ratio</v>
      </c>
      <c r="G240" s="384">
        <f t="shared" si="13"/>
        <v>0.89968088008340463</v>
      </c>
      <c r="H240" s="384">
        <v>0.89968088008340463</v>
      </c>
      <c r="I240" s="114" t="s">
        <v>662</v>
      </c>
    </row>
    <row r="241" spans="1:9">
      <c r="A241" s="114" t="s">
        <v>732</v>
      </c>
      <c r="B241" s="114" t="s">
        <v>693</v>
      </c>
      <c r="C241" s="114" t="s">
        <v>732</v>
      </c>
      <c r="D241" s="114" t="s">
        <v>681</v>
      </c>
      <c r="E241" s="114" t="s">
        <v>747</v>
      </c>
      <c r="F241" s="114" t="str">
        <f t="shared" si="12"/>
        <v>Summary_OffencesConviction_ratio</v>
      </c>
      <c r="G241" s="384">
        <f t="shared" si="13"/>
        <v>0.87231968693919437</v>
      </c>
      <c r="H241" s="384">
        <v>0.87231968693919437</v>
      </c>
      <c r="I241" s="114" t="s">
        <v>662</v>
      </c>
    </row>
    <row r="242" spans="1:9">
      <c r="A242" s="114" t="s">
        <v>732</v>
      </c>
      <c r="B242" s="114" t="s">
        <v>693</v>
      </c>
      <c r="C242" s="114" t="s">
        <v>732</v>
      </c>
      <c r="D242" s="114" t="s">
        <v>799</v>
      </c>
      <c r="E242" s="114" t="s">
        <v>747</v>
      </c>
      <c r="F242" s="114" t="str">
        <f t="shared" si="12"/>
        <v>Offenc_not_known(12)Conviction_ratio</v>
      </c>
      <c r="G242" s="384" t="str">
        <f t="shared" si="13"/>
        <v>*</v>
      </c>
      <c r="H242" s="114" t="s">
        <v>661</v>
      </c>
      <c r="I242" s="114" t="s">
        <v>662</v>
      </c>
    </row>
    <row r="243" spans="1:9">
      <c r="A243" s="114" t="s">
        <v>732</v>
      </c>
      <c r="B243" s="114" t="s">
        <v>693</v>
      </c>
      <c r="C243" s="114" t="s">
        <v>732</v>
      </c>
      <c r="D243" s="114" t="s">
        <v>628</v>
      </c>
      <c r="E243" s="114" t="s">
        <v>647</v>
      </c>
      <c r="F243" s="114" t="str">
        <f t="shared" si="12"/>
        <v>Violence_against_the_personCharged/Summonsed</v>
      </c>
      <c r="G243" s="384">
        <f t="shared" si="13"/>
        <v>5.2376583014888331E-2</v>
      </c>
      <c r="H243" s="384">
        <v>5.2376583014888331E-2</v>
      </c>
      <c r="I243" s="114" t="s">
        <v>800</v>
      </c>
    </row>
    <row r="244" spans="1:9">
      <c r="A244" s="114" t="s">
        <v>732</v>
      </c>
      <c r="B244" s="114" t="s">
        <v>693</v>
      </c>
      <c r="C244" s="114" t="s">
        <v>732</v>
      </c>
      <c r="D244" s="114" t="s">
        <v>617</v>
      </c>
      <c r="E244" s="114" t="s">
        <v>647</v>
      </c>
      <c r="F244" s="114" t="str">
        <f t="shared" si="12"/>
        <v>SexualCharged/Summonsed</v>
      </c>
      <c r="G244" s="384">
        <f t="shared" si="13"/>
        <v>2.9031060799369041E-2</v>
      </c>
      <c r="H244" s="384">
        <v>2.9031060799369041E-2</v>
      </c>
      <c r="I244" s="114" t="s">
        <v>800</v>
      </c>
    </row>
    <row r="245" spans="1:9">
      <c r="A245" s="114" t="s">
        <v>732</v>
      </c>
      <c r="B245" s="114" t="s">
        <v>693</v>
      </c>
      <c r="C245" s="114" t="s">
        <v>732</v>
      </c>
      <c r="D245" s="114" t="s">
        <v>292</v>
      </c>
      <c r="E245" s="114" t="s">
        <v>647</v>
      </c>
      <c r="F245" s="114" t="str">
        <f t="shared" si="12"/>
        <v>RobberyCharged/Summonsed</v>
      </c>
      <c r="G245" s="384">
        <f t="shared" si="13"/>
        <v>6.5741404324494393E-2</v>
      </c>
      <c r="H245" s="384">
        <v>6.5741404324494393E-2</v>
      </c>
      <c r="I245" s="114" t="s">
        <v>800</v>
      </c>
    </row>
    <row r="246" spans="1:9">
      <c r="A246" s="114" t="s">
        <v>732</v>
      </c>
      <c r="B246" s="114" t="s">
        <v>693</v>
      </c>
      <c r="C246" s="114" t="s">
        <v>732</v>
      </c>
      <c r="D246" s="114" t="s">
        <v>293</v>
      </c>
      <c r="E246" s="114" t="s">
        <v>647</v>
      </c>
      <c r="F246" s="114" t="str">
        <f t="shared" si="12"/>
        <v>TheftCharged/Summonsed</v>
      </c>
      <c r="G246" s="384">
        <f t="shared" si="13"/>
        <v>4.2428824912895298E-2</v>
      </c>
      <c r="H246" s="384">
        <v>4.2428824912895298E-2</v>
      </c>
      <c r="I246" s="114" t="s">
        <v>800</v>
      </c>
    </row>
    <row r="247" spans="1:9">
      <c r="A247" s="114" t="s">
        <v>732</v>
      </c>
      <c r="B247" s="114" t="s">
        <v>693</v>
      </c>
      <c r="C247" s="114" t="s">
        <v>732</v>
      </c>
      <c r="D247" s="114" t="s">
        <v>678</v>
      </c>
      <c r="E247" s="114" t="s">
        <v>647</v>
      </c>
      <c r="F247" s="114" t="str">
        <f t="shared" si="12"/>
        <v>Criminal_damage_and_ArsonCharged/Summonsed</v>
      </c>
      <c r="G247" s="384">
        <f t="shared" si="13"/>
        <v>4.3313129804560938E-2</v>
      </c>
      <c r="H247" s="384">
        <v>4.3313129804560938E-2</v>
      </c>
      <c r="I247" s="114" t="s">
        <v>800</v>
      </c>
    </row>
    <row r="248" spans="1:9">
      <c r="A248" s="114" t="s">
        <v>732</v>
      </c>
      <c r="B248" s="114" t="s">
        <v>693</v>
      </c>
      <c r="C248" s="114" t="s">
        <v>732</v>
      </c>
      <c r="D248" s="114" t="s">
        <v>619</v>
      </c>
      <c r="E248" s="114" t="s">
        <v>647</v>
      </c>
      <c r="F248" s="114" t="str">
        <f t="shared" si="12"/>
        <v>DrugCharged/Summonsed</v>
      </c>
      <c r="G248" s="384">
        <f t="shared" si="13"/>
        <v>0.1943644859282474</v>
      </c>
      <c r="H248" s="384">
        <v>0.1943644859282474</v>
      </c>
      <c r="I248" s="114" t="s">
        <v>800</v>
      </c>
    </row>
    <row r="249" spans="1:9">
      <c r="A249" s="114" t="s">
        <v>732</v>
      </c>
      <c r="B249" s="114" t="s">
        <v>693</v>
      </c>
      <c r="C249" s="114" t="s">
        <v>732</v>
      </c>
      <c r="D249" s="114" t="s">
        <v>630</v>
      </c>
      <c r="E249" s="114" t="s">
        <v>647</v>
      </c>
      <c r="F249" s="114" t="str">
        <f t="shared" si="12"/>
        <v>Possession_of_weaponsCharged/Summonsed</v>
      </c>
      <c r="G249" s="384">
        <f t="shared" si="13"/>
        <v>0.29633470830878023</v>
      </c>
      <c r="H249" s="384">
        <v>0.29633470830878023</v>
      </c>
      <c r="I249" s="114" t="s">
        <v>800</v>
      </c>
    </row>
    <row r="250" spans="1:9">
      <c r="A250" s="114" t="s">
        <v>732</v>
      </c>
      <c r="B250" s="114" t="s">
        <v>693</v>
      </c>
      <c r="C250" s="114" t="s">
        <v>732</v>
      </c>
      <c r="D250" s="114" t="s">
        <v>631</v>
      </c>
      <c r="E250" s="114" t="s">
        <v>647</v>
      </c>
      <c r="F250" s="114" t="str">
        <f t="shared" si="12"/>
        <v>Public_orderCharged/Summonsed</v>
      </c>
      <c r="G250" s="384">
        <f t="shared" si="13"/>
        <v>6.2109524840391797E-2</v>
      </c>
      <c r="H250" s="384">
        <v>6.2109524840391797E-2</v>
      </c>
      <c r="I250" s="114" t="s">
        <v>800</v>
      </c>
    </row>
    <row r="251" spans="1:9">
      <c r="A251" s="114" t="s">
        <v>732</v>
      </c>
      <c r="B251" s="114" t="s">
        <v>693</v>
      </c>
      <c r="C251" s="114" t="s">
        <v>732</v>
      </c>
      <c r="D251" s="114" t="s">
        <v>632</v>
      </c>
      <c r="E251" s="114" t="s">
        <v>647</v>
      </c>
      <c r="F251" s="114" t="str">
        <f t="shared" si="12"/>
        <v>Miscellaneous_crimes_against_societyCharged/Summonsed</v>
      </c>
      <c r="G251" s="384">
        <f t="shared" si="13"/>
        <v>0.10269977461573433</v>
      </c>
      <c r="H251" s="384">
        <v>0.10269977461573433</v>
      </c>
      <c r="I251" s="114" t="s">
        <v>800</v>
      </c>
    </row>
    <row r="252" spans="1:9">
      <c r="A252" s="114" t="s">
        <v>732</v>
      </c>
      <c r="B252" s="114" t="s">
        <v>693</v>
      </c>
      <c r="C252" s="114" t="s">
        <v>732</v>
      </c>
      <c r="D252" s="114" t="s">
        <v>628</v>
      </c>
      <c r="E252" s="114" t="s">
        <v>748</v>
      </c>
      <c r="F252" s="114" t="str">
        <f t="shared" si="12"/>
        <v>Violence_against_the_personTaken_into_consideration</v>
      </c>
      <c r="G252" s="384">
        <f t="shared" si="13"/>
        <v>2.4913716379072267E-5</v>
      </c>
      <c r="H252" s="384">
        <v>2.4913716379072267E-5</v>
      </c>
      <c r="I252" s="114" t="s">
        <v>800</v>
      </c>
    </row>
    <row r="253" spans="1:9">
      <c r="A253" s="114" t="s">
        <v>732</v>
      </c>
      <c r="B253" s="114" t="s">
        <v>693</v>
      </c>
      <c r="C253" s="114" t="s">
        <v>732</v>
      </c>
      <c r="D253" s="114" t="s">
        <v>617</v>
      </c>
      <c r="E253" s="114" t="s">
        <v>748</v>
      </c>
      <c r="F253" s="114" t="str">
        <f t="shared" si="12"/>
        <v>SexualTaken_into_consideration</v>
      </c>
      <c r="G253" s="384">
        <f t="shared" si="13"/>
        <v>2.8416339975411169E-4</v>
      </c>
      <c r="H253" s="384">
        <v>2.8416339975411169E-4</v>
      </c>
      <c r="I253" s="114" t="s">
        <v>800</v>
      </c>
    </row>
    <row r="254" spans="1:9">
      <c r="A254" s="114" t="s">
        <v>732</v>
      </c>
      <c r="B254" s="114" t="s">
        <v>693</v>
      </c>
      <c r="C254" s="114" t="s">
        <v>732</v>
      </c>
      <c r="D254" s="114" t="s">
        <v>292</v>
      </c>
      <c r="E254" s="114" t="s">
        <v>748</v>
      </c>
      <c r="F254" s="114" t="str">
        <f t="shared" si="12"/>
        <v>RobberyTaken_into_consideration</v>
      </c>
      <c r="G254" s="384">
        <f t="shared" si="13"/>
        <v>2.0975720603401562E-4</v>
      </c>
      <c r="H254" s="384">
        <v>2.0975720603401562E-4</v>
      </c>
      <c r="I254" s="114" t="s">
        <v>800</v>
      </c>
    </row>
    <row r="255" spans="1:9">
      <c r="A255" s="114" t="s">
        <v>732</v>
      </c>
      <c r="B255" s="114" t="s">
        <v>693</v>
      </c>
      <c r="C255" s="114" t="s">
        <v>732</v>
      </c>
      <c r="D255" s="114" t="s">
        <v>293</v>
      </c>
      <c r="E255" s="114" t="s">
        <v>748</v>
      </c>
      <c r="F255" s="114" t="str">
        <f t="shared" si="12"/>
        <v>TheftTaken_into_consideration</v>
      </c>
      <c r="G255" s="384">
        <f t="shared" si="13"/>
        <v>1.1269467948888442E-3</v>
      </c>
      <c r="H255" s="384">
        <v>1.1269467948888442E-3</v>
      </c>
      <c r="I255" s="114" t="s">
        <v>800</v>
      </c>
    </row>
    <row r="256" spans="1:9">
      <c r="A256" s="114" t="s">
        <v>732</v>
      </c>
      <c r="B256" s="114" t="s">
        <v>693</v>
      </c>
      <c r="C256" s="114" t="s">
        <v>732</v>
      </c>
      <c r="D256" s="114" t="s">
        <v>678</v>
      </c>
      <c r="E256" s="114" t="s">
        <v>748</v>
      </c>
      <c r="F256" s="114" t="str">
        <f t="shared" si="12"/>
        <v>Criminal_damage_and_ArsonTaken_into_consideration</v>
      </c>
      <c r="G256" s="384">
        <f t="shared" si="13"/>
        <v>1.1823420328815543E-4</v>
      </c>
      <c r="H256" s="384">
        <v>1.1823420328815543E-4</v>
      </c>
      <c r="I256" s="114" t="s">
        <v>800</v>
      </c>
    </row>
    <row r="257" spans="1:9">
      <c r="A257" s="114" t="s">
        <v>732</v>
      </c>
      <c r="B257" s="114" t="s">
        <v>693</v>
      </c>
      <c r="C257" s="114" t="s">
        <v>732</v>
      </c>
      <c r="D257" s="114" t="s">
        <v>619</v>
      </c>
      <c r="E257" s="114" t="s">
        <v>748</v>
      </c>
      <c r="F257" s="114" t="str">
        <f t="shared" si="12"/>
        <v>DrugTaken_into_consideration</v>
      </c>
      <c r="G257" s="384">
        <f t="shared" si="13"/>
        <v>2.2710111109218601E-5</v>
      </c>
      <c r="H257" s="384">
        <v>2.2710111109218601E-5</v>
      </c>
      <c r="I257" s="114" t="s">
        <v>800</v>
      </c>
    </row>
    <row r="258" spans="1:9">
      <c r="A258" s="114" t="s">
        <v>732</v>
      </c>
      <c r="B258" s="114" t="s">
        <v>693</v>
      </c>
      <c r="C258" s="114" t="s">
        <v>732</v>
      </c>
      <c r="D258" s="114" t="s">
        <v>630</v>
      </c>
      <c r="E258" s="114" t="s">
        <v>748</v>
      </c>
      <c r="F258" s="114" t="str">
        <f t="shared" si="12"/>
        <v>Possession_of_weaponsTaken_into_consideration</v>
      </c>
      <c r="G258" s="384">
        <f t="shared" si="13"/>
        <v>7.0713022981732469E-5</v>
      </c>
      <c r="H258" s="384">
        <v>7.0713022981732469E-5</v>
      </c>
      <c r="I258" s="114" t="s">
        <v>800</v>
      </c>
    </row>
    <row r="259" spans="1:9">
      <c r="A259" s="114" t="s">
        <v>732</v>
      </c>
      <c r="B259" s="114" t="s">
        <v>693</v>
      </c>
      <c r="C259" s="114" t="s">
        <v>732</v>
      </c>
      <c r="D259" s="114" t="s">
        <v>631</v>
      </c>
      <c r="E259" s="114" t="s">
        <v>748</v>
      </c>
      <c r="F259" s="114" t="str">
        <f t="shared" si="12"/>
        <v>Public_orderTaken_into_consideration</v>
      </c>
      <c r="G259" s="384">
        <f t="shared" si="13"/>
        <v>1.0824113846890061E-4</v>
      </c>
      <c r="H259" s="384">
        <v>1.0824113846890061E-4</v>
      </c>
      <c r="I259" s="114" t="s">
        <v>800</v>
      </c>
    </row>
    <row r="260" spans="1:9">
      <c r="A260" s="114" t="s">
        <v>732</v>
      </c>
      <c r="B260" s="114" t="s">
        <v>693</v>
      </c>
      <c r="C260" s="114" t="s">
        <v>732</v>
      </c>
      <c r="D260" s="114" t="s">
        <v>632</v>
      </c>
      <c r="E260" s="114" t="s">
        <v>748</v>
      </c>
      <c r="F260" s="114" t="str">
        <f t="shared" ref="F260:F291" si="14">D260&amp;E260</f>
        <v>Miscellaneous_crimes_against_societyTaken_into_consideration</v>
      </c>
      <c r="G260" s="384">
        <f t="shared" si="13"/>
        <v>9.6731444490660579E-5</v>
      </c>
      <c r="H260" s="384">
        <v>9.6731444490660579E-5</v>
      </c>
      <c r="I260" s="114" t="s">
        <v>800</v>
      </c>
    </row>
    <row r="261" spans="1:9">
      <c r="A261" s="114" t="s">
        <v>732</v>
      </c>
      <c r="B261" s="114" t="s">
        <v>693</v>
      </c>
      <c r="C261" s="114" t="s">
        <v>732</v>
      </c>
      <c r="D261" s="114" t="s">
        <v>628</v>
      </c>
      <c r="E261" s="114" t="s">
        <v>749</v>
      </c>
      <c r="F261" s="114" t="str">
        <f t="shared" si="14"/>
        <v>Violence_against_the_personOut-of-court(formal)</v>
      </c>
      <c r="G261" s="384">
        <f t="shared" si="13"/>
        <v>1.071130780578539E-2</v>
      </c>
      <c r="H261" s="384">
        <v>1.071130780578539E-2</v>
      </c>
      <c r="I261" s="114" t="s">
        <v>800</v>
      </c>
    </row>
    <row r="262" spans="1:9">
      <c r="A262" s="114" t="s">
        <v>732</v>
      </c>
      <c r="B262" s="114" t="s">
        <v>693</v>
      </c>
      <c r="C262" s="114" t="s">
        <v>732</v>
      </c>
      <c r="D262" s="114" t="s">
        <v>617</v>
      </c>
      <c r="E262" s="114" t="s">
        <v>749</v>
      </c>
      <c r="F262" s="114" t="str">
        <f t="shared" si="14"/>
        <v>SexualOut-of-court(formal)</v>
      </c>
      <c r="G262" s="384">
        <f t="shared" si="13"/>
        <v>2.574868356955624E-3</v>
      </c>
      <c r="H262" s="384">
        <v>2.574868356955624E-3</v>
      </c>
      <c r="I262" s="114" t="s">
        <v>800</v>
      </c>
    </row>
    <row r="263" spans="1:9">
      <c r="A263" s="114" t="s">
        <v>732</v>
      </c>
      <c r="B263" s="114" t="s">
        <v>693</v>
      </c>
      <c r="C263" s="114" t="s">
        <v>732</v>
      </c>
      <c r="D263" s="114" t="s">
        <v>292</v>
      </c>
      <c r="E263" s="114" t="s">
        <v>749</v>
      </c>
      <c r="F263" s="114" t="str">
        <f t="shared" si="14"/>
        <v>RobberyOut-of-court(formal)</v>
      </c>
      <c r="G263" s="384">
        <f t="shared" si="13"/>
        <v>1.6955374154416264E-3</v>
      </c>
      <c r="H263" s="384">
        <v>1.6955374154416264E-3</v>
      </c>
      <c r="I263" s="114" t="s">
        <v>800</v>
      </c>
    </row>
    <row r="264" spans="1:9">
      <c r="A264" s="114" t="s">
        <v>732</v>
      </c>
      <c r="B264" s="114" t="s">
        <v>693</v>
      </c>
      <c r="C264" s="114" t="s">
        <v>732</v>
      </c>
      <c r="D264" s="114" t="s">
        <v>293</v>
      </c>
      <c r="E264" s="114" t="s">
        <v>749</v>
      </c>
      <c r="F264" s="114" t="str">
        <f t="shared" si="14"/>
        <v>TheftOut-of-court(formal)</v>
      </c>
      <c r="G264" s="384">
        <f t="shared" si="13"/>
        <v>2.8549825410636464E-3</v>
      </c>
      <c r="H264" s="384">
        <v>2.8549825410636464E-3</v>
      </c>
      <c r="I264" s="114" t="s">
        <v>800</v>
      </c>
    </row>
    <row r="265" spans="1:9">
      <c r="A265" s="114" t="s">
        <v>732</v>
      </c>
      <c r="B265" s="114" t="s">
        <v>693</v>
      </c>
      <c r="C265" s="114" t="s">
        <v>732</v>
      </c>
      <c r="D265" s="114" t="s">
        <v>678</v>
      </c>
      <c r="E265" s="114" t="s">
        <v>749</v>
      </c>
      <c r="F265" s="114" t="str">
        <f t="shared" si="14"/>
        <v>Criminal_damage_and_ArsonOut-of-court(formal)</v>
      </c>
      <c r="G265" s="384">
        <f t="shared" si="13"/>
        <v>1.2285985720627097E-2</v>
      </c>
      <c r="H265" s="384">
        <v>1.2285985720627097E-2</v>
      </c>
      <c r="I265" s="114" t="s">
        <v>800</v>
      </c>
    </row>
    <row r="266" spans="1:9">
      <c r="A266" s="114" t="s">
        <v>732</v>
      </c>
      <c r="B266" s="114" t="s">
        <v>693</v>
      </c>
      <c r="C266" s="114" t="s">
        <v>732</v>
      </c>
      <c r="D266" s="114" t="s">
        <v>619</v>
      </c>
      <c r="E266" s="114" t="s">
        <v>749</v>
      </c>
      <c r="F266" s="114" t="str">
        <f t="shared" si="14"/>
        <v>DrugOut-of-court(formal)</v>
      </c>
      <c r="G266" s="384">
        <f t="shared" si="13"/>
        <v>0.10003236190833063</v>
      </c>
      <c r="H266" s="384">
        <v>0.10003236190833063</v>
      </c>
      <c r="I266" s="114" t="s">
        <v>800</v>
      </c>
    </row>
    <row r="267" spans="1:9">
      <c r="A267" s="114" t="s">
        <v>732</v>
      </c>
      <c r="B267" s="114" t="s">
        <v>693</v>
      </c>
      <c r="C267" s="114" t="s">
        <v>732</v>
      </c>
      <c r="D267" s="114" t="s">
        <v>630</v>
      </c>
      <c r="E267" s="114" t="s">
        <v>749</v>
      </c>
      <c r="F267" s="114" t="str">
        <f t="shared" si="14"/>
        <v>Possession_of_weaponsOut-of-court(formal)</v>
      </c>
      <c r="G267" s="384">
        <f t="shared" si="13"/>
        <v>4.714201532115498E-2</v>
      </c>
      <c r="H267" s="384">
        <v>4.714201532115498E-2</v>
      </c>
      <c r="I267" s="114" t="s">
        <v>800</v>
      </c>
    </row>
    <row r="268" spans="1:9">
      <c r="A268" s="114" t="s">
        <v>732</v>
      </c>
      <c r="B268" s="114" t="s">
        <v>693</v>
      </c>
      <c r="C268" s="114" t="s">
        <v>732</v>
      </c>
      <c r="D268" s="114" t="s">
        <v>631</v>
      </c>
      <c r="E268" s="114" t="s">
        <v>749</v>
      </c>
      <c r="F268" s="114" t="str">
        <f t="shared" si="14"/>
        <v>Public_orderOut-of-court(formal)</v>
      </c>
      <c r="G268" s="384">
        <f t="shared" si="13"/>
        <v>1.0795629336766666E-2</v>
      </c>
      <c r="H268" s="384">
        <v>1.0795629336766666E-2</v>
      </c>
      <c r="I268" s="114" t="s">
        <v>800</v>
      </c>
    </row>
    <row r="269" spans="1:9">
      <c r="A269" s="114" t="s">
        <v>732</v>
      </c>
      <c r="B269" s="114" t="s">
        <v>693</v>
      </c>
      <c r="C269" s="114" t="s">
        <v>732</v>
      </c>
      <c r="D269" s="114" t="s">
        <v>632</v>
      </c>
      <c r="E269" s="114" t="s">
        <v>749</v>
      </c>
      <c r="F269" s="114" t="str">
        <f t="shared" si="14"/>
        <v>Miscellaneous_crimes_against_societyOut-of-court(formal)</v>
      </c>
      <c r="G269" s="384">
        <f t="shared" si="13"/>
        <v>8.493020826279998E-3</v>
      </c>
      <c r="H269" s="384">
        <v>8.493020826279998E-3</v>
      </c>
      <c r="I269" s="114" t="s">
        <v>800</v>
      </c>
    </row>
    <row r="270" spans="1:9">
      <c r="A270" s="114" t="s">
        <v>732</v>
      </c>
      <c r="B270" s="114" t="s">
        <v>693</v>
      </c>
      <c r="C270" s="114" t="s">
        <v>732</v>
      </c>
      <c r="D270" s="114" t="s">
        <v>628</v>
      </c>
      <c r="E270" s="114" t="s">
        <v>750</v>
      </c>
      <c r="F270" s="114" t="str">
        <f t="shared" si="14"/>
        <v>Violence_against_the_personOut-of-court(informal)</v>
      </c>
      <c r="G270" s="384">
        <f t="shared" si="13"/>
        <v>1.7758709066631469E-2</v>
      </c>
      <c r="H270" s="384">
        <v>1.7758709066631469E-2</v>
      </c>
      <c r="I270" s="114" t="s">
        <v>800</v>
      </c>
    </row>
    <row r="271" spans="1:9">
      <c r="A271" s="114" t="s">
        <v>732</v>
      </c>
      <c r="B271" s="114" t="s">
        <v>693</v>
      </c>
      <c r="C271" s="114" t="s">
        <v>732</v>
      </c>
      <c r="D271" s="114" t="s">
        <v>617</v>
      </c>
      <c r="E271" s="114" t="s">
        <v>750</v>
      </c>
      <c r="F271" s="114" t="str">
        <f t="shared" si="14"/>
        <v>SexualOut-of-court(informal)</v>
      </c>
      <c r="G271" s="384">
        <f t="shared" si="13"/>
        <v>2.6734556589111322E-3</v>
      </c>
      <c r="H271" s="384">
        <v>2.6734556589111322E-3</v>
      </c>
      <c r="I271" s="114" t="s">
        <v>800</v>
      </c>
    </row>
    <row r="272" spans="1:9">
      <c r="A272" s="114" t="s">
        <v>732</v>
      </c>
      <c r="B272" s="114" t="s">
        <v>693</v>
      </c>
      <c r="C272" s="114" t="s">
        <v>732</v>
      </c>
      <c r="D272" s="114" t="s">
        <v>292</v>
      </c>
      <c r="E272" s="114" t="s">
        <v>750</v>
      </c>
      <c r="F272" s="114" t="str">
        <f t="shared" si="14"/>
        <v>RobberyOut-of-court(informal)</v>
      </c>
      <c r="G272" s="384">
        <f t="shared" si="13"/>
        <v>3.4260343652222553E-3</v>
      </c>
      <c r="H272" s="384">
        <v>3.4260343652222553E-3</v>
      </c>
      <c r="I272" s="114" t="s">
        <v>800</v>
      </c>
    </row>
    <row r="273" spans="1:9">
      <c r="A273" s="114" t="s">
        <v>732</v>
      </c>
      <c r="B273" s="114" t="s">
        <v>693</v>
      </c>
      <c r="C273" s="114" t="s">
        <v>732</v>
      </c>
      <c r="D273" s="114" t="s">
        <v>293</v>
      </c>
      <c r="E273" s="114" t="s">
        <v>750</v>
      </c>
      <c r="F273" s="114" t="str">
        <f t="shared" si="14"/>
        <v>TheftOut-of-court(informal)</v>
      </c>
      <c r="G273" s="384">
        <f t="shared" si="13"/>
        <v>8.6766544194476214E-3</v>
      </c>
      <c r="H273" s="384">
        <v>8.6766544194476214E-3</v>
      </c>
      <c r="I273" s="114" t="s">
        <v>800</v>
      </c>
    </row>
    <row r="274" spans="1:9">
      <c r="A274" s="114" t="s">
        <v>732</v>
      </c>
      <c r="B274" s="114" t="s">
        <v>693</v>
      </c>
      <c r="C274" s="114" t="s">
        <v>732</v>
      </c>
      <c r="D274" s="114" t="s">
        <v>678</v>
      </c>
      <c r="E274" s="114" t="s">
        <v>750</v>
      </c>
      <c r="F274" s="114" t="str">
        <f t="shared" si="14"/>
        <v>Criminal_damage_and_ArsonOut-of-court(informal)</v>
      </c>
      <c r="G274" s="384">
        <f t="shared" si="13"/>
        <v>2.1300825150281897E-2</v>
      </c>
      <c r="H274" s="384">
        <v>2.1300825150281897E-2</v>
      </c>
      <c r="I274" s="114" t="s">
        <v>800</v>
      </c>
    </row>
    <row r="275" spans="1:9">
      <c r="A275" s="114" t="s">
        <v>732</v>
      </c>
      <c r="B275" s="114" t="s">
        <v>693</v>
      </c>
      <c r="C275" s="114" t="s">
        <v>732</v>
      </c>
      <c r="D275" s="114" t="s">
        <v>619</v>
      </c>
      <c r="E275" s="114" t="s">
        <v>750</v>
      </c>
      <c r="F275" s="114" t="str">
        <f t="shared" si="14"/>
        <v>DrugOut-of-court(informal)</v>
      </c>
      <c r="G275" s="384">
        <f t="shared" si="13"/>
        <v>0.32173982161207726</v>
      </c>
      <c r="H275" s="384">
        <v>0.32173982161207726</v>
      </c>
      <c r="I275" s="114" t="s">
        <v>800</v>
      </c>
    </row>
    <row r="276" spans="1:9">
      <c r="A276" s="114" t="s">
        <v>732</v>
      </c>
      <c r="B276" s="114" t="s">
        <v>693</v>
      </c>
      <c r="C276" s="114" t="s">
        <v>732</v>
      </c>
      <c r="D276" s="114" t="s">
        <v>630</v>
      </c>
      <c r="E276" s="114" t="s">
        <v>750</v>
      </c>
      <c r="F276" s="114" t="str">
        <f t="shared" si="14"/>
        <v>Possession_of_weaponsOut-of-court(informal)</v>
      </c>
      <c r="G276" s="384">
        <f t="shared" si="13"/>
        <v>3.1773718326458457E-2</v>
      </c>
      <c r="H276" s="384">
        <v>3.1773718326458457E-2</v>
      </c>
      <c r="I276" s="114" t="s">
        <v>800</v>
      </c>
    </row>
    <row r="277" spans="1:9">
      <c r="A277" s="114" t="s">
        <v>732</v>
      </c>
      <c r="B277" s="114" t="s">
        <v>693</v>
      </c>
      <c r="C277" s="114" t="s">
        <v>732</v>
      </c>
      <c r="D277" s="114" t="s">
        <v>631</v>
      </c>
      <c r="E277" s="114" t="s">
        <v>750</v>
      </c>
      <c r="F277" s="114" t="str">
        <f t="shared" si="14"/>
        <v>Public_orderOut-of-court(informal)</v>
      </c>
      <c r="G277" s="384">
        <f t="shared" si="13"/>
        <v>2.0554422505041758E-2</v>
      </c>
      <c r="H277" s="384">
        <v>2.0554422505041758E-2</v>
      </c>
      <c r="I277" s="114" t="s">
        <v>800</v>
      </c>
    </row>
    <row r="278" spans="1:9">
      <c r="A278" s="114" t="s">
        <v>732</v>
      </c>
      <c r="B278" s="114" t="s">
        <v>693</v>
      </c>
      <c r="C278" s="114" t="s">
        <v>732</v>
      </c>
      <c r="D278" s="114" t="s">
        <v>632</v>
      </c>
      <c r="E278" s="114" t="s">
        <v>750</v>
      </c>
      <c r="F278" s="114" t="str">
        <f t="shared" si="14"/>
        <v>Miscellaneous_crimes_against_societyOut-of-court(informal)</v>
      </c>
      <c r="G278" s="384">
        <f t="shared" si="13"/>
        <v>1.5728532874181411E-2</v>
      </c>
      <c r="H278" s="384">
        <v>1.5728532874181411E-2</v>
      </c>
      <c r="I278" s="114" t="s">
        <v>800</v>
      </c>
    </row>
    <row r="279" spans="1:9">
      <c r="A279" s="114" t="s">
        <v>732</v>
      </c>
      <c r="B279" s="114" t="s">
        <v>693</v>
      </c>
      <c r="C279" s="114" t="s">
        <v>732</v>
      </c>
      <c r="D279" s="114" t="s">
        <v>628</v>
      </c>
      <c r="E279" s="114" t="s">
        <v>801</v>
      </c>
      <c r="F279" s="114" t="str">
        <f t="shared" si="14"/>
        <v>Violence_against_the_personProsecution prevented or not in the public interest5</v>
      </c>
      <c r="G279" s="384">
        <f t="shared" si="13"/>
        <v>2.0778569539218167E-2</v>
      </c>
      <c r="H279" s="384">
        <v>2.0778569539218167E-2</v>
      </c>
      <c r="I279" s="114" t="s">
        <v>800</v>
      </c>
    </row>
    <row r="280" spans="1:9">
      <c r="A280" s="114" t="s">
        <v>732</v>
      </c>
      <c r="B280" s="114" t="s">
        <v>693</v>
      </c>
      <c r="C280" s="114" t="s">
        <v>732</v>
      </c>
      <c r="D280" s="114" t="s">
        <v>617</v>
      </c>
      <c r="E280" s="114" t="s">
        <v>801</v>
      </c>
      <c r="F280" s="114" t="str">
        <f t="shared" si="14"/>
        <v>SexualProsecution prevented or not in the public interest5</v>
      </c>
      <c r="G280" s="384">
        <f t="shared" si="13"/>
        <v>2.0500359553689486E-2</v>
      </c>
      <c r="H280" s="384">
        <v>2.0500359553689486E-2</v>
      </c>
      <c r="I280" s="114" t="s">
        <v>800</v>
      </c>
    </row>
    <row r="281" spans="1:9">
      <c r="A281" s="114" t="s">
        <v>732</v>
      </c>
      <c r="B281" s="114" t="s">
        <v>693</v>
      </c>
      <c r="C281" s="114" t="s">
        <v>732</v>
      </c>
      <c r="D281" s="114" t="s">
        <v>292</v>
      </c>
      <c r="E281" s="114" t="s">
        <v>801</v>
      </c>
      <c r="F281" s="114" t="str">
        <f t="shared" si="14"/>
        <v>RobberyProsecution prevented or not in the public interest5</v>
      </c>
      <c r="G281" s="384">
        <f t="shared" si="13"/>
        <v>1.4683004422381095E-3</v>
      </c>
      <c r="H281" s="384">
        <v>1.4683004422381095E-3</v>
      </c>
      <c r="I281" s="114" t="s">
        <v>800</v>
      </c>
    </row>
    <row r="282" spans="1:9">
      <c r="A282" s="114" t="s">
        <v>732</v>
      </c>
      <c r="B282" s="114" t="s">
        <v>693</v>
      </c>
      <c r="C282" s="114" t="s">
        <v>732</v>
      </c>
      <c r="D282" s="114" t="s">
        <v>293</v>
      </c>
      <c r="E282" s="114" t="s">
        <v>801</v>
      </c>
      <c r="F282" s="114" t="str">
        <f t="shared" si="14"/>
        <v>TheftProsecution prevented or not in the public interest5</v>
      </c>
      <c r="G282" s="384">
        <f t="shared" si="13"/>
        <v>3.3785606541306815E-3</v>
      </c>
      <c r="H282" s="384">
        <v>3.3785606541306815E-3</v>
      </c>
      <c r="I282" s="114" t="s">
        <v>800</v>
      </c>
    </row>
    <row r="283" spans="1:9">
      <c r="A283" s="114" t="s">
        <v>732</v>
      </c>
      <c r="B283" s="114" t="s">
        <v>693</v>
      </c>
      <c r="C283" s="114" t="s">
        <v>732</v>
      </c>
      <c r="D283" s="114" t="s">
        <v>678</v>
      </c>
      <c r="E283" s="114" t="s">
        <v>801</v>
      </c>
      <c r="F283" s="114" t="str">
        <f t="shared" si="14"/>
        <v>Criminal_damage_and_ArsonProsecution prevented or not in the public interest5</v>
      </c>
      <c r="G283" s="384">
        <f t="shared" si="13"/>
        <v>8.7514053275917145E-3</v>
      </c>
      <c r="H283" s="384">
        <v>8.7514053275917145E-3</v>
      </c>
      <c r="I283" s="114" t="s">
        <v>800</v>
      </c>
    </row>
    <row r="284" spans="1:9">
      <c r="A284" s="114" t="s">
        <v>732</v>
      </c>
      <c r="B284" s="114" t="s">
        <v>693</v>
      </c>
      <c r="C284" s="114" t="s">
        <v>732</v>
      </c>
      <c r="D284" s="114" t="s">
        <v>619</v>
      </c>
      <c r="E284" s="114" t="s">
        <v>801</v>
      </c>
      <c r="F284" s="114" t="str">
        <f t="shared" si="14"/>
        <v>DrugProsecution prevented or not in the public interest5</v>
      </c>
      <c r="G284" s="384">
        <f t="shared" si="13"/>
        <v>3.109581963629757E-2</v>
      </c>
      <c r="H284" s="384">
        <v>3.109581963629757E-2</v>
      </c>
      <c r="I284" s="114" t="s">
        <v>800</v>
      </c>
    </row>
    <row r="285" spans="1:9">
      <c r="A285" s="114" t="s">
        <v>732</v>
      </c>
      <c r="B285" s="114" t="s">
        <v>693</v>
      </c>
      <c r="C285" s="114" t="s">
        <v>732</v>
      </c>
      <c r="D285" s="114" t="s">
        <v>630</v>
      </c>
      <c r="E285" s="114" t="s">
        <v>801</v>
      </c>
      <c r="F285" s="114" t="str">
        <f t="shared" si="14"/>
        <v>Possession_of_weaponsProsecution prevented or not in the public interest5</v>
      </c>
      <c r="G285" s="384">
        <f t="shared" si="13"/>
        <v>2.8756629345904536E-2</v>
      </c>
      <c r="H285" s="384">
        <v>2.8756629345904536E-2</v>
      </c>
      <c r="I285" s="114" t="s">
        <v>800</v>
      </c>
    </row>
    <row r="286" spans="1:9">
      <c r="A286" s="114" t="s">
        <v>732</v>
      </c>
      <c r="B286" s="114" t="s">
        <v>693</v>
      </c>
      <c r="C286" s="114" t="s">
        <v>732</v>
      </c>
      <c r="D286" s="114" t="s">
        <v>631</v>
      </c>
      <c r="E286" s="114" t="s">
        <v>801</v>
      </c>
      <c r="F286" s="114" t="str">
        <f t="shared" si="14"/>
        <v>Public_orderProsecution prevented or not in the public interest5</v>
      </c>
      <c r="G286" s="384">
        <f t="shared" si="13"/>
        <v>1.6490632394104088E-2</v>
      </c>
      <c r="H286" s="384">
        <v>1.6490632394104088E-2</v>
      </c>
      <c r="I286" s="114" t="s">
        <v>800</v>
      </c>
    </row>
    <row r="287" spans="1:9">
      <c r="A287" s="114" t="s">
        <v>732</v>
      </c>
      <c r="B287" s="114" t="s">
        <v>693</v>
      </c>
      <c r="C287" s="114" t="s">
        <v>732</v>
      </c>
      <c r="D287" s="114" t="s">
        <v>632</v>
      </c>
      <c r="E287" s="114" t="s">
        <v>801</v>
      </c>
      <c r="F287" s="114" t="str">
        <f t="shared" si="14"/>
        <v>Miscellaneous_crimes_against_societyProsecution prevented or not in the public interest5</v>
      </c>
      <c r="G287" s="384">
        <f t="shared" si="13"/>
        <v>2.6011085423538631E-2</v>
      </c>
      <c r="H287" s="384">
        <v>2.6011085423538631E-2</v>
      </c>
      <c r="I287" s="114" t="s">
        <v>800</v>
      </c>
    </row>
    <row r="288" spans="1:9">
      <c r="A288" s="114" t="s">
        <v>732</v>
      </c>
      <c r="B288" s="114" t="s">
        <v>693</v>
      </c>
      <c r="C288" s="114" t="s">
        <v>732</v>
      </c>
      <c r="D288" s="114" t="s">
        <v>628</v>
      </c>
      <c r="E288" s="114" t="s">
        <v>648</v>
      </c>
      <c r="F288" s="114" t="str">
        <f t="shared" si="14"/>
        <v>Violence_against_the_personEvidential difficulties (suspect identified; victim supports action)</v>
      </c>
      <c r="G288" s="384">
        <f t="shared" si="13"/>
        <v>0.17386116486996364</v>
      </c>
      <c r="H288" s="384">
        <v>0.17386116486996364</v>
      </c>
      <c r="I288" s="114" t="s">
        <v>800</v>
      </c>
    </row>
    <row r="289" spans="1:9">
      <c r="A289" s="114" t="s">
        <v>732</v>
      </c>
      <c r="B289" s="114" t="s">
        <v>693</v>
      </c>
      <c r="C289" s="114" t="s">
        <v>732</v>
      </c>
      <c r="D289" s="114" t="s">
        <v>617</v>
      </c>
      <c r="E289" s="114" t="s">
        <v>648</v>
      </c>
      <c r="F289" s="114" t="str">
        <f t="shared" si="14"/>
        <v>SexualEvidential difficulties (suspect identified; victim supports action)</v>
      </c>
      <c r="G289" s="384">
        <f t="shared" si="13"/>
        <v>0.136943561669257</v>
      </c>
      <c r="H289" s="384">
        <v>0.136943561669257</v>
      </c>
      <c r="I289" s="114" t="s">
        <v>800</v>
      </c>
    </row>
    <row r="290" spans="1:9">
      <c r="A290" s="114" t="s">
        <v>732</v>
      </c>
      <c r="B290" s="114" t="s">
        <v>693</v>
      </c>
      <c r="C290" s="114" t="s">
        <v>732</v>
      </c>
      <c r="D290" s="114" t="s">
        <v>292</v>
      </c>
      <c r="E290" s="114" t="s">
        <v>648</v>
      </c>
      <c r="F290" s="114" t="str">
        <f t="shared" si="14"/>
        <v>RobberyEvidential difficulties (suspect identified; victim supports action)</v>
      </c>
      <c r="G290" s="384">
        <f t="shared" si="13"/>
        <v>6.5898722229019907E-2</v>
      </c>
      <c r="H290" s="384">
        <v>6.5898722229019907E-2</v>
      </c>
      <c r="I290" s="114" t="s">
        <v>800</v>
      </c>
    </row>
    <row r="291" spans="1:9">
      <c r="A291" s="114" t="s">
        <v>732</v>
      </c>
      <c r="B291" s="114" t="s">
        <v>693</v>
      </c>
      <c r="C291" s="114" t="s">
        <v>732</v>
      </c>
      <c r="D291" s="114" t="s">
        <v>293</v>
      </c>
      <c r="E291" s="114" t="s">
        <v>648</v>
      </c>
      <c r="F291" s="114" t="str">
        <f t="shared" si="14"/>
        <v>TheftEvidential difficulties (suspect identified; victim supports action)</v>
      </c>
      <c r="G291" s="384">
        <f t="shared" si="13"/>
        <v>5.0290855620865611E-2</v>
      </c>
      <c r="H291" s="384">
        <v>5.0290855620865611E-2</v>
      </c>
      <c r="I291" s="114" t="s">
        <v>800</v>
      </c>
    </row>
    <row r="292" spans="1:9">
      <c r="A292" s="114" t="s">
        <v>732</v>
      </c>
      <c r="B292" s="114" t="s">
        <v>693</v>
      </c>
      <c r="C292" s="114" t="s">
        <v>732</v>
      </c>
      <c r="D292" s="114" t="s">
        <v>678</v>
      </c>
      <c r="E292" s="114" t="s">
        <v>648</v>
      </c>
      <c r="F292" s="114" t="str">
        <f t="shared" ref="F292:F323" si="15">D292&amp;E292</f>
        <v>Criminal_damage_and_ArsonEvidential difficulties (suspect identified; victim supports action)</v>
      </c>
      <c r="G292" s="384">
        <f t="shared" si="13"/>
        <v>7.4342348172762987E-2</v>
      </c>
      <c r="H292" s="384">
        <v>7.4342348172762987E-2</v>
      </c>
      <c r="I292" s="114" t="s">
        <v>800</v>
      </c>
    </row>
    <row r="293" spans="1:9">
      <c r="A293" s="114" t="s">
        <v>732</v>
      </c>
      <c r="B293" s="114" t="s">
        <v>693</v>
      </c>
      <c r="C293" s="114" t="s">
        <v>732</v>
      </c>
      <c r="D293" s="114" t="s">
        <v>619</v>
      </c>
      <c r="E293" s="114" t="s">
        <v>648</v>
      </c>
      <c r="F293" s="114" t="str">
        <f t="shared" si="15"/>
        <v>DrugEvidential difficulties (suspect identified; victim supports action)</v>
      </c>
      <c r="G293" s="384">
        <f t="shared" ref="G293:G350" si="16">H293</f>
        <v>7.490930149375756E-2</v>
      </c>
      <c r="H293" s="384">
        <v>7.490930149375756E-2</v>
      </c>
      <c r="I293" s="114" t="s">
        <v>800</v>
      </c>
    </row>
    <row r="294" spans="1:9">
      <c r="A294" s="114" t="s">
        <v>732</v>
      </c>
      <c r="B294" s="114" t="s">
        <v>693</v>
      </c>
      <c r="C294" s="114" t="s">
        <v>732</v>
      </c>
      <c r="D294" s="114" t="s">
        <v>630</v>
      </c>
      <c r="E294" s="114" t="s">
        <v>648</v>
      </c>
      <c r="F294" s="114" t="str">
        <f t="shared" si="15"/>
        <v>Possession_of_weaponsEvidential difficulties (suspect identified; victim supports action)</v>
      </c>
      <c r="G294" s="384">
        <f t="shared" si="16"/>
        <v>0.16782557454331173</v>
      </c>
      <c r="H294" s="384">
        <v>0.16782557454331173</v>
      </c>
      <c r="I294" s="114" t="s">
        <v>800</v>
      </c>
    </row>
    <row r="295" spans="1:9">
      <c r="A295" s="114" t="s">
        <v>732</v>
      </c>
      <c r="B295" s="114" t="s">
        <v>693</v>
      </c>
      <c r="C295" s="114" t="s">
        <v>732</v>
      </c>
      <c r="D295" s="114" t="s">
        <v>631</v>
      </c>
      <c r="E295" s="114" t="s">
        <v>648</v>
      </c>
      <c r="F295" s="114" t="str">
        <f t="shared" si="15"/>
        <v>Public_orderEvidential difficulties (suspect identified; victim supports action)</v>
      </c>
      <c r="G295" s="384">
        <f t="shared" si="16"/>
        <v>0.17114443165806434</v>
      </c>
      <c r="H295" s="384">
        <v>0.17114443165806434</v>
      </c>
      <c r="I295" s="114" t="s">
        <v>800</v>
      </c>
    </row>
    <row r="296" spans="1:9">
      <c r="A296" s="114" t="s">
        <v>732</v>
      </c>
      <c r="B296" s="114" t="s">
        <v>693</v>
      </c>
      <c r="C296" s="114" t="s">
        <v>732</v>
      </c>
      <c r="D296" s="114" t="s">
        <v>632</v>
      </c>
      <c r="E296" s="114" t="s">
        <v>648</v>
      </c>
      <c r="F296" s="114" t="str">
        <f t="shared" si="15"/>
        <v>Miscellaneous_crimes_against_societyEvidential difficulties (suspect identified; victim supports action)</v>
      </c>
      <c r="G296" s="384">
        <f t="shared" si="16"/>
        <v>0.16867061975836486</v>
      </c>
      <c r="H296" s="384">
        <v>0.16867061975836486</v>
      </c>
      <c r="I296" s="114" t="s">
        <v>800</v>
      </c>
    </row>
    <row r="297" spans="1:9">
      <c r="A297" s="114" t="s">
        <v>732</v>
      </c>
      <c r="B297" s="114" t="s">
        <v>693</v>
      </c>
      <c r="C297" s="114" t="s">
        <v>732</v>
      </c>
      <c r="D297" s="114" t="s">
        <v>628</v>
      </c>
      <c r="E297" s="114" t="s">
        <v>802</v>
      </c>
      <c r="F297" s="114" t="str">
        <f t="shared" si="15"/>
        <v>Violence_against_the_personEvidential difficulties (victim does not support action)6</v>
      </c>
      <c r="G297" s="384">
        <f t="shared" si="16"/>
        <v>0.41500261594021981</v>
      </c>
      <c r="H297" s="384">
        <v>0.41500261594021981</v>
      </c>
      <c r="I297" s="114" t="s">
        <v>800</v>
      </c>
    </row>
    <row r="298" spans="1:9">
      <c r="A298" s="114" t="s">
        <v>732</v>
      </c>
      <c r="B298" s="114" t="s">
        <v>693</v>
      </c>
      <c r="C298" s="114" t="s">
        <v>732</v>
      </c>
      <c r="D298" s="114" t="s">
        <v>617</v>
      </c>
      <c r="E298" s="114" t="s">
        <v>802</v>
      </c>
      <c r="F298" s="114" t="str">
        <f t="shared" si="15"/>
        <v>SexualEvidential difficulties (victim does not support action)6</v>
      </c>
      <c r="G298" s="384">
        <f t="shared" si="16"/>
        <v>0.33207682850448861</v>
      </c>
      <c r="H298" s="384">
        <v>0.33207682850448861</v>
      </c>
      <c r="I298" s="114" t="s">
        <v>800</v>
      </c>
    </row>
    <row r="299" spans="1:9">
      <c r="A299" s="114" t="s">
        <v>732</v>
      </c>
      <c r="B299" s="114" t="s">
        <v>693</v>
      </c>
      <c r="C299" s="114" t="s">
        <v>732</v>
      </c>
      <c r="D299" s="114" t="s">
        <v>292</v>
      </c>
      <c r="E299" s="114" t="s">
        <v>802</v>
      </c>
      <c r="F299" s="114" t="str">
        <f t="shared" si="15"/>
        <v>RobberyEvidential difficulties (victim does not support action)6</v>
      </c>
      <c r="G299" s="384">
        <f t="shared" si="16"/>
        <v>0.20367424705902917</v>
      </c>
      <c r="H299" s="384">
        <v>0.20367424705902917</v>
      </c>
      <c r="I299" s="114" t="s">
        <v>800</v>
      </c>
    </row>
    <row r="300" spans="1:9">
      <c r="A300" s="114" t="s">
        <v>732</v>
      </c>
      <c r="B300" s="114" t="s">
        <v>693</v>
      </c>
      <c r="C300" s="114" t="s">
        <v>732</v>
      </c>
      <c r="D300" s="114" t="s">
        <v>293</v>
      </c>
      <c r="E300" s="114" t="s">
        <v>802</v>
      </c>
      <c r="F300" s="114" t="str">
        <f t="shared" si="15"/>
        <v>TheftEvidential difficulties (victim does not support action)6</v>
      </c>
      <c r="G300" s="384">
        <f t="shared" si="16"/>
        <v>8.1128010669138911E-2</v>
      </c>
      <c r="H300" s="384">
        <v>8.1128010669138911E-2</v>
      </c>
      <c r="I300" s="114" t="s">
        <v>800</v>
      </c>
    </row>
    <row r="301" spans="1:9">
      <c r="A301" s="114" t="s">
        <v>732</v>
      </c>
      <c r="B301" s="114" t="s">
        <v>693</v>
      </c>
      <c r="C301" s="114" t="s">
        <v>732</v>
      </c>
      <c r="D301" s="114" t="s">
        <v>678</v>
      </c>
      <c r="E301" s="114" t="s">
        <v>802</v>
      </c>
      <c r="F301" s="114" t="str">
        <f t="shared" si="15"/>
        <v>Criminal_damage_and_ArsonEvidential difficulties (victim does not support action)6</v>
      </c>
      <c r="G301" s="384">
        <f t="shared" si="16"/>
        <v>0.16785938012088927</v>
      </c>
      <c r="H301" s="384">
        <v>0.16785938012088927</v>
      </c>
      <c r="I301" s="114" t="s">
        <v>800</v>
      </c>
    </row>
    <row r="302" spans="1:9">
      <c r="A302" s="114" t="s">
        <v>732</v>
      </c>
      <c r="B302" s="114" t="s">
        <v>693</v>
      </c>
      <c r="C302" s="114" t="s">
        <v>732</v>
      </c>
      <c r="D302" s="114" t="s">
        <v>619</v>
      </c>
      <c r="E302" s="114" t="s">
        <v>802</v>
      </c>
      <c r="F302" s="114" t="str">
        <f t="shared" si="15"/>
        <v>DrugEvidential difficulties (victim does not support action)6</v>
      </c>
      <c r="G302" s="384">
        <f t="shared" si="16"/>
        <v>7.6476299160293639E-3</v>
      </c>
      <c r="H302" s="384">
        <v>7.6476299160293639E-3</v>
      </c>
      <c r="I302" s="114" t="s">
        <v>800</v>
      </c>
    </row>
    <row r="303" spans="1:9">
      <c r="A303" s="114" t="s">
        <v>732</v>
      </c>
      <c r="B303" s="114" t="s">
        <v>693</v>
      </c>
      <c r="C303" s="114" t="s">
        <v>732</v>
      </c>
      <c r="D303" s="114" t="s">
        <v>630</v>
      </c>
      <c r="E303" s="114" t="s">
        <v>802</v>
      </c>
      <c r="F303" s="114" t="str">
        <f t="shared" si="15"/>
        <v>Possession_of_weaponsEvidential difficulties (victim does not support action)6</v>
      </c>
      <c r="G303" s="384">
        <f t="shared" si="16"/>
        <v>8.0353565114908668E-2</v>
      </c>
      <c r="H303" s="384">
        <v>8.0353565114908668E-2</v>
      </c>
      <c r="I303" s="114" t="s">
        <v>800</v>
      </c>
    </row>
    <row r="304" spans="1:9">
      <c r="A304" s="114" t="s">
        <v>732</v>
      </c>
      <c r="B304" s="114" t="s">
        <v>693</v>
      </c>
      <c r="C304" s="114" t="s">
        <v>732</v>
      </c>
      <c r="D304" s="114" t="s">
        <v>631</v>
      </c>
      <c r="E304" s="114" t="s">
        <v>802</v>
      </c>
      <c r="F304" s="114" t="str">
        <f t="shared" si="15"/>
        <v>Public_orderEvidential difficulties (victim does not support action)6</v>
      </c>
      <c r="G304" s="384">
        <f t="shared" si="16"/>
        <v>0.2995734919350857</v>
      </c>
      <c r="H304" s="384">
        <v>0.2995734919350857</v>
      </c>
      <c r="I304" s="114" t="s">
        <v>800</v>
      </c>
    </row>
    <row r="305" spans="1:9">
      <c r="A305" s="114" t="s">
        <v>732</v>
      </c>
      <c r="B305" s="114" t="s">
        <v>693</v>
      </c>
      <c r="C305" s="114" t="s">
        <v>732</v>
      </c>
      <c r="D305" s="114" t="s">
        <v>632</v>
      </c>
      <c r="E305" s="114" t="s">
        <v>802</v>
      </c>
      <c r="F305" s="114" t="str">
        <f t="shared" si="15"/>
        <v>Miscellaneous_crimes_against_societyEvidential difficulties (victim does not support action)6</v>
      </c>
      <c r="G305" s="384">
        <f t="shared" si="16"/>
        <v>0.21425047640236411</v>
      </c>
      <c r="H305" s="384">
        <v>0.21425047640236411</v>
      </c>
      <c r="I305" s="114" t="s">
        <v>800</v>
      </c>
    </row>
    <row r="306" spans="1:9">
      <c r="A306" s="114" t="s">
        <v>732</v>
      </c>
      <c r="B306" s="114" t="s">
        <v>693</v>
      </c>
      <c r="C306" s="114" t="s">
        <v>732</v>
      </c>
      <c r="D306" s="114" t="s">
        <v>628</v>
      </c>
      <c r="E306" s="114" t="s">
        <v>695</v>
      </c>
      <c r="F306" s="114" t="str">
        <f t="shared" si="15"/>
        <v>Violence_against_the_personInvestigation complete - no suspect identified</v>
      </c>
      <c r="G306" s="384">
        <f t="shared" si="16"/>
        <v>0.13517864459841475</v>
      </c>
      <c r="H306" s="384">
        <v>0.13517864459841475</v>
      </c>
      <c r="I306" s="114" t="s">
        <v>800</v>
      </c>
    </row>
    <row r="307" spans="1:9">
      <c r="A307" s="114" t="s">
        <v>732</v>
      </c>
      <c r="B307" s="114" t="s">
        <v>693</v>
      </c>
      <c r="C307" s="114" t="s">
        <v>732</v>
      </c>
      <c r="D307" s="114" t="s">
        <v>617</v>
      </c>
      <c r="E307" s="114" t="s">
        <v>695</v>
      </c>
      <c r="F307" s="114" t="str">
        <f t="shared" si="15"/>
        <v>SexualInvestigation complete - no suspect identified</v>
      </c>
      <c r="G307" s="384">
        <f t="shared" si="16"/>
        <v>0.13186341599202023</v>
      </c>
      <c r="H307" s="384">
        <v>0.13186341599202023</v>
      </c>
      <c r="I307" s="114" t="s">
        <v>800</v>
      </c>
    </row>
    <row r="308" spans="1:9">
      <c r="A308" s="114" t="s">
        <v>732</v>
      </c>
      <c r="B308" s="114" t="s">
        <v>693</v>
      </c>
      <c r="C308" s="114" t="s">
        <v>732</v>
      </c>
      <c r="D308" s="114" t="s">
        <v>292</v>
      </c>
      <c r="E308" s="114" t="s">
        <v>695</v>
      </c>
      <c r="F308" s="114" t="str">
        <f t="shared" si="15"/>
        <v>RobberyInvestigation complete - no suspect identified</v>
      </c>
      <c r="G308" s="384">
        <f t="shared" si="16"/>
        <v>0.39408135083640689</v>
      </c>
      <c r="H308" s="384">
        <v>0.39408135083640689</v>
      </c>
      <c r="I308" s="114" t="s">
        <v>800</v>
      </c>
    </row>
    <row r="309" spans="1:9">
      <c r="A309" s="114" t="s">
        <v>732</v>
      </c>
      <c r="B309" s="114" t="s">
        <v>693</v>
      </c>
      <c r="C309" s="114" t="s">
        <v>732</v>
      </c>
      <c r="D309" s="114" t="s">
        <v>293</v>
      </c>
      <c r="E309" s="114" t="s">
        <v>695</v>
      </c>
      <c r="F309" s="114" t="str">
        <f t="shared" si="15"/>
        <v>TheftInvestigation complete - no suspect identified</v>
      </c>
      <c r="G309" s="384">
        <f t="shared" si="16"/>
        <v>0.71420158137308165</v>
      </c>
      <c r="H309" s="384">
        <v>0.71420158137308165</v>
      </c>
      <c r="I309" s="114" t="s">
        <v>800</v>
      </c>
    </row>
    <row r="310" spans="1:9">
      <c r="A310" s="114" t="s">
        <v>732</v>
      </c>
      <c r="B310" s="114" t="s">
        <v>693</v>
      </c>
      <c r="C310" s="114" t="s">
        <v>732</v>
      </c>
      <c r="D310" s="114" t="s">
        <v>678</v>
      </c>
      <c r="E310" s="114" t="s">
        <v>695</v>
      </c>
      <c r="F310" s="114" t="str">
        <f t="shared" si="15"/>
        <v>Criminal_damage_and_ArsonInvestigation complete - no suspect identified</v>
      </c>
      <c r="G310" s="384">
        <f t="shared" si="16"/>
        <v>0.58374093019203721</v>
      </c>
      <c r="H310" s="384">
        <v>0.58374093019203721</v>
      </c>
      <c r="I310" s="114" t="s">
        <v>800</v>
      </c>
    </row>
    <row r="311" spans="1:9">
      <c r="A311" s="114" t="s">
        <v>732</v>
      </c>
      <c r="B311" s="114" t="s">
        <v>693</v>
      </c>
      <c r="C311" s="114" t="s">
        <v>732</v>
      </c>
      <c r="D311" s="114" t="s">
        <v>619</v>
      </c>
      <c r="E311" s="114" t="s">
        <v>695</v>
      </c>
      <c r="F311" s="114" t="str">
        <f t="shared" si="15"/>
        <v>DrugInvestigation complete - no suspect identified</v>
      </c>
      <c r="G311" s="384">
        <f t="shared" si="16"/>
        <v>3.2475458886182598E-2</v>
      </c>
      <c r="H311" s="384">
        <v>3.2475458886182598E-2</v>
      </c>
      <c r="I311" s="114" t="s">
        <v>800</v>
      </c>
    </row>
    <row r="312" spans="1:9">
      <c r="A312" s="114" t="s">
        <v>732</v>
      </c>
      <c r="B312" s="114" t="s">
        <v>693</v>
      </c>
      <c r="C312" s="114" t="s">
        <v>732</v>
      </c>
      <c r="D312" s="114" t="s">
        <v>630</v>
      </c>
      <c r="E312" s="114" t="s">
        <v>695</v>
      </c>
      <c r="F312" s="114" t="str">
        <f t="shared" si="15"/>
        <v>Possession_of_weaponsInvestigation complete - no suspect identified</v>
      </c>
      <c r="G312" s="384">
        <f t="shared" si="16"/>
        <v>0.12193282262816735</v>
      </c>
      <c r="H312" s="384">
        <v>0.12193282262816735</v>
      </c>
      <c r="I312" s="114" t="s">
        <v>800</v>
      </c>
    </row>
    <row r="313" spans="1:9">
      <c r="A313" s="114" t="s">
        <v>732</v>
      </c>
      <c r="B313" s="114" t="s">
        <v>693</v>
      </c>
      <c r="C313" s="114" t="s">
        <v>732</v>
      </c>
      <c r="D313" s="114" t="s">
        <v>631</v>
      </c>
      <c r="E313" s="114" t="s">
        <v>695</v>
      </c>
      <c r="F313" s="114" t="str">
        <f t="shared" si="15"/>
        <v>Public_orderInvestigation complete - no suspect identified</v>
      </c>
      <c r="G313" s="384">
        <f t="shared" si="16"/>
        <v>0.2865237883638877</v>
      </c>
      <c r="H313" s="384">
        <v>0.2865237883638877</v>
      </c>
      <c r="I313" s="114" t="s">
        <v>800</v>
      </c>
    </row>
    <row r="314" spans="1:9">
      <c r="A314" s="114" t="s">
        <v>732</v>
      </c>
      <c r="B314" s="114" t="s">
        <v>693</v>
      </c>
      <c r="C314" s="114" t="s">
        <v>732</v>
      </c>
      <c r="D314" s="114" t="s">
        <v>632</v>
      </c>
      <c r="E314" s="114" t="s">
        <v>695</v>
      </c>
      <c r="F314" s="114" t="str">
        <f t="shared" si="15"/>
        <v>Miscellaneous_crimes_against_societyInvestigation complete - no suspect identified</v>
      </c>
      <c r="G314" s="384">
        <f t="shared" si="16"/>
        <v>0.14980798808268603</v>
      </c>
      <c r="H314" s="384">
        <v>0.14980798808268603</v>
      </c>
      <c r="I314" s="114" t="s">
        <v>800</v>
      </c>
    </row>
    <row r="315" spans="1:9">
      <c r="A315" s="114" t="s">
        <v>732</v>
      </c>
      <c r="B315" s="114" t="s">
        <v>693</v>
      </c>
      <c r="C315" s="114" t="s">
        <v>732</v>
      </c>
      <c r="D315" s="114" t="s">
        <v>628</v>
      </c>
      <c r="E315" s="114" t="s">
        <v>696</v>
      </c>
      <c r="F315" s="114" t="str">
        <f t="shared" si="15"/>
        <v>Violence_against_the_personAction undertaken by another body/agency</v>
      </c>
      <c r="G315" s="384">
        <f t="shared" si="16"/>
        <v>2.2412273238799033E-2</v>
      </c>
      <c r="H315" s="384">
        <v>2.2412273238799033E-2</v>
      </c>
      <c r="I315" s="114" t="s">
        <v>800</v>
      </c>
    </row>
    <row r="316" spans="1:9">
      <c r="A316" s="114" t="s">
        <v>732</v>
      </c>
      <c r="B316" s="114" t="s">
        <v>693</v>
      </c>
      <c r="C316" s="114" t="s">
        <v>732</v>
      </c>
      <c r="D316" s="114" t="s">
        <v>617</v>
      </c>
      <c r="E316" s="114" t="s">
        <v>696</v>
      </c>
      <c r="F316" s="114" t="str">
        <f t="shared" si="15"/>
        <v>SexualAction undertaken by another body/agency</v>
      </c>
      <c r="G316" s="384">
        <f t="shared" si="16"/>
        <v>2.6879537915516481E-2</v>
      </c>
      <c r="H316" s="384">
        <v>2.6879537915516481E-2</v>
      </c>
      <c r="I316" s="114" t="s">
        <v>800</v>
      </c>
    </row>
    <row r="317" spans="1:9">
      <c r="A317" s="114" t="s">
        <v>732</v>
      </c>
      <c r="B317" s="114" t="s">
        <v>693</v>
      </c>
      <c r="C317" s="114" t="s">
        <v>732</v>
      </c>
      <c r="D317" s="114" t="s">
        <v>292</v>
      </c>
      <c r="E317" s="114" t="s">
        <v>696</v>
      </c>
      <c r="F317" s="114" t="str">
        <f t="shared" si="15"/>
        <v>RobberyAction undertaken by another body/agency</v>
      </c>
      <c r="G317" s="384">
        <f t="shared" si="16"/>
        <v>9.9634672866157417E-4</v>
      </c>
      <c r="H317" s="384">
        <v>9.9634672866157417E-4</v>
      </c>
      <c r="I317" s="114" t="s">
        <v>800</v>
      </c>
    </row>
    <row r="318" spans="1:9">
      <c r="A318" s="114" t="s">
        <v>732</v>
      </c>
      <c r="B318" s="114" t="s">
        <v>693</v>
      </c>
      <c r="C318" s="114" t="s">
        <v>732</v>
      </c>
      <c r="D318" s="114" t="s">
        <v>293</v>
      </c>
      <c r="E318" s="114" t="s">
        <v>696</v>
      </c>
      <c r="F318" s="114" t="str">
        <f t="shared" si="15"/>
        <v>TheftAction undertaken by another body/agency</v>
      </c>
      <c r="G318" s="384">
        <f t="shared" si="16"/>
        <v>1.0760328129215126E-3</v>
      </c>
      <c r="H318" s="384">
        <v>1.0760328129215126E-3</v>
      </c>
      <c r="I318" s="114" t="s">
        <v>800</v>
      </c>
    </row>
    <row r="319" spans="1:9">
      <c r="A319" s="114" t="s">
        <v>732</v>
      </c>
      <c r="B319" s="114" t="s">
        <v>693</v>
      </c>
      <c r="C319" s="114" t="s">
        <v>732</v>
      </c>
      <c r="D319" s="114" t="s">
        <v>678</v>
      </c>
      <c r="E319" s="114" t="s">
        <v>696</v>
      </c>
      <c r="F319" s="114" t="str">
        <f t="shared" si="15"/>
        <v>Criminal_damage_and_ArsonAction undertaken by another body/agency</v>
      </c>
      <c r="G319" s="384">
        <f t="shared" si="16"/>
        <v>2.6696038531904566E-3</v>
      </c>
      <c r="H319" s="384">
        <v>2.6696038531904566E-3</v>
      </c>
      <c r="I319" s="114" t="s">
        <v>800</v>
      </c>
    </row>
    <row r="320" spans="1:9">
      <c r="A320" s="114" t="s">
        <v>732</v>
      </c>
      <c r="B320" s="114" t="s">
        <v>693</v>
      </c>
      <c r="C320" s="114" t="s">
        <v>732</v>
      </c>
      <c r="D320" s="114" t="s">
        <v>619</v>
      </c>
      <c r="E320" s="114" t="s">
        <v>696</v>
      </c>
      <c r="F320" s="114" t="str">
        <f t="shared" si="15"/>
        <v>DrugAction undertaken by another body/agency</v>
      </c>
      <c r="G320" s="384">
        <f t="shared" si="16"/>
        <v>2.3334639164722115E-3</v>
      </c>
      <c r="H320" s="384">
        <v>2.3334639164722115E-3</v>
      </c>
      <c r="I320" s="114" t="s">
        <v>800</v>
      </c>
    </row>
    <row r="321" spans="1:9">
      <c r="A321" s="114" t="s">
        <v>732</v>
      </c>
      <c r="B321" s="114" t="s">
        <v>693</v>
      </c>
      <c r="C321" s="114" t="s">
        <v>732</v>
      </c>
      <c r="D321" s="114" t="s">
        <v>630</v>
      </c>
      <c r="E321" s="114" t="s">
        <v>696</v>
      </c>
      <c r="F321" s="114" t="str">
        <f t="shared" si="15"/>
        <v>Possession_of_weaponsAction undertaken by another body/agency</v>
      </c>
      <c r="G321" s="384">
        <f t="shared" si="16"/>
        <v>7.1891573364761341E-3</v>
      </c>
      <c r="H321" s="384">
        <v>7.1891573364761341E-3</v>
      </c>
      <c r="I321" s="114" t="s">
        <v>800</v>
      </c>
    </row>
    <row r="322" spans="1:9">
      <c r="A322" s="114" t="s">
        <v>732</v>
      </c>
      <c r="B322" s="114" t="s">
        <v>693</v>
      </c>
      <c r="C322" s="114" t="s">
        <v>732</v>
      </c>
      <c r="D322" s="114" t="s">
        <v>631</v>
      </c>
      <c r="E322" s="114" t="s">
        <v>696</v>
      </c>
      <c r="F322" s="114" t="str">
        <f t="shared" si="15"/>
        <v>Public_orderAction undertaken by another body/agency</v>
      </c>
      <c r="G322" s="384">
        <f t="shared" si="16"/>
        <v>4.7037421050432774E-3</v>
      </c>
      <c r="H322" s="384">
        <v>4.7037421050432774E-3</v>
      </c>
      <c r="I322" s="114" t="s">
        <v>800</v>
      </c>
    </row>
    <row r="323" spans="1:9">
      <c r="A323" s="114" t="s">
        <v>732</v>
      </c>
      <c r="B323" s="114" t="s">
        <v>693</v>
      </c>
      <c r="C323" s="114" t="s">
        <v>732</v>
      </c>
      <c r="D323" s="114" t="s">
        <v>632</v>
      </c>
      <c r="E323" s="114" t="s">
        <v>696</v>
      </c>
      <c r="F323" s="114" t="str">
        <f t="shared" si="15"/>
        <v>Miscellaneous_crimes_against_societyAction undertaken by another body/agency</v>
      </c>
      <c r="G323" s="384">
        <f t="shared" si="16"/>
        <v>3.1873010959672661E-2</v>
      </c>
      <c r="H323" s="384">
        <v>3.1873010959672661E-2</v>
      </c>
      <c r="I323" s="114" t="s">
        <v>800</v>
      </c>
    </row>
    <row r="324" spans="1:9">
      <c r="A324" s="114" t="s">
        <v>732</v>
      </c>
      <c r="B324" s="114" t="s">
        <v>693</v>
      </c>
      <c r="C324" s="114" t="s">
        <v>732</v>
      </c>
      <c r="D324" s="114" t="s">
        <v>628</v>
      </c>
      <c r="E324" s="114" t="s">
        <v>803</v>
      </c>
      <c r="F324" s="114" t="str">
        <f t="shared" ref="F324:F350" si="17">D324&amp;E324</f>
        <v>Violence_against_the_personFurther investigation to support formal action not in the public interest7</v>
      </c>
      <c r="G324" s="384">
        <f t="shared" si="16"/>
        <v>9.1549956507012142E-3</v>
      </c>
      <c r="H324" s="384">
        <v>9.1549956507012142E-3</v>
      </c>
      <c r="I324" s="114" t="s">
        <v>800</v>
      </c>
    </row>
    <row r="325" spans="1:9">
      <c r="A325" s="114" t="s">
        <v>732</v>
      </c>
      <c r="B325" s="114" t="s">
        <v>693</v>
      </c>
      <c r="C325" s="114" t="s">
        <v>732</v>
      </c>
      <c r="D325" s="114" t="s">
        <v>617</v>
      </c>
      <c r="E325" s="114" t="s">
        <v>803</v>
      </c>
      <c r="F325" s="114" t="str">
        <f t="shared" si="17"/>
        <v>SexualFurther investigation to support formal action not in the public interest7</v>
      </c>
      <c r="G325" s="384">
        <f t="shared" si="16"/>
        <v>1.1662297896030991E-2</v>
      </c>
      <c r="H325" s="384">
        <v>1.1662297896030991E-2</v>
      </c>
      <c r="I325" s="114" t="s">
        <v>800</v>
      </c>
    </row>
    <row r="326" spans="1:9">
      <c r="A326" s="114" t="s">
        <v>732</v>
      </c>
      <c r="B326" s="114" t="s">
        <v>693</v>
      </c>
      <c r="C326" s="114" t="s">
        <v>732</v>
      </c>
      <c r="D326" s="114" t="s">
        <v>292</v>
      </c>
      <c r="E326" s="114" t="s">
        <v>803</v>
      </c>
      <c r="F326" s="114" t="str">
        <f t="shared" si="17"/>
        <v>RobberyFurther investigation to support formal action not in the public interest7</v>
      </c>
      <c r="G326" s="384">
        <f t="shared" si="16"/>
        <v>7.51629988288556E-4</v>
      </c>
      <c r="H326" s="384">
        <v>7.51629988288556E-4</v>
      </c>
      <c r="I326" s="114" t="s">
        <v>800</v>
      </c>
    </row>
    <row r="327" spans="1:9">
      <c r="A327" s="114" t="s">
        <v>732</v>
      </c>
      <c r="B327" s="114" t="s">
        <v>693</v>
      </c>
      <c r="C327" s="114" t="s">
        <v>732</v>
      </c>
      <c r="D327" s="114" t="s">
        <v>293</v>
      </c>
      <c r="E327" s="114" t="s">
        <v>803</v>
      </c>
      <c r="F327" s="114" t="str">
        <f t="shared" si="17"/>
        <v>TheftFurther investigation to support formal action not in the public interest7</v>
      </c>
      <c r="G327" s="384">
        <f t="shared" si="16"/>
        <v>4.5442628681289874E-3</v>
      </c>
      <c r="H327" s="384">
        <v>4.5442628681289874E-3</v>
      </c>
      <c r="I327" s="114" t="s">
        <v>800</v>
      </c>
    </row>
    <row r="328" spans="1:9">
      <c r="A328" s="114" t="s">
        <v>732</v>
      </c>
      <c r="B328" s="114" t="s">
        <v>693</v>
      </c>
      <c r="C328" s="114" t="s">
        <v>732</v>
      </c>
      <c r="D328" s="114" t="s">
        <v>678</v>
      </c>
      <c r="E328" s="114" t="s">
        <v>803</v>
      </c>
      <c r="F328" s="114" t="str">
        <f t="shared" si="17"/>
        <v>Criminal_damage_and_ArsonFurther investigation to support formal action not in the public interest7</v>
      </c>
      <c r="G328" s="384">
        <f t="shared" si="16"/>
        <v>5.1400764166324407E-3</v>
      </c>
      <c r="H328" s="384">
        <v>5.1400764166324407E-3</v>
      </c>
      <c r="I328" s="114" t="s">
        <v>800</v>
      </c>
    </row>
    <row r="329" spans="1:9">
      <c r="A329" s="114" t="s">
        <v>732</v>
      </c>
      <c r="B329" s="114" t="s">
        <v>693</v>
      </c>
      <c r="C329" s="114" t="s">
        <v>732</v>
      </c>
      <c r="D329" s="114" t="s">
        <v>619</v>
      </c>
      <c r="E329" s="114" t="s">
        <v>803</v>
      </c>
      <c r="F329" s="114" t="str">
        <f t="shared" si="17"/>
        <v>DrugFurther investigation to support formal action not in the public interest7</v>
      </c>
      <c r="G329" s="384">
        <f t="shared" si="16"/>
        <v>2.6934191775533262E-2</v>
      </c>
      <c r="H329" s="384">
        <v>2.6934191775533262E-2</v>
      </c>
      <c r="I329" s="114" t="s">
        <v>800</v>
      </c>
    </row>
    <row r="330" spans="1:9">
      <c r="A330" s="114" t="s">
        <v>732</v>
      </c>
      <c r="B330" s="114" t="s">
        <v>693</v>
      </c>
      <c r="C330" s="114" t="s">
        <v>732</v>
      </c>
      <c r="D330" s="114" t="s">
        <v>630</v>
      </c>
      <c r="E330" s="114" t="s">
        <v>803</v>
      </c>
      <c r="F330" s="114" t="str">
        <f t="shared" si="17"/>
        <v>Possession_of_weaponsFurther investigation to support formal action not in the public interest7</v>
      </c>
      <c r="G330" s="384">
        <f t="shared" si="16"/>
        <v>2.2274602239245728E-2</v>
      </c>
      <c r="H330" s="384">
        <v>2.2274602239245728E-2</v>
      </c>
      <c r="I330" s="114" t="s">
        <v>800</v>
      </c>
    </row>
    <row r="331" spans="1:9">
      <c r="A331" s="114" t="s">
        <v>732</v>
      </c>
      <c r="B331" s="114" t="s">
        <v>693</v>
      </c>
      <c r="C331" s="114" t="s">
        <v>732</v>
      </c>
      <c r="D331" s="114" t="s">
        <v>631</v>
      </c>
      <c r="E331" s="114" t="s">
        <v>803</v>
      </c>
      <c r="F331" s="114" t="str">
        <f t="shared" si="17"/>
        <v>Public_orderFurther investigation to support formal action not in the public interest7</v>
      </c>
      <c r="G331" s="384">
        <f t="shared" si="16"/>
        <v>1.4884106023144614E-2</v>
      </c>
      <c r="H331" s="384">
        <v>1.4884106023144614E-2</v>
      </c>
      <c r="I331" s="114" t="s">
        <v>800</v>
      </c>
    </row>
    <row r="332" spans="1:9">
      <c r="A332" s="114" t="s">
        <v>732</v>
      </c>
      <c r="B332" s="114" t="s">
        <v>693</v>
      </c>
      <c r="C332" s="114" t="s">
        <v>732</v>
      </c>
      <c r="D332" s="114" t="s">
        <v>632</v>
      </c>
      <c r="E332" s="114" t="s">
        <v>803</v>
      </c>
      <c r="F332" s="114" t="str">
        <f t="shared" si="17"/>
        <v>Miscellaneous_crimes_against_societyFurther investigation to support formal action not in the public interest7</v>
      </c>
      <c r="G332" s="384">
        <f t="shared" si="16"/>
        <v>6.9317753122007372E-2</v>
      </c>
      <c r="H332" s="384">
        <v>6.9317753122007372E-2</v>
      </c>
      <c r="I332" s="114" t="s">
        <v>800</v>
      </c>
    </row>
    <row r="333" spans="1:9">
      <c r="A333" s="114" t="s">
        <v>732</v>
      </c>
      <c r="B333" s="114" t="s">
        <v>693</v>
      </c>
      <c r="C333" s="114" t="s">
        <v>732</v>
      </c>
      <c r="D333" s="114" t="s">
        <v>628</v>
      </c>
      <c r="E333" s="114" t="s">
        <v>804</v>
      </c>
      <c r="F333" s="114" t="str">
        <f t="shared" si="17"/>
        <v>Violence_against_the_personDiversionary, educational or intervention activity, resulting from the crime report, has been undertaken and it is not in the public interest to take any further action7</v>
      </c>
      <c r="G333" s="384">
        <f t="shared" si="16"/>
        <v>7.2832864478394243E-3</v>
      </c>
      <c r="H333" s="384">
        <v>7.2832864478394243E-3</v>
      </c>
      <c r="I333" s="114" t="s">
        <v>800</v>
      </c>
    </row>
    <row r="334" spans="1:9">
      <c r="A334" s="114" t="s">
        <v>732</v>
      </c>
      <c r="B334" s="114" t="s">
        <v>693</v>
      </c>
      <c r="C334" s="114" t="s">
        <v>732</v>
      </c>
      <c r="D334" s="114" t="s">
        <v>617</v>
      </c>
      <c r="E334" s="114" t="s">
        <v>804</v>
      </c>
      <c r="F334" s="114" t="str">
        <f t="shared" si="17"/>
        <v>SexualDiversionary, educational or intervention activity, resulting from the crime report, has been undertaken and it is not in the public interest to take any further action7</v>
      </c>
      <c r="G334" s="384">
        <f t="shared" si="16"/>
        <v>3.9782875965575634E-3</v>
      </c>
      <c r="H334" s="384">
        <v>3.9782875965575634E-3</v>
      </c>
      <c r="I334" s="114" t="s">
        <v>800</v>
      </c>
    </row>
    <row r="335" spans="1:9">
      <c r="A335" s="114" t="s">
        <v>732</v>
      </c>
      <c r="B335" s="114" t="s">
        <v>693</v>
      </c>
      <c r="C335" s="114" t="s">
        <v>732</v>
      </c>
      <c r="D335" s="114" t="s">
        <v>292</v>
      </c>
      <c r="E335" s="114" t="s">
        <v>804</v>
      </c>
      <c r="F335" s="114" t="str">
        <f t="shared" si="17"/>
        <v>RobberyDiversionary, educational or intervention activity, resulting from the crime report, has been undertaken and it is not in the public interest to take any further action7</v>
      </c>
      <c r="G335" s="384">
        <f t="shared" si="16"/>
        <v>7.6910975545805725E-4</v>
      </c>
      <c r="H335" s="384">
        <v>7.6910975545805725E-4</v>
      </c>
      <c r="I335" s="114" t="s">
        <v>800</v>
      </c>
    </row>
    <row r="336" spans="1:9">
      <c r="A336" s="114" t="s">
        <v>732</v>
      </c>
      <c r="B336" s="114" t="s">
        <v>693</v>
      </c>
      <c r="C336" s="114" t="s">
        <v>732</v>
      </c>
      <c r="D336" s="114" t="s">
        <v>293</v>
      </c>
      <c r="E336" s="114" t="s">
        <v>804</v>
      </c>
      <c r="F336" s="114" t="str">
        <f t="shared" si="17"/>
        <v>TheftDiversionary, educational or intervention activity, resulting from the crime report, has been undertaken and it is not in the public interest to take any further action7</v>
      </c>
      <c r="G336" s="384">
        <f t="shared" si="16"/>
        <v>6.9531781343445205E-4</v>
      </c>
      <c r="H336" s="384">
        <v>6.9531781343445205E-4</v>
      </c>
      <c r="I336" s="114" t="s">
        <v>800</v>
      </c>
    </row>
    <row r="337" spans="1:9">
      <c r="A337" s="114" t="s">
        <v>732</v>
      </c>
      <c r="B337" s="114" t="s">
        <v>693</v>
      </c>
      <c r="C337" s="114" t="s">
        <v>732</v>
      </c>
      <c r="D337" s="114" t="s">
        <v>678</v>
      </c>
      <c r="E337" s="114" t="s">
        <v>804</v>
      </c>
      <c r="F337" s="114" t="str">
        <f t="shared" si="17"/>
        <v>Criminal_damage_and_ArsonDiversionary, educational or intervention activity, resulting from the crime report, has been undertaken and it is not in the public interest to take any further action7</v>
      </c>
      <c r="G337" s="384">
        <f t="shared" si="16"/>
        <v>3.4329404638929338E-3</v>
      </c>
      <c r="H337" s="384">
        <v>3.4329404638929338E-3</v>
      </c>
      <c r="I337" s="114" t="s">
        <v>800</v>
      </c>
    </row>
    <row r="338" spans="1:9">
      <c r="A338" s="114" t="s">
        <v>732</v>
      </c>
      <c r="B338" s="114" t="s">
        <v>693</v>
      </c>
      <c r="C338" s="114" t="s">
        <v>732</v>
      </c>
      <c r="D338" s="114" t="s">
        <v>619</v>
      </c>
      <c r="E338" s="114" t="s">
        <v>804</v>
      </c>
      <c r="F338" s="114" t="str">
        <f t="shared" si="17"/>
        <v>DrugDiversionary, educational or intervention activity, resulting from the crime report, has been undertaken and it is not in the public interest to take any further action7</v>
      </c>
      <c r="G338" s="384">
        <f t="shared" si="16"/>
        <v>3.4996281219305862E-2</v>
      </c>
      <c r="H338" s="384">
        <v>3.4996281219305862E-2</v>
      </c>
      <c r="I338" s="114" t="s">
        <v>800</v>
      </c>
    </row>
    <row r="339" spans="1:9">
      <c r="A339" s="114" t="s">
        <v>732</v>
      </c>
      <c r="B339" s="114" t="s">
        <v>693</v>
      </c>
      <c r="C339" s="114" t="s">
        <v>732</v>
      </c>
      <c r="D339" s="114" t="s">
        <v>630</v>
      </c>
      <c r="E339" s="114" t="s">
        <v>804</v>
      </c>
      <c r="F339" s="114" t="str">
        <f t="shared" si="17"/>
        <v>Possession_of_weaponsDiversionary, educational or intervention activity, resulting from the crime report, has been undertaken and it is not in the public interest to take any further action7</v>
      </c>
      <c r="G339" s="384">
        <f t="shared" si="16"/>
        <v>1.0276959340011785E-2</v>
      </c>
      <c r="H339" s="384">
        <v>1.0276959340011785E-2</v>
      </c>
      <c r="I339" s="114" t="s">
        <v>800</v>
      </c>
    </row>
    <row r="340" spans="1:9">
      <c r="A340" s="114" t="s">
        <v>732</v>
      </c>
      <c r="B340" s="114" t="s">
        <v>693</v>
      </c>
      <c r="C340" s="114" t="s">
        <v>732</v>
      </c>
      <c r="D340" s="114" t="s">
        <v>631</v>
      </c>
      <c r="E340" s="114" t="s">
        <v>804</v>
      </c>
      <c r="F340" s="114" t="str">
        <f t="shared" si="17"/>
        <v>Public_orderDiversionary, educational or intervention activity, resulting from the crime report, has been undertaken and it is not in the public interest to take any further action7</v>
      </c>
      <c r="G340" s="384">
        <f t="shared" si="16"/>
        <v>4.2669796164845558E-3</v>
      </c>
      <c r="H340" s="384">
        <v>4.2669796164845558E-3</v>
      </c>
      <c r="I340" s="114" t="s">
        <v>800</v>
      </c>
    </row>
    <row r="341" spans="1:9">
      <c r="A341" s="114" t="s">
        <v>732</v>
      </c>
      <c r="B341" s="114" t="s">
        <v>693</v>
      </c>
      <c r="C341" s="114" t="s">
        <v>732</v>
      </c>
      <c r="D341" s="114" t="s">
        <v>632</v>
      </c>
      <c r="E341" s="114" t="s">
        <v>804</v>
      </c>
      <c r="F341" s="114" t="str">
        <f t="shared" si="17"/>
        <v>Miscellaneous_crimes_against_societyDiversionary, educational or intervention activity, resulting from the crime report, has been undertaken and it is not in the public interest to take any further action7</v>
      </c>
      <c r="G341" s="384">
        <f t="shared" si="16"/>
        <v>1.0456669149440408E-2</v>
      </c>
      <c r="H341" s="384">
        <v>1.0456669149440408E-2</v>
      </c>
      <c r="I341" s="114" t="s">
        <v>800</v>
      </c>
    </row>
    <row r="342" spans="1:9">
      <c r="A342" s="114" t="s">
        <v>732</v>
      </c>
      <c r="B342" s="114" t="s">
        <v>693</v>
      </c>
      <c r="C342" s="114" t="s">
        <v>732</v>
      </c>
      <c r="D342" s="114" t="s">
        <v>628</v>
      </c>
      <c r="E342" s="114" t="s">
        <v>751</v>
      </c>
      <c r="F342" s="114" t="str">
        <f t="shared" si="17"/>
        <v>Violence_against_the_personNot_yet_assigned_an_outcome</v>
      </c>
      <c r="G342" s="384">
        <f t="shared" si="16"/>
        <v>0.13545693611115969</v>
      </c>
      <c r="H342" s="384">
        <v>0.13545693611115969</v>
      </c>
      <c r="I342" s="114" t="s">
        <v>800</v>
      </c>
    </row>
    <row r="343" spans="1:9">
      <c r="A343" s="114" t="s">
        <v>732</v>
      </c>
      <c r="B343" s="114" t="s">
        <v>693</v>
      </c>
      <c r="C343" s="114" t="s">
        <v>732</v>
      </c>
      <c r="D343" s="114" t="s">
        <v>617</v>
      </c>
      <c r="E343" s="114" t="s">
        <v>751</v>
      </c>
      <c r="F343" s="114" t="str">
        <f t="shared" si="17"/>
        <v>SexualNot_yet_assigned_an_outcome</v>
      </c>
      <c r="G343" s="384">
        <f t="shared" si="16"/>
        <v>0.3015321626574497</v>
      </c>
      <c r="H343" s="384">
        <v>0.3015321626574497</v>
      </c>
      <c r="I343" s="114" t="s">
        <v>800</v>
      </c>
    </row>
    <row r="344" spans="1:9">
      <c r="A344" s="114" t="s">
        <v>732</v>
      </c>
      <c r="B344" s="114" t="s">
        <v>693</v>
      </c>
      <c r="C344" s="114" t="s">
        <v>732</v>
      </c>
      <c r="D344" s="114" t="s">
        <v>292</v>
      </c>
      <c r="E344" s="114" t="s">
        <v>751</v>
      </c>
      <c r="F344" s="114" t="str">
        <f t="shared" si="17"/>
        <v>RobberyNot_yet_assigned_an_outcome</v>
      </c>
      <c r="G344" s="384">
        <f t="shared" si="16"/>
        <v>0.26128755964970546</v>
      </c>
      <c r="H344" s="384">
        <v>0.26128755964970546</v>
      </c>
      <c r="I344" s="114" t="s">
        <v>800</v>
      </c>
    </row>
    <row r="345" spans="1:9">
      <c r="A345" s="114" t="s">
        <v>732</v>
      </c>
      <c r="B345" s="114" t="s">
        <v>693</v>
      </c>
      <c r="C345" s="114" t="s">
        <v>732</v>
      </c>
      <c r="D345" s="114" t="s">
        <v>293</v>
      </c>
      <c r="E345" s="114" t="s">
        <v>751</v>
      </c>
      <c r="F345" s="114" t="str">
        <f t="shared" si="17"/>
        <v>TheftNot_yet_assigned_an_outcome</v>
      </c>
      <c r="G345" s="384">
        <f t="shared" si="16"/>
        <v>8.9597969520002735E-2</v>
      </c>
      <c r="H345" s="384">
        <v>8.9597969520002735E-2</v>
      </c>
      <c r="I345" s="114" t="s">
        <v>800</v>
      </c>
    </row>
    <row r="346" spans="1:9">
      <c r="A346" s="114" t="s">
        <v>732</v>
      </c>
      <c r="B346" s="114" t="s">
        <v>693</v>
      </c>
      <c r="C346" s="114" t="s">
        <v>732</v>
      </c>
      <c r="D346" s="114" t="s">
        <v>678</v>
      </c>
      <c r="E346" s="114" t="s">
        <v>751</v>
      </c>
      <c r="F346" s="114" t="str">
        <f t="shared" si="17"/>
        <v>Criminal_damage_and_ArsonNot_yet_assigned_an_outcome</v>
      </c>
      <c r="G346" s="384">
        <f t="shared" si="16"/>
        <v>7.7045140574244858E-2</v>
      </c>
      <c r="H346" s="384">
        <v>7.7045140574244858E-2</v>
      </c>
      <c r="I346" s="114" t="s">
        <v>800</v>
      </c>
    </row>
    <row r="347" spans="1:9">
      <c r="A347" s="114" t="s">
        <v>732</v>
      </c>
      <c r="B347" s="114" t="s">
        <v>693</v>
      </c>
      <c r="C347" s="114" t="s">
        <v>732</v>
      </c>
      <c r="D347" s="114" t="s">
        <v>619</v>
      </c>
      <c r="E347" s="114" t="s">
        <v>751</v>
      </c>
      <c r="F347" s="114" t="str">
        <f t="shared" si="17"/>
        <v>DrugNot_yet_assigned_an_outcome</v>
      </c>
      <c r="G347" s="384">
        <f t="shared" si="16"/>
        <v>0.17344847359665708</v>
      </c>
      <c r="H347" s="384">
        <v>0.17344847359665708</v>
      </c>
      <c r="I347" s="114" t="s">
        <v>800</v>
      </c>
    </row>
    <row r="348" spans="1:9">
      <c r="A348" s="114" t="s">
        <v>732</v>
      </c>
      <c r="B348" s="114" t="s">
        <v>693</v>
      </c>
      <c r="C348" s="114" t="s">
        <v>732</v>
      </c>
      <c r="D348" s="114" t="s">
        <v>630</v>
      </c>
      <c r="E348" s="114" t="s">
        <v>751</v>
      </c>
      <c r="F348" s="114" t="str">
        <f t="shared" si="17"/>
        <v>Possession_of_weaponsNot_yet_assigned_an_outcome</v>
      </c>
      <c r="G348" s="384">
        <f t="shared" si="16"/>
        <v>0.18606953447259869</v>
      </c>
      <c r="H348" s="384">
        <v>0.18606953447259869</v>
      </c>
      <c r="I348" s="114" t="s">
        <v>800</v>
      </c>
    </row>
    <row r="349" spans="1:9">
      <c r="A349" s="114" t="s">
        <v>732</v>
      </c>
      <c r="B349" s="114" t="s">
        <v>693</v>
      </c>
      <c r="C349" s="114" t="s">
        <v>732</v>
      </c>
      <c r="D349" s="114" t="s">
        <v>631</v>
      </c>
      <c r="E349" s="114" t="s">
        <v>751</v>
      </c>
      <c r="F349" s="114" t="str">
        <f t="shared" si="17"/>
        <v>Public_orderNot_yet_assigned_an_outcome</v>
      </c>
      <c r="G349" s="384">
        <f t="shared" si="16"/>
        <v>0.10884501008351659</v>
      </c>
      <c r="H349" s="384">
        <v>0.10884501008351659</v>
      </c>
      <c r="I349" s="114" t="s">
        <v>800</v>
      </c>
    </row>
    <row r="350" spans="1:9">
      <c r="A350" s="114" t="s">
        <v>732</v>
      </c>
      <c r="B350" s="114" t="s">
        <v>693</v>
      </c>
      <c r="C350" s="114" t="s">
        <v>732</v>
      </c>
      <c r="D350" s="114" t="s">
        <v>632</v>
      </c>
      <c r="E350" s="114" t="s">
        <v>751</v>
      </c>
      <c r="F350" s="114" t="str">
        <f t="shared" si="17"/>
        <v>Miscellaneous_crimes_against_societyNot_yet_assigned_an_outcome</v>
      </c>
      <c r="G350" s="384">
        <f t="shared" si="16"/>
        <v>0.20259433734123952</v>
      </c>
      <c r="H350" s="384">
        <v>0.20259433734123952</v>
      </c>
      <c r="I350" s="114" t="s">
        <v>800</v>
      </c>
    </row>
    <row r="351" spans="1:9">
      <c r="B351" s="177"/>
    </row>
    <row r="352" spans="1:9">
      <c r="A352" s="114" t="s">
        <v>737</v>
      </c>
      <c r="B352" s="114" t="s">
        <v>739</v>
      </c>
      <c r="C352" s="114" t="s">
        <v>732</v>
      </c>
      <c r="D352" s="114" t="s">
        <v>732</v>
      </c>
      <c r="E352" s="114" t="s">
        <v>685</v>
      </c>
      <c r="G352" s="386">
        <f>H352</f>
        <v>0.4</v>
      </c>
      <c r="H352" s="385">
        <v>0.4</v>
      </c>
      <c r="I352" s="114" t="s">
        <v>736</v>
      </c>
    </row>
    <row r="353" spans="1:10">
      <c r="A353" s="114" t="s">
        <v>737</v>
      </c>
      <c r="B353" s="114" t="s">
        <v>739</v>
      </c>
      <c r="C353" s="114" t="s">
        <v>732</v>
      </c>
      <c r="D353" s="114" t="s">
        <v>732</v>
      </c>
      <c r="E353" s="114" t="s">
        <v>816</v>
      </c>
      <c r="G353" s="698">
        <f>H353</f>
        <v>31</v>
      </c>
      <c r="H353" s="704">
        <v>31</v>
      </c>
      <c r="I353" s="114" t="s">
        <v>736</v>
      </c>
    </row>
    <row r="354" spans="1:10">
      <c r="A354" s="114" t="s">
        <v>732</v>
      </c>
      <c r="B354" s="177" t="s">
        <v>738</v>
      </c>
      <c r="C354" s="114" t="s">
        <v>732</v>
      </c>
      <c r="D354" s="114" t="s">
        <v>732</v>
      </c>
      <c r="E354" s="114" t="s">
        <v>775</v>
      </c>
      <c r="G354" s="387">
        <f>H354</f>
        <v>-0.185</v>
      </c>
      <c r="H354" s="387">
        <v>-0.185</v>
      </c>
      <c r="I354" s="114" t="s">
        <v>734</v>
      </c>
      <c r="J354" s="114" t="s">
        <v>777</v>
      </c>
    </row>
    <row r="355" spans="1:10">
      <c r="B355" s="177"/>
      <c r="E355" s="114" t="s">
        <v>864</v>
      </c>
      <c r="H355" s="387">
        <f>H354+0.05</f>
        <v>-0.13500000000000001</v>
      </c>
      <c r="J355" s="114" t="s">
        <v>866</v>
      </c>
    </row>
    <row r="356" spans="1:10">
      <c r="B356" s="177"/>
      <c r="E356" s="114" t="s">
        <v>865</v>
      </c>
      <c r="H356" s="387">
        <f>H354-0.05</f>
        <v>-0.23499999999999999</v>
      </c>
    </row>
    <row r="357" spans="1:10">
      <c r="B357" s="177"/>
      <c r="E357" s="114" t="s">
        <v>867</v>
      </c>
      <c r="G357" s="387">
        <f>H357</f>
        <v>-0.193</v>
      </c>
      <c r="H357" s="387">
        <v>-0.193</v>
      </c>
      <c r="I357" s="114" t="s">
        <v>734</v>
      </c>
    </row>
    <row r="358" spans="1:10">
      <c r="B358" s="177"/>
      <c r="E358" s="114" t="s">
        <v>882</v>
      </c>
      <c r="H358" s="387">
        <f>H357+0.052</f>
        <v>-0.14100000000000001</v>
      </c>
    </row>
    <row r="359" spans="1:10">
      <c r="B359" s="177"/>
      <c r="E359" s="114" t="s">
        <v>883</v>
      </c>
      <c r="H359" s="387">
        <f>H357-0.052</f>
        <v>-0.245</v>
      </c>
    </row>
    <row r="360" spans="1:10">
      <c r="B360" s="177"/>
      <c r="G360" s="387"/>
      <c r="H360" s="387"/>
    </row>
    <row r="361" spans="1:10">
      <c r="A361" s="114" t="s">
        <v>732</v>
      </c>
      <c r="B361" s="177" t="s">
        <v>738</v>
      </c>
      <c r="C361" s="114" t="s">
        <v>732</v>
      </c>
      <c r="D361" s="114" t="s">
        <v>732</v>
      </c>
      <c r="E361" s="114" t="s">
        <v>776</v>
      </c>
      <c r="G361" s="387">
        <f>H361</f>
        <v>0.71499999999999997</v>
      </c>
      <c r="H361" s="387">
        <v>0.71499999999999997</v>
      </c>
      <c r="I361" s="114" t="s">
        <v>778</v>
      </c>
      <c r="J361" s="114" t="s">
        <v>779</v>
      </c>
    </row>
    <row r="362" spans="1:10">
      <c r="A362" s="114" t="s">
        <v>732</v>
      </c>
      <c r="B362" s="177" t="s">
        <v>738</v>
      </c>
      <c r="C362" s="114" t="s">
        <v>732</v>
      </c>
      <c r="D362" s="114" t="s">
        <v>732</v>
      </c>
      <c r="E362" s="114" t="s">
        <v>729</v>
      </c>
      <c r="G362" s="386">
        <f>Control!E48</f>
        <v>0</v>
      </c>
      <c r="H362" s="386">
        <v>0</v>
      </c>
      <c r="I362" s="114" t="s">
        <v>736</v>
      </c>
    </row>
    <row r="363" spans="1:10">
      <c r="B363" s="177"/>
      <c r="G363" s="386"/>
      <c r="H363" s="386"/>
    </row>
    <row r="364" spans="1:10">
      <c r="G364" s="385"/>
      <c r="H364" s="114" t="s">
        <v>732</v>
      </c>
      <c r="I364" s="114" t="s">
        <v>747</v>
      </c>
    </row>
    <row r="365" spans="1:10">
      <c r="G365" s="385" t="s">
        <v>732</v>
      </c>
      <c r="H365" s="114" t="s">
        <v>748</v>
      </c>
      <c r="I365" s="114" t="s">
        <v>647</v>
      </c>
    </row>
    <row r="366" spans="1:10">
      <c r="G366" s="114" t="s">
        <v>642</v>
      </c>
      <c r="H366" s="114" t="s">
        <v>749</v>
      </c>
    </row>
    <row r="367" spans="1:10">
      <c r="G367" s="114" t="s">
        <v>732</v>
      </c>
      <c r="H367" s="114" t="s">
        <v>750</v>
      </c>
    </row>
    <row r="368" spans="1:10">
      <c r="G368" s="114" t="s">
        <v>691</v>
      </c>
      <c r="H368" s="114" t="s">
        <v>751</v>
      </c>
    </row>
    <row r="369" spans="1:12">
      <c r="G369" s="385"/>
    </row>
    <row r="370" spans="1:12">
      <c r="B370" s="177"/>
      <c r="H370" s="114" t="s">
        <v>693</v>
      </c>
    </row>
    <row r="371" spans="1:12">
      <c r="B371" s="177"/>
    </row>
    <row r="372" spans="1:12">
      <c r="B372" s="177"/>
      <c r="H372" s="150"/>
    </row>
    <row r="373" spans="1:12">
      <c r="A373" s="114" t="s">
        <v>732</v>
      </c>
      <c r="B373" s="114" t="s">
        <v>739</v>
      </c>
      <c r="C373" s="114" t="s">
        <v>290</v>
      </c>
      <c r="D373" s="114" t="s">
        <v>732</v>
      </c>
      <c r="E373" s="114" t="s">
        <v>766</v>
      </c>
      <c r="F373" s="114" t="s">
        <v>628</v>
      </c>
      <c r="G373" s="114">
        <f t="shared" ref="G373:G391" si="18">VLOOKUP(G$365&amp;G$366&amp;G$367&amp;C373&amp;G$368,reoffending_inputs,2,0)</f>
        <v>570</v>
      </c>
      <c r="H373" s="734">
        <f>(1-VLOOKUP($F373&amp;H$368,reoffending_inputs,2,0))/
(SUM(VLOOKUP($F373&amp;I$365,reoffending_inputs,2,0)*
VLOOKUP($F373&amp;I$364,reoffending_inputs,2,0),
VLOOKUP($F373&amp;H$365,reoffending_inputs,2,0),
VLOOKUP($F373&amp;H$366,reoffending_inputs,2,0),
VLOOKUP($F373&amp;H$367,reoffending_inputs,2,0)))</f>
        <v>13.103611616017602</v>
      </c>
      <c r="I373" s="704">
        <f>G373/H373</f>
        <v>43.499457760427134</v>
      </c>
      <c r="J373" s="385">
        <f>I373/SUM(I$373:I$391)</f>
        <v>2.9389521015641253E-4</v>
      </c>
      <c r="K373" s="385">
        <f>Control!E11</f>
        <v>2.9389521015641253E-4</v>
      </c>
      <c r="L373" s="114" t="s">
        <v>812</v>
      </c>
    </row>
    <row r="374" spans="1:12">
      <c r="A374" s="114" t="s">
        <v>732</v>
      </c>
      <c r="B374" s="114" t="s">
        <v>739</v>
      </c>
      <c r="C374" s="114" t="s">
        <v>649</v>
      </c>
      <c r="D374" s="114" t="s">
        <v>732</v>
      </c>
      <c r="E374" s="114" t="s">
        <v>766</v>
      </c>
      <c r="G374" s="114">
        <f t="shared" si="18"/>
        <v>428800</v>
      </c>
      <c r="I374" s="704">
        <f>G374/H$373</f>
        <v>32723.802609949395</v>
      </c>
      <c r="J374" s="385">
        <f t="shared" ref="J374:J391" si="19">I374/SUM(I$373:I$391)</f>
        <v>0.22109169493871875</v>
      </c>
      <c r="K374" s="385">
        <f>Control!E12</f>
        <v>0.22109169493871875</v>
      </c>
      <c r="L374" s="114" t="s">
        <v>812</v>
      </c>
    </row>
    <row r="375" spans="1:12">
      <c r="A375" s="114" t="s">
        <v>732</v>
      </c>
      <c r="B375" s="114" t="s">
        <v>739</v>
      </c>
      <c r="C375" s="114" t="s">
        <v>650</v>
      </c>
      <c r="D375" s="114" t="s">
        <v>732</v>
      </c>
      <c r="E375" s="114" t="s">
        <v>766</v>
      </c>
      <c r="G375" s="114">
        <f t="shared" si="18"/>
        <v>554580</v>
      </c>
      <c r="H375" s="734"/>
      <c r="I375" s="704">
        <f>G375/H$373</f>
        <v>42322.682955750315</v>
      </c>
      <c r="J375" s="385">
        <f t="shared" si="19"/>
        <v>0.28594457131323381</v>
      </c>
      <c r="K375" s="385">
        <f>Control!E13</f>
        <v>0.28594457131323381</v>
      </c>
      <c r="L375" s="114" t="s">
        <v>812</v>
      </c>
    </row>
    <row r="376" spans="1:12">
      <c r="A376" s="176" t="s">
        <v>732</v>
      </c>
      <c r="B376" s="176" t="s">
        <v>739</v>
      </c>
      <c r="C376" s="176" t="s">
        <v>544</v>
      </c>
      <c r="D376" s="176" t="s">
        <v>732</v>
      </c>
      <c r="E376" s="176" t="s">
        <v>766</v>
      </c>
      <c r="F376" s="176" t="s">
        <v>617</v>
      </c>
      <c r="G376" s="176">
        <f t="shared" si="18"/>
        <v>35690</v>
      </c>
      <c r="H376" s="1046">
        <f>(1-VLOOKUP($F376&amp;H$368,reoffending_inputs,2,0))/
(SUM(VLOOKUP($F376&amp;I$365,reoffending_inputs,2,0)*
VLOOKUP($F376&amp;I$364,reoffending_inputs,2,0),
VLOOKUP($F376&amp;H$365,reoffending_inputs,2,0),
VLOOKUP($F376&amp;H$366,reoffending_inputs,2,0),
VLOOKUP($F376&amp;H$367,reoffending_inputs,2,0)))</f>
        <v>32.262050536796515</v>
      </c>
      <c r="I376" s="1066">
        <f>G376/H$376</f>
        <v>1106.2533039954708</v>
      </c>
      <c r="J376" s="684">
        <f t="shared" si="19"/>
        <v>7.4741747139604377E-3</v>
      </c>
      <c r="K376" s="684">
        <f>Control!E14</f>
        <v>7.4741747139604377E-3</v>
      </c>
      <c r="L376" s="176" t="s">
        <v>812</v>
      </c>
    </row>
    <row r="377" spans="1:12">
      <c r="A377" s="176" t="s">
        <v>732</v>
      </c>
      <c r="B377" s="176" t="s">
        <v>739</v>
      </c>
      <c r="C377" s="176" t="s">
        <v>651</v>
      </c>
      <c r="D377" s="176" t="s">
        <v>732</v>
      </c>
      <c r="E377" s="176" t="s">
        <v>766</v>
      </c>
      <c r="F377" s="176"/>
      <c r="G377" s="176">
        <f t="shared" si="18"/>
        <v>68980</v>
      </c>
      <c r="H377" s="1046"/>
      <c r="I377" s="1066">
        <f t="shared" ref="I377" si="20">G377/H$376</f>
        <v>2138.1158002131574</v>
      </c>
      <c r="J377" s="684">
        <f t="shared" si="19"/>
        <v>1.4445743114849847E-2</v>
      </c>
      <c r="K377" s="684">
        <f>Control!E15</f>
        <v>1.4445743114849847E-2</v>
      </c>
      <c r="L377" s="176" t="s">
        <v>812</v>
      </c>
    </row>
    <row r="378" spans="1:12">
      <c r="A378" s="114" t="s">
        <v>732</v>
      </c>
      <c r="B378" s="114" t="s">
        <v>739</v>
      </c>
      <c r="C378" s="114" t="s">
        <v>292</v>
      </c>
      <c r="D378" s="114" t="s">
        <v>732</v>
      </c>
      <c r="E378" s="114" t="s">
        <v>766</v>
      </c>
      <c r="F378" s="114" t="s">
        <v>292</v>
      </c>
      <c r="G378" s="114">
        <f t="shared" si="18"/>
        <v>45330</v>
      </c>
      <c r="H378" s="734">
        <f>(1-VLOOKUP($F378&amp;H$368,reoffending_inputs,2,0))/
(SUM(VLOOKUP($F378&amp;I$365,reoffending_inputs,2,0)*
VLOOKUP($F378&amp;I$364,reoffending_inputs,2,0),
VLOOKUP($F378&amp;H$365,reoffending_inputs,2,0),
VLOOKUP($F378&amp;H$366,reoffending_inputs,2,0),
VLOOKUP($F378&amp;H$367,reoffending_inputs,2,0)))</f>
        <v>15.814818207757394</v>
      </c>
      <c r="I378" s="704">
        <f>G378/H$378</f>
        <v>2866.2991508663049</v>
      </c>
      <c r="J378" s="385">
        <f t="shared" si="19"/>
        <v>1.936556533542242E-2</v>
      </c>
      <c r="K378" s="385">
        <f>Control!E16</f>
        <v>1.936556533542242E-2</v>
      </c>
      <c r="L378" s="114" t="s">
        <v>812</v>
      </c>
    </row>
    <row r="379" spans="1:12">
      <c r="A379" s="114" t="s">
        <v>732</v>
      </c>
      <c r="B379" s="114" t="s">
        <v>739</v>
      </c>
      <c r="C379" s="114" t="s">
        <v>658</v>
      </c>
      <c r="D379" s="114" t="s">
        <v>732</v>
      </c>
      <c r="E379" s="114" t="s">
        <v>766</v>
      </c>
      <c r="G379" s="114">
        <f t="shared" si="18"/>
        <v>0</v>
      </c>
      <c r="H379" s="734"/>
      <c r="I379" s="704">
        <f t="shared" ref="I379" si="21">G379/H$378</f>
        <v>0</v>
      </c>
      <c r="J379" s="385">
        <f t="shared" si="19"/>
        <v>0</v>
      </c>
      <c r="K379" s="385">
        <f>Control!E17</f>
        <v>0</v>
      </c>
      <c r="L379" s="114" t="s">
        <v>812</v>
      </c>
    </row>
    <row r="380" spans="1:12">
      <c r="A380" s="176" t="s">
        <v>732</v>
      </c>
      <c r="B380" s="176" t="s">
        <v>739</v>
      </c>
      <c r="C380" s="176" t="s">
        <v>652</v>
      </c>
      <c r="D380" s="176" t="s">
        <v>732</v>
      </c>
      <c r="E380" s="176" t="s">
        <v>766</v>
      </c>
      <c r="F380" s="176" t="s">
        <v>293</v>
      </c>
      <c r="G380" s="176">
        <f t="shared" si="18"/>
        <v>194410</v>
      </c>
      <c r="H380" s="1046">
        <f>(1-VLOOKUP($F380&amp;H$368,reoffending_inputs,2,0))/
(SUM(VLOOKUP($F380&amp;I$365,reoffending_inputs,2,0)*
VLOOKUP($F380&amp;I$364,reoffending_inputs,2,0),
VLOOKUP($F380&amp;H$365,reoffending_inputs,2,0),
VLOOKUP($F380&amp;H$366,reoffending_inputs,2,0),
VLOOKUP($F380&amp;H$367,reoffending_inputs,2,0)))</f>
        <v>19.020036437502281</v>
      </c>
      <c r="I380" s="1066">
        <f>G380/H$380</f>
        <v>10221.326370157574</v>
      </c>
      <c r="J380" s="684">
        <f t="shared" si="19"/>
        <v>6.9058305926001137E-2</v>
      </c>
      <c r="K380" s="684">
        <f>Control!E18</f>
        <v>6.9058305926001137E-2</v>
      </c>
      <c r="L380" s="176" t="s">
        <v>812</v>
      </c>
    </row>
    <row r="381" spans="1:12">
      <c r="A381" s="176" t="s">
        <v>732</v>
      </c>
      <c r="B381" s="176" t="s">
        <v>739</v>
      </c>
      <c r="C381" s="176" t="s">
        <v>659</v>
      </c>
      <c r="D381" s="176" t="s">
        <v>732</v>
      </c>
      <c r="E381" s="176" t="s">
        <v>766</v>
      </c>
      <c r="F381" s="176"/>
      <c r="G381" s="176">
        <f t="shared" si="18"/>
        <v>0</v>
      </c>
      <c r="H381" s="1046"/>
      <c r="I381" s="1066">
        <f t="shared" ref="I381:I387" si="22">G381/H$380</f>
        <v>0</v>
      </c>
      <c r="J381" s="684">
        <f t="shared" si="19"/>
        <v>0</v>
      </c>
      <c r="K381" s="684">
        <f>Control!E19</f>
        <v>0</v>
      </c>
      <c r="L381" s="176" t="s">
        <v>812</v>
      </c>
    </row>
    <row r="382" spans="1:12">
      <c r="A382" s="176" t="s">
        <v>732</v>
      </c>
      <c r="B382" s="176" t="s">
        <v>739</v>
      </c>
      <c r="C382" s="176" t="s">
        <v>660</v>
      </c>
      <c r="D382" s="176" t="s">
        <v>732</v>
      </c>
      <c r="E382" s="176" t="s">
        <v>766</v>
      </c>
      <c r="F382" s="176"/>
      <c r="G382" s="176">
        <f t="shared" si="18"/>
        <v>0</v>
      </c>
      <c r="H382" s="1046"/>
      <c r="I382" s="1066">
        <f t="shared" si="22"/>
        <v>0</v>
      </c>
      <c r="J382" s="684">
        <f t="shared" si="19"/>
        <v>0</v>
      </c>
      <c r="K382" s="684">
        <f>Control!E20</f>
        <v>0</v>
      </c>
      <c r="L382" s="176" t="s">
        <v>812</v>
      </c>
    </row>
    <row r="383" spans="1:12">
      <c r="A383" s="176" t="s">
        <v>732</v>
      </c>
      <c r="B383" s="176" t="s">
        <v>739</v>
      </c>
      <c r="C383" s="176" t="s">
        <v>653</v>
      </c>
      <c r="D383" s="176" t="s">
        <v>732</v>
      </c>
      <c r="E383" s="176" t="s">
        <v>766</v>
      </c>
      <c r="F383" s="176"/>
      <c r="G383" s="176">
        <f t="shared" si="18"/>
        <v>81670</v>
      </c>
      <c r="H383" s="1046"/>
      <c r="I383" s="1066">
        <f t="shared" si="22"/>
        <v>4293.8929306659593</v>
      </c>
      <c r="J383" s="684">
        <f t="shared" si="19"/>
        <v>2.9010811403613567E-2</v>
      </c>
      <c r="K383" s="684">
        <f>Control!E21</f>
        <v>2.9010811403613567E-2</v>
      </c>
      <c r="L383" s="176" t="s">
        <v>812</v>
      </c>
    </row>
    <row r="384" spans="1:12">
      <c r="A384" s="176" t="s">
        <v>732</v>
      </c>
      <c r="B384" s="176" t="s">
        <v>739</v>
      </c>
      <c r="C384" s="176" t="s">
        <v>694</v>
      </c>
      <c r="D384" s="176" t="s">
        <v>732</v>
      </c>
      <c r="E384" s="176" t="s">
        <v>766</v>
      </c>
      <c r="F384" s="176"/>
      <c r="G384" s="176">
        <f t="shared" si="18"/>
        <v>0</v>
      </c>
      <c r="H384" s="1046"/>
      <c r="I384" s="1066">
        <f t="shared" si="22"/>
        <v>0</v>
      </c>
      <c r="J384" s="684">
        <f t="shared" si="19"/>
        <v>0</v>
      </c>
      <c r="K384" s="684">
        <f>Control!E22</f>
        <v>0</v>
      </c>
      <c r="L384" s="176" t="s">
        <v>812</v>
      </c>
    </row>
    <row r="385" spans="1:12">
      <c r="A385" s="176" t="s">
        <v>732</v>
      </c>
      <c r="B385" s="176" t="s">
        <v>739</v>
      </c>
      <c r="C385" s="176" t="s">
        <v>654</v>
      </c>
      <c r="D385" s="176" t="s">
        <v>732</v>
      </c>
      <c r="E385" s="176" t="s">
        <v>766</v>
      </c>
      <c r="F385" s="176"/>
      <c r="G385" s="176">
        <f t="shared" si="18"/>
        <v>223950</v>
      </c>
      <c r="H385" s="1046"/>
      <c r="I385" s="1066">
        <f t="shared" si="22"/>
        <v>11774.425392710195</v>
      </c>
      <c r="J385" s="684">
        <f t="shared" si="19"/>
        <v>7.9551502557111034E-2</v>
      </c>
      <c r="K385" s="684">
        <f>Control!E23</f>
        <v>7.9551502557111034E-2</v>
      </c>
      <c r="L385" s="176" t="s">
        <v>812</v>
      </c>
    </row>
    <row r="386" spans="1:12">
      <c r="A386" s="176" t="s">
        <v>732</v>
      </c>
      <c r="B386" s="176" t="s">
        <v>739</v>
      </c>
      <c r="C386" s="176" t="s">
        <v>668</v>
      </c>
      <c r="D386" s="176" t="s">
        <v>732</v>
      </c>
      <c r="E386" s="176" t="s">
        <v>766</v>
      </c>
      <c r="F386" s="176"/>
      <c r="G386" s="176">
        <f t="shared" si="18"/>
        <v>0</v>
      </c>
      <c r="H386" s="1046"/>
      <c r="I386" s="1066">
        <f t="shared" si="22"/>
        <v>0</v>
      </c>
      <c r="J386" s="684">
        <f t="shared" si="19"/>
        <v>0</v>
      </c>
      <c r="K386" s="684">
        <f>Control!E24</f>
        <v>0</v>
      </c>
      <c r="L386" s="176" t="s">
        <v>812</v>
      </c>
    </row>
    <row r="387" spans="1:12">
      <c r="A387" s="176" t="s">
        <v>732</v>
      </c>
      <c r="B387" s="176" t="s">
        <v>739</v>
      </c>
      <c r="C387" s="176" t="s">
        <v>655</v>
      </c>
      <c r="D387" s="176" t="s">
        <v>732</v>
      </c>
      <c r="E387" s="176" t="s">
        <v>766</v>
      </c>
      <c r="F387" s="176"/>
      <c r="G387" s="176">
        <f t="shared" si="18"/>
        <v>77760</v>
      </c>
      <c r="H387" s="1046"/>
      <c r="I387" s="1066">
        <f t="shared" si="22"/>
        <v>4088.320243523754</v>
      </c>
      <c r="J387" s="684">
        <f t="shared" si="19"/>
        <v>2.7621901490694146E-2</v>
      </c>
      <c r="K387" s="684">
        <f>Control!E25</f>
        <v>2.7621901490694146E-2</v>
      </c>
      <c r="L387" s="176" t="s">
        <v>812</v>
      </c>
    </row>
    <row r="388" spans="1:12">
      <c r="A388" s="114" t="s">
        <v>732</v>
      </c>
      <c r="B388" s="114" t="s">
        <v>739</v>
      </c>
      <c r="C388" s="114" t="s">
        <v>656</v>
      </c>
      <c r="D388" s="114" t="s">
        <v>732</v>
      </c>
      <c r="E388" s="114" t="s">
        <v>766</v>
      </c>
      <c r="F388" s="114" t="s">
        <v>629</v>
      </c>
      <c r="G388" s="114">
        <f t="shared" si="18"/>
        <v>21880</v>
      </c>
      <c r="H388" s="734">
        <f>(1-VLOOKUP($F388&amp;H$368,reoffending_inputs,2,0))/
(SUM(VLOOKUP($F388&amp;I$365,reoffending_inputs,2,0)*
VLOOKUP($F388&amp;I$364,reoffending_inputs,2,0),
VLOOKUP($F388&amp;H$365,reoffending_inputs,2,0),
VLOOKUP($F388&amp;H$366,reoffending_inputs,2,0),
VLOOKUP($F388&amp;H$367,reoffending_inputs,2,0)))</f>
        <v>14.657380316370807</v>
      </c>
      <c r="I388" s="704">
        <f>G388/H$388</f>
        <v>1492.7633402240549</v>
      </c>
      <c r="J388" s="385">
        <f t="shared" si="19"/>
        <v>1.0085550905143721E-2</v>
      </c>
      <c r="K388" s="385">
        <f>Control!E26</f>
        <v>1.0085550905143721E-2</v>
      </c>
      <c r="L388" s="114" t="s">
        <v>812</v>
      </c>
    </row>
    <row r="389" spans="1:12">
      <c r="A389" s="114" t="s">
        <v>732</v>
      </c>
      <c r="B389" s="114" t="s">
        <v>739</v>
      </c>
      <c r="C389" s="114" t="s">
        <v>657</v>
      </c>
      <c r="D389" s="114" t="s">
        <v>732</v>
      </c>
      <c r="E389" s="114" t="s">
        <v>766</v>
      </c>
      <c r="G389" s="114">
        <f t="shared" si="18"/>
        <v>512110</v>
      </c>
      <c r="I389" s="704">
        <f t="shared" ref="I389:I390" si="23">G389/H$388</f>
        <v>34938.71271307773</v>
      </c>
      <c r="J389" s="385">
        <f t="shared" si="19"/>
        <v>0.23605628309109464</v>
      </c>
      <c r="K389" s="385">
        <f>Control!E27</f>
        <v>0.23605628309109464</v>
      </c>
      <c r="L389" s="114" t="s">
        <v>812</v>
      </c>
    </row>
    <row r="390" spans="1:12">
      <c r="A390" s="114" t="s">
        <v>732</v>
      </c>
      <c r="B390" s="114" t="s">
        <v>739</v>
      </c>
      <c r="C390" s="114" t="s">
        <v>669</v>
      </c>
      <c r="D390" s="114" t="s">
        <v>732</v>
      </c>
      <c r="E390" s="114" t="s">
        <v>766</v>
      </c>
      <c r="G390" s="114">
        <f t="shared" si="18"/>
        <v>0</v>
      </c>
      <c r="I390" s="704">
        <f t="shared" si="23"/>
        <v>0</v>
      </c>
      <c r="J390" s="385">
        <f t="shared" si="19"/>
        <v>0</v>
      </c>
      <c r="K390" s="385">
        <f>Control!E28</f>
        <v>0</v>
      </c>
      <c r="L390" s="114" t="s">
        <v>812</v>
      </c>
    </row>
    <row r="391" spans="1:12">
      <c r="A391" s="114" t="s">
        <v>732</v>
      </c>
      <c r="B391" s="114" t="s">
        <v>739</v>
      </c>
      <c r="C391" s="114" t="s">
        <v>670</v>
      </c>
      <c r="D391" s="114" t="s">
        <v>732</v>
      </c>
      <c r="E391" s="114" t="s">
        <v>766</v>
      </c>
      <c r="G391" s="114">
        <f t="shared" si="18"/>
        <v>0</v>
      </c>
      <c r="I391" s="704">
        <f>G391/H$388</f>
        <v>0</v>
      </c>
      <c r="J391" s="385">
        <f t="shared" si="19"/>
        <v>0</v>
      </c>
      <c r="K391" s="385">
        <f>Control!E29</f>
        <v>0</v>
      </c>
      <c r="L391" s="114" t="s">
        <v>812</v>
      </c>
    </row>
    <row r="393" spans="1:12">
      <c r="A393" s="150" t="s">
        <v>888</v>
      </c>
      <c r="B393" s="150" t="s">
        <v>889</v>
      </c>
    </row>
    <row r="394" spans="1:12">
      <c r="A394" s="114" t="s">
        <v>628</v>
      </c>
      <c r="B394" s="385">
        <f>SUM(K373:K375)</f>
        <v>0.50733016146210896</v>
      </c>
    </row>
    <row r="395" spans="1:12">
      <c r="A395" s="114" t="s">
        <v>291</v>
      </c>
      <c r="B395" s="385">
        <f>SUM(K376:K377)</f>
        <v>2.1919917828810285E-2</v>
      </c>
    </row>
    <row r="396" spans="1:12">
      <c r="A396" s="114" t="s">
        <v>292</v>
      </c>
      <c r="B396" s="385">
        <f>SUM(K378:K379)</f>
        <v>1.936556533542242E-2</v>
      </c>
    </row>
    <row r="397" spans="1:12">
      <c r="A397" s="114" t="s">
        <v>644</v>
      </c>
      <c r="B397" s="385">
        <f>SUM(K380:K387)</f>
        <v>0.20524252137741988</v>
      </c>
    </row>
    <row r="398" spans="1:12">
      <c r="A398" s="114" t="s">
        <v>618</v>
      </c>
      <c r="B398" s="385">
        <f>SUM(K388:K391)</f>
        <v>0.24614183399623835</v>
      </c>
    </row>
    <row r="399" spans="1:12">
      <c r="J399" s="385">
        <f>SUM(J373:J391)</f>
        <v>0.99999999999999989</v>
      </c>
      <c r="K399" s="385">
        <f>SUM(K373:K391)</f>
        <v>0.99999999999999989</v>
      </c>
    </row>
    <row r="401" spans="1:4">
      <c r="A401" s="150" t="s">
        <v>811</v>
      </c>
      <c r="B401" s="150" t="s">
        <v>813</v>
      </c>
      <c r="C401" s="150" t="s">
        <v>745</v>
      </c>
      <c r="D401" s="150" t="s">
        <v>813</v>
      </c>
    </row>
    <row r="402" spans="1:4">
      <c r="A402" s="114" t="s">
        <v>290</v>
      </c>
      <c r="B402" s="386">
        <f t="shared" ref="B402:B420" si="24">K373</f>
        <v>2.9389521015641253E-4</v>
      </c>
      <c r="C402" s="114" t="s">
        <v>628</v>
      </c>
      <c r="D402" s="385">
        <f>SUM(B402:B404)</f>
        <v>0.50733016146210896</v>
      </c>
    </row>
    <row r="403" spans="1:4">
      <c r="A403" s="114" t="s">
        <v>649</v>
      </c>
      <c r="B403" s="386">
        <f t="shared" si="24"/>
        <v>0.22109169493871875</v>
      </c>
    </row>
    <row r="404" spans="1:4">
      <c r="A404" s="114" t="s">
        <v>650</v>
      </c>
      <c r="B404" s="386">
        <f t="shared" si="24"/>
        <v>0.28594457131323381</v>
      </c>
    </row>
    <row r="405" spans="1:4">
      <c r="A405" s="176" t="s">
        <v>544</v>
      </c>
      <c r="B405" s="691">
        <f t="shared" si="24"/>
        <v>7.4741747139604377E-3</v>
      </c>
      <c r="C405" s="176" t="s">
        <v>617</v>
      </c>
      <c r="D405" s="684">
        <f>SUM(B405:B406)</f>
        <v>2.1919917828810285E-2</v>
      </c>
    </row>
    <row r="406" spans="1:4">
      <c r="A406" s="176" t="s">
        <v>651</v>
      </c>
      <c r="B406" s="691">
        <f t="shared" si="24"/>
        <v>1.4445743114849847E-2</v>
      </c>
      <c r="C406" s="176"/>
      <c r="D406" s="176"/>
    </row>
    <row r="407" spans="1:4">
      <c r="A407" s="114" t="s">
        <v>292</v>
      </c>
      <c r="B407" s="386">
        <f t="shared" si="24"/>
        <v>1.936556533542242E-2</v>
      </c>
      <c r="C407" s="114" t="s">
        <v>292</v>
      </c>
      <c r="D407" s="385">
        <f>SUM(B407:B408)</f>
        <v>1.936556533542242E-2</v>
      </c>
    </row>
    <row r="408" spans="1:4">
      <c r="A408" s="114" t="s">
        <v>658</v>
      </c>
      <c r="B408" s="386">
        <f t="shared" si="24"/>
        <v>0</v>
      </c>
    </row>
    <row r="409" spans="1:4">
      <c r="A409" s="176" t="s">
        <v>652</v>
      </c>
      <c r="B409" s="691">
        <f t="shared" si="24"/>
        <v>6.9058305926001137E-2</v>
      </c>
      <c r="C409" s="176" t="s">
        <v>293</v>
      </c>
      <c r="D409" s="684">
        <f>SUM(B409:B416)</f>
        <v>0.20524252137741988</v>
      </c>
    </row>
    <row r="410" spans="1:4">
      <c r="A410" s="176" t="s">
        <v>659</v>
      </c>
      <c r="B410" s="691">
        <f t="shared" si="24"/>
        <v>0</v>
      </c>
      <c r="C410" s="176"/>
      <c r="D410" s="176"/>
    </row>
    <row r="411" spans="1:4">
      <c r="A411" s="176" t="s">
        <v>660</v>
      </c>
      <c r="B411" s="691">
        <f t="shared" si="24"/>
        <v>0</v>
      </c>
      <c r="C411" s="176"/>
      <c r="D411" s="176"/>
    </row>
    <row r="412" spans="1:4">
      <c r="A412" s="176" t="s">
        <v>653</v>
      </c>
      <c r="B412" s="691">
        <f t="shared" si="24"/>
        <v>2.9010811403613567E-2</v>
      </c>
      <c r="C412" s="176"/>
      <c r="D412" s="176"/>
    </row>
    <row r="413" spans="1:4">
      <c r="A413" s="176" t="s">
        <v>694</v>
      </c>
      <c r="B413" s="691">
        <f t="shared" si="24"/>
        <v>0</v>
      </c>
      <c r="C413" s="176"/>
      <c r="D413" s="176"/>
    </row>
    <row r="414" spans="1:4">
      <c r="A414" s="176" t="s">
        <v>654</v>
      </c>
      <c r="B414" s="691">
        <f t="shared" si="24"/>
        <v>7.9551502557111034E-2</v>
      </c>
      <c r="C414" s="176"/>
      <c r="D414" s="176"/>
    </row>
    <row r="415" spans="1:4">
      <c r="A415" s="176" t="s">
        <v>668</v>
      </c>
      <c r="B415" s="691">
        <f t="shared" si="24"/>
        <v>0</v>
      </c>
      <c r="C415" s="176"/>
      <c r="D415" s="176"/>
    </row>
    <row r="416" spans="1:4">
      <c r="A416" s="176" t="s">
        <v>655</v>
      </c>
      <c r="B416" s="691">
        <f t="shared" si="24"/>
        <v>2.7621901490694146E-2</v>
      </c>
      <c r="C416" s="176"/>
      <c r="D416" s="176"/>
    </row>
    <row r="417" spans="1:6">
      <c r="A417" s="114" t="s">
        <v>656</v>
      </c>
      <c r="B417" s="386">
        <f t="shared" si="24"/>
        <v>1.0085550905143721E-2</v>
      </c>
      <c r="C417" s="114" t="s">
        <v>629</v>
      </c>
      <c r="D417" s="385">
        <f>SUM(B417:B420)</f>
        <v>0.24614183399623835</v>
      </c>
    </row>
    <row r="418" spans="1:6">
      <c r="A418" s="114" t="s">
        <v>657</v>
      </c>
      <c r="B418" s="386">
        <f t="shared" si="24"/>
        <v>0.23605628309109464</v>
      </c>
    </row>
    <row r="419" spans="1:6">
      <c r="A419" s="114" t="s">
        <v>669</v>
      </c>
      <c r="B419" s="386">
        <f t="shared" si="24"/>
        <v>0</v>
      </c>
    </row>
    <row r="420" spans="1:6">
      <c r="A420" s="114" t="s">
        <v>670</v>
      </c>
      <c r="B420" s="386">
        <f t="shared" si="24"/>
        <v>0</v>
      </c>
    </row>
    <row r="421" spans="1:6">
      <c r="A421" s="150" t="s">
        <v>786</v>
      </c>
      <c r="B421" s="690">
        <f>SUM(B402:B420)</f>
        <v>0.99999999999999989</v>
      </c>
      <c r="C421" s="150"/>
      <c r="D421" s="690">
        <f>SUM(D402:D420)</f>
        <v>0.99999999999999989</v>
      </c>
    </row>
    <row r="422" spans="1:6">
      <c r="B422" s="177"/>
    </row>
    <row r="423" spans="1:6">
      <c r="B423" s="177"/>
    </row>
    <row r="424" spans="1:6">
      <c r="B424" s="177"/>
    </row>
    <row r="425" spans="1:6">
      <c r="A425" s="114" t="s">
        <v>818</v>
      </c>
      <c r="B425" s="177"/>
    </row>
    <row r="426" spans="1:6">
      <c r="B426" s="177"/>
    </row>
    <row r="427" spans="1:6">
      <c r="A427" s="174" t="s">
        <v>817</v>
      </c>
      <c r="B427" s="672" t="s">
        <v>819</v>
      </c>
      <c r="C427" s="150" t="s">
        <v>825</v>
      </c>
      <c r="D427" s="150" t="s">
        <v>869</v>
      </c>
      <c r="E427" s="150" t="s">
        <v>826</v>
      </c>
      <c r="F427" s="150" t="s">
        <v>870</v>
      </c>
    </row>
    <row r="428" spans="1:6">
      <c r="A428" s="114">
        <v>12</v>
      </c>
      <c r="B428" s="701">
        <f>VLOOKUP(A428,OffendingVsAge!A6:E46,5,0)/VLOOKUP(A428,OffendingVsAge!A6:E46,2,0)</f>
        <v>3.6674816625916873E-2</v>
      </c>
      <c r="C428" s="702">
        <f>B428</f>
        <v>3.6674816625916873E-2</v>
      </c>
      <c r="D428" s="387">
        <f>B428/VLOOKUP(31,A$428:B$466,2,0)</f>
        <v>1.4559902200488999</v>
      </c>
      <c r="E428" s="387">
        <f t="shared" ref="E428:E466" si="25">C428/VLOOKUP(average_age,A$428:B$466,2,0)</f>
        <v>1.4559902200488999</v>
      </c>
      <c r="F428" s="387">
        <f>E428/VLOOKUP(31,A$428:E$466,5,0)</f>
        <v>1.1924966435147142</v>
      </c>
    </row>
    <row r="429" spans="1:6">
      <c r="A429" s="114">
        <v>13</v>
      </c>
      <c r="B429" s="701">
        <f>VLOOKUP(A429,OffendingVsAge!A7:E47,5,0)/VLOOKUP(A429,OffendingVsAge!A7:E47,2,0)</f>
        <v>6.8459657701711488E-2</v>
      </c>
      <c r="C429" s="702">
        <f>AVERAGE(B428:B430)</f>
        <v>7.4979625101874489E-2</v>
      </c>
      <c r="D429" s="387">
        <f t="shared" ref="D429:D466" si="26">B429/VLOOKUP(31,A$428:B$466,2,0)</f>
        <v>2.7178484107579459</v>
      </c>
      <c r="E429" s="387">
        <f t="shared" si="25"/>
        <v>2.976691116544417</v>
      </c>
      <c r="F429" s="387">
        <f t="shared" ref="F429:F466" si="27">E429/VLOOKUP(31,A$428:E$466,5,0)</f>
        <v>2.4379931378523043</v>
      </c>
    </row>
    <row r="430" spans="1:6">
      <c r="A430" s="114">
        <v>14</v>
      </c>
      <c r="B430" s="701">
        <f>VLOOKUP(A430,OffendingVsAge!A8:E48,5,0)/VLOOKUP(A430,OffendingVsAge!A8:E48,2,0)</f>
        <v>0.11980440097799511</v>
      </c>
      <c r="C430" s="387">
        <f>AVERAGE(B428:B432)</f>
        <v>9.6458363296418811E-2</v>
      </c>
      <c r="D430" s="387">
        <f t="shared" si="26"/>
        <v>4.7562347188264056</v>
      </c>
      <c r="E430" s="387">
        <f t="shared" si="25"/>
        <v>3.8293970228678265</v>
      </c>
      <c r="F430" s="387">
        <f t="shared" si="27"/>
        <v>3.1363830838793363</v>
      </c>
    </row>
    <row r="431" spans="1:6">
      <c r="A431" s="114">
        <v>15</v>
      </c>
      <c r="B431" s="701">
        <f>VLOOKUP(A431,OffendingVsAge!A9:E49,5,0)/VLOOKUP(A431,OffendingVsAge!A9:E49,2,0)</f>
        <v>0.11274509803921569</v>
      </c>
      <c r="C431" s="387">
        <f>AVERAGE(B429:B433)</f>
        <v>0.12303003387786934</v>
      </c>
      <c r="D431" s="387">
        <f t="shared" si="26"/>
        <v>4.4759803921568624</v>
      </c>
      <c r="E431" s="387">
        <f t="shared" si="25"/>
        <v>4.8842923449514126</v>
      </c>
      <c r="F431" s="387">
        <f t="shared" si="27"/>
        <v>4.000371806826803</v>
      </c>
    </row>
    <row r="432" spans="1:6">
      <c r="A432" s="114">
        <v>16</v>
      </c>
      <c r="B432" s="701">
        <f>VLOOKUP(A432,OffendingVsAge!A10:E50,5,0)/VLOOKUP(A432,OffendingVsAge!A10:E50,2,0)</f>
        <v>0.14460784313725492</v>
      </c>
      <c r="C432" s="387">
        <f t="shared" ref="C432:C464" si="28">AVERAGE(B430:B434)</f>
        <v>0.14094304060913199</v>
      </c>
      <c r="D432" s="387">
        <f t="shared" si="26"/>
        <v>5.7409313725490199</v>
      </c>
      <c r="E432" s="387">
        <f t="shared" si="25"/>
        <v>5.5954387121825393</v>
      </c>
      <c r="F432" s="387">
        <f t="shared" si="27"/>
        <v>4.5828205377958335</v>
      </c>
    </row>
    <row r="433" spans="1:6">
      <c r="A433" s="114">
        <v>17</v>
      </c>
      <c r="B433" s="701">
        <f>VLOOKUP(A433,OffendingVsAge!A11:E51,5,0)/VLOOKUP(A433,OffendingVsAge!A11:E51,2,0)</f>
        <v>0.16953316953316952</v>
      </c>
      <c r="C433" s="387">
        <f t="shared" si="28"/>
        <v>0.1427247346709587</v>
      </c>
      <c r="D433" s="387">
        <f t="shared" si="26"/>
        <v>6.7304668304668294</v>
      </c>
      <c r="E433" s="387">
        <f t="shared" si="25"/>
        <v>5.6661719664370604</v>
      </c>
      <c r="F433" s="387">
        <f t="shared" si="27"/>
        <v>4.6407530480022254</v>
      </c>
    </row>
    <row r="434" spans="1:6">
      <c r="A434" s="114">
        <v>18</v>
      </c>
      <c r="B434" s="701">
        <f>VLOOKUP(A434,OffendingVsAge!A12:E52,5,0)/VLOOKUP(A434,OffendingVsAge!A12:E52,2,0)</f>
        <v>0.15802469135802469</v>
      </c>
      <c r="C434" s="387">
        <f t="shared" si="28"/>
        <v>0.14498961084475331</v>
      </c>
      <c r="D434" s="387">
        <f t="shared" si="26"/>
        <v>6.2735802469135802</v>
      </c>
      <c r="E434" s="387">
        <f t="shared" si="25"/>
        <v>5.756087550536706</v>
      </c>
      <c r="F434" s="387">
        <f t="shared" si="27"/>
        <v>4.7143964219494015</v>
      </c>
    </row>
    <row r="435" spans="1:6">
      <c r="A435" s="114">
        <v>19</v>
      </c>
      <c r="B435" s="701">
        <f>VLOOKUP(A435,OffendingVsAge!A13:E53,5,0)/VLOOKUP(A435,OffendingVsAge!A13:E53,2,0)</f>
        <v>0.12871287128712872</v>
      </c>
      <c r="C435" s="387">
        <f t="shared" si="28"/>
        <v>0.12748243427685563</v>
      </c>
      <c r="D435" s="387">
        <f t="shared" si="26"/>
        <v>5.1099009900990096</v>
      </c>
      <c r="E435" s="387">
        <f t="shared" si="25"/>
        <v>5.0610526407911678</v>
      </c>
      <c r="F435" s="387">
        <f t="shared" si="27"/>
        <v>4.14514342451562</v>
      </c>
    </row>
    <row r="436" spans="1:6">
      <c r="A436" s="114">
        <v>20</v>
      </c>
      <c r="B436" s="701">
        <f>VLOOKUP(A436,OffendingVsAge!A14:E54,5,0)/VLOOKUP(A436,OffendingVsAge!A14:E54,2,0)</f>
        <v>0.12406947890818859</v>
      </c>
      <c r="C436" s="387">
        <f t="shared" si="28"/>
        <v>0.11357580037022175</v>
      </c>
      <c r="D436" s="387">
        <f t="shared" si="26"/>
        <v>4.9255583126550873</v>
      </c>
      <c r="E436" s="387">
        <f t="shared" si="25"/>
        <v>4.5089592746978031</v>
      </c>
      <c r="F436" s="387">
        <f t="shared" si="27"/>
        <v>3.6929635424619027</v>
      </c>
    </row>
    <row r="437" spans="1:6">
      <c r="A437" s="114">
        <v>21</v>
      </c>
      <c r="B437" s="701">
        <f>VLOOKUP(A437,OffendingVsAge!A15:E55,5,0)/VLOOKUP(A437,OffendingVsAge!A15:E55,2,0)</f>
        <v>5.7071960297766747E-2</v>
      </c>
      <c r="C437" s="387">
        <f t="shared" si="28"/>
        <v>8.7985899692601774E-2</v>
      </c>
      <c r="D437" s="387">
        <f t="shared" si="26"/>
        <v>2.2657568238213397</v>
      </c>
      <c r="E437" s="387">
        <f t="shared" si="25"/>
        <v>3.4930402177962905</v>
      </c>
      <c r="F437" s="387">
        <f t="shared" si="27"/>
        <v>2.8608974689706947</v>
      </c>
    </row>
    <row r="438" spans="1:6">
      <c r="A438" s="114">
        <v>22</v>
      </c>
      <c r="B438" s="701">
        <f>VLOOKUP(A438,OffendingVsAge!A16:E56,5,0)/VLOOKUP(A438,OffendingVsAge!A16:E56,2,0)</f>
        <v>0.1</v>
      </c>
      <c r="C438" s="387">
        <f t="shared" si="28"/>
        <v>7.2293576691457445E-2</v>
      </c>
      <c r="D438" s="387">
        <f t="shared" si="26"/>
        <v>3.97</v>
      </c>
      <c r="E438" s="387">
        <f t="shared" si="25"/>
        <v>2.8700549946508604</v>
      </c>
      <c r="F438" s="387">
        <f t="shared" si="27"/>
        <v>2.3506551765909838</v>
      </c>
    </row>
    <row r="439" spans="1:6">
      <c r="A439" s="114">
        <v>23</v>
      </c>
      <c r="B439" s="701">
        <f>VLOOKUP(A439,OffendingVsAge!A17:E57,5,0)/VLOOKUP(A439,OffendingVsAge!A17:E57,2,0)</f>
        <v>3.007518796992481E-2</v>
      </c>
      <c r="C439" s="387">
        <f t="shared" si="28"/>
        <v>5.7529932166101125E-2</v>
      </c>
      <c r="D439" s="387">
        <f t="shared" si="26"/>
        <v>1.1939849624060148</v>
      </c>
      <c r="E439" s="387">
        <f t="shared" si="25"/>
        <v>2.2839383069942145</v>
      </c>
      <c r="F439" s="387">
        <f t="shared" si="27"/>
        <v>1.87060924419795</v>
      </c>
    </row>
    <row r="440" spans="1:6">
      <c r="A440" s="114">
        <v>24</v>
      </c>
      <c r="B440" s="701">
        <f>VLOOKUP(A440,OffendingVsAge!A18:E58,5,0)/VLOOKUP(A440,OffendingVsAge!A18:E58,2,0)</f>
        <v>5.0251256281407038E-2</v>
      </c>
      <c r="C440" s="387">
        <f t="shared" si="28"/>
        <v>5.4155741111572897E-2</v>
      </c>
      <c r="D440" s="387">
        <f t="shared" si="26"/>
        <v>1.9949748743718594</v>
      </c>
      <c r="E440" s="387">
        <f t="shared" si="25"/>
        <v>2.149982922129444</v>
      </c>
      <c r="F440" s="387">
        <f t="shared" si="27"/>
        <v>1.7608960437709613</v>
      </c>
    </row>
    <row r="441" spans="1:6">
      <c r="A441" s="114">
        <v>25</v>
      </c>
      <c r="B441" s="701">
        <f>VLOOKUP(A441,OffendingVsAge!A19:E59,5,0)/VLOOKUP(A441,OffendingVsAge!A19:E59,2,0)</f>
        <v>5.0251256281407038E-2</v>
      </c>
      <c r="C441" s="387">
        <f t="shared" si="28"/>
        <v>4.3223751187139656E-2</v>
      </c>
      <c r="D441" s="387">
        <f t="shared" si="26"/>
        <v>1.9949748743718594</v>
      </c>
      <c r="E441" s="387">
        <f t="shared" si="25"/>
        <v>1.7159829221294443</v>
      </c>
      <c r="F441" s="387">
        <f t="shared" si="27"/>
        <v>1.4054379258805789</v>
      </c>
    </row>
    <row r="442" spans="1:6">
      <c r="A442" s="114">
        <v>26</v>
      </c>
      <c r="B442" s="701">
        <f>VLOOKUP(A442,OffendingVsAge!A20:E60,5,0)/VLOOKUP(A442,OffendingVsAge!A20:E60,2,0)</f>
        <v>4.0201005025125629E-2</v>
      </c>
      <c r="C442" s="387">
        <f t="shared" si="28"/>
        <v>4.4765388656126982E-2</v>
      </c>
      <c r="D442" s="387">
        <f t="shared" si="26"/>
        <v>1.5959798994974874</v>
      </c>
      <c r="E442" s="387">
        <f t="shared" si="25"/>
        <v>1.7771859296482411</v>
      </c>
      <c r="F442" s="387">
        <f t="shared" si="27"/>
        <v>1.45556489791252</v>
      </c>
    </row>
    <row r="443" spans="1:6">
      <c r="A443" s="114">
        <v>27</v>
      </c>
      <c r="B443" s="701">
        <f>VLOOKUP(A443,OffendingVsAge!A21:E61,5,0)/VLOOKUP(A443,OffendingVsAge!A21:E61,2,0)</f>
        <v>4.534005037783375E-2</v>
      </c>
      <c r="C443" s="387">
        <f t="shared" si="28"/>
        <v>4.4286925812943814E-2</v>
      </c>
      <c r="D443" s="387">
        <f t="shared" si="26"/>
        <v>1.7999999999999998</v>
      </c>
      <c r="E443" s="387">
        <f t="shared" si="25"/>
        <v>1.7581909547738694</v>
      </c>
      <c r="F443" s="387">
        <f t="shared" si="27"/>
        <v>1.4400074831239964</v>
      </c>
    </row>
    <row r="444" spans="1:6">
      <c r="A444" s="114">
        <v>28</v>
      </c>
      <c r="B444" s="701">
        <f>VLOOKUP(A444,OffendingVsAge!A22:E62,5,0)/VLOOKUP(A444,OffendingVsAge!A22:E62,2,0)</f>
        <v>3.7783375314861464E-2</v>
      </c>
      <c r="C444" s="387">
        <f t="shared" si="28"/>
        <v>4.0785792944571728E-2</v>
      </c>
      <c r="D444" s="387">
        <f t="shared" si="26"/>
        <v>1.5</v>
      </c>
      <c r="E444" s="387">
        <f t="shared" si="25"/>
        <v>1.6191959798994975</v>
      </c>
      <c r="F444" s="387">
        <f t="shared" si="27"/>
        <v>1.3261667177667031</v>
      </c>
    </row>
    <row r="445" spans="1:6">
      <c r="A445" s="114">
        <v>29</v>
      </c>
      <c r="B445" s="701">
        <f>VLOOKUP(A445,OffendingVsAge!A23:E63,5,0)/VLOOKUP(A445,OffendingVsAge!A23:E63,2,0)</f>
        <v>4.7858942065491183E-2</v>
      </c>
      <c r="C445" s="387">
        <f t="shared" si="28"/>
        <v>3.7783375314861464E-2</v>
      </c>
      <c r="D445" s="387">
        <f t="shared" si="26"/>
        <v>1.9</v>
      </c>
      <c r="E445" s="387">
        <f t="shared" si="25"/>
        <v>1.5</v>
      </c>
      <c r="F445" s="387">
        <f t="shared" si="27"/>
        <v>1.2285418821096172</v>
      </c>
    </row>
    <row r="446" spans="1:6">
      <c r="A446" s="114">
        <v>30</v>
      </c>
      <c r="B446" s="701">
        <f>VLOOKUP(A446,OffendingVsAge!A24:E64,5,0)/VLOOKUP(A446,OffendingVsAge!A24:E64,2,0)</f>
        <v>3.2745591939546598E-2</v>
      </c>
      <c r="C446" s="387">
        <f t="shared" si="28"/>
        <v>3.3765870289799757E-2</v>
      </c>
      <c r="D446" s="387">
        <f t="shared" si="26"/>
        <v>1.2999999999999998</v>
      </c>
      <c r="E446" s="387">
        <f t="shared" si="25"/>
        <v>1.3405050505050502</v>
      </c>
      <c r="F446" s="387">
        <f t="shared" si="27"/>
        <v>1.097911065149948</v>
      </c>
    </row>
    <row r="447" spans="1:6">
      <c r="A447" s="114">
        <v>31</v>
      </c>
      <c r="B447" s="701">
        <f>VLOOKUP(A447,OffendingVsAge!A25:E65,5,0)/VLOOKUP(A447,OffendingVsAge!A25:E65,2,0)</f>
        <v>2.5188916876574308E-2</v>
      </c>
      <c r="C447" s="387">
        <f t="shared" si="28"/>
        <v>3.0754649772282018E-2</v>
      </c>
      <c r="D447" s="387">
        <f t="shared" si="26"/>
        <v>1</v>
      </c>
      <c r="E447" s="387">
        <f t="shared" si="25"/>
        <v>1.220959595959596</v>
      </c>
      <c r="F447" s="387">
        <f t="shared" si="27"/>
        <v>1</v>
      </c>
    </row>
    <row r="448" spans="1:6">
      <c r="A448" s="114">
        <v>32</v>
      </c>
      <c r="B448" s="701">
        <f>VLOOKUP(A448,OffendingVsAge!A26:E66,5,0)/VLOOKUP(A448,OffendingVsAge!A26:E66,2,0)</f>
        <v>2.5252525252525252E-2</v>
      </c>
      <c r="C448" s="387">
        <f t="shared" si="28"/>
        <v>2.7748517924840344E-2</v>
      </c>
      <c r="D448" s="387">
        <f t="shared" si="26"/>
        <v>1.0025252525252524</v>
      </c>
      <c r="E448" s="387">
        <f t="shared" si="25"/>
        <v>1.1016161616161615</v>
      </c>
      <c r="F448" s="387">
        <f t="shared" si="27"/>
        <v>0.90225439503619431</v>
      </c>
    </row>
    <row r="449" spans="1:6">
      <c r="A449" s="114">
        <v>33</v>
      </c>
      <c r="B449" s="701">
        <f>VLOOKUP(A449,OffendingVsAge!A27:E67,5,0)/VLOOKUP(A449,OffendingVsAge!A27:E67,2,0)</f>
        <v>2.2727272727272728E-2</v>
      </c>
      <c r="C449" s="387">
        <f t="shared" si="28"/>
        <v>2.8270106607638096E-2</v>
      </c>
      <c r="D449" s="387">
        <f t="shared" si="26"/>
        <v>0.90227272727272723</v>
      </c>
      <c r="E449" s="387">
        <f t="shared" si="25"/>
        <v>1.1223232323232324</v>
      </c>
      <c r="F449" s="387">
        <f t="shared" si="27"/>
        <v>0.91921406411582218</v>
      </c>
    </row>
    <row r="450" spans="1:6">
      <c r="A450" s="114">
        <v>34</v>
      </c>
      <c r="B450" s="701">
        <f>VLOOKUP(A450,OffendingVsAge!A28:E68,5,0)/VLOOKUP(A450,OffendingVsAge!A28:E68,2,0)</f>
        <v>3.2828282828282832E-2</v>
      </c>
      <c r="C450" s="387">
        <f t="shared" si="28"/>
        <v>2.6767676767676767E-2</v>
      </c>
      <c r="D450" s="387">
        <f t="shared" si="26"/>
        <v>1.3032828282828284</v>
      </c>
      <c r="E450" s="387">
        <f t="shared" si="25"/>
        <v>1.0626767676767677</v>
      </c>
      <c r="F450" s="387">
        <f t="shared" si="27"/>
        <v>0.87036194415718715</v>
      </c>
    </row>
    <row r="451" spans="1:6">
      <c r="A451" s="114">
        <v>35</v>
      </c>
      <c r="B451" s="701">
        <f>VLOOKUP(A451,OffendingVsAge!A29:E69,5,0)/VLOOKUP(A451,OffendingVsAge!A29:E69,2,0)</f>
        <v>3.5353535353535352E-2</v>
      </c>
      <c r="C451" s="387">
        <f t="shared" si="28"/>
        <v>2.777777777777778E-2</v>
      </c>
      <c r="D451" s="387">
        <f t="shared" si="26"/>
        <v>1.4035353535353534</v>
      </c>
      <c r="E451" s="387">
        <f t="shared" si="25"/>
        <v>1.1027777777777779</v>
      </c>
      <c r="F451" s="387">
        <f t="shared" si="27"/>
        <v>0.903205791106515</v>
      </c>
    </row>
    <row r="452" spans="1:6">
      <c r="A452" s="114">
        <v>36</v>
      </c>
      <c r="B452" s="701">
        <f>VLOOKUP(A452,OffendingVsAge!A30:E70,5,0)/VLOOKUP(A452,OffendingVsAge!A30:E70,2,0)</f>
        <v>1.7676767676767676E-2</v>
      </c>
      <c r="C452" s="387">
        <f t="shared" si="28"/>
        <v>2.6785622724709017E-2</v>
      </c>
      <c r="D452" s="387">
        <f t="shared" si="26"/>
        <v>0.70176767676767671</v>
      </c>
      <c r="E452" s="387">
        <f t="shared" si="25"/>
        <v>1.063389222170948</v>
      </c>
      <c r="F452" s="387">
        <f t="shared" si="27"/>
        <v>0.87094546428065234</v>
      </c>
    </row>
    <row r="453" spans="1:6">
      <c r="A453" s="114">
        <v>37</v>
      </c>
      <c r="B453" s="701">
        <f>VLOOKUP(A453,OffendingVsAge!A31:E71,5,0)/VLOOKUP(A453,OffendingVsAge!A31:E71,2,0)</f>
        <v>3.0303030303030304E-2</v>
      </c>
      <c r="C453" s="387">
        <f t="shared" si="28"/>
        <v>2.174280879864636E-2</v>
      </c>
      <c r="D453" s="387">
        <f t="shared" si="26"/>
        <v>1.2030303030303031</v>
      </c>
      <c r="E453" s="387">
        <f t="shared" si="25"/>
        <v>0.86318950930626048</v>
      </c>
      <c r="F453" s="387">
        <f t="shared" si="27"/>
        <v>0.70697630958692681</v>
      </c>
    </row>
    <row r="454" spans="1:6">
      <c r="A454" s="114">
        <v>38</v>
      </c>
      <c r="B454" s="701">
        <f>VLOOKUP(A454,OffendingVsAge!A32:E72,5,0)/VLOOKUP(A454,OffendingVsAge!A32:E72,2,0)</f>
        <v>1.7766497461928935E-2</v>
      </c>
      <c r="C454" s="387">
        <f t="shared" si="28"/>
        <v>1.8733015433523049E-2</v>
      </c>
      <c r="D454" s="387">
        <f t="shared" si="26"/>
        <v>0.70532994923857872</v>
      </c>
      <c r="E454" s="387">
        <f t="shared" si="25"/>
        <v>0.74370071271086502</v>
      </c>
      <c r="F454" s="387">
        <f t="shared" si="27"/>
        <v>0.60911164888004665</v>
      </c>
    </row>
    <row r="455" spans="1:6">
      <c r="A455" s="114">
        <v>39</v>
      </c>
      <c r="B455" s="701">
        <f>VLOOKUP(A455,OffendingVsAge!A33:E73,5,0)/VLOOKUP(A455,OffendingVsAge!A33:E73,2,0)</f>
        <v>7.6142131979695434E-3</v>
      </c>
      <c r="C455" s="387">
        <f t="shared" si="28"/>
        <v>1.9268908717507936E-2</v>
      </c>
      <c r="D455" s="387">
        <f t="shared" si="26"/>
        <v>0.30228426395939084</v>
      </c>
      <c r="E455" s="387">
        <f t="shared" si="25"/>
        <v>0.764975676085065</v>
      </c>
      <c r="F455" s="387">
        <f t="shared" si="27"/>
        <v>0.62653643791041513</v>
      </c>
    </row>
    <row r="456" spans="1:6">
      <c r="A456" s="114">
        <v>40</v>
      </c>
      <c r="B456" s="701">
        <f>VLOOKUP(A456,OffendingVsAge!A34:E74,5,0)/VLOOKUP(A456,OffendingVsAge!A34:E74,2,0)</f>
        <v>2.030456852791878E-2</v>
      </c>
      <c r="C456" s="387">
        <f t="shared" si="28"/>
        <v>1.6779731228330447E-2</v>
      </c>
      <c r="D456" s="387">
        <f t="shared" si="26"/>
        <v>0.80609137055837554</v>
      </c>
      <c r="E456" s="387">
        <f t="shared" si="25"/>
        <v>0.6661553297647187</v>
      </c>
      <c r="F456" s="387">
        <f t="shared" si="27"/>
        <v>0.54559981507100019</v>
      </c>
    </row>
    <row r="457" spans="1:6">
      <c r="A457" s="114">
        <v>41</v>
      </c>
      <c r="B457" s="701">
        <f>VLOOKUP(A457,OffendingVsAge!A35:E75,5,0)/VLOOKUP(A457,OffendingVsAge!A35:E75,2,0)</f>
        <v>2.0356234096692113E-2</v>
      </c>
      <c r="C457" s="387">
        <f t="shared" si="28"/>
        <v>1.9859084797169153E-2</v>
      </c>
      <c r="D457" s="387">
        <f t="shared" si="26"/>
        <v>0.80814249363867685</v>
      </c>
      <c r="E457" s="387">
        <f t="shared" si="25"/>
        <v>0.78840566644761534</v>
      </c>
      <c r="F457" s="387">
        <f t="shared" si="27"/>
        <v>0.64572625421562702</v>
      </c>
    </row>
    <row r="458" spans="1:6">
      <c r="A458" s="114">
        <v>42</v>
      </c>
      <c r="B458" s="701">
        <f>VLOOKUP(A458,OffendingVsAge!A36:E76,5,0)/VLOOKUP(A458,OffendingVsAge!A36:E76,2,0)</f>
        <v>1.7857142857142856E-2</v>
      </c>
      <c r="C458" s="387">
        <f t="shared" si="28"/>
        <v>2.2928078892269117E-2</v>
      </c>
      <c r="D458" s="387">
        <f t="shared" si="26"/>
        <v>0.70892857142857135</v>
      </c>
      <c r="E458" s="387">
        <f t="shared" si="25"/>
        <v>0.91024473202308387</v>
      </c>
      <c r="F458" s="387">
        <f t="shared" si="27"/>
        <v>0.74551585084000249</v>
      </c>
    </row>
    <row r="459" spans="1:6">
      <c r="A459" s="114">
        <v>43</v>
      </c>
      <c r="B459" s="701">
        <f>VLOOKUP(A459,OffendingVsAge!A37:E77,5,0)/VLOOKUP(A459,OffendingVsAge!A37:E77,2,0)</f>
        <v>3.3163265306122451E-2</v>
      </c>
      <c r="C459" s="387">
        <f t="shared" si="28"/>
        <v>2.4493763652158506E-2</v>
      </c>
      <c r="D459" s="387">
        <f t="shared" si="26"/>
        <v>1.3165816326530613</v>
      </c>
      <c r="E459" s="387">
        <f t="shared" si="25"/>
        <v>0.97240241699069263</v>
      </c>
      <c r="F459" s="387">
        <f t="shared" si="27"/>
        <v>0.79642473035845762</v>
      </c>
    </row>
    <row r="460" spans="1:6">
      <c r="A460" s="114">
        <v>44</v>
      </c>
      <c r="B460" s="701">
        <f>VLOOKUP(A460,OffendingVsAge!A38:E78,5,0)/VLOOKUP(A460,OffendingVsAge!A38:E78,2,0)</f>
        <v>2.2959183673469389E-2</v>
      </c>
      <c r="C460" s="387">
        <f t="shared" si="28"/>
        <v>2.6063542473845725E-2</v>
      </c>
      <c r="D460" s="387">
        <f t="shared" si="26"/>
        <v>0.91147959183673466</v>
      </c>
      <c r="E460" s="387">
        <f t="shared" si="25"/>
        <v>1.0347226362116753</v>
      </c>
      <c r="F460" s="387">
        <f t="shared" si="27"/>
        <v>0.84746672996861094</v>
      </c>
    </row>
    <row r="461" spans="1:6">
      <c r="A461" s="114">
        <v>45</v>
      </c>
      <c r="B461" s="701">
        <f>VLOOKUP(A461,OffendingVsAge!A39:E79,5,0)/VLOOKUP(A461,OffendingVsAge!A39:E79,2,0)</f>
        <v>2.8132992327365727E-2</v>
      </c>
      <c r="C461" s="387">
        <f t="shared" si="28"/>
        <v>2.4034530354859314E-2</v>
      </c>
      <c r="D461" s="387">
        <f t="shared" si="26"/>
        <v>1.1168797953964194</v>
      </c>
      <c r="E461" s="387">
        <f t="shared" si="25"/>
        <v>0.95417085508791477</v>
      </c>
      <c r="F461" s="387">
        <f t="shared" si="27"/>
        <v>0.78149257210923317</v>
      </c>
    </row>
    <row r="462" spans="1:6">
      <c r="A462" s="114">
        <v>46</v>
      </c>
      <c r="B462" s="701">
        <f>VLOOKUP(A462,OffendingVsAge!A40:E80,5,0)/VLOOKUP(A462,OffendingVsAge!A40:E80,2,0)</f>
        <v>2.8205128205128206E-2</v>
      </c>
      <c r="C462" s="387">
        <f t="shared" si="28"/>
        <v>1.7401877293634821E-2</v>
      </c>
      <c r="D462" s="387">
        <f t="shared" si="26"/>
        <v>1.1197435897435897</v>
      </c>
      <c r="E462" s="387">
        <f t="shared" si="25"/>
        <v>0.69085452855730234</v>
      </c>
      <c r="F462" s="387">
        <f t="shared" si="27"/>
        <v>0.56582914851849375</v>
      </c>
    </row>
    <row r="463" spans="1:6">
      <c r="A463" s="114">
        <v>47</v>
      </c>
      <c r="B463" s="701">
        <f>VLOOKUP(A463,OffendingVsAge!A41:E81,5,0)/VLOOKUP(A463,OffendingVsAge!A41:E81,2,0)</f>
        <v>7.7120822622107968E-3</v>
      </c>
      <c r="C463" s="387">
        <f t="shared" si="28"/>
        <v>1.3326836424574018E-2</v>
      </c>
      <c r="D463" s="387">
        <f t="shared" si="26"/>
        <v>0.30616966580976862</v>
      </c>
      <c r="E463" s="387">
        <f t="shared" si="25"/>
        <v>0.52907540605558845</v>
      </c>
      <c r="F463" s="387">
        <f t="shared" si="27"/>
        <v>0.43332753008896174</v>
      </c>
    </row>
    <row r="464" spans="1:6">
      <c r="A464" s="114">
        <v>48</v>
      </c>
      <c r="B464" s="701">
        <f>VLOOKUP(A464,OffendingVsAge!A42:E82,5,0)/VLOOKUP(A464,OffendingVsAge!A42:E82,2,0)</f>
        <v>0</v>
      </c>
      <c r="C464" s="387">
        <f t="shared" si="28"/>
        <v>1.1327180964282224E-2</v>
      </c>
      <c r="D464" s="387">
        <f t="shared" si="26"/>
        <v>0</v>
      </c>
      <c r="E464" s="387">
        <f t="shared" si="25"/>
        <v>0.44968908428200427</v>
      </c>
      <c r="F464" s="387">
        <f t="shared" si="27"/>
        <v>0.36830791597864254</v>
      </c>
    </row>
    <row r="465" spans="1:21">
      <c r="A465" s="114">
        <v>49</v>
      </c>
      <c r="B465" s="701">
        <f>VLOOKUP(A465,OffendingVsAge!A43:E83,5,0)/VLOOKUP(A465,OffendingVsAge!A43:E83,2,0)</f>
        <v>2.5839793281653748E-3</v>
      </c>
      <c r="C465" s="387">
        <f>AVERAGE(B464:B466)</f>
        <v>6.9062314513573695E-3</v>
      </c>
      <c r="D465" s="387">
        <f t="shared" si="26"/>
        <v>0.10258397932816538</v>
      </c>
      <c r="E465" s="387">
        <f t="shared" si="25"/>
        <v>0.27417738861888757</v>
      </c>
      <c r="F465" s="387">
        <f t="shared" si="27"/>
        <v>0.2245589366971654</v>
      </c>
    </row>
    <row r="466" spans="1:21">
      <c r="A466" s="114">
        <v>50</v>
      </c>
      <c r="B466" s="701">
        <f>VLOOKUP(A466,OffendingVsAge!A44:E84,5,0)/VLOOKUP(A466,OffendingVsAge!A44:E84,2,0)</f>
        <v>1.8134715025906734E-2</v>
      </c>
      <c r="C466" s="387">
        <f>AVERAGE(B466)</f>
        <v>1.8134715025906734E-2</v>
      </c>
      <c r="D466" s="387">
        <f t="shared" si="26"/>
        <v>0.71994818652849735</v>
      </c>
      <c r="E466" s="387">
        <f t="shared" si="25"/>
        <v>0.71994818652849735</v>
      </c>
      <c r="F466" s="387">
        <f t="shared" si="27"/>
        <v>0.58965766673275066</v>
      </c>
    </row>
    <row r="467" spans="1:21">
      <c r="B467" s="177"/>
    </row>
    <row r="468" spans="1:21" ht="18.75" customHeight="1">
      <c r="C468" s="177"/>
    </row>
    <row r="469" spans="1:21" ht="18.75" customHeight="1">
      <c r="A469" s="174" t="s">
        <v>602</v>
      </c>
    </row>
    <row r="470" spans="1:21" ht="18.75" customHeight="1">
      <c r="A470" s="150" t="s">
        <v>610</v>
      </c>
      <c r="B470" s="150" t="s">
        <v>609</v>
      </c>
      <c r="C470" s="150" t="s">
        <v>607</v>
      </c>
      <c r="D470" s="150" t="s">
        <v>608</v>
      </c>
      <c r="E470" s="150" t="s">
        <v>639</v>
      </c>
    </row>
    <row r="471" spans="1:21" ht="18.75" customHeight="1">
      <c r="A471" s="114" t="s">
        <v>599</v>
      </c>
      <c r="B471" s="114" t="s">
        <v>600</v>
      </c>
      <c r="C471" s="387"/>
      <c r="D471" s="114" t="s">
        <v>612</v>
      </c>
    </row>
    <row r="472" spans="1:21" ht="18.75" customHeight="1">
      <c r="B472" s="114" t="s">
        <v>601</v>
      </c>
      <c r="C472" s="387">
        <f>1-EXP(-C471)</f>
        <v>0</v>
      </c>
    </row>
    <row r="473" spans="1:21" ht="18.75" customHeight="1">
      <c r="A473" s="114" t="s">
        <v>602</v>
      </c>
      <c r="B473" s="114" t="s">
        <v>603</v>
      </c>
      <c r="C473" s="387">
        <f>G357</f>
        <v>-0.193</v>
      </c>
      <c r="D473" s="114" t="s">
        <v>611</v>
      </c>
    </row>
    <row r="474" spans="1:21" ht="18.75" customHeight="1">
      <c r="B474" s="114" t="s">
        <v>604</v>
      </c>
      <c r="C474" s="387">
        <f>(PI()/SQRT(3)) *(C473)</f>
        <v>-0.35006327729720405</v>
      </c>
      <c r="D474" s="114" t="s">
        <v>605</v>
      </c>
      <c r="E474" s="114" t="s">
        <v>838</v>
      </c>
    </row>
    <row r="475" spans="1:21" ht="18.75" customHeight="1">
      <c r="B475" s="114" t="s">
        <v>606</v>
      </c>
      <c r="C475" s="387">
        <f>EXP(C474)</f>
        <v>0.70464350037178569</v>
      </c>
    </row>
    <row r="476" spans="1:21" ht="18.75" customHeight="1">
      <c r="C476" s="177"/>
    </row>
    <row r="479" spans="1:21">
      <c r="A479" s="150" t="s">
        <v>687</v>
      </c>
      <c r="C479" s="388"/>
      <c r="D479" s="388"/>
      <c r="E479" s="388"/>
      <c r="F479" s="388"/>
      <c r="K479" s="388"/>
      <c r="R479" s="388"/>
      <c r="S479" s="388"/>
      <c r="U479" s="150" t="s">
        <v>747</v>
      </c>
    </row>
    <row r="480" spans="1:21">
      <c r="C480" s="388"/>
      <c r="D480" s="388"/>
      <c r="E480" s="388"/>
      <c r="F480" s="388"/>
      <c r="K480" s="388"/>
      <c r="R480" s="388"/>
      <c r="S480" s="388"/>
      <c r="T480" s="150" t="s">
        <v>732</v>
      </c>
      <c r="U480" s="150" t="s">
        <v>647</v>
      </c>
    </row>
    <row r="481" spans="1:24">
      <c r="A481" s="177"/>
      <c r="S481" s="150" t="s">
        <v>690</v>
      </c>
      <c r="T481" s="150" t="s">
        <v>748</v>
      </c>
    </row>
    <row r="482" spans="1:24">
      <c r="A482" s="177"/>
      <c r="S482" s="150" t="s">
        <v>691</v>
      </c>
      <c r="T482" s="150" t="s">
        <v>749</v>
      </c>
    </row>
    <row r="483" spans="1:24">
      <c r="E483" s="150"/>
      <c r="T483" s="150" t="s">
        <v>750</v>
      </c>
    </row>
    <row r="484" spans="1:24">
      <c r="E484" s="150" t="s">
        <v>625</v>
      </c>
      <c r="G484" s="114" t="s">
        <v>732</v>
      </c>
      <c r="M484" s="114" t="s">
        <v>732</v>
      </c>
      <c r="T484" s="150" t="s">
        <v>751</v>
      </c>
    </row>
    <row r="485" spans="1:24">
      <c r="E485" s="150" t="s">
        <v>626</v>
      </c>
      <c r="G485" s="114" t="s">
        <v>642</v>
      </c>
      <c r="M485" s="114" t="s">
        <v>642</v>
      </c>
    </row>
    <row r="486" spans="1:24">
      <c r="G486" s="114" t="s">
        <v>690</v>
      </c>
      <c r="M486" s="114" t="s">
        <v>690</v>
      </c>
      <c r="S486" s="150" t="s">
        <v>642</v>
      </c>
      <c r="T486" s="150" t="s">
        <v>693</v>
      </c>
      <c r="U486" s="150" t="s">
        <v>686</v>
      </c>
      <c r="V486" s="150" t="s">
        <v>857</v>
      </c>
      <c r="W486" s="150" t="s">
        <v>856</v>
      </c>
      <c r="X486" s="150" t="s">
        <v>639</v>
      </c>
    </row>
    <row r="487" spans="1:24">
      <c r="F487" s="150" t="s">
        <v>615</v>
      </c>
      <c r="L487" s="150" t="s">
        <v>622</v>
      </c>
      <c r="R487" s="150" t="s">
        <v>683</v>
      </c>
    </row>
    <row r="488" spans="1:24">
      <c r="A488" s="150" t="s">
        <v>613</v>
      </c>
      <c r="B488" s="150" t="s">
        <v>614</v>
      </c>
      <c r="D488" s="150" t="s">
        <v>609</v>
      </c>
      <c r="E488" s="150" t="s">
        <v>637</v>
      </c>
      <c r="F488" s="150" t="s">
        <v>785</v>
      </c>
      <c r="G488" s="150" t="s">
        <v>787</v>
      </c>
      <c r="H488" s="150" t="s">
        <v>784</v>
      </c>
      <c r="I488" s="150" t="s">
        <v>786</v>
      </c>
      <c r="J488" s="150" t="s">
        <v>783</v>
      </c>
      <c r="K488" s="150" t="s">
        <v>788</v>
      </c>
      <c r="L488" s="150" t="s">
        <v>785</v>
      </c>
      <c r="M488" s="150" t="s">
        <v>787</v>
      </c>
      <c r="N488" s="150" t="s">
        <v>784</v>
      </c>
      <c r="O488" s="150" t="s">
        <v>786</v>
      </c>
      <c r="P488" s="150" t="s">
        <v>783</v>
      </c>
      <c r="Q488" s="150" t="s">
        <v>788</v>
      </c>
      <c r="T488" s="150"/>
    </row>
    <row r="489" spans="1:24">
      <c r="A489" s="114" t="s">
        <v>628</v>
      </c>
      <c r="B489" s="114" t="s">
        <v>290</v>
      </c>
      <c r="C489" s="114" t="s">
        <v>628</v>
      </c>
      <c r="D489" s="114" t="s">
        <v>636</v>
      </c>
      <c r="E489" s="114" t="str">
        <f>A489&amp;B489</f>
        <v>Violence_against_the_personHomicide</v>
      </c>
      <c r="F489" s="734">
        <f>(VLOOKUP(F$487&amp;A489&amp;C489&amp;D489,reoffending_inputs,2,0))</f>
        <v>9296</v>
      </c>
      <c r="G489" s="734">
        <f>VLOOKUP(G$484&amp;G$485&amp;G$484&amp;$B489&amp;G$486,reoffending_inputs,2,0)</f>
        <v>570</v>
      </c>
      <c r="H489" s="734">
        <f>F489*(G489/SUM(G489:G491))</f>
        <v>2.7056372549019607</v>
      </c>
      <c r="I489" s="734">
        <f>SUM(H489:H491)</f>
        <v>9296</v>
      </c>
      <c r="J489" s="734">
        <f t="shared" ref="J489:J520" si="29">(VLOOKUP(F$487&amp;A489&amp;$E$484&amp;$E$485,reoffending_inputs,2,0))</f>
        <v>35263</v>
      </c>
      <c r="K489" s="734">
        <f>H489/J489</f>
        <v>7.6727370186937039E-5</v>
      </c>
      <c r="L489" s="734">
        <f t="shared" ref="L489:L520" si="30">(VLOOKUP(L$487&amp;A489&amp;C489&amp;D489,reoffending_inputs,2,0))</f>
        <v>546</v>
      </c>
      <c r="M489" s="734">
        <f t="shared" ref="M489:M512" si="31">VLOOKUP(M$484&amp;M$485&amp;M$484&amp;B489&amp;M$486,reoffending_inputs,2,0)</f>
        <v>570</v>
      </c>
      <c r="N489" s="734">
        <f>L489*(M489/SUM(M489:M491))</f>
        <v>0.15891544117647058</v>
      </c>
      <c r="O489" s="734">
        <f>SUM(N489:N491)</f>
        <v>546</v>
      </c>
      <c r="P489" s="734">
        <f t="shared" ref="P489:P520" si="32">(VLOOKUP(L$487&amp;A489&amp;$E$484&amp;$E$485,reoffending_inputs,2,0))</f>
        <v>2503</v>
      </c>
      <c r="Q489" s="734">
        <f>N489/P489</f>
        <v>6.3489988484406946E-5</v>
      </c>
      <c r="R489" s="734">
        <f t="shared" ref="R489:R520" si="33">G$352*K489+(1-G$352)*Q489</f>
        <v>6.878494116541898E-5</v>
      </c>
      <c r="S489" s="734">
        <f t="shared" ref="S489:S551" si="34">VLOOKUP($T$480&amp;$S$486&amp;$T$480&amp;$B489&amp;$S$481,reoffending_inputs,2,0)/VLOOKUP($T$480&amp;$S$486&amp;$T$480&amp;$B489&amp;$S$482,reoffending_inputs,2,0)</f>
        <v>1</v>
      </c>
      <c r="T489" s="734">
        <f t="shared" ref="T489:T520" si="35">(1-VLOOKUP($C489&amp;$T$484,reoffending_inputs,2,0))/
(SUM(VLOOKUP($C489&amp;$U$480,reoffending_inputs,2,0)*
VLOOKUP($C489&amp;$U$479,reoffending_inputs,2,0),
VLOOKUP($C489&amp;$T$481,reoffending_inputs,2,0),
VLOOKUP($C489&amp;$T$482,reoffending_inputs,2,0),
VLOOKUP($C489&amp;$T$483,reoffending_inputs,2,0)))</f>
        <v>13.103611616017602</v>
      </c>
      <c r="U489" s="734">
        <f t="shared" ref="U489:U520" si="36">R489*S489*T489</f>
        <v>9.0133115406227152E-4</v>
      </c>
      <c r="V489" s="734">
        <v>1</v>
      </c>
      <c r="W489" s="734">
        <f>U489*V489</f>
        <v>9.0133115406227152E-4</v>
      </c>
    </row>
    <row r="490" spans="1:24">
      <c r="A490" s="114" t="s">
        <v>628</v>
      </c>
      <c r="B490" s="114" t="s">
        <v>649</v>
      </c>
      <c r="C490" s="114" t="s">
        <v>628</v>
      </c>
      <c r="D490" s="114" t="s">
        <v>636</v>
      </c>
      <c r="E490" s="114" t="str">
        <f t="shared" ref="E490:E553" si="37">A490&amp;B490</f>
        <v>Violence_against_the_personViolence_with_injury</v>
      </c>
      <c r="F490" s="734">
        <f t="shared" ref="F490:F520" si="38">(VLOOKUP(F$487&amp;A490&amp;C490&amp;D490,reoffending_inputs,2,0))</f>
        <v>9296</v>
      </c>
      <c r="G490" s="734">
        <f t="shared" ref="G490:G512" si="39">VLOOKUP(G$484&amp;G$485&amp;G$484&amp;B490&amp;G$486,reoffending_inputs,2,0)</f>
        <v>1104930</v>
      </c>
      <c r="H490" s="734">
        <f>F490*(G490/SUM(G489:G491))</f>
        <v>5244.8066176470593</v>
      </c>
      <c r="I490" s="734"/>
      <c r="J490" s="734">
        <f t="shared" si="29"/>
        <v>35263</v>
      </c>
      <c r="K490" s="734">
        <f t="shared" ref="K490:K553" si="40">H490/J490</f>
        <v>0.14873398796605675</v>
      </c>
      <c r="L490" s="734">
        <f t="shared" si="30"/>
        <v>546</v>
      </c>
      <c r="M490" s="734">
        <f t="shared" si="31"/>
        <v>1104930</v>
      </c>
      <c r="N490" s="734">
        <f>L490*(M490/SUM(M489:M491))</f>
        <v>308.05340073529413</v>
      </c>
      <c r="O490" s="734"/>
      <c r="P490" s="734">
        <f t="shared" si="32"/>
        <v>2503</v>
      </c>
      <c r="Q490" s="734">
        <f t="shared" ref="Q490:Q553" si="41">N490/P490</f>
        <v>0.12307367188785223</v>
      </c>
      <c r="R490" s="734">
        <f>G$352*K490+(1-G$352)*Q490</f>
        <v>0.13333779831913403</v>
      </c>
      <c r="S490" s="734">
        <f t="shared" si="34"/>
        <v>2.576795708955224</v>
      </c>
      <c r="T490" s="734">
        <f t="shared" si="35"/>
        <v>13.103611616017602</v>
      </c>
      <c r="U490" s="734">
        <f t="shared" si="36"/>
        <v>4.5021947862491594</v>
      </c>
      <c r="V490" s="734">
        <v>1</v>
      </c>
      <c r="W490" s="734">
        <f t="shared" ref="W490:W525" si="42">U490*V490</f>
        <v>4.5021947862491594</v>
      </c>
    </row>
    <row r="491" spans="1:24">
      <c r="A491" s="114" t="s">
        <v>628</v>
      </c>
      <c r="B491" s="114" t="s">
        <v>650</v>
      </c>
      <c r="C491" s="114" t="s">
        <v>628</v>
      </c>
      <c r="D491" s="114" t="s">
        <v>636</v>
      </c>
      <c r="E491" s="114" t="str">
        <f t="shared" si="37"/>
        <v>Violence_against_the_personViolence_without_injury</v>
      </c>
      <c r="F491" s="734">
        <f t="shared" si="38"/>
        <v>9296</v>
      </c>
      <c r="G491" s="734">
        <f t="shared" si="39"/>
        <v>852900</v>
      </c>
      <c r="H491" s="734">
        <f>F491*(G491/SUM(G489:G491))</f>
        <v>4048.4877450980389</v>
      </c>
      <c r="I491" s="734"/>
      <c r="J491" s="734">
        <f t="shared" si="29"/>
        <v>35263</v>
      </c>
      <c r="K491" s="734">
        <f t="shared" si="40"/>
        <v>0.11480837549550631</v>
      </c>
      <c r="L491" s="734">
        <f t="shared" si="30"/>
        <v>546</v>
      </c>
      <c r="M491" s="734">
        <f t="shared" si="31"/>
        <v>852900</v>
      </c>
      <c r="N491" s="734">
        <f>L491*(M491/SUM(M489:M491))</f>
        <v>237.78768382352939</v>
      </c>
      <c r="O491" s="734"/>
      <c r="P491" s="734">
        <f t="shared" si="32"/>
        <v>2503</v>
      </c>
      <c r="Q491" s="734">
        <f t="shared" si="41"/>
        <v>9.5001072242720488E-2</v>
      </c>
      <c r="R491" s="734">
        <f t="shared" si="33"/>
        <v>0.10292399354383482</v>
      </c>
      <c r="S491" s="734">
        <f t="shared" si="34"/>
        <v>1.5379205885534999</v>
      </c>
      <c r="T491" s="734">
        <f t="shared" si="35"/>
        <v>13.103611616017602</v>
      </c>
      <c r="U491" s="734">
        <f t="shared" si="36"/>
        <v>2.0741566451568652</v>
      </c>
      <c r="V491" s="734">
        <v>1</v>
      </c>
      <c r="W491" s="734">
        <f t="shared" si="42"/>
        <v>2.0741566451568652</v>
      </c>
    </row>
    <row r="492" spans="1:24">
      <c r="A492" s="176" t="s">
        <v>628</v>
      </c>
      <c r="B492" s="176" t="s">
        <v>544</v>
      </c>
      <c r="C492" s="176" t="s">
        <v>617</v>
      </c>
      <c r="D492" s="176" t="s">
        <v>636</v>
      </c>
      <c r="E492" s="176" t="str">
        <f t="shared" si="37"/>
        <v>Violence_against_the_personRape</v>
      </c>
      <c r="F492" s="1046">
        <f t="shared" si="38"/>
        <v>127</v>
      </c>
      <c r="G492" s="1046">
        <f t="shared" si="39"/>
        <v>121750</v>
      </c>
      <c r="H492" s="1046">
        <f>F492*(G492/SUM(G492:G493))</f>
        <v>12.280691303898909</v>
      </c>
      <c r="I492" s="1046">
        <f>SUM(H492:H493)</f>
        <v>126.99999999999999</v>
      </c>
      <c r="J492" s="1046">
        <f t="shared" si="29"/>
        <v>35263</v>
      </c>
      <c r="K492" s="1046">
        <f t="shared" si="40"/>
        <v>3.4825996948356376E-4</v>
      </c>
      <c r="L492" s="1046">
        <f t="shared" si="30"/>
        <v>8</v>
      </c>
      <c r="M492" s="1046">
        <f t="shared" si="31"/>
        <v>121750</v>
      </c>
      <c r="N492" s="1046">
        <f>L492*(M492/SUM(M492:M493))</f>
        <v>0.77358685378890768</v>
      </c>
      <c r="O492" s="1046">
        <f>SUM(N492:N493)</f>
        <v>8</v>
      </c>
      <c r="P492" s="1046">
        <f t="shared" si="32"/>
        <v>2503</v>
      </c>
      <c r="Q492" s="1046">
        <f t="shared" si="41"/>
        <v>3.0906386487770981E-4</v>
      </c>
      <c r="R492" s="1046">
        <f t="shared" si="33"/>
        <v>3.2474230672005136E-4</v>
      </c>
      <c r="S492" s="1046">
        <f t="shared" si="34"/>
        <v>3.4113196973942279</v>
      </c>
      <c r="T492" s="734">
        <f t="shared" si="35"/>
        <v>32.262050536796515</v>
      </c>
      <c r="U492" s="1046">
        <f t="shared" si="36"/>
        <v>3.5739894019180367E-2</v>
      </c>
      <c r="V492" s="734">
        <v>1</v>
      </c>
      <c r="W492" s="734">
        <f t="shared" si="42"/>
        <v>3.5739894019180367E-2</v>
      </c>
    </row>
    <row r="493" spans="1:24">
      <c r="A493" s="176" t="s">
        <v>628</v>
      </c>
      <c r="B493" s="176" t="s">
        <v>651</v>
      </c>
      <c r="C493" s="176" t="s">
        <v>617</v>
      </c>
      <c r="D493" s="176" t="s">
        <v>636</v>
      </c>
      <c r="E493" s="176" t="str">
        <f t="shared" si="37"/>
        <v>Violence_against_the_personOther_sexual_offences</v>
      </c>
      <c r="F493" s="1046">
        <f t="shared" si="38"/>
        <v>127</v>
      </c>
      <c r="G493" s="1046">
        <f t="shared" si="39"/>
        <v>1137320</v>
      </c>
      <c r="H493" s="1046">
        <f>F493*(G493/SUM(G492:G493))</f>
        <v>114.71930869610108</v>
      </c>
      <c r="I493" s="1046"/>
      <c r="J493" s="1046">
        <f t="shared" si="29"/>
        <v>35263</v>
      </c>
      <c r="K493" s="1046">
        <f t="shared" si="40"/>
        <v>3.2532486939880634E-3</v>
      </c>
      <c r="L493" s="1046">
        <f t="shared" si="30"/>
        <v>8</v>
      </c>
      <c r="M493" s="1046">
        <f t="shared" si="31"/>
        <v>1137320</v>
      </c>
      <c r="N493" s="1046">
        <f>L493*(M493/SUM(M492:M493))</f>
        <v>7.2264131462110921</v>
      </c>
      <c r="O493" s="1046"/>
      <c r="P493" s="1046">
        <f t="shared" si="32"/>
        <v>2503</v>
      </c>
      <c r="Q493" s="1046">
        <f t="shared" si="41"/>
        <v>2.8871007375993176E-3</v>
      </c>
      <c r="R493" s="1046">
        <f t="shared" si="33"/>
        <v>3.033559920154816E-3</v>
      </c>
      <c r="S493" s="1046">
        <f t="shared" si="34"/>
        <v>16.487677587706582</v>
      </c>
      <c r="T493" s="734">
        <f t="shared" si="35"/>
        <v>32.262050536796515</v>
      </c>
      <c r="U493" s="1046">
        <f t="shared" si="36"/>
        <v>1.613630266446054</v>
      </c>
      <c r="V493" s="734">
        <v>1</v>
      </c>
      <c r="W493" s="734">
        <f t="shared" si="42"/>
        <v>1.613630266446054</v>
      </c>
    </row>
    <row r="494" spans="1:24">
      <c r="A494" s="114" t="s">
        <v>628</v>
      </c>
      <c r="B494" s="114" t="s">
        <v>292</v>
      </c>
      <c r="C494" s="114" t="s">
        <v>292</v>
      </c>
      <c r="D494" s="114" t="s">
        <v>636</v>
      </c>
      <c r="E494" s="114" t="str">
        <f t="shared" si="37"/>
        <v>Violence_against_the_personRobbery</v>
      </c>
      <c r="F494" s="734">
        <f t="shared" si="38"/>
        <v>118</v>
      </c>
      <c r="G494" s="734">
        <f>VLOOKUP(G$484&amp;G$485&amp;G$484&amp;B494&amp;G$486,reoffending_inputs,2,0)+VLOOKUP(G$484&amp;G$485&amp;G$484&amp;B495&amp;G$486,reoffending_inputs,2,0)</f>
        <v>296040</v>
      </c>
      <c r="H494" s="734">
        <f>F494*(G494/SUM(G494:G495))</f>
        <v>118</v>
      </c>
      <c r="I494" s="734">
        <f>SUM(H494:H495)</f>
        <v>118</v>
      </c>
      <c r="J494" s="734">
        <f t="shared" si="29"/>
        <v>35263</v>
      </c>
      <c r="K494" s="734">
        <f t="shared" si="40"/>
        <v>3.3462836400760003E-3</v>
      </c>
      <c r="L494" s="734">
        <f t="shared" si="30"/>
        <v>78</v>
      </c>
      <c r="M494" s="734">
        <f>VLOOKUP(M$484&amp;M$485&amp;M$484&amp;B494&amp;M$486,reoffending_inputs,2,0)+VLOOKUP(M$484&amp;M$485&amp;M$484&amp;B495&amp;M$486,reoffending_inputs,2,0)</f>
        <v>296040</v>
      </c>
      <c r="N494" s="734">
        <f>L494*(M494/SUM(M494:M495))</f>
        <v>78</v>
      </c>
      <c r="O494" s="734">
        <f>SUM(N494:N495)</f>
        <v>78</v>
      </c>
      <c r="P494" s="734">
        <f t="shared" si="32"/>
        <v>2503</v>
      </c>
      <c r="Q494" s="734">
        <f t="shared" si="41"/>
        <v>3.1162604874151019E-2</v>
      </c>
      <c r="R494" s="734">
        <f t="shared" si="33"/>
        <v>2.003607638052101E-2</v>
      </c>
      <c r="S494" s="734">
        <f t="shared" si="34"/>
        <v>4.2680344142951689</v>
      </c>
      <c r="T494" s="734">
        <f t="shared" si="35"/>
        <v>15.814818207757394</v>
      </c>
      <c r="U494" s="734">
        <f t="shared" si="36"/>
        <v>1.3523988576585979</v>
      </c>
      <c r="V494" s="734">
        <f>VLOOKUP(G$484&amp;G$485&amp;G$484&amp;B494&amp;G$486,reoffending_inputs,2,0)/
(VLOOKUP(G$484&amp;G$485&amp;G$484&amp;B494&amp;G$486,reoffending_inputs,2,0)+VLOOKUP(G$484&amp;G$485&amp;G$484&amp;B495&amp;G$486,reoffending_inputs,2,0))</f>
        <v>0.65352655046615327</v>
      </c>
      <c r="W494" s="734">
        <f t="shared" si="42"/>
        <v>0.88382856029998969</v>
      </c>
    </row>
    <row r="495" spans="1:24">
      <c r="A495" s="114" t="s">
        <v>628</v>
      </c>
      <c r="B495" s="114" t="s">
        <v>658</v>
      </c>
      <c r="C495" s="114" t="s">
        <v>292</v>
      </c>
      <c r="D495" s="114" t="s">
        <v>636</v>
      </c>
      <c r="E495" s="114" t="str">
        <f t="shared" si="37"/>
        <v>Violence_against_the_personCommercial_robbery</v>
      </c>
      <c r="F495" s="734">
        <f t="shared" si="38"/>
        <v>118</v>
      </c>
      <c r="G495" s="734"/>
      <c r="H495" s="734">
        <f>F495*(G495/SUM(G494:G495))</f>
        <v>0</v>
      </c>
      <c r="I495" s="734"/>
      <c r="J495" s="734">
        <f t="shared" si="29"/>
        <v>35263</v>
      </c>
      <c r="K495" s="734">
        <f t="shared" si="40"/>
        <v>0</v>
      </c>
      <c r="L495" s="734">
        <f t="shared" si="30"/>
        <v>78</v>
      </c>
      <c r="M495" s="734"/>
      <c r="N495" s="734">
        <f>L495*(M495/SUM(M494:M495))</f>
        <v>0</v>
      </c>
      <c r="O495" s="734"/>
      <c r="P495" s="734">
        <f t="shared" si="32"/>
        <v>2503</v>
      </c>
      <c r="Q495" s="734">
        <f t="shared" si="41"/>
        <v>0</v>
      </c>
      <c r="R495" s="734">
        <f t="shared" si="33"/>
        <v>0</v>
      </c>
      <c r="S495" s="734"/>
      <c r="T495" s="734">
        <f t="shared" si="35"/>
        <v>15.814818207757394</v>
      </c>
      <c r="U495" s="734">
        <f t="shared" si="36"/>
        <v>0</v>
      </c>
      <c r="V495" s="734">
        <f>VLOOKUP(G$484&amp;G$485&amp;G$484&amp;B495&amp;G$486,reoffending_inputs,2,0)/
(VLOOKUP(G$484&amp;G$485&amp;G$484&amp;B494&amp;G$486,reoffending_inputs,2,0)+VLOOKUP(G$484&amp;G$485&amp;G$484&amp;B495&amp;G$486,reoffending_inputs,2,0))</f>
        <v>0.34647344953384679</v>
      </c>
      <c r="W495" s="734">
        <f>U494*V495</f>
        <v>0.46857029735860828</v>
      </c>
    </row>
    <row r="496" spans="1:24">
      <c r="A496" s="176" t="s">
        <v>628</v>
      </c>
      <c r="B496" s="176" t="s">
        <v>652</v>
      </c>
      <c r="C496" s="176" t="s">
        <v>293</v>
      </c>
      <c r="D496" s="176" t="s">
        <v>636</v>
      </c>
      <c r="E496" s="176" t="str">
        <f t="shared" si="37"/>
        <v>Violence_against_the_personDomestic_Burglary</v>
      </c>
      <c r="F496" s="1046">
        <f t="shared" si="38"/>
        <v>3884</v>
      </c>
      <c r="G496" s="1046">
        <f>VLOOKUP(G$484&amp;G$485&amp;G$484&amp;B496&amp;G$486,reoffending_inputs,2,0)+VLOOKUP(G$484&amp;G$485&amp;G$484&amp;B497&amp;G$486,reoffending_inputs,2,0)</f>
        <v>1005700</v>
      </c>
      <c r="H496" s="1046">
        <f>F496*(G496/SUM(G496:G503))</f>
        <v>1689.8791688477995</v>
      </c>
      <c r="I496" s="1046">
        <f>SUM(H496:H503)</f>
        <v>3883.9999999999995</v>
      </c>
      <c r="J496" s="1046">
        <f t="shared" si="29"/>
        <v>35263</v>
      </c>
      <c r="K496" s="1046">
        <f t="shared" si="40"/>
        <v>4.7922161156106952E-2</v>
      </c>
      <c r="L496" s="1046">
        <f t="shared" si="30"/>
        <v>345</v>
      </c>
      <c r="M496" s="1046">
        <f>VLOOKUP(M$484&amp;M$485&amp;M$484&amp;B496&amp;M$486,reoffending_inputs,2,0)+VLOOKUP(M$484&amp;M$485&amp;M$484&amp;B497&amp;M$486,reoffending_inputs,2,0)</f>
        <v>1005700</v>
      </c>
      <c r="N496" s="1046">
        <f>L496*(M496/SUM(M496:M503))</f>
        <v>150.1051269960069</v>
      </c>
      <c r="O496" s="1046">
        <f>SUM(N496:N503)</f>
        <v>345</v>
      </c>
      <c r="P496" s="1046">
        <f t="shared" si="32"/>
        <v>2503</v>
      </c>
      <c r="Q496" s="1046">
        <f t="shared" si="41"/>
        <v>5.9970086694369519E-2</v>
      </c>
      <c r="R496" s="1046">
        <f t="shared" si="33"/>
        <v>5.5150916479064491E-2</v>
      </c>
      <c r="S496" s="1046">
        <f t="shared" si="34"/>
        <v>3.5749189856488863</v>
      </c>
      <c r="T496" s="734">
        <f t="shared" si="35"/>
        <v>19.020036437502281</v>
      </c>
      <c r="U496" s="1046">
        <f t="shared" si="36"/>
        <v>3.749991494729946</v>
      </c>
      <c r="V496" s="734">
        <f>VLOOKUP(G$484&amp;G$485&amp;G$484&amp;B496&amp;G$486,reoffending_inputs,2,0)/
(VLOOKUP(G$484&amp;G$485&amp;G$484&amp;B496&amp;G$486,reoffending_inputs,2,0)+VLOOKUP(G$484&amp;G$485&amp;G$484&amp;B497&amp;G$486,reoffending_inputs,2,0))</f>
        <v>0.69106095257034905</v>
      </c>
      <c r="W496" s="734">
        <f t="shared" si="42"/>
        <v>2.5914726944787834</v>
      </c>
    </row>
    <row r="497" spans="1:23">
      <c r="A497" s="176" t="s">
        <v>628</v>
      </c>
      <c r="B497" s="176" t="s">
        <v>659</v>
      </c>
      <c r="C497" s="176" t="s">
        <v>293</v>
      </c>
      <c r="D497" s="176" t="s">
        <v>636</v>
      </c>
      <c r="E497" s="176" t="str">
        <f t="shared" si="37"/>
        <v>Violence_against_the_personCommercial_burglary</v>
      </c>
      <c r="F497" s="1046">
        <f t="shared" si="38"/>
        <v>3884</v>
      </c>
      <c r="G497" s="1046"/>
      <c r="H497" s="1046">
        <f>F497*(G497/SUM(G496:G503))</f>
        <v>0</v>
      </c>
      <c r="I497" s="1046"/>
      <c r="J497" s="1046">
        <f t="shared" si="29"/>
        <v>35263</v>
      </c>
      <c r="K497" s="1046">
        <f t="shared" si="40"/>
        <v>0</v>
      </c>
      <c r="L497" s="1046">
        <f t="shared" si="30"/>
        <v>345</v>
      </c>
      <c r="M497" s="1046"/>
      <c r="N497" s="1046">
        <f>L497*(M497/SUM(M496:M503))</f>
        <v>0</v>
      </c>
      <c r="O497" s="1046"/>
      <c r="P497" s="1046">
        <f t="shared" si="32"/>
        <v>2503</v>
      </c>
      <c r="Q497" s="1046">
        <f t="shared" si="41"/>
        <v>0</v>
      </c>
      <c r="R497" s="1046">
        <f t="shared" si="33"/>
        <v>0</v>
      </c>
      <c r="S497" s="1046"/>
      <c r="T497" s="734">
        <f t="shared" si="35"/>
        <v>19.020036437502281</v>
      </c>
      <c r="U497" s="1046">
        <f t="shared" si="36"/>
        <v>0</v>
      </c>
      <c r="V497" s="734">
        <f>VLOOKUP(G$484&amp;G$485&amp;G$484&amp;B497&amp;G$486,reoffending_inputs,2,0)/
(VLOOKUP(G$484&amp;G$485&amp;G$484&amp;B496&amp;G$486,reoffending_inputs,2,0)+VLOOKUP(G$484&amp;G$485&amp;G$484&amp;B497&amp;G$486,reoffending_inputs,2,0))</f>
        <v>0.308939047429651</v>
      </c>
      <c r="W497" s="734">
        <f>U496*V497</f>
        <v>1.1585188002511626</v>
      </c>
    </row>
    <row r="498" spans="1:23">
      <c r="A498" s="176" t="s">
        <v>628</v>
      </c>
      <c r="B498" s="176" t="s">
        <v>655</v>
      </c>
      <c r="C498" s="176" t="s">
        <v>293</v>
      </c>
      <c r="D498" s="176" t="s">
        <v>636</v>
      </c>
      <c r="E498" s="176" t="str">
        <f t="shared" si="37"/>
        <v>Violence_against_the_personTheft_from_person</v>
      </c>
      <c r="F498" s="1046">
        <f t="shared" si="38"/>
        <v>3884</v>
      </c>
      <c r="G498" s="1046">
        <f>VLOOKUP(G$484&amp;G$485&amp;G$484&amp;B499&amp;G$486,reoffending_inputs,2,0)+VLOOKUP(G$484&amp;G$485&amp;G$484&amp;B498&amp;G$486,reoffending_inputs,2,0)</f>
        <v>467640</v>
      </c>
      <c r="H498" s="1046">
        <f>F498*(G498/SUM(G496:G503))</f>
        <v>785.77617034899561</v>
      </c>
      <c r="I498" s="1046"/>
      <c r="J498" s="1046">
        <f t="shared" si="29"/>
        <v>35263</v>
      </c>
      <c r="K498" s="1046">
        <f t="shared" si="40"/>
        <v>2.228330460678319E-2</v>
      </c>
      <c r="L498" s="1046">
        <f t="shared" si="30"/>
        <v>345</v>
      </c>
      <c r="M498" s="1046">
        <f>VLOOKUP(M$484&amp;M$485&amp;M$484&amp;B498&amp;M$486,reoffending_inputs,2,0)+VLOOKUP(M$484&amp;M$485&amp;M$484&amp;B499&amp;M$486,reoffending_inputs,2,0)</f>
        <v>467640</v>
      </c>
      <c r="N498" s="1046">
        <f>L498*(M498/SUM(M496:M503))</f>
        <v>69.797316882184219</v>
      </c>
      <c r="O498" s="1046"/>
      <c r="P498" s="1046">
        <f t="shared" si="32"/>
        <v>2503</v>
      </c>
      <c r="Q498" s="1046">
        <f t="shared" si="41"/>
        <v>2.7885464195838681E-2</v>
      </c>
      <c r="R498" s="1046">
        <f t="shared" si="33"/>
        <v>2.5644600360216485E-2</v>
      </c>
      <c r="S498" s="1046">
        <f t="shared" si="34"/>
        <v>5.9058641975308639</v>
      </c>
      <c r="T498" s="734">
        <f t="shared" si="35"/>
        <v>19.020036437502281</v>
      </c>
      <c r="U498" s="1046">
        <f t="shared" si="36"/>
        <v>2.8806516045511907</v>
      </c>
      <c r="V498" s="734">
        <f>VLOOKUP(G$484&amp;G$485&amp;G$484&amp;B498&amp;G$486,reoffending_inputs,2,0)/
(VLOOKUP(G$484&amp;G$485&amp;G$484&amp;B499&amp;G$486,reoffending_inputs,2,0)+VLOOKUP(G$484&amp;G$485&amp;G$484&amp;B498&amp;G$486,reoffending_inputs,2,0))</f>
        <v>0.98203746471644859</v>
      </c>
      <c r="W498" s="734">
        <f t="shared" si="42"/>
        <v>2.828907798464821</v>
      </c>
    </row>
    <row r="499" spans="1:23">
      <c r="A499" s="176" t="s">
        <v>628</v>
      </c>
      <c r="B499" s="176" t="s">
        <v>660</v>
      </c>
      <c r="C499" s="176" t="s">
        <v>293</v>
      </c>
      <c r="D499" s="176" t="s">
        <v>636</v>
      </c>
      <c r="E499" s="176" t="str">
        <f>A499&amp;B499</f>
        <v>Violence_against_the_personCommercial_theft</v>
      </c>
      <c r="F499" s="1046">
        <f>(VLOOKUP(F$487&amp;A499&amp;C499&amp;D499,reoffending_inputs,2,0))</f>
        <v>3884</v>
      </c>
      <c r="G499" s="1046"/>
      <c r="H499" s="1046">
        <f>F499*(G499/SUM(G496:G503))</f>
        <v>0</v>
      </c>
      <c r="I499" s="1046"/>
      <c r="J499" s="1046">
        <f>(VLOOKUP(F$487&amp;A499&amp;$E$484&amp;$E$485,reoffending_inputs,2,0))</f>
        <v>35263</v>
      </c>
      <c r="K499" s="1046">
        <f>H499/J499</f>
        <v>0</v>
      </c>
      <c r="L499" s="1046">
        <f>(VLOOKUP(L$487&amp;A499&amp;C499&amp;D499,reoffending_inputs,2,0))</f>
        <v>345</v>
      </c>
      <c r="M499" s="1046"/>
      <c r="N499" s="1046">
        <f>L499*(M499/SUM(M496:M503))</f>
        <v>0</v>
      </c>
      <c r="O499" s="1046"/>
      <c r="P499" s="1046">
        <f>(VLOOKUP(L$487&amp;A499&amp;$E$484&amp;$E$485,reoffending_inputs,2,0))</f>
        <v>2503</v>
      </c>
      <c r="Q499" s="1046">
        <f>N499/P499</f>
        <v>0</v>
      </c>
      <c r="R499" s="1046">
        <f t="shared" si="33"/>
        <v>0</v>
      </c>
      <c r="S499" s="1046"/>
      <c r="T499" s="734">
        <f t="shared" si="35"/>
        <v>19.020036437502281</v>
      </c>
      <c r="U499" s="1046">
        <f>R499*S499*T499</f>
        <v>0</v>
      </c>
      <c r="V499" s="734">
        <f>VLOOKUP(G$484&amp;G$485&amp;G$484&amp;B499&amp;G$486,reoffending_inputs,2,0)/
(VLOOKUP(G$484&amp;G$485&amp;G$484&amp;B499&amp;G$486,reoffending_inputs,2,0)+VLOOKUP(G$484&amp;G$485&amp;G$484&amp;B498&amp;G$486,reoffending_inputs,2,0))</f>
        <v>1.7962535283551451E-2</v>
      </c>
      <c r="W499" s="734">
        <f>U498*V499</f>
        <v>5.1743806086369866E-2</v>
      </c>
    </row>
    <row r="500" spans="1:23">
      <c r="A500" s="176" t="s">
        <v>628</v>
      </c>
      <c r="B500" s="176" t="s">
        <v>653</v>
      </c>
      <c r="C500" s="176" t="s">
        <v>293</v>
      </c>
      <c r="D500" s="176" t="s">
        <v>636</v>
      </c>
      <c r="E500" s="176" t="str">
        <f t="shared" si="37"/>
        <v>Violence_against_the_personTheft_of_vehicle</v>
      </c>
      <c r="F500" s="1046">
        <f t="shared" si="38"/>
        <v>3884</v>
      </c>
      <c r="G500" s="1046">
        <f>VLOOKUP(G$484&amp;G$485&amp;G$484&amp;B500&amp;G$486,reoffending_inputs,2,0)+VLOOKUP(G$484&amp;G$485&amp;G$484&amp;B501&amp;G$486,reoffending_inputs,2,0)</f>
        <v>127890</v>
      </c>
      <c r="H500" s="1046">
        <f>F500*(G500/SUM(G496:G503))</f>
        <v>214.89375251461178</v>
      </c>
      <c r="I500" s="1046"/>
      <c r="J500" s="1046">
        <f t="shared" si="29"/>
        <v>35263</v>
      </c>
      <c r="K500" s="1046">
        <f t="shared" si="40"/>
        <v>6.0940292236795444E-3</v>
      </c>
      <c r="L500" s="1046">
        <f t="shared" si="30"/>
        <v>345</v>
      </c>
      <c r="M500" s="1046">
        <f>VLOOKUP(M$484&amp;M$485&amp;M$484&amp;B500&amp;M$486,reoffending_inputs,2,0)+VLOOKUP(M$484&amp;M$485&amp;M$484&amp;B501&amp;M$486,reoffending_inputs,2,0)</f>
        <v>127890</v>
      </c>
      <c r="N500" s="1046">
        <f>L500*(M500/SUM(M496:M503))</f>
        <v>19.088142280520355</v>
      </c>
      <c r="O500" s="1046"/>
      <c r="P500" s="1046">
        <f t="shared" si="32"/>
        <v>2503</v>
      </c>
      <c r="Q500" s="1046">
        <f t="shared" si="41"/>
        <v>7.6261055855055349E-3</v>
      </c>
      <c r="R500" s="1046">
        <f t="shared" si="33"/>
        <v>7.0132750407751378E-3</v>
      </c>
      <c r="S500" s="1046">
        <f t="shared" si="34"/>
        <v>0.83261907677237668</v>
      </c>
      <c r="T500" s="734">
        <f t="shared" si="35"/>
        <v>19.020036437502281</v>
      </c>
      <c r="U500" s="1046">
        <f t="shared" si="36"/>
        <v>0.1110653457068722</v>
      </c>
      <c r="V500" s="734">
        <f>VLOOKUP(G$484&amp;G$485&amp;G$484&amp;B500&amp;G$486,reoffending_inputs,2,0)/
(VLOOKUP(G$484&amp;G$485&amp;G$484&amp;B500&amp;G$486,reoffending_inputs,2,0)+VLOOKUP(G$484&amp;G$485&amp;G$484&amp;B501&amp;G$486,reoffending_inputs,2,0))</f>
        <v>0.53170693564782234</v>
      </c>
      <c r="W500" s="734">
        <f t="shared" si="42"/>
        <v>5.9054214622467037E-2</v>
      </c>
    </row>
    <row r="501" spans="1:23">
      <c r="A501" s="176" t="s">
        <v>628</v>
      </c>
      <c r="B501" s="176" t="s">
        <v>694</v>
      </c>
      <c r="C501" s="176" t="s">
        <v>293</v>
      </c>
      <c r="D501" s="176" t="s">
        <v>636</v>
      </c>
      <c r="E501" s="176" t="str">
        <f t="shared" si="37"/>
        <v>Violence_against_the_personTheft_of_commercial_vehicle</v>
      </c>
      <c r="F501" s="1046">
        <f t="shared" si="38"/>
        <v>3884</v>
      </c>
      <c r="G501" s="1046"/>
      <c r="H501" s="1046">
        <f>F501*(G501/SUM(G496:G503))</f>
        <v>0</v>
      </c>
      <c r="I501" s="1046"/>
      <c r="J501" s="1046">
        <f t="shared" si="29"/>
        <v>35263</v>
      </c>
      <c r="K501" s="1046">
        <f t="shared" si="40"/>
        <v>0</v>
      </c>
      <c r="L501" s="1046">
        <f t="shared" si="30"/>
        <v>345</v>
      </c>
      <c r="M501" s="1046"/>
      <c r="N501" s="1046">
        <f>L501*(M501/SUM(M496:M503))</f>
        <v>0</v>
      </c>
      <c r="O501" s="1046"/>
      <c r="P501" s="1046">
        <f t="shared" si="32"/>
        <v>2503</v>
      </c>
      <c r="Q501" s="1046">
        <f t="shared" si="41"/>
        <v>0</v>
      </c>
      <c r="R501" s="1046">
        <f t="shared" si="33"/>
        <v>0</v>
      </c>
      <c r="S501" s="1046"/>
      <c r="T501" s="734">
        <f t="shared" si="35"/>
        <v>19.020036437502281</v>
      </c>
      <c r="U501" s="1046">
        <f t="shared" si="36"/>
        <v>0</v>
      </c>
      <c r="V501" s="734">
        <f>VLOOKUP(G$484&amp;G$485&amp;G$484&amp;B501&amp;G$486,reoffending_inputs,2,0)/
(VLOOKUP(G$484&amp;G$485&amp;G$484&amp;B500&amp;G$486,reoffending_inputs,2,0)+VLOOKUP(G$484&amp;G$485&amp;G$484&amp;B501&amp;G$486,reoffending_inputs,2,0))</f>
        <v>0.46829306435217766</v>
      </c>
      <c r="W501" s="734">
        <f>U500*V501</f>
        <v>5.2011131084405159E-2</v>
      </c>
    </row>
    <row r="502" spans="1:23">
      <c r="A502" s="176" t="s">
        <v>628</v>
      </c>
      <c r="B502" s="176" t="s">
        <v>654</v>
      </c>
      <c r="C502" s="176" t="s">
        <v>293</v>
      </c>
      <c r="D502" s="176" t="s">
        <v>636</v>
      </c>
      <c r="E502" s="176" t="str">
        <f t="shared" si="37"/>
        <v>Violence_against_the_personTheft_from_vehicle</v>
      </c>
      <c r="F502" s="1046">
        <f t="shared" si="38"/>
        <v>3884</v>
      </c>
      <c r="G502" s="1046">
        <f>VLOOKUP(G$484&amp;G$485&amp;G$484&amp;B502&amp;G$486,reoffending_inputs,2,0)+VLOOKUP(G$484&amp;G$485&amp;G$484&amp;B503&amp;G$486,reoffending_inputs,2,0)</f>
        <v>710260</v>
      </c>
      <c r="H502" s="1046">
        <f>F502*(G502/SUM(G496:G503))</f>
        <v>1193.4509082885929</v>
      </c>
      <c r="I502" s="1046"/>
      <c r="J502" s="1046">
        <f t="shared" si="29"/>
        <v>35263</v>
      </c>
      <c r="K502" s="1046">
        <f t="shared" si="40"/>
        <v>3.3844281776609843E-2</v>
      </c>
      <c r="L502" s="1046">
        <f t="shared" si="30"/>
        <v>345</v>
      </c>
      <c r="M502" s="1046">
        <f>VLOOKUP(M$484&amp;M$485&amp;M$484&amp;B502&amp;M$486,reoffending_inputs,2,0)+VLOOKUP(M$484&amp;M$485&amp;M$484&amp;B503&amp;M$486,reoffending_inputs,2,0)</f>
        <v>710260</v>
      </c>
      <c r="N502" s="1046">
        <f>L502*(M502/SUM(M496:M503))</f>
        <v>106.00941384128851</v>
      </c>
      <c r="O502" s="1046"/>
      <c r="P502" s="1046">
        <f t="shared" si="32"/>
        <v>2503</v>
      </c>
      <c r="Q502" s="1046">
        <f t="shared" si="41"/>
        <v>4.235294200610807E-2</v>
      </c>
      <c r="R502" s="1046">
        <f t="shared" si="33"/>
        <v>3.8949477914308778E-2</v>
      </c>
      <c r="S502" s="1046">
        <f t="shared" si="34"/>
        <v>2.5635632953784326</v>
      </c>
      <c r="T502" s="734">
        <f t="shared" si="35"/>
        <v>19.020036437502281</v>
      </c>
      <c r="U502" s="1046">
        <f t="shared" si="36"/>
        <v>1.8991402144539618</v>
      </c>
      <c r="V502" s="734">
        <f>VLOOKUP(G$484&amp;G$485&amp;G$484&amp;B502&amp;G$486,reoffending_inputs,2,0)/
(VLOOKUP(G$484&amp;G$485&amp;G$484&amp;B502&amp;G$486,reoffending_inputs,2,0)+VLOOKUP(G$484&amp;G$485&amp;G$484&amp;B503&amp;G$486,reoffending_inputs,2,0))</f>
        <v>0.80830963309210713</v>
      </c>
      <c r="W502" s="734">
        <f t="shared" si="42"/>
        <v>1.5350933299357474</v>
      </c>
    </row>
    <row r="503" spans="1:23">
      <c r="A503" s="176" t="s">
        <v>628</v>
      </c>
      <c r="B503" s="176" t="s">
        <v>668</v>
      </c>
      <c r="C503" s="176" t="s">
        <v>293</v>
      </c>
      <c r="D503" s="176" t="s">
        <v>636</v>
      </c>
      <c r="E503" s="176" t="str">
        <f t="shared" si="37"/>
        <v>Violence_against_the_personTheft_from_commercial_vehicle</v>
      </c>
      <c r="F503" s="1046">
        <f t="shared" si="38"/>
        <v>3884</v>
      </c>
      <c r="G503" s="1046"/>
      <c r="H503" s="1046">
        <f>F503*(G503/SUM(G496:G503))</f>
        <v>0</v>
      </c>
      <c r="I503" s="1046"/>
      <c r="J503" s="1046">
        <f t="shared" si="29"/>
        <v>35263</v>
      </c>
      <c r="K503" s="1046">
        <f t="shared" si="40"/>
        <v>0</v>
      </c>
      <c r="L503" s="1046">
        <f t="shared" si="30"/>
        <v>345</v>
      </c>
      <c r="M503" s="1046"/>
      <c r="N503" s="1046">
        <f>L503*(M503/SUM(M496:M503))</f>
        <v>0</v>
      </c>
      <c r="O503" s="1046"/>
      <c r="P503" s="1046">
        <f t="shared" si="32"/>
        <v>2503</v>
      </c>
      <c r="Q503" s="1046">
        <f t="shared" si="41"/>
        <v>0</v>
      </c>
      <c r="R503" s="1046">
        <f t="shared" si="33"/>
        <v>0</v>
      </c>
      <c r="S503" s="1046"/>
      <c r="T503" s="734">
        <f t="shared" si="35"/>
        <v>19.020036437502281</v>
      </c>
      <c r="U503" s="1046">
        <f t="shared" si="36"/>
        <v>0</v>
      </c>
      <c r="V503" s="734">
        <f>VLOOKUP(G$484&amp;G$485&amp;G$484&amp;B503&amp;G$486,reoffending_inputs,2,0)/
(VLOOKUP(G$484&amp;G$485&amp;G$484&amp;B502&amp;G$486,reoffending_inputs,2,0)+VLOOKUP(G$484&amp;G$485&amp;G$484&amp;B503&amp;G$486,reoffending_inputs,2,0))</f>
        <v>0.19169036690789287</v>
      </c>
      <c r="W503" s="734">
        <f>U502*V503</f>
        <v>0.36404688451821426</v>
      </c>
    </row>
    <row r="504" spans="1:23">
      <c r="A504" s="114" t="s">
        <v>628</v>
      </c>
      <c r="B504" s="114" t="s">
        <v>656</v>
      </c>
      <c r="C504" s="114" t="s">
        <v>629</v>
      </c>
      <c r="D504" s="114" t="s">
        <v>636</v>
      </c>
      <c r="E504" s="114" t="str">
        <f t="shared" si="37"/>
        <v>Violence_against_the_personCriminal_damage_arson</v>
      </c>
      <c r="F504" s="734">
        <f t="shared" si="38"/>
        <v>173</v>
      </c>
      <c r="G504" s="734">
        <f>VLOOKUP(G$484&amp;G$485&amp;G$484&amp;B504&amp;G$486,reoffending_inputs,2,0)+VLOOKUP(G$484&amp;G$485&amp;G$484&amp;B505&amp;G$486,reoffending_inputs,2,0)</f>
        <v>125190</v>
      </c>
      <c r="H504" s="734">
        <f>F504*(G504/SUM(G504:G507))</f>
        <v>3.9773365018033835</v>
      </c>
      <c r="I504" s="734">
        <f>SUM(H504:H507)</f>
        <v>173</v>
      </c>
      <c r="J504" s="734">
        <f t="shared" si="29"/>
        <v>35263</v>
      </c>
      <c r="K504" s="734">
        <f t="shared" si="40"/>
        <v>1.1279064463611671E-4</v>
      </c>
      <c r="L504" s="734">
        <f t="shared" si="30"/>
        <v>23</v>
      </c>
      <c r="M504" s="734">
        <f>VLOOKUP(M$484&amp;M$485&amp;M$484&amp;B504&amp;M$486,reoffending_inputs,2,0)+VLOOKUP(M$484&amp;M$485&amp;M$484&amp;B505&amp;M$486,reoffending_inputs,2,0)</f>
        <v>125190</v>
      </c>
      <c r="N504" s="734">
        <f>L504*(M504/SUM(M504:M507))</f>
        <v>0.52877884128021868</v>
      </c>
      <c r="O504" s="734">
        <f>SUM(N504:N507)</f>
        <v>23</v>
      </c>
      <c r="P504" s="734">
        <f t="shared" si="32"/>
        <v>2503</v>
      </c>
      <c r="Q504" s="734">
        <f t="shared" si="41"/>
        <v>2.1125802687983167E-4</v>
      </c>
      <c r="R504" s="734">
        <f t="shared" si="33"/>
        <v>1.7187107398234568E-4</v>
      </c>
      <c r="S504" s="734">
        <f t="shared" si="34"/>
        <v>1.0338208409506398</v>
      </c>
      <c r="T504" s="734">
        <f t="shared" si="35"/>
        <v>14.657380316370807</v>
      </c>
      <c r="U504" s="734">
        <f t="shared" si="36"/>
        <v>2.6043804725919481E-3</v>
      </c>
      <c r="V504" s="734">
        <f>VLOOKUP(G$484&amp;G$485&amp;G$484&amp;B504&amp;G$486,reoffending_inputs,2,0)/
(VLOOKUP(G$484&amp;G$485&amp;G$484&amp;B504&amp;G$486,reoffending_inputs,2,0)+VLOOKUP(G$484&amp;G$485&amp;G$484&amp;B505&amp;G$486,reoffending_inputs,2,0))</f>
        <v>0.18068535825545171</v>
      </c>
      <c r="W504" s="734">
        <f t="shared" si="42"/>
        <v>4.7057341872377875E-4</v>
      </c>
    </row>
    <row r="505" spans="1:23">
      <c r="A505" s="114" t="s">
        <v>628</v>
      </c>
      <c r="B505" s="114" t="s">
        <v>669</v>
      </c>
      <c r="C505" s="114" t="s">
        <v>629</v>
      </c>
      <c r="D505" s="114" t="s">
        <v>636</v>
      </c>
      <c r="E505" s="114" t="str">
        <f>A505&amp;B505</f>
        <v>Violence_against_the_personCommercial_criminal_damage–arson</v>
      </c>
      <c r="F505" s="734">
        <f>(VLOOKUP(F$487&amp;A505&amp;C505&amp;D505,reoffending_inputs,2,0))</f>
        <v>173</v>
      </c>
      <c r="G505" s="734"/>
      <c r="H505" s="734">
        <f>F505*(G505/SUM(G504:G507))</f>
        <v>0</v>
      </c>
      <c r="I505" s="734"/>
      <c r="J505" s="734">
        <f>(VLOOKUP(F$487&amp;A505&amp;$E$484&amp;$E$485,reoffending_inputs,2,0))</f>
        <v>35263</v>
      </c>
      <c r="K505" s="734">
        <f>H505/J505</f>
        <v>0</v>
      </c>
      <c r="L505" s="734">
        <f>(VLOOKUP(L$487&amp;A505&amp;C505&amp;D505,reoffending_inputs,2,0))</f>
        <v>23</v>
      </c>
      <c r="M505" s="734"/>
      <c r="N505" s="734">
        <f>L505*(M505/SUM(M504:M507))</f>
        <v>0</v>
      </c>
      <c r="O505" s="734"/>
      <c r="P505" s="734">
        <f>(VLOOKUP(L$487&amp;A505&amp;$E$484&amp;$E$485,reoffending_inputs,2,0))</f>
        <v>2503</v>
      </c>
      <c r="Q505" s="734">
        <f>N505/P505</f>
        <v>0</v>
      </c>
      <c r="R505" s="734">
        <f t="shared" si="33"/>
        <v>0</v>
      </c>
      <c r="S505" s="734"/>
      <c r="T505" s="734">
        <f t="shared" si="35"/>
        <v>14.657380316370807</v>
      </c>
      <c r="U505" s="734">
        <f>R505*S505*T505</f>
        <v>0</v>
      </c>
      <c r="V505" s="734">
        <f>VLOOKUP(G$484&amp;G$485&amp;G$484&amp;B505&amp;G$486,reoffending_inputs,2,0)/
(VLOOKUP(G$484&amp;G$485&amp;G$484&amp;B504&amp;G$486,reoffending_inputs,2,0)+VLOOKUP(G$484&amp;G$485&amp;G$484&amp;B505&amp;G$486,reoffending_inputs,2,0))</f>
        <v>0.81931464174454827</v>
      </c>
      <c r="W505" s="734">
        <f>U504*V505</f>
        <v>2.1338070538681692E-3</v>
      </c>
    </row>
    <row r="506" spans="1:23">
      <c r="A506" s="114" t="s">
        <v>628</v>
      </c>
      <c r="B506" s="114" t="s">
        <v>657</v>
      </c>
      <c r="C506" s="114" t="s">
        <v>629</v>
      </c>
      <c r="D506" s="114" t="s">
        <v>636</v>
      </c>
      <c r="E506" s="114" t="str">
        <f t="shared" si="37"/>
        <v>Violence_against_the_personCriminal_damage_other</v>
      </c>
      <c r="F506" s="734">
        <f t="shared" si="38"/>
        <v>173</v>
      </c>
      <c r="G506" s="734">
        <f>VLOOKUP(G$484&amp;G$485&amp;G$484&amp;B506&amp;G$486,reoffending_inputs,2,0)+VLOOKUP(G$484&amp;G$485&amp;G$484&amp;B507&amp;G$486,reoffending_inputs,2,0)</f>
        <v>5320130</v>
      </c>
      <c r="H506" s="734">
        <f>F506*(G506/SUM(G504:G507))</f>
        <v>169.02266349819661</v>
      </c>
      <c r="I506" s="734"/>
      <c r="J506" s="734">
        <f t="shared" si="29"/>
        <v>35263</v>
      </c>
      <c r="K506" s="734">
        <f t="shared" si="40"/>
        <v>4.7932014717464938E-3</v>
      </c>
      <c r="L506" s="734">
        <f t="shared" si="30"/>
        <v>23</v>
      </c>
      <c r="M506" s="734">
        <f>VLOOKUP(M$484&amp;M$485&amp;M$484&amp;B506&amp;M$486,reoffending_inputs,2,0)+VLOOKUP(M$484&amp;M$485&amp;M$484&amp;B507&amp;M$486,reoffending_inputs,2,0)</f>
        <v>5320130</v>
      </c>
      <c r="N506" s="734">
        <f>L506*(M506/SUM(M504:M507))</f>
        <v>22.471221158719782</v>
      </c>
      <c r="O506" s="734"/>
      <c r="P506" s="734">
        <f t="shared" si="32"/>
        <v>2503</v>
      </c>
      <c r="Q506" s="734">
        <f t="shared" si="41"/>
        <v>8.977715205241623E-3</v>
      </c>
      <c r="R506" s="734">
        <f t="shared" si="33"/>
        <v>7.303909711843571E-3</v>
      </c>
      <c r="S506" s="734">
        <f t="shared" si="34"/>
        <v>1.9666868446232255</v>
      </c>
      <c r="T506" s="734">
        <f t="shared" si="35"/>
        <v>14.657380316370807</v>
      </c>
      <c r="U506" s="734">
        <f t="shared" si="36"/>
        <v>0.21054598564608556</v>
      </c>
      <c r="V506" s="734">
        <f>VLOOKUP(G$484&amp;G$485&amp;G$484&amp;B506&amp;G$486,reoffending_inputs,2,0)/(
VLOOKUP(G$484&amp;G$485&amp;G$484&amp;B506&amp;G$486,reoffending_inputs,2,0)+VLOOKUP(G$484&amp;G$485&amp;G$484&amp;B507&amp;G$486,reoffending_inputs,2,0))</f>
        <v>0.18931116344901347</v>
      </c>
      <c r="W506" s="734">
        <f t="shared" si="42"/>
        <v>3.985870550217975E-2</v>
      </c>
    </row>
    <row r="507" spans="1:23">
      <c r="A507" s="114" t="s">
        <v>628</v>
      </c>
      <c r="B507" s="114" t="s">
        <v>670</v>
      </c>
      <c r="C507" s="114" t="s">
        <v>629</v>
      </c>
      <c r="D507" s="114" t="s">
        <v>636</v>
      </c>
      <c r="E507" s="114" t="str">
        <f t="shared" si="37"/>
        <v>Violence_against_the_personCommercial_criminal_damage–other</v>
      </c>
      <c r="F507" s="734">
        <f t="shared" si="38"/>
        <v>173</v>
      </c>
      <c r="G507" s="734"/>
      <c r="H507" s="734">
        <f>F507*(G507/SUM(G504:G507))</f>
        <v>0</v>
      </c>
      <c r="I507" s="734"/>
      <c r="J507" s="734">
        <f t="shared" si="29"/>
        <v>35263</v>
      </c>
      <c r="K507" s="734">
        <f t="shared" si="40"/>
        <v>0</v>
      </c>
      <c r="L507" s="734">
        <f t="shared" si="30"/>
        <v>23</v>
      </c>
      <c r="M507" s="734"/>
      <c r="N507" s="734">
        <f>L507*(M507/SUM(M504:M507))</f>
        <v>0</v>
      </c>
      <c r="O507" s="734"/>
      <c r="P507" s="734">
        <f t="shared" si="32"/>
        <v>2503</v>
      </c>
      <c r="Q507" s="734">
        <f t="shared" si="41"/>
        <v>0</v>
      </c>
      <c r="R507" s="734">
        <f t="shared" si="33"/>
        <v>0</v>
      </c>
      <c r="S507" s="734"/>
      <c r="T507" s="734">
        <f t="shared" si="35"/>
        <v>14.657380316370807</v>
      </c>
      <c r="U507" s="734">
        <f t="shared" si="36"/>
        <v>0</v>
      </c>
      <c r="V507" s="734">
        <f>VLOOKUP(G$484&amp;G$485&amp;G$484&amp;B507&amp;G$486,reoffending_inputs,2,0)/(
VLOOKUP(G$484&amp;G$485&amp;G$484&amp;B506&amp;G$486,reoffending_inputs,2,0)+VLOOKUP(G$484&amp;G$485&amp;G$484&amp;B507&amp;G$486,reoffending_inputs,2,0))</f>
        <v>0.81068883655098656</v>
      </c>
      <c r="W507" s="734">
        <f>U506*V507</f>
        <v>0.17068728014390583</v>
      </c>
    </row>
    <row r="508" spans="1:23">
      <c r="A508" s="114" t="s">
        <v>617</v>
      </c>
      <c r="B508" s="114" t="s">
        <v>290</v>
      </c>
      <c r="C508" s="114" t="s">
        <v>628</v>
      </c>
      <c r="D508" s="114" t="s">
        <v>636</v>
      </c>
      <c r="E508" s="114" t="str">
        <f t="shared" si="37"/>
        <v>SexualHomicide</v>
      </c>
      <c r="F508" s="734">
        <f t="shared" si="38"/>
        <v>141</v>
      </c>
      <c r="G508" s="734">
        <f>VLOOKUP(G$484&amp;G$485&amp;G$484&amp;$B508&amp;G$486,reoffending_inputs,2,0)</f>
        <v>570</v>
      </c>
      <c r="H508" s="734">
        <f>F508*(G508/SUM(G508:G510))</f>
        <v>4.1038602941176471E-2</v>
      </c>
      <c r="I508" s="734">
        <f>SUM(H508:H510)</f>
        <v>141</v>
      </c>
      <c r="J508" s="734">
        <f t="shared" si="29"/>
        <v>5219</v>
      </c>
      <c r="K508" s="734">
        <f t="shared" si="40"/>
        <v>7.8633077105147487E-6</v>
      </c>
      <c r="L508" s="734">
        <f t="shared" si="30"/>
        <v>2</v>
      </c>
      <c r="M508" s="734">
        <f t="shared" si="31"/>
        <v>570</v>
      </c>
      <c r="N508" s="734">
        <f>L508*(M508/SUM(M508:M510))</f>
        <v>5.8210784313725489E-4</v>
      </c>
      <c r="O508" s="734">
        <f>SUM(N508:N510)</f>
        <v>2</v>
      </c>
      <c r="P508" s="734">
        <f t="shared" si="32"/>
        <v>289</v>
      </c>
      <c r="Q508" s="734">
        <f t="shared" si="41"/>
        <v>2.0142139900943076E-6</v>
      </c>
      <c r="R508" s="734">
        <f t="shared" si="33"/>
        <v>4.3538514782624848E-6</v>
      </c>
      <c r="S508" s="734">
        <f t="shared" si="34"/>
        <v>1</v>
      </c>
      <c r="T508" s="734">
        <f t="shared" si="35"/>
        <v>13.103611616017602</v>
      </c>
      <c r="U508" s="734">
        <f t="shared" si="36"/>
        <v>5.7051178804975701E-5</v>
      </c>
      <c r="V508" s="734">
        <v>1</v>
      </c>
      <c r="W508" s="734">
        <f>U508*V508</f>
        <v>5.7051178804975701E-5</v>
      </c>
    </row>
    <row r="509" spans="1:23">
      <c r="A509" s="114" t="s">
        <v>617</v>
      </c>
      <c r="B509" s="114" t="s">
        <v>649</v>
      </c>
      <c r="C509" s="114" t="s">
        <v>628</v>
      </c>
      <c r="D509" s="114" t="s">
        <v>636</v>
      </c>
      <c r="E509" s="114" t="str">
        <f t="shared" si="37"/>
        <v>SexualViolence_with_injury</v>
      </c>
      <c r="F509" s="734">
        <f t="shared" si="38"/>
        <v>141</v>
      </c>
      <c r="G509" s="734">
        <f t="shared" si="39"/>
        <v>1104930</v>
      </c>
      <c r="H509" s="734">
        <f>F509*(G509/SUM(G508:G510))</f>
        <v>79.552251838235293</v>
      </c>
      <c r="I509" s="734"/>
      <c r="J509" s="734">
        <f t="shared" si="29"/>
        <v>5219</v>
      </c>
      <c r="K509" s="734">
        <f t="shared" si="40"/>
        <v>1.5242815067682563E-2</v>
      </c>
      <c r="L509" s="734">
        <f t="shared" si="30"/>
        <v>2</v>
      </c>
      <c r="M509" s="734">
        <f t="shared" si="31"/>
        <v>1104930</v>
      </c>
      <c r="N509" s="734">
        <f>L509*(M509/SUM(M508:M510))</f>
        <v>1.1284007352941177</v>
      </c>
      <c r="O509" s="734"/>
      <c r="P509" s="734">
        <f t="shared" si="32"/>
        <v>289</v>
      </c>
      <c r="Q509" s="734">
        <f t="shared" si="41"/>
        <v>3.9045008141664972E-3</v>
      </c>
      <c r="R509" s="734">
        <f t="shared" si="33"/>
        <v>8.4398265155729239E-3</v>
      </c>
      <c r="S509" s="734">
        <f t="shared" si="34"/>
        <v>2.576795708955224</v>
      </c>
      <c r="T509" s="734">
        <f t="shared" si="35"/>
        <v>13.103611616017602</v>
      </c>
      <c r="U509" s="734">
        <f t="shared" si="36"/>
        <v>0.28497352899374467</v>
      </c>
      <c r="V509" s="734">
        <v>1</v>
      </c>
      <c r="W509" s="734">
        <f t="shared" si="42"/>
        <v>0.28497352899374467</v>
      </c>
    </row>
    <row r="510" spans="1:23">
      <c r="A510" s="114" t="s">
        <v>617</v>
      </c>
      <c r="B510" s="114" t="s">
        <v>650</v>
      </c>
      <c r="C510" s="114" t="s">
        <v>628</v>
      </c>
      <c r="D510" s="114" t="s">
        <v>636</v>
      </c>
      <c r="E510" s="114" t="str">
        <f t="shared" si="37"/>
        <v>SexualViolence_without_injury</v>
      </c>
      <c r="F510" s="734">
        <f t="shared" si="38"/>
        <v>141</v>
      </c>
      <c r="G510" s="734">
        <f t="shared" si="39"/>
        <v>852900</v>
      </c>
      <c r="H510" s="734">
        <f>F510*(G510/SUM(G508:G510))</f>
        <v>61.406709558823529</v>
      </c>
      <c r="I510" s="734"/>
      <c r="J510" s="734">
        <f t="shared" si="29"/>
        <v>5219</v>
      </c>
      <c r="K510" s="734">
        <f t="shared" si="40"/>
        <v>1.1765991484733384E-2</v>
      </c>
      <c r="L510" s="734">
        <f t="shared" si="30"/>
        <v>2</v>
      </c>
      <c r="M510" s="734">
        <f t="shared" si="31"/>
        <v>852900</v>
      </c>
      <c r="N510" s="734">
        <f>L510*(M510/SUM(M508:M510))</f>
        <v>0.87101715686274506</v>
      </c>
      <c r="O510" s="734"/>
      <c r="P510" s="734">
        <f t="shared" si="32"/>
        <v>289</v>
      </c>
      <c r="Q510" s="734">
        <f t="shared" si="41"/>
        <v>3.0139001967569032E-3</v>
      </c>
      <c r="R510" s="734">
        <f t="shared" si="33"/>
        <v>6.5147367119474959E-3</v>
      </c>
      <c r="S510" s="734">
        <f t="shared" si="34"/>
        <v>1.5379205885534999</v>
      </c>
      <c r="T510" s="734">
        <f t="shared" si="35"/>
        <v>13.103611616017602</v>
      </c>
      <c r="U510" s="734">
        <f t="shared" si="36"/>
        <v>0.13128702042423512</v>
      </c>
      <c r="V510" s="734">
        <v>1</v>
      </c>
      <c r="W510" s="734">
        <f t="shared" si="42"/>
        <v>0.13128702042423512</v>
      </c>
    </row>
    <row r="511" spans="1:23">
      <c r="A511" s="176" t="s">
        <v>617</v>
      </c>
      <c r="B511" s="176" t="s">
        <v>544</v>
      </c>
      <c r="C511" s="176" t="s">
        <v>617</v>
      </c>
      <c r="D511" s="176" t="s">
        <v>636</v>
      </c>
      <c r="E511" s="176" t="str">
        <f t="shared" si="37"/>
        <v>SexualRape</v>
      </c>
      <c r="F511" s="1046">
        <f t="shared" si="38"/>
        <v>180</v>
      </c>
      <c r="G511" s="1046">
        <f t="shared" si="39"/>
        <v>121750</v>
      </c>
      <c r="H511" s="1046">
        <f>F511*(G511/SUM(G511:G512))</f>
        <v>17.405704210250423</v>
      </c>
      <c r="I511" s="1046">
        <f>SUM(H511:H512)</f>
        <v>180</v>
      </c>
      <c r="J511" s="1046">
        <f t="shared" si="29"/>
        <v>5219</v>
      </c>
      <c r="K511" s="1046">
        <f t="shared" si="40"/>
        <v>3.3350649952577933E-3</v>
      </c>
      <c r="L511" s="1046">
        <f t="shared" si="30"/>
        <v>4</v>
      </c>
      <c r="M511" s="1046">
        <f t="shared" si="31"/>
        <v>121750</v>
      </c>
      <c r="N511" s="1046">
        <f>L511*(M511/SUM(M511:M512))</f>
        <v>0.38679342689445384</v>
      </c>
      <c r="O511" s="1046">
        <f>SUM(N511:N512)</f>
        <v>4</v>
      </c>
      <c r="P511" s="1046">
        <f t="shared" si="32"/>
        <v>289</v>
      </c>
      <c r="Q511" s="1046">
        <f t="shared" si="41"/>
        <v>1.3383855601884216E-3</v>
      </c>
      <c r="R511" s="1046">
        <f t="shared" si="33"/>
        <v>2.1370573342161703E-3</v>
      </c>
      <c r="S511" s="1046">
        <f t="shared" si="34"/>
        <v>3.4113196973942279</v>
      </c>
      <c r="T511" s="734">
        <f t="shared" si="35"/>
        <v>32.262050536796515</v>
      </c>
      <c r="U511" s="1046">
        <f t="shared" si="36"/>
        <v>0.23519634201416489</v>
      </c>
      <c r="V511" s="734">
        <v>1</v>
      </c>
      <c r="W511" s="734">
        <f t="shared" si="42"/>
        <v>0.23519634201416489</v>
      </c>
    </row>
    <row r="512" spans="1:23">
      <c r="A512" s="176" t="s">
        <v>617</v>
      </c>
      <c r="B512" s="176" t="s">
        <v>651</v>
      </c>
      <c r="C512" s="176" t="s">
        <v>617</v>
      </c>
      <c r="D512" s="176" t="s">
        <v>636</v>
      </c>
      <c r="E512" s="176" t="str">
        <f t="shared" si="37"/>
        <v>SexualOther_sexual_offences</v>
      </c>
      <c r="F512" s="1046">
        <f t="shared" si="38"/>
        <v>180</v>
      </c>
      <c r="G512" s="1046">
        <f t="shared" si="39"/>
        <v>1137320</v>
      </c>
      <c r="H512" s="1046">
        <f>F512*(G512/SUM(G511:G512))</f>
        <v>162.59429578974957</v>
      </c>
      <c r="I512" s="1046"/>
      <c r="J512" s="1046">
        <f t="shared" si="29"/>
        <v>5219</v>
      </c>
      <c r="K512" s="1046">
        <f t="shared" si="40"/>
        <v>3.1154300783627048E-2</v>
      </c>
      <c r="L512" s="1046">
        <f t="shared" si="30"/>
        <v>4</v>
      </c>
      <c r="M512" s="1046">
        <f t="shared" si="31"/>
        <v>1137320</v>
      </c>
      <c r="N512" s="1046">
        <f>L512*(M512/SUM(M511:M512))</f>
        <v>3.613206573105546</v>
      </c>
      <c r="O512" s="1046"/>
      <c r="P512" s="1046">
        <f t="shared" si="32"/>
        <v>289</v>
      </c>
      <c r="Q512" s="1046">
        <f t="shared" si="41"/>
        <v>1.2502444889638567E-2</v>
      </c>
      <c r="R512" s="1046">
        <f t="shared" si="33"/>
        <v>1.9963187247233959E-2</v>
      </c>
      <c r="S512" s="1046">
        <f t="shared" si="34"/>
        <v>16.487677587706582</v>
      </c>
      <c r="T512" s="734">
        <f t="shared" si="35"/>
        <v>32.262050536796515</v>
      </c>
      <c r="U512" s="1046">
        <f t="shared" si="36"/>
        <v>10.618944080465905</v>
      </c>
      <c r="V512" s="734">
        <v>1</v>
      </c>
      <c r="W512" s="734">
        <f t="shared" si="42"/>
        <v>10.618944080465905</v>
      </c>
    </row>
    <row r="513" spans="1:23">
      <c r="A513" s="114" t="s">
        <v>617</v>
      </c>
      <c r="B513" s="114" t="s">
        <v>292</v>
      </c>
      <c r="C513" s="114" t="s">
        <v>292</v>
      </c>
      <c r="D513" s="114" t="s">
        <v>636</v>
      </c>
      <c r="E513" s="114" t="str">
        <f t="shared" si="37"/>
        <v>SexualRobbery</v>
      </c>
      <c r="F513" s="734">
        <f t="shared" si="38"/>
        <v>5</v>
      </c>
      <c r="G513" s="734">
        <f>VLOOKUP(G$484&amp;G$485&amp;G$484&amp;B513&amp;G$486,reoffending_inputs,2,0)+VLOOKUP(G$484&amp;G$485&amp;G$484&amp;B514&amp;G$486,reoffending_inputs,2,0)</f>
        <v>296040</v>
      </c>
      <c r="H513" s="734">
        <f>F513*(G513/SUM(G513:G514))</f>
        <v>5</v>
      </c>
      <c r="I513" s="734">
        <f>SUM(H513:H514)</f>
        <v>5</v>
      </c>
      <c r="J513" s="734">
        <f t="shared" si="29"/>
        <v>5219</v>
      </c>
      <c r="K513" s="734">
        <f t="shared" si="40"/>
        <v>9.5803793830235673E-4</v>
      </c>
      <c r="L513" s="734">
        <f t="shared" si="30"/>
        <v>0</v>
      </c>
      <c r="M513" s="734">
        <f>VLOOKUP(M$484&amp;M$485&amp;M$484&amp;B513&amp;M$486,reoffending_inputs,2,0)+VLOOKUP(M$484&amp;M$485&amp;M$484&amp;B514&amp;M$486,reoffending_inputs,2,0)</f>
        <v>296040</v>
      </c>
      <c r="N513" s="734">
        <f>L513*(M513/SUM(M513:M514))</f>
        <v>0</v>
      </c>
      <c r="O513" s="734">
        <f>SUM(N513:N514)</f>
        <v>0</v>
      </c>
      <c r="P513" s="734">
        <f t="shared" si="32"/>
        <v>289</v>
      </c>
      <c r="Q513" s="734">
        <f t="shared" si="41"/>
        <v>0</v>
      </c>
      <c r="R513" s="734">
        <f t="shared" si="33"/>
        <v>3.8321517532094272E-4</v>
      </c>
      <c r="S513" s="734">
        <f t="shared" si="34"/>
        <v>4.2680344142951689</v>
      </c>
      <c r="T513" s="734">
        <f t="shared" si="35"/>
        <v>15.814818207757394</v>
      </c>
      <c r="U513" s="734">
        <f t="shared" si="36"/>
        <v>2.5866330088725967E-2</v>
      </c>
      <c r="V513" s="734">
        <f>VLOOKUP(G$484&amp;G$485&amp;G$484&amp;B513&amp;G$486,reoffending_inputs,2,0)/
(VLOOKUP(G$484&amp;G$485&amp;G$484&amp;B513&amp;G$486,reoffending_inputs,2,0)+VLOOKUP(G$484&amp;G$485&amp;G$484&amp;B514&amp;G$486,reoffending_inputs,2,0))</f>
        <v>0.65352655046615327</v>
      </c>
      <c r="W513" s="734">
        <f t="shared" si="42"/>
        <v>1.6904333476103948E-2</v>
      </c>
    </row>
    <row r="514" spans="1:23">
      <c r="A514" s="114" t="s">
        <v>617</v>
      </c>
      <c r="B514" s="114" t="s">
        <v>658</v>
      </c>
      <c r="C514" s="114" t="s">
        <v>292</v>
      </c>
      <c r="D514" s="114" t="s">
        <v>636</v>
      </c>
      <c r="E514" s="114" t="str">
        <f t="shared" si="37"/>
        <v>SexualCommercial_robbery</v>
      </c>
      <c r="F514" s="734">
        <f t="shared" si="38"/>
        <v>5</v>
      </c>
      <c r="G514" s="734"/>
      <c r="H514" s="734">
        <f>F514*(G514/SUM(G513:G514))</f>
        <v>0</v>
      </c>
      <c r="I514" s="734"/>
      <c r="J514" s="734">
        <f t="shared" si="29"/>
        <v>5219</v>
      </c>
      <c r="K514" s="734">
        <f t="shared" si="40"/>
        <v>0</v>
      </c>
      <c r="L514" s="734">
        <f t="shared" si="30"/>
        <v>0</v>
      </c>
      <c r="M514" s="734"/>
      <c r="N514" s="734">
        <f>L514*(M514/SUM(M513:M514))</f>
        <v>0</v>
      </c>
      <c r="O514" s="734"/>
      <c r="P514" s="734">
        <f t="shared" si="32"/>
        <v>289</v>
      </c>
      <c r="Q514" s="734">
        <f t="shared" si="41"/>
        <v>0</v>
      </c>
      <c r="R514" s="734">
        <f t="shared" si="33"/>
        <v>0</v>
      </c>
      <c r="S514" s="734"/>
      <c r="T514" s="734">
        <f t="shared" si="35"/>
        <v>15.814818207757394</v>
      </c>
      <c r="U514" s="734">
        <f>R514*S514*T514</f>
        <v>0</v>
      </c>
      <c r="V514" s="734">
        <f>VLOOKUP(G$484&amp;G$485&amp;G$484&amp;B514&amp;G$486,reoffending_inputs,2,0)/
(VLOOKUP(G$484&amp;G$485&amp;G$484&amp;B513&amp;G$486,reoffending_inputs,2,0)+VLOOKUP(G$484&amp;G$485&amp;G$484&amp;B514&amp;G$486,reoffending_inputs,2,0))</f>
        <v>0.34647344953384679</v>
      </c>
      <c r="W514" s="734">
        <f>U513*V514</f>
        <v>8.9619966126220189E-3</v>
      </c>
    </row>
    <row r="515" spans="1:23">
      <c r="A515" s="176" t="s">
        <v>617</v>
      </c>
      <c r="B515" s="176" t="s">
        <v>652</v>
      </c>
      <c r="C515" s="176" t="s">
        <v>293</v>
      </c>
      <c r="D515" s="176" t="s">
        <v>636</v>
      </c>
      <c r="E515" s="176" t="str">
        <f t="shared" si="37"/>
        <v>SexualDomestic_Burglary</v>
      </c>
      <c r="F515" s="1046">
        <f t="shared" si="38"/>
        <v>80</v>
      </c>
      <c r="G515" s="1046">
        <f>VLOOKUP(G$484&amp;G$485&amp;G$484&amp;B515&amp;G$486,reoffending_inputs,2,0)+VLOOKUP(G$484&amp;G$485&amp;G$484&amp;B516&amp;G$486,reoffending_inputs,2,0)</f>
        <v>1005700</v>
      </c>
      <c r="H515" s="1046">
        <f>F515*(G515/SUM(G515:G522))</f>
        <v>34.806985970088562</v>
      </c>
      <c r="I515" s="1046">
        <f>SUM(H515:H522)</f>
        <v>80</v>
      </c>
      <c r="J515" s="1046">
        <f t="shared" si="29"/>
        <v>5219</v>
      </c>
      <c r="K515" s="1046">
        <f t="shared" si="40"/>
        <v>6.6692826154605405E-3</v>
      </c>
      <c r="L515" s="1046">
        <f t="shared" si="30"/>
        <v>8</v>
      </c>
      <c r="M515" s="1046">
        <f>VLOOKUP(M$484&amp;M$485&amp;M$484&amp;B515&amp;M$486,reoffending_inputs,2,0)+VLOOKUP(M$484&amp;M$485&amp;M$484&amp;B516&amp;M$486,reoffending_inputs,2,0)</f>
        <v>1005700</v>
      </c>
      <c r="N515" s="1046">
        <f>L515*(M515/SUM(M515:M522))</f>
        <v>3.480698597008856</v>
      </c>
      <c r="O515" s="1046">
        <f>SUM(N515:N522)</f>
        <v>8</v>
      </c>
      <c r="P515" s="1046">
        <f t="shared" si="32"/>
        <v>289</v>
      </c>
      <c r="Q515" s="1046">
        <f t="shared" si="41"/>
        <v>1.2043939782037563E-2</v>
      </c>
      <c r="R515" s="1046">
        <f t="shared" si="33"/>
        <v>9.8940769154067538E-3</v>
      </c>
      <c r="S515" s="1046">
        <f t="shared" si="34"/>
        <v>3.5749189856488863</v>
      </c>
      <c r="T515" s="734">
        <f t="shared" si="35"/>
        <v>19.020036437502281</v>
      </c>
      <c r="U515" s="1046">
        <f t="shared" si="36"/>
        <v>0.67274864407853618</v>
      </c>
      <c r="V515" s="734">
        <f>VLOOKUP(G$484&amp;G$485&amp;G$484&amp;B515&amp;G$486,reoffending_inputs,2,0)/
(VLOOKUP(G$484&amp;G$485&amp;G$484&amp;B515&amp;G$486,reoffending_inputs,2,0)+VLOOKUP(G$484&amp;G$485&amp;G$484&amp;B516&amp;G$486,reoffending_inputs,2,0))</f>
        <v>0.69106095257034905</v>
      </c>
      <c r="W515" s="734">
        <f t="shared" si="42"/>
        <v>0.46491031881732392</v>
      </c>
    </row>
    <row r="516" spans="1:23">
      <c r="A516" s="176" t="s">
        <v>617</v>
      </c>
      <c r="B516" s="176" t="s">
        <v>659</v>
      </c>
      <c r="C516" s="176" t="s">
        <v>293</v>
      </c>
      <c r="D516" s="176" t="s">
        <v>636</v>
      </c>
      <c r="E516" s="176" t="str">
        <f t="shared" si="37"/>
        <v>SexualCommercial_burglary</v>
      </c>
      <c r="F516" s="1046">
        <f t="shared" si="38"/>
        <v>80</v>
      </c>
      <c r="G516" s="1046"/>
      <c r="H516" s="1046">
        <f>F516*(G516/SUM(G515:G522))</f>
        <v>0</v>
      </c>
      <c r="I516" s="1046"/>
      <c r="J516" s="1046">
        <f t="shared" si="29"/>
        <v>5219</v>
      </c>
      <c r="K516" s="1046">
        <f t="shared" si="40"/>
        <v>0</v>
      </c>
      <c r="L516" s="1046">
        <f t="shared" si="30"/>
        <v>8</v>
      </c>
      <c r="M516" s="1046"/>
      <c r="N516" s="1046">
        <f>L516*(M516/SUM(M515:M522))</f>
        <v>0</v>
      </c>
      <c r="O516" s="1046"/>
      <c r="P516" s="1046">
        <f t="shared" si="32"/>
        <v>289</v>
      </c>
      <c r="Q516" s="1046">
        <f t="shared" si="41"/>
        <v>0</v>
      </c>
      <c r="R516" s="1046">
        <f t="shared" si="33"/>
        <v>0</v>
      </c>
      <c r="S516" s="1046"/>
      <c r="T516" s="734">
        <f t="shared" si="35"/>
        <v>19.020036437502281</v>
      </c>
      <c r="U516" s="1046">
        <f t="shared" si="36"/>
        <v>0</v>
      </c>
      <c r="V516" s="734">
        <f>VLOOKUP(G$484&amp;G$485&amp;G$484&amp;B516&amp;G$486,reoffending_inputs,2,0)/
(VLOOKUP(G$484&amp;G$485&amp;G$484&amp;B515&amp;G$486,reoffending_inputs,2,0)+VLOOKUP(G$484&amp;G$485&amp;G$484&amp;B516&amp;G$486,reoffending_inputs,2,0))</f>
        <v>0.308939047429651</v>
      </c>
      <c r="W516" s="734">
        <f>U515*V516</f>
        <v>0.20783832526121229</v>
      </c>
    </row>
    <row r="517" spans="1:23">
      <c r="A517" s="176" t="s">
        <v>617</v>
      </c>
      <c r="B517" s="176" t="s">
        <v>655</v>
      </c>
      <c r="C517" s="176" t="s">
        <v>293</v>
      </c>
      <c r="D517" s="176" t="s">
        <v>636</v>
      </c>
      <c r="E517" s="176" t="str">
        <f t="shared" si="37"/>
        <v>SexualTheft_from_person</v>
      </c>
      <c r="F517" s="1046">
        <f t="shared" si="38"/>
        <v>80</v>
      </c>
      <c r="G517" s="1046">
        <f>VLOOKUP(G$484&amp;G$485&amp;G$484&amp;B518&amp;G$486,reoffending_inputs,2,0)+VLOOKUP(G$484&amp;G$485&amp;G$484&amp;B517&amp;G$486,reoffending_inputs,2,0)</f>
        <v>467640</v>
      </c>
      <c r="H517" s="1046">
        <f>F517*(G517/SUM(G515:G522))</f>
        <v>16.184885074129674</v>
      </c>
      <c r="I517" s="1046"/>
      <c r="J517" s="1046">
        <f t="shared" si="29"/>
        <v>5219</v>
      </c>
      <c r="K517" s="1046">
        <f t="shared" si="40"/>
        <v>3.1011467856159559E-3</v>
      </c>
      <c r="L517" s="1046">
        <f t="shared" si="30"/>
        <v>8</v>
      </c>
      <c r="M517" s="1046">
        <f>VLOOKUP(M$484&amp;M$485&amp;M$484&amp;B517&amp;M$486,reoffending_inputs,2,0)+VLOOKUP(M$484&amp;M$485&amp;M$484&amp;B518&amp;M$486,reoffending_inputs,2,0)</f>
        <v>467640</v>
      </c>
      <c r="N517" s="1046">
        <f>L517*(M517/SUM(M515:M522))</f>
        <v>1.6184885074129673</v>
      </c>
      <c r="O517" s="1046"/>
      <c r="P517" s="1046">
        <f t="shared" si="32"/>
        <v>289</v>
      </c>
      <c r="Q517" s="1046">
        <f t="shared" si="41"/>
        <v>5.6003062540241084E-3</v>
      </c>
      <c r="R517" s="1046">
        <f t="shared" si="33"/>
        <v>4.6006424666608474E-3</v>
      </c>
      <c r="S517" s="1046">
        <f t="shared" si="34"/>
        <v>5.9058641975308639</v>
      </c>
      <c r="T517" s="734">
        <f t="shared" si="35"/>
        <v>19.020036437502281</v>
      </c>
      <c r="U517" s="1046">
        <f t="shared" si="36"/>
        <v>0.5167890283879254</v>
      </c>
      <c r="V517" s="734">
        <f>VLOOKUP(G$484&amp;G$485&amp;G$484&amp;B517&amp;G$486,reoffending_inputs,2,0)/
(VLOOKUP(G$484&amp;G$485&amp;G$484&amp;B518&amp;G$486,reoffending_inputs,2,0)+VLOOKUP(G$484&amp;G$485&amp;G$484&amp;B517&amp;G$486,reoffending_inputs,2,0))</f>
        <v>0.98203746471644859</v>
      </c>
      <c r="W517" s="734">
        <f t="shared" si="42"/>
        <v>0.50750618723135499</v>
      </c>
    </row>
    <row r="518" spans="1:23">
      <c r="A518" s="176" t="s">
        <v>617</v>
      </c>
      <c r="B518" s="176" t="s">
        <v>660</v>
      </c>
      <c r="C518" s="176" t="s">
        <v>293</v>
      </c>
      <c r="D518" s="176" t="s">
        <v>636</v>
      </c>
      <c r="E518" s="176" t="str">
        <f t="shared" si="37"/>
        <v>SexualCommercial_theft</v>
      </c>
      <c r="F518" s="1046">
        <f t="shared" si="38"/>
        <v>80</v>
      </c>
      <c r="G518" s="1046"/>
      <c r="H518" s="1046">
        <f>F518*(G518/SUM(G515:G522))</f>
        <v>0</v>
      </c>
      <c r="I518" s="1046"/>
      <c r="J518" s="1046">
        <f t="shared" si="29"/>
        <v>5219</v>
      </c>
      <c r="K518" s="1046">
        <f t="shared" si="40"/>
        <v>0</v>
      </c>
      <c r="L518" s="1046">
        <f t="shared" si="30"/>
        <v>8</v>
      </c>
      <c r="M518" s="1046"/>
      <c r="N518" s="1046">
        <f>L518*(M518/SUM(M515:M522))</f>
        <v>0</v>
      </c>
      <c r="O518" s="1046"/>
      <c r="P518" s="1046">
        <f t="shared" si="32"/>
        <v>289</v>
      </c>
      <c r="Q518" s="1046">
        <f t="shared" si="41"/>
        <v>0</v>
      </c>
      <c r="R518" s="1046">
        <f t="shared" si="33"/>
        <v>0</v>
      </c>
      <c r="S518" s="1046"/>
      <c r="T518" s="734">
        <f t="shared" si="35"/>
        <v>19.020036437502281</v>
      </c>
      <c r="U518" s="1046">
        <f t="shared" si="36"/>
        <v>0</v>
      </c>
      <c r="V518" s="734">
        <f>VLOOKUP(G$484&amp;G$485&amp;G$484&amp;B518&amp;G$486,reoffending_inputs,2,0)/
(VLOOKUP(G$484&amp;G$485&amp;G$484&amp;B518&amp;G$486,reoffending_inputs,2,0)+VLOOKUP(G$484&amp;G$485&amp;G$484&amp;B517&amp;G$486,reoffending_inputs,2,0))</f>
        <v>1.7962535283551451E-2</v>
      </c>
      <c r="W518" s="734">
        <f>U517*V518</f>
        <v>9.2828411565703834E-3</v>
      </c>
    </row>
    <row r="519" spans="1:23">
      <c r="A519" s="176" t="s">
        <v>617</v>
      </c>
      <c r="B519" s="176" t="s">
        <v>653</v>
      </c>
      <c r="C519" s="176" t="s">
        <v>293</v>
      </c>
      <c r="D519" s="176" t="s">
        <v>636</v>
      </c>
      <c r="E519" s="176" t="str">
        <f t="shared" si="37"/>
        <v>SexualTheft_of_vehicle</v>
      </c>
      <c r="F519" s="1046">
        <f t="shared" si="38"/>
        <v>80</v>
      </c>
      <c r="G519" s="1046">
        <f>VLOOKUP(G$484&amp;G$485&amp;G$484&amp;B519&amp;G$486,reoffending_inputs,2,0)+VLOOKUP(G$484&amp;G$485&amp;G$484&amp;B520&amp;G$486,reoffending_inputs,2,0)</f>
        <v>127890</v>
      </c>
      <c r="H519" s="1046">
        <f>F519*(G519/SUM(G515:G522))</f>
        <v>4.4262358911351551</v>
      </c>
      <c r="I519" s="1046"/>
      <c r="J519" s="1046">
        <f t="shared" si="29"/>
        <v>5219</v>
      </c>
      <c r="K519" s="1046">
        <f t="shared" si="40"/>
        <v>8.4810038151660375E-4</v>
      </c>
      <c r="L519" s="1046">
        <f t="shared" si="30"/>
        <v>8</v>
      </c>
      <c r="M519" s="1046">
        <f>VLOOKUP(M$484&amp;M$485&amp;M$484&amp;B519&amp;M$486,reoffending_inputs,2,0)+VLOOKUP(M$484&amp;M$485&amp;M$484&amp;B520&amp;M$486,reoffending_inputs,2,0)</f>
        <v>127890</v>
      </c>
      <c r="N519" s="1046">
        <f>L519*(M519/SUM(M515:M522))</f>
        <v>0.44262358911351551</v>
      </c>
      <c r="O519" s="1046"/>
      <c r="P519" s="1046">
        <f t="shared" si="32"/>
        <v>289</v>
      </c>
      <c r="Q519" s="1046">
        <f t="shared" si="41"/>
        <v>1.5315695125035138E-3</v>
      </c>
      <c r="R519" s="1046">
        <f t="shared" si="33"/>
        <v>1.2581818601087498E-3</v>
      </c>
      <c r="S519" s="1046">
        <f t="shared" si="34"/>
        <v>0.83261907677237668</v>
      </c>
      <c r="T519" s="734">
        <f t="shared" si="35"/>
        <v>19.020036437502281</v>
      </c>
      <c r="U519" s="1046">
        <f t="shared" si="36"/>
        <v>1.9925128052535226E-2</v>
      </c>
      <c r="V519" s="734">
        <f>VLOOKUP(G$484&amp;G$485&amp;G$484&amp;B519&amp;G$486,reoffending_inputs,2,0)/
(VLOOKUP(G$484&amp;G$485&amp;G$484&amp;B519&amp;G$486,reoffending_inputs,2,0)+VLOOKUP(G$484&amp;G$485&amp;G$484&amp;B520&amp;G$486,reoffending_inputs,2,0))</f>
        <v>0.53170693564782234</v>
      </c>
      <c r="W519" s="734">
        <f t="shared" si="42"/>
        <v>1.0594328779203967E-2</v>
      </c>
    </row>
    <row r="520" spans="1:23">
      <c r="A520" s="176" t="s">
        <v>617</v>
      </c>
      <c r="B520" s="176" t="s">
        <v>694</v>
      </c>
      <c r="C520" s="176" t="s">
        <v>293</v>
      </c>
      <c r="D520" s="176" t="s">
        <v>636</v>
      </c>
      <c r="E520" s="176" t="str">
        <f t="shared" si="37"/>
        <v>SexualTheft_of_commercial_vehicle</v>
      </c>
      <c r="F520" s="1046">
        <f t="shared" si="38"/>
        <v>80</v>
      </c>
      <c r="G520" s="1046"/>
      <c r="H520" s="1046">
        <f>F520*(G520/SUM(G515:G522))</f>
        <v>0</v>
      </c>
      <c r="I520" s="1046"/>
      <c r="J520" s="1046">
        <f t="shared" si="29"/>
        <v>5219</v>
      </c>
      <c r="K520" s="1046">
        <f t="shared" si="40"/>
        <v>0</v>
      </c>
      <c r="L520" s="1046">
        <f t="shared" si="30"/>
        <v>8</v>
      </c>
      <c r="M520" s="1046"/>
      <c r="N520" s="1046">
        <f>L520*(M520/SUM(M515:M522))</f>
        <v>0</v>
      </c>
      <c r="O520" s="1046"/>
      <c r="P520" s="1046">
        <f t="shared" si="32"/>
        <v>289</v>
      </c>
      <c r="Q520" s="1046">
        <f t="shared" si="41"/>
        <v>0</v>
      </c>
      <c r="R520" s="1046">
        <f t="shared" si="33"/>
        <v>0</v>
      </c>
      <c r="S520" s="1046"/>
      <c r="T520" s="734">
        <f t="shared" si="35"/>
        <v>19.020036437502281</v>
      </c>
      <c r="U520" s="1046">
        <f t="shared" si="36"/>
        <v>0</v>
      </c>
      <c r="V520" s="734">
        <f>VLOOKUP(G$484&amp;G$485&amp;G$484&amp;B520&amp;G$486,reoffending_inputs,2,0)/
(VLOOKUP(G$484&amp;G$485&amp;G$484&amp;B519&amp;G$486,reoffending_inputs,2,0)+VLOOKUP(G$484&amp;G$485&amp;G$484&amp;B520&amp;G$486,reoffending_inputs,2,0))</f>
        <v>0.46829306435217766</v>
      </c>
      <c r="W520" s="734">
        <f>U519*V520</f>
        <v>9.3307992733312594E-3</v>
      </c>
    </row>
    <row r="521" spans="1:23">
      <c r="A521" s="176" t="s">
        <v>617</v>
      </c>
      <c r="B521" s="176" t="s">
        <v>654</v>
      </c>
      <c r="C521" s="176" t="s">
        <v>293</v>
      </c>
      <c r="D521" s="176" t="s">
        <v>636</v>
      </c>
      <c r="E521" s="176" t="str">
        <f t="shared" si="37"/>
        <v>SexualTheft_from_vehicle</v>
      </c>
      <c r="F521" s="1046">
        <f t="shared" ref="F521:F552" si="43">(VLOOKUP(F$487&amp;A521&amp;C521&amp;D521,reoffending_inputs,2,0))</f>
        <v>80</v>
      </c>
      <c r="G521" s="1046">
        <f>VLOOKUP(G$484&amp;G$485&amp;G$484&amp;B521&amp;G$486,reoffending_inputs,2,0)+VLOOKUP(G$484&amp;G$485&amp;G$484&amp;B522&amp;G$486,reoffending_inputs,2,0)</f>
        <v>710260</v>
      </c>
      <c r="H521" s="1046">
        <f>F521*(G521/SUM(G515:G522))</f>
        <v>24.581893064646611</v>
      </c>
      <c r="I521" s="1046"/>
      <c r="J521" s="1046">
        <f t="shared" ref="J521:J552" si="44">(VLOOKUP(F$487&amp;A521&amp;$E$484&amp;$E$485,reoffending_inputs,2,0))</f>
        <v>5219</v>
      </c>
      <c r="K521" s="1046">
        <f t="shared" si="40"/>
        <v>4.7100772302446081E-3</v>
      </c>
      <c r="L521" s="1046">
        <f t="shared" ref="L521:L552" si="45">(VLOOKUP(L$487&amp;A521&amp;C521&amp;D521,reoffending_inputs,2,0))</f>
        <v>8</v>
      </c>
      <c r="M521" s="1046">
        <f>VLOOKUP(M$484&amp;M$485&amp;M$484&amp;B521&amp;M$486,reoffending_inputs,2,0)+VLOOKUP(M$484&amp;M$485&amp;M$484&amp;B522&amp;M$486,reoffending_inputs,2,0)</f>
        <v>710260</v>
      </c>
      <c r="N521" s="1046">
        <f>L521*(M521/SUM(M515:M522))</f>
        <v>2.4581893064646612</v>
      </c>
      <c r="O521" s="1046"/>
      <c r="P521" s="1046">
        <f t="shared" ref="P521:P552" si="46">(VLOOKUP(L$487&amp;A521&amp;$E$484&amp;$E$485,reoffending_inputs,2,0))</f>
        <v>289</v>
      </c>
      <c r="Q521" s="1046">
        <f t="shared" si="41"/>
        <v>8.5058453510887932E-3</v>
      </c>
      <c r="R521" s="1046">
        <f t="shared" ref="R521:R552" si="47">G$352*K521+(1-G$352)*Q521</f>
        <v>6.987538102751119E-3</v>
      </c>
      <c r="S521" s="1046">
        <f t="shared" si="34"/>
        <v>2.5635632953784326</v>
      </c>
      <c r="T521" s="734">
        <f t="shared" ref="T521:T552" si="48">(1-VLOOKUP($C521&amp;$T$484,reoffending_inputs,2,0))/
(SUM(VLOOKUP($C521&amp;$U$480,reoffending_inputs,2,0)*
VLOOKUP($C521&amp;$U$479,reoffending_inputs,2,0),
VLOOKUP($C521&amp;$T$481,reoffending_inputs,2,0),
VLOOKUP($C521&amp;$T$482,reoffending_inputs,2,0),
VLOOKUP($C521&amp;$T$483,reoffending_inputs,2,0)))</f>
        <v>19.020036437502281</v>
      </c>
      <c r="U521" s="1046">
        <f t="shared" ref="U521:U552" si="49">R521*S521*T521</f>
        <v>0.34070584052909486</v>
      </c>
      <c r="V521" s="734">
        <f>VLOOKUP(G$484&amp;G$485&amp;G$484&amp;B521&amp;G$486,reoffending_inputs,2,0)/
(VLOOKUP(G$484&amp;G$485&amp;G$484&amp;B521&amp;G$486,reoffending_inputs,2,0)+VLOOKUP(G$484&amp;G$485&amp;G$484&amp;B522&amp;G$486,reoffending_inputs,2,0))</f>
        <v>0.80830963309210713</v>
      </c>
      <c r="W521" s="734">
        <f t="shared" si="42"/>
        <v>0.27539581295041066</v>
      </c>
    </row>
    <row r="522" spans="1:23">
      <c r="A522" s="176" t="s">
        <v>617</v>
      </c>
      <c r="B522" s="176" t="s">
        <v>668</v>
      </c>
      <c r="C522" s="176" t="s">
        <v>293</v>
      </c>
      <c r="D522" s="176" t="s">
        <v>636</v>
      </c>
      <c r="E522" s="176" t="str">
        <f t="shared" si="37"/>
        <v>SexualTheft_from_commercial_vehicle</v>
      </c>
      <c r="F522" s="1046">
        <f t="shared" si="43"/>
        <v>80</v>
      </c>
      <c r="G522" s="1046"/>
      <c r="H522" s="1046">
        <f>F522*(G522/SUM(G515:G522))</f>
        <v>0</v>
      </c>
      <c r="I522" s="1046"/>
      <c r="J522" s="1046">
        <f t="shared" si="44"/>
        <v>5219</v>
      </c>
      <c r="K522" s="1046">
        <f t="shared" si="40"/>
        <v>0</v>
      </c>
      <c r="L522" s="1046">
        <f t="shared" si="45"/>
        <v>8</v>
      </c>
      <c r="M522" s="1046"/>
      <c r="N522" s="1046">
        <f>L522*(M522/SUM(M515:M522))</f>
        <v>0</v>
      </c>
      <c r="O522" s="1046"/>
      <c r="P522" s="1046">
        <f t="shared" si="46"/>
        <v>289</v>
      </c>
      <c r="Q522" s="1046">
        <f t="shared" si="41"/>
        <v>0</v>
      </c>
      <c r="R522" s="1046">
        <f t="shared" si="47"/>
        <v>0</v>
      </c>
      <c r="S522" s="1046"/>
      <c r="T522" s="734">
        <f t="shared" si="48"/>
        <v>19.020036437502281</v>
      </c>
      <c r="U522" s="1046">
        <f t="shared" si="49"/>
        <v>0</v>
      </c>
      <c r="V522" s="734">
        <f>VLOOKUP(G$484&amp;G$485&amp;G$484&amp;B522&amp;G$486,reoffending_inputs,2,0)/
(VLOOKUP(G$484&amp;G$485&amp;G$484&amp;B521&amp;G$486,reoffending_inputs,2,0)+VLOOKUP(G$484&amp;G$485&amp;G$484&amp;B522&amp;G$486,reoffending_inputs,2,0))</f>
        <v>0.19169036690789287</v>
      </c>
      <c r="W522" s="734">
        <f>U521*V522</f>
        <v>6.5310027578684232E-2</v>
      </c>
    </row>
    <row r="523" spans="1:23">
      <c r="A523" s="114" t="s">
        <v>617</v>
      </c>
      <c r="B523" s="114" t="s">
        <v>656</v>
      </c>
      <c r="C523" s="114" t="s">
        <v>629</v>
      </c>
      <c r="D523" s="114" t="s">
        <v>636</v>
      </c>
      <c r="E523" s="114" t="str">
        <f t="shared" si="37"/>
        <v>SexualCriminal_damage_arson</v>
      </c>
      <c r="F523" s="734">
        <f t="shared" si="43"/>
        <v>5</v>
      </c>
      <c r="G523" s="734">
        <f>VLOOKUP(G$484&amp;G$485&amp;G$484&amp;B523&amp;G$486,reoffending_inputs,2,0)+VLOOKUP(G$484&amp;G$485&amp;G$484&amp;B524&amp;G$486,reoffending_inputs,2,0)</f>
        <v>125190</v>
      </c>
      <c r="H523" s="734">
        <f>F523*(G523/SUM(G523:G526))</f>
        <v>0.11495192201743884</v>
      </c>
      <c r="I523" s="734">
        <f>SUM(H523:H526)</f>
        <v>5</v>
      </c>
      <c r="J523" s="734">
        <f t="shared" si="44"/>
        <v>5219</v>
      </c>
      <c r="K523" s="734">
        <f t="shared" si="40"/>
        <v>2.202566047469608E-5</v>
      </c>
      <c r="L523" s="734">
        <f t="shared" si="45"/>
        <v>0</v>
      </c>
      <c r="M523" s="734">
        <f>VLOOKUP(M$484&amp;M$485&amp;M$484&amp;B523&amp;M$486,reoffending_inputs,2,0)+VLOOKUP(M$484&amp;M$485&amp;M$484&amp;B524&amp;M$486,reoffending_inputs,2,0)</f>
        <v>125190</v>
      </c>
      <c r="N523" s="734">
        <f>L523*(M523/SUM(M523:M526))</f>
        <v>0</v>
      </c>
      <c r="O523" s="734">
        <f>SUM(N523:N526)</f>
        <v>0</v>
      </c>
      <c r="P523" s="734">
        <f t="shared" si="46"/>
        <v>289</v>
      </c>
      <c r="Q523" s="734">
        <f t="shared" si="41"/>
        <v>0</v>
      </c>
      <c r="R523" s="734">
        <f t="shared" si="47"/>
        <v>8.8102641898784331E-6</v>
      </c>
      <c r="S523" s="734">
        <f t="shared" si="34"/>
        <v>1.0338208409506398</v>
      </c>
      <c r="T523" s="734">
        <f t="shared" si="48"/>
        <v>14.657380316370807</v>
      </c>
      <c r="U523" s="734">
        <f t="shared" si="49"/>
        <v>1.3350286050375419E-4</v>
      </c>
      <c r="V523" s="734">
        <f>VLOOKUP(G$484&amp;G$485&amp;G$484&amp;B523&amp;G$486,reoffending_inputs,2,0)/
(VLOOKUP(G$484&amp;G$485&amp;G$484&amp;B523&amp;G$486,reoffending_inputs,2,0)+VLOOKUP(G$484&amp;G$485&amp;G$484&amp;B524&amp;G$486,reoffending_inputs,2,0))</f>
        <v>0.18068535825545171</v>
      </c>
      <c r="W523" s="734">
        <f t="shared" si="42"/>
        <v>2.4122012178248417E-5</v>
      </c>
    </row>
    <row r="524" spans="1:23">
      <c r="A524" s="114" t="s">
        <v>617</v>
      </c>
      <c r="B524" s="114" t="s">
        <v>669</v>
      </c>
      <c r="C524" s="114" t="s">
        <v>629</v>
      </c>
      <c r="D524" s="114" t="s">
        <v>636</v>
      </c>
      <c r="E524" s="114" t="str">
        <f t="shared" si="37"/>
        <v>SexualCommercial_criminal_damage–arson</v>
      </c>
      <c r="F524" s="734">
        <f t="shared" si="43"/>
        <v>5</v>
      </c>
      <c r="G524" s="734"/>
      <c r="H524" s="734">
        <f>F524*(G524/SUM(G523:G526))</f>
        <v>0</v>
      </c>
      <c r="I524" s="734"/>
      <c r="J524" s="734">
        <f t="shared" si="44"/>
        <v>5219</v>
      </c>
      <c r="K524" s="734">
        <f t="shared" si="40"/>
        <v>0</v>
      </c>
      <c r="L524" s="734">
        <f t="shared" si="45"/>
        <v>0</v>
      </c>
      <c r="M524" s="734"/>
      <c r="N524" s="734">
        <f>L524*(M524/SUM(M523:M526))</f>
        <v>0</v>
      </c>
      <c r="O524" s="734"/>
      <c r="P524" s="734">
        <f t="shared" si="46"/>
        <v>289</v>
      </c>
      <c r="Q524" s="734">
        <f t="shared" si="41"/>
        <v>0</v>
      </c>
      <c r="R524" s="734">
        <f t="shared" si="47"/>
        <v>0</v>
      </c>
      <c r="S524" s="734"/>
      <c r="T524" s="734">
        <f t="shared" si="48"/>
        <v>14.657380316370807</v>
      </c>
      <c r="U524" s="734">
        <f t="shared" si="49"/>
        <v>0</v>
      </c>
      <c r="V524" s="734">
        <f>VLOOKUP(G$484&amp;G$485&amp;G$484&amp;B524&amp;G$486,reoffending_inputs,2,0)/
(VLOOKUP(G$484&amp;G$485&amp;G$484&amp;B523&amp;G$486,reoffending_inputs,2,0)+VLOOKUP(G$484&amp;G$485&amp;G$484&amp;B524&amp;G$486,reoffending_inputs,2,0))</f>
        <v>0.81931464174454827</v>
      </c>
      <c r="W524" s="734">
        <f>U523*V524</f>
        <v>1.0938084832550576E-4</v>
      </c>
    </row>
    <row r="525" spans="1:23">
      <c r="A525" s="114" t="s">
        <v>617</v>
      </c>
      <c r="B525" s="114" t="s">
        <v>657</v>
      </c>
      <c r="C525" s="114" t="s">
        <v>629</v>
      </c>
      <c r="D525" s="114" t="s">
        <v>636</v>
      </c>
      <c r="E525" s="114" t="str">
        <f t="shared" si="37"/>
        <v>SexualCriminal_damage_other</v>
      </c>
      <c r="F525" s="734">
        <f t="shared" si="43"/>
        <v>5</v>
      </c>
      <c r="G525" s="734">
        <f>VLOOKUP(G$484&amp;G$485&amp;G$484&amp;B525&amp;G$486,reoffending_inputs,2,0)+VLOOKUP(G$484&amp;G$485&amp;G$484&amp;B526&amp;G$486,reoffending_inputs,2,0)</f>
        <v>5320130</v>
      </c>
      <c r="H525" s="734">
        <f>F525*(G525/SUM(G523:G526))</f>
        <v>4.8850480779825611</v>
      </c>
      <c r="I525" s="734"/>
      <c r="J525" s="734">
        <f t="shared" si="44"/>
        <v>5219</v>
      </c>
      <c r="K525" s="734">
        <f t="shared" si="40"/>
        <v>9.3601227782766068E-4</v>
      </c>
      <c r="L525" s="734">
        <f t="shared" si="45"/>
        <v>0</v>
      </c>
      <c r="M525" s="734">
        <f>VLOOKUP(M$484&amp;M$485&amp;M$484&amp;B525&amp;M$486,reoffending_inputs,2,0)+VLOOKUP(M$484&amp;M$485&amp;M$484&amp;B526&amp;M$486,reoffending_inputs,2,0)</f>
        <v>5320130</v>
      </c>
      <c r="N525" s="734">
        <f>L525*(M525/SUM(M523:M526))</f>
        <v>0</v>
      </c>
      <c r="O525" s="734"/>
      <c r="P525" s="734">
        <f t="shared" si="46"/>
        <v>289</v>
      </c>
      <c r="Q525" s="734">
        <f t="shared" si="41"/>
        <v>0</v>
      </c>
      <c r="R525" s="734">
        <f t="shared" si="47"/>
        <v>3.7440491113106432E-4</v>
      </c>
      <c r="S525" s="734">
        <f t="shared" si="34"/>
        <v>1.9666868446232255</v>
      </c>
      <c r="T525" s="734">
        <f t="shared" si="48"/>
        <v>14.657380316370807</v>
      </c>
      <c r="U525" s="734">
        <f t="shared" si="49"/>
        <v>1.0792774576197187E-2</v>
      </c>
      <c r="V525" s="734">
        <f>VLOOKUP(G$484&amp;G$485&amp;G$484&amp;B525&amp;G$486,reoffending_inputs,2,0)/(
VLOOKUP(G$484&amp;G$485&amp;G$484&amp;B525&amp;G$486,reoffending_inputs,2,0)+VLOOKUP(G$484&amp;G$485&amp;G$484&amp;B526&amp;G$486,reoffending_inputs,2,0))</f>
        <v>0.18931116344901347</v>
      </c>
      <c r="W525" s="734">
        <f t="shared" si="42"/>
        <v>2.0431927118628227E-3</v>
      </c>
    </row>
    <row r="526" spans="1:23">
      <c r="A526" s="114" t="s">
        <v>617</v>
      </c>
      <c r="B526" s="114" t="s">
        <v>670</v>
      </c>
      <c r="C526" s="114" t="s">
        <v>629</v>
      </c>
      <c r="D526" s="114" t="s">
        <v>636</v>
      </c>
      <c r="E526" s="114" t="str">
        <f t="shared" si="37"/>
        <v>SexualCommercial_criminal_damage–other</v>
      </c>
      <c r="F526" s="734">
        <f t="shared" si="43"/>
        <v>5</v>
      </c>
      <c r="G526" s="734"/>
      <c r="H526" s="734">
        <f>F526*(G526/SUM(G523:G526))</f>
        <v>0</v>
      </c>
      <c r="I526" s="734"/>
      <c r="J526" s="734">
        <f t="shared" si="44"/>
        <v>5219</v>
      </c>
      <c r="K526" s="734">
        <f t="shared" si="40"/>
        <v>0</v>
      </c>
      <c r="L526" s="734">
        <f t="shared" si="45"/>
        <v>0</v>
      </c>
      <c r="M526" s="734"/>
      <c r="N526" s="734">
        <f>L526*(M526/SUM(M523:M526))</f>
        <v>0</v>
      </c>
      <c r="O526" s="734"/>
      <c r="P526" s="734">
        <f t="shared" si="46"/>
        <v>289</v>
      </c>
      <c r="Q526" s="734">
        <f t="shared" si="41"/>
        <v>0</v>
      </c>
      <c r="R526" s="734">
        <f t="shared" si="47"/>
        <v>0</v>
      </c>
      <c r="S526" s="734"/>
      <c r="T526" s="734">
        <f t="shared" si="48"/>
        <v>14.657380316370807</v>
      </c>
      <c r="U526" s="734">
        <f t="shared" si="49"/>
        <v>0</v>
      </c>
      <c r="V526" s="734">
        <f>VLOOKUP(G$484&amp;G$485&amp;G$484&amp;B526&amp;G$486,reoffending_inputs,2,0)/(
VLOOKUP(G$484&amp;G$485&amp;G$484&amp;B525&amp;G$486,reoffending_inputs,2,0)+VLOOKUP(G$484&amp;G$485&amp;G$484&amp;B526&amp;G$486,reoffending_inputs,2,0))</f>
        <v>0.81068883655098656</v>
      </c>
      <c r="W526" s="734">
        <f>U525*V526</f>
        <v>8.7495818643343638E-3</v>
      </c>
    </row>
    <row r="527" spans="1:23">
      <c r="A527" s="114" t="s">
        <v>292</v>
      </c>
      <c r="B527" s="114" t="s">
        <v>290</v>
      </c>
      <c r="C527" s="114" t="s">
        <v>628</v>
      </c>
      <c r="D527" s="114" t="s">
        <v>636</v>
      </c>
      <c r="E527" s="114" t="str">
        <f t="shared" si="37"/>
        <v>RobberyHomicide</v>
      </c>
      <c r="F527" s="734">
        <f t="shared" si="43"/>
        <v>138</v>
      </c>
      <c r="G527" s="734">
        <f>VLOOKUP(G$484&amp;G$485&amp;G$484&amp;$B527&amp;G$486,reoffending_inputs,2,0)</f>
        <v>570</v>
      </c>
      <c r="H527" s="734">
        <f>F527*(G527/SUM(G527:G529))</f>
        <v>4.0165441176470584E-2</v>
      </c>
      <c r="I527" s="734">
        <f>SUM(H527:H529)</f>
        <v>138</v>
      </c>
      <c r="J527" s="734">
        <f t="shared" si="44"/>
        <v>2423</v>
      </c>
      <c r="K527" s="734">
        <f t="shared" si="40"/>
        <v>1.6576740064577212E-5</v>
      </c>
      <c r="L527" s="734">
        <f t="shared" si="45"/>
        <v>88</v>
      </c>
      <c r="M527" s="734">
        <f t="shared" ref="M527:M531" si="50">VLOOKUP(M$484&amp;M$485&amp;M$484&amp;B527&amp;M$486,reoffending_inputs,2,0)</f>
        <v>570</v>
      </c>
      <c r="N527" s="734">
        <f>L527*(M527/SUM(M527:M529))</f>
        <v>2.5612745098039215E-2</v>
      </c>
      <c r="O527" s="734">
        <f>SUM(N527:N529)</f>
        <v>88</v>
      </c>
      <c r="P527" s="734">
        <f t="shared" si="46"/>
        <v>1150</v>
      </c>
      <c r="Q527" s="734">
        <f t="shared" si="41"/>
        <v>2.2271952259164535E-5</v>
      </c>
      <c r="R527" s="734">
        <f t="shared" si="47"/>
        <v>1.9993867381329606E-5</v>
      </c>
      <c r="S527" s="734">
        <f t="shared" si="34"/>
        <v>1</v>
      </c>
      <c r="T527" s="734">
        <f t="shared" si="48"/>
        <v>13.103611616017602</v>
      </c>
      <c r="U527" s="734">
        <f t="shared" si="49"/>
        <v>2.6199187286710606E-4</v>
      </c>
      <c r="V527" s="734">
        <v>1</v>
      </c>
      <c r="W527" s="734">
        <f>U527*V527</f>
        <v>2.6199187286710606E-4</v>
      </c>
    </row>
    <row r="528" spans="1:23">
      <c r="A528" s="114" t="s">
        <v>292</v>
      </c>
      <c r="B528" s="114" t="s">
        <v>649</v>
      </c>
      <c r="C528" s="114" t="s">
        <v>628</v>
      </c>
      <c r="D528" s="114" t="s">
        <v>636</v>
      </c>
      <c r="E528" s="114" t="str">
        <f t="shared" si="37"/>
        <v>RobberyViolence_with_injury</v>
      </c>
      <c r="F528" s="734">
        <f t="shared" si="43"/>
        <v>138</v>
      </c>
      <c r="G528" s="734">
        <f t="shared" ref="G528:G531" si="51">VLOOKUP(G$484&amp;G$485&amp;G$484&amp;B528&amp;G$486,reoffending_inputs,2,0)</f>
        <v>1104930</v>
      </c>
      <c r="H528" s="734">
        <f>F528*(G528/SUM(G527:G529))</f>
        <v>77.859650735294125</v>
      </c>
      <c r="I528" s="734"/>
      <c r="J528" s="734">
        <f t="shared" si="44"/>
        <v>2423</v>
      </c>
      <c r="K528" s="734">
        <f t="shared" si="40"/>
        <v>3.2133574385181232E-2</v>
      </c>
      <c r="L528" s="734">
        <f t="shared" si="45"/>
        <v>88</v>
      </c>
      <c r="M528" s="734">
        <f t="shared" si="50"/>
        <v>1104930</v>
      </c>
      <c r="N528" s="734">
        <f>L528*(M528/SUM(M527:M529))</f>
        <v>49.649632352941175</v>
      </c>
      <c r="O528" s="734"/>
      <c r="P528" s="734">
        <f t="shared" si="46"/>
        <v>1150</v>
      </c>
      <c r="Q528" s="734">
        <f t="shared" si="41"/>
        <v>4.3173593350383628E-2</v>
      </c>
      <c r="R528" s="734">
        <f t="shared" si="47"/>
        <v>3.8757585764302667E-2</v>
      </c>
      <c r="S528" s="734">
        <f t="shared" si="34"/>
        <v>2.576795708955224</v>
      </c>
      <c r="T528" s="734">
        <f t="shared" si="48"/>
        <v>13.103611616017602</v>
      </c>
      <c r="U528" s="734">
        <f t="shared" si="49"/>
        <v>1.3086626804652142</v>
      </c>
      <c r="V528" s="734">
        <v>1</v>
      </c>
      <c r="W528" s="734">
        <f t="shared" ref="W528:W544" si="52">U528*V528</f>
        <v>1.3086626804652142</v>
      </c>
    </row>
    <row r="529" spans="1:23">
      <c r="A529" s="114" t="s">
        <v>292</v>
      </c>
      <c r="B529" s="114" t="s">
        <v>650</v>
      </c>
      <c r="C529" s="114" t="s">
        <v>628</v>
      </c>
      <c r="D529" s="114" t="s">
        <v>636</v>
      </c>
      <c r="E529" s="114" t="str">
        <f t="shared" si="37"/>
        <v>RobberyViolence_without_injury</v>
      </c>
      <c r="F529" s="734">
        <f t="shared" si="43"/>
        <v>138</v>
      </c>
      <c r="G529" s="734">
        <f t="shared" si="51"/>
        <v>852900</v>
      </c>
      <c r="H529" s="734">
        <f>F529*(G529/SUM(G527:G529))</f>
        <v>60.100183823529406</v>
      </c>
      <c r="I529" s="734"/>
      <c r="J529" s="734">
        <f t="shared" si="44"/>
        <v>2423</v>
      </c>
      <c r="K529" s="734">
        <f t="shared" si="40"/>
        <v>2.4804037896627901E-2</v>
      </c>
      <c r="L529" s="734">
        <f t="shared" si="45"/>
        <v>88</v>
      </c>
      <c r="M529" s="734">
        <f t="shared" si="50"/>
        <v>852900</v>
      </c>
      <c r="N529" s="734">
        <f>L529*(M529/SUM(M527:M529))</f>
        <v>38.32475490196078</v>
      </c>
      <c r="O529" s="734"/>
      <c r="P529" s="734">
        <f t="shared" si="46"/>
        <v>1150</v>
      </c>
      <c r="Q529" s="734">
        <f t="shared" si="41"/>
        <v>3.332587382779198E-2</v>
      </c>
      <c r="R529" s="734">
        <f t="shared" si="47"/>
        <v>2.9917139455326348E-2</v>
      </c>
      <c r="S529" s="734">
        <f t="shared" si="34"/>
        <v>1.5379205885534999</v>
      </c>
      <c r="T529" s="734">
        <f t="shared" si="48"/>
        <v>13.103611616017602</v>
      </c>
      <c r="U529" s="734">
        <f t="shared" si="49"/>
        <v>0.60289959093864542</v>
      </c>
      <c r="V529" s="734">
        <v>1</v>
      </c>
      <c r="W529" s="734">
        <f t="shared" si="52"/>
        <v>0.60289959093864542</v>
      </c>
    </row>
    <row r="530" spans="1:23">
      <c r="A530" s="176" t="s">
        <v>292</v>
      </c>
      <c r="B530" s="176" t="s">
        <v>544</v>
      </c>
      <c r="C530" s="176" t="s">
        <v>617</v>
      </c>
      <c r="D530" s="176" t="s">
        <v>636</v>
      </c>
      <c r="E530" s="176" t="str">
        <f t="shared" si="37"/>
        <v>RobberyRape</v>
      </c>
      <c r="F530" s="1046">
        <f t="shared" si="43"/>
        <v>3</v>
      </c>
      <c r="G530" s="1046">
        <f t="shared" si="51"/>
        <v>121750</v>
      </c>
      <c r="H530" s="1046">
        <f>F530*(G530/SUM(G530:G531))</f>
        <v>0.29009507017084035</v>
      </c>
      <c r="I530" s="1046">
        <f>SUM(H530:H531)</f>
        <v>2.9999999999999996</v>
      </c>
      <c r="J530" s="1046">
        <f t="shared" si="44"/>
        <v>2423</v>
      </c>
      <c r="K530" s="1046">
        <f t="shared" si="40"/>
        <v>1.1972557580307072E-4</v>
      </c>
      <c r="L530" s="1046">
        <f t="shared" si="45"/>
        <v>2</v>
      </c>
      <c r="M530" s="1046">
        <f t="shared" si="50"/>
        <v>121750</v>
      </c>
      <c r="N530" s="1046">
        <f>L530*(M530/SUM(M530:M531))</f>
        <v>0.19339671344722692</v>
      </c>
      <c r="O530" s="1046">
        <f>SUM(N530:N531)</f>
        <v>2</v>
      </c>
      <c r="P530" s="1046">
        <f t="shared" si="46"/>
        <v>1150</v>
      </c>
      <c r="Q530" s="1046">
        <f t="shared" si="41"/>
        <v>1.6817105517150167E-4</v>
      </c>
      <c r="R530" s="1046">
        <f t="shared" si="47"/>
        <v>1.4879286342412931E-4</v>
      </c>
      <c r="S530" s="1046">
        <f t="shared" si="34"/>
        <v>3.4113196973942279</v>
      </c>
      <c r="T530" s="734">
        <f t="shared" si="48"/>
        <v>32.262050536796515</v>
      </c>
      <c r="U530" s="1046">
        <f t="shared" si="49"/>
        <v>1.6375572444809538E-2</v>
      </c>
      <c r="V530" s="734">
        <v>1</v>
      </c>
      <c r="W530" s="734">
        <f t="shared" si="52"/>
        <v>1.6375572444809538E-2</v>
      </c>
    </row>
    <row r="531" spans="1:23">
      <c r="A531" s="176" t="s">
        <v>292</v>
      </c>
      <c r="B531" s="176" t="s">
        <v>651</v>
      </c>
      <c r="C531" s="176" t="s">
        <v>617</v>
      </c>
      <c r="D531" s="176" t="s">
        <v>636</v>
      </c>
      <c r="E531" s="176" t="str">
        <f t="shared" si="37"/>
        <v>RobberyOther_sexual_offences</v>
      </c>
      <c r="F531" s="1046">
        <f t="shared" si="43"/>
        <v>3</v>
      </c>
      <c r="G531" s="1046">
        <f t="shared" si="51"/>
        <v>1137320</v>
      </c>
      <c r="H531" s="1046">
        <f>F531*(G531/SUM(G530:G531))</f>
        <v>2.7099049298291593</v>
      </c>
      <c r="I531" s="1046"/>
      <c r="J531" s="1046">
        <f t="shared" si="44"/>
        <v>2423</v>
      </c>
      <c r="K531" s="1046">
        <f t="shared" si="40"/>
        <v>1.1184089681507054E-3</v>
      </c>
      <c r="L531" s="1046">
        <f t="shared" si="45"/>
        <v>2</v>
      </c>
      <c r="M531" s="1046">
        <f t="shared" si="50"/>
        <v>1137320</v>
      </c>
      <c r="N531" s="1046">
        <f>L531*(M531/SUM(M530:M531))</f>
        <v>1.806603286552773</v>
      </c>
      <c r="O531" s="1046"/>
      <c r="P531" s="1046">
        <f t="shared" si="46"/>
        <v>1150</v>
      </c>
      <c r="Q531" s="1046">
        <f t="shared" si="41"/>
        <v>1.5709593796111069E-3</v>
      </c>
      <c r="R531" s="1046">
        <f t="shared" si="47"/>
        <v>1.3899392150269463E-3</v>
      </c>
      <c r="S531" s="1046">
        <f t="shared" si="34"/>
        <v>16.487677587706582</v>
      </c>
      <c r="T531" s="734">
        <f t="shared" si="48"/>
        <v>32.262050536796515</v>
      </c>
      <c r="U531" s="1046">
        <f t="shared" si="49"/>
        <v>0.73934520659584946</v>
      </c>
      <c r="V531" s="734">
        <v>1</v>
      </c>
      <c r="W531" s="734">
        <f t="shared" si="52"/>
        <v>0.73934520659584946</v>
      </c>
    </row>
    <row r="532" spans="1:23">
      <c r="A532" s="114" t="s">
        <v>292</v>
      </c>
      <c r="B532" s="114" t="s">
        <v>292</v>
      </c>
      <c r="C532" s="114" t="s">
        <v>292</v>
      </c>
      <c r="D532" s="114" t="s">
        <v>636</v>
      </c>
      <c r="E532" s="114" t="str">
        <f t="shared" si="37"/>
        <v>RobberyRobbery</v>
      </c>
      <c r="F532" s="734">
        <f t="shared" si="43"/>
        <v>64</v>
      </c>
      <c r="G532" s="734">
        <f>VLOOKUP(G$484&amp;G$485&amp;G$484&amp;B532&amp;G$486,reoffending_inputs,2,0)+VLOOKUP(G$484&amp;G$485&amp;G$484&amp;B533&amp;G$486,reoffending_inputs,2,0)</f>
        <v>296040</v>
      </c>
      <c r="H532" s="734">
        <f>F532*(G532/SUM(G532:G533))</f>
        <v>64</v>
      </c>
      <c r="I532" s="734">
        <f>SUM(H532:H533)</f>
        <v>64</v>
      </c>
      <c r="J532" s="734">
        <f t="shared" si="44"/>
        <v>2423</v>
      </c>
      <c r="K532" s="734">
        <f t="shared" si="40"/>
        <v>2.6413536937680563E-2</v>
      </c>
      <c r="L532" s="734">
        <f t="shared" si="45"/>
        <v>206</v>
      </c>
      <c r="M532" s="734">
        <f>VLOOKUP(M$484&amp;M$485&amp;M$484&amp;B532&amp;M$486,reoffending_inputs,2,0)+VLOOKUP(M$484&amp;M$485&amp;M$484&amp;B533&amp;M$486,reoffending_inputs,2,0)</f>
        <v>296040</v>
      </c>
      <c r="N532" s="734">
        <f>L532*(M532/SUM(M532:M533))</f>
        <v>206</v>
      </c>
      <c r="O532" s="734">
        <f>SUM(N532:N533)</f>
        <v>206</v>
      </c>
      <c r="P532" s="734">
        <f t="shared" si="46"/>
        <v>1150</v>
      </c>
      <c r="Q532" s="734">
        <f t="shared" si="41"/>
        <v>0.17913043478260871</v>
      </c>
      <c r="R532" s="734">
        <f t="shared" si="47"/>
        <v>0.11804367564463744</v>
      </c>
      <c r="S532" s="734">
        <f t="shared" si="34"/>
        <v>4.2680344142951689</v>
      </c>
      <c r="T532" s="734">
        <f t="shared" si="48"/>
        <v>15.814818207757394</v>
      </c>
      <c r="U532" s="734">
        <f t="shared" si="49"/>
        <v>7.967734254139355</v>
      </c>
      <c r="V532" s="734">
        <f>VLOOKUP(G$484&amp;G$485&amp;G$484&amp;B532&amp;G$486,reoffending_inputs,2,0)/
(VLOOKUP(G$484&amp;G$485&amp;G$484&amp;B532&amp;G$486,reoffending_inputs,2,0)+VLOOKUP(G$484&amp;G$485&amp;G$484&amp;B533&amp;G$486,reoffending_inputs,2,0))</f>
        <v>0.65352655046615327</v>
      </c>
      <c r="W532" s="734">
        <f t="shared" si="52"/>
        <v>5.2071258821387012</v>
      </c>
    </row>
    <row r="533" spans="1:23">
      <c r="A533" s="114" t="s">
        <v>292</v>
      </c>
      <c r="B533" s="114" t="s">
        <v>658</v>
      </c>
      <c r="C533" s="114" t="s">
        <v>292</v>
      </c>
      <c r="D533" s="114" t="s">
        <v>636</v>
      </c>
      <c r="E533" s="114" t="str">
        <f t="shared" si="37"/>
        <v>RobberyCommercial_robbery</v>
      </c>
      <c r="F533" s="734">
        <f t="shared" si="43"/>
        <v>64</v>
      </c>
      <c r="G533" s="734"/>
      <c r="H533" s="734">
        <f>F533*(G533/SUM(G532:G533))</f>
        <v>0</v>
      </c>
      <c r="I533" s="734"/>
      <c r="J533" s="734">
        <f t="shared" si="44"/>
        <v>2423</v>
      </c>
      <c r="K533" s="734">
        <f t="shared" si="40"/>
        <v>0</v>
      </c>
      <c r="L533" s="734">
        <f t="shared" si="45"/>
        <v>206</v>
      </c>
      <c r="M533" s="734"/>
      <c r="N533" s="734">
        <f>L533*(M533/SUM(M532:M533))</f>
        <v>0</v>
      </c>
      <c r="O533" s="734"/>
      <c r="P533" s="734">
        <f t="shared" si="46"/>
        <v>1150</v>
      </c>
      <c r="Q533" s="734">
        <f t="shared" si="41"/>
        <v>0</v>
      </c>
      <c r="R533" s="734">
        <f t="shared" si="47"/>
        <v>0</v>
      </c>
      <c r="S533" s="734"/>
      <c r="T533" s="734">
        <f t="shared" si="48"/>
        <v>15.814818207757394</v>
      </c>
      <c r="U533" s="734">
        <f>R533*S533*T533</f>
        <v>0</v>
      </c>
      <c r="V533" s="734">
        <f>VLOOKUP(G$484&amp;G$485&amp;G$484&amp;B533&amp;G$486,reoffending_inputs,2,0)/
(VLOOKUP(G$484&amp;G$485&amp;G$484&amp;B532&amp;G$486,reoffending_inputs,2,0)+VLOOKUP(G$484&amp;G$485&amp;G$484&amp;B533&amp;G$486,reoffending_inputs,2,0))</f>
        <v>0.34647344953384679</v>
      </c>
      <c r="W533" s="734">
        <f>U532*V533</f>
        <v>2.7606083720006542</v>
      </c>
    </row>
    <row r="534" spans="1:23">
      <c r="A534" s="176" t="s">
        <v>292</v>
      </c>
      <c r="B534" s="176" t="s">
        <v>652</v>
      </c>
      <c r="C534" s="176" t="s">
        <v>293</v>
      </c>
      <c r="D534" s="176" t="s">
        <v>636</v>
      </c>
      <c r="E534" s="176" t="str">
        <f t="shared" si="37"/>
        <v>RobberyDomestic_Burglary</v>
      </c>
      <c r="F534" s="1046">
        <f t="shared" si="43"/>
        <v>360</v>
      </c>
      <c r="G534" s="1046">
        <f>VLOOKUP(G$484&amp;G$485&amp;G$484&amp;B534&amp;G$486,reoffending_inputs,2,0)+VLOOKUP(G$484&amp;G$485&amp;G$484&amp;B535&amp;G$486,reoffending_inputs,2,0)</f>
        <v>1005700</v>
      </c>
      <c r="H534" s="1046">
        <f>F534*(G534/SUM(G534:G541))</f>
        <v>156.63143686539851</v>
      </c>
      <c r="I534" s="1046">
        <f>SUM(H534:H541)</f>
        <v>360</v>
      </c>
      <c r="J534" s="1046">
        <f t="shared" si="44"/>
        <v>2423</v>
      </c>
      <c r="K534" s="1046">
        <f t="shared" si="40"/>
        <v>6.4643597550721632E-2</v>
      </c>
      <c r="L534" s="1046">
        <f t="shared" si="45"/>
        <v>208</v>
      </c>
      <c r="M534" s="1046">
        <f>VLOOKUP(M$484&amp;M$485&amp;M$484&amp;B534&amp;M$486,reoffending_inputs,2,0)+VLOOKUP(M$484&amp;M$485&amp;M$484&amp;B535&amp;M$486,reoffending_inputs,2,0)</f>
        <v>1005700</v>
      </c>
      <c r="N534" s="1046">
        <f>L534*(M534/SUM(M534:M541))</f>
        <v>90.498163522230257</v>
      </c>
      <c r="O534" s="1046">
        <f>SUM(N534:N541)</f>
        <v>208</v>
      </c>
      <c r="P534" s="1046">
        <f t="shared" si="46"/>
        <v>1150</v>
      </c>
      <c r="Q534" s="1046">
        <f t="shared" si="41"/>
        <v>7.869405523672196E-2</v>
      </c>
      <c r="R534" s="1046">
        <f t="shared" si="47"/>
        <v>7.3073872162321835E-2</v>
      </c>
      <c r="S534" s="1046">
        <f t="shared" si="34"/>
        <v>3.5749189856488863</v>
      </c>
      <c r="T534" s="734">
        <f t="shared" si="48"/>
        <v>19.020036437502281</v>
      </c>
      <c r="U534" s="1046">
        <f t="shared" si="49"/>
        <v>4.9686644681546097</v>
      </c>
      <c r="V534" s="734">
        <f>VLOOKUP(G$484&amp;G$485&amp;G$484&amp;B534&amp;G$486,reoffending_inputs,2,0)/
(VLOOKUP(G$484&amp;G$485&amp;G$484&amp;B534&amp;G$486,reoffending_inputs,2,0)+VLOOKUP(G$484&amp;G$485&amp;G$484&amp;B535&amp;G$486,reoffending_inputs,2,0))</f>
        <v>0.69106095257034905</v>
      </c>
      <c r="W534" s="734">
        <f t="shared" si="52"/>
        <v>3.4336500003653714</v>
      </c>
    </row>
    <row r="535" spans="1:23">
      <c r="A535" s="176" t="s">
        <v>292</v>
      </c>
      <c r="B535" s="176" t="s">
        <v>659</v>
      </c>
      <c r="C535" s="176" t="s">
        <v>293</v>
      </c>
      <c r="D535" s="176" t="s">
        <v>636</v>
      </c>
      <c r="E535" s="176" t="str">
        <f t="shared" si="37"/>
        <v>RobberyCommercial_burglary</v>
      </c>
      <c r="F535" s="1046">
        <f t="shared" si="43"/>
        <v>360</v>
      </c>
      <c r="G535" s="1046"/>
      <c r="H535" s="1046">
        <f>F535*(G535/SUM(G534:G541))</f>
        <v>0</v>
      </c>
      <c r="I535" s="1046"/>
      <c r="J535" s="1046">
        <f t="shared" si="44"/>
        <v>2423</v>
      </c>
      <c r="K535" s="1046">
        <f t="shared" si="40"/>
        <v>0</v>
      </c>
      <c r="L535" s="1046">
        <f t="shared" si="45"/>
        <v>208</v>
      </c>
      <c r="M535" s="1046"/>
      <c r="N535" s="1046">
        <f>L535*(M535/SUM(M534:M541))</f>
        <v>0</v>
      </c>
      <c r="O535" s="1046"/>
      <c r="P535" s="1046">
        <f t="shared" si="46"/>
        <v>1150</v>
      </c>
      <c r="Q535" s="1046">
        <f t="shared" si="41"/>
        <v>0</v>
      </c>
      <c r="R535" s="1046">
        <f t="shared" si="47"/>
        <v>0</v>
      </c>
      <c r="S535" s="1046"/>
      <c r="T535" s="734">
        <f t="shared" si="48"/>
        <v>19.020036437502281</v>
      </c>
      <c r="U535" s="1046">
        <f t="shared" si="49"/>
        <v>0</v>
      </c>
      <c r="V535" s="734">
        <f>VLOOKUP(G$484&amp;G$485&amp;G$484&amp;B535&amp;G$486,reoffending_inputs,2,0)/
(VLOOKUP(G$484&amp;G$485&amp;G$484&amp;B534&amp;G$486,reoffending_inputs,2,0)+VLOOKUP(G$484&amp;G$485&amp;G$484&amp;B535&amp;G$486,reoffending_inputs,2,0))</f>
        <v>0.308939047429651</v>
      </c>
      <c r="W535" s="734">
        <f>U534*V535</f>
        <v>1.5350144677892386</v>
      </c>
    </row>
    <row r="536" spans="1:23">
      <c r="A536" s="176" t="s">
        <v>292</v>
      </c>
      <c r="B536" s="176" t="s">
        <v>655</v>
      </c>
      <c r="C536" s="176" t="s">
        <v>293</v>
      </c>
      <c r="D536" s="176" t="s">
        <v>636</v>
      </c>
      <c r="E536" s="176" t="str">
        <f t="shared" si="37"/>
        <v>RobberyTheft_from_person</v>
      </c>
      <c r="F536" s="1046">
        <f t="shared" si="43"/>
        <v>360</v>
      </c>
      <c r="G536" s="1046">
        <f>VLOOKUP(G$484&amp;G$485&amp;G$484&amp;B537&amp;G$486,reoffending_inputs,2,0)+VLOOKUP(G$484&amp;G$485&amp;G$484&amp;B536&amp;G$486,reoffending_inputs,2,0)</f>
        <v>467640</v>
      </c>
      <c r="H536" s="1046">
        <f>F536*(G536/SUM(G534:G541))</f>
        <v>72.831982833583524</v>
      </c>
      <c r="I536" s="1046"/>
      <c r="J536" s="1046">
        <f t="shared" si="44"/>
        <v>2423</v>
      </c>
      <c r="K536" s="1046">
        <f t="shared" si="40"/>
        <v>3.0058597950302735E-2</v>
      </c>
      <c r="L536" s="1046">
        <f t="shared" si="45"/>
        <v>208</v>
      </c>
      <c r="M536" s="1046">
        <f>VLOOKUP(M$484&amp;M$485&amp;M$484&amp;B536&amp;M$486,reoffending_inputs,2,0)+VLOOKUP(M$484&amp;M$485&amp;M$484&amp;B537&amp;M$486,reoffending_inputs,2,0)</f>
        <v>467640</v>
      </c>
      <c r="N536" s="1046">
        <f>L536*(M536/SUM(M534:M541))</f>
        <v>42.080701192737152</v>
      </c>
      <c r="O536" s="1046"/>
      <c r="P536" s="1046">
        <f t="shared" si="46"/>
        <v>1150</v>
      </c>
      <c r="Q536" s="1046">
        <f t="shared" si="41"/>
        <v>3.6591914080641004E-2</v>
      </c>
      <c r="R536" s="1046">
        <f t="shared" si="47"/>
        <v>3.3978587628505696E-2</v>
      </c>
      <c r="S536" s="1046">
        <f t="shared" si="34"/>
        <v>5.9058641975308639</v>
      </c>
      <c r="T536" s="734">
        <f t="shared" si="48"/>
        <v>19.020036437502281</v>
      </c>
      <c r="U536" s="1046">
        <f t="shared" si="49"/>
        <v>3.8168063295025703</v>
      </c>
      <c r="V536" s="734">
        <f>VLOOKUP(G$484&amp;G$485&amp;G$484&amp;B536&amp;G$486,reoffending_inputs,2,0)/
(VLOOKUP(G$484&amp;G$485&amp;G$484&amp;B537&amp;G$486,reoffending_inputs,2,0)+VLOOKUP(G$484&amp;G$485&amp;G$484&amp;B536&amp;G$486,reoffending_inputs,2,0))</f>
        <v>0.98203746471644859</v>
      </c>
      <c r="W536" s="734">
        <f t="shared" si="52"/>
        <v>3.7482468111383982</v>
      </c>
    </row>
    <row r="537" spans="1:23">
      <c r="A537" s="176" t="s">
        <v>292</v>
      </c>
      <c r="B537" s="176" t="s">
        <v>660</v>
      </c>
      <c r="C537" s="176" t="s">
        <v>293</v>
      </c>
      <c r="D537" s="176" t="s">
        <v>636</v>
      </c>
      <c r="E537" s="176" t="str">
        <f t="shared" si="37"/>
        <v>RobberyCommercial_theft</v>
      </c>
      <c r="F537" s="1046">
        <f t="shared" si="43"/>
        <v>360</v>
      </c>
      <c r="G537" s="1046"/>
      <c r="H537" s="1046">
        <f>F537*(G537/SUM(G534:G541))</f>
        <v>0</v>
      </c>
      <c r="I537" s="1046"/>
      <c r="J537" s="1046">
        <f t="shared" si="44"/>
        <v>2423</v>
      </c>
      <c r="K537" s="1046">
        <f t="shared" si="40"/>
        <v>0</v>
      </c>
      <c r="L537" s="1046">
        <f t="shared" si="45"/>
        <v>208</v>
      </c>
      <c r="M537" s="1046"/>
      <c r="N537" s="1046">
        <f>L537*(M537/SUM(M534:M541))</f>
        <v>0</v>
      </c>
      <c r="O537" s="1046"/>
      <c r="P537" s="1046">
        <f t="shared" si="46"/>
        <v>1150</v>
      </c>
      <c r="Q537" s="1046">
        <f t="shared" si="41"/>
        <v>0</v>
      </c>
      <c r="R537" s="1046">
        <f t="shared" si="47"/>
        <v>0</v>
      </c>
      <c r="S537" s="1046"/>
      <c r="T537" s="734">
        <f t="shared" si="48"/>
        <v>19.020036437502281</v>
      </c>
      <c r="U537" s="1046">
        <f t="shared" si="49"/>
        <v>0</v>
      </c>
      <c r="V537" s="734">
        <f>VLOOKUP(G$484&amp;G$485&amp;G$484&amp;B537&amp;G$486,reoffending_inputs,2,0)/
(VLOOKUP(G$484&amp;G$485&amp;G$484&amp;B537&amp;G$486,reoffending_inputs,2,0)+VLOOKUP(G$484&amp;G$485&amp;G$484&amp;B536&amp;G$486,reoffending_inputs,2,0))</f>
        <v>1.7962535283551451E-2</v>
      </c>
      <c r="W537" s="734">
        <f>U536*V537</f>
        <v>6.8559518364172428E-2</v>
      </c>
    </row>
    <row r="538" spans="1:23">
      <c r="A538" s="176" t="s">
        <v>292</v>
      </c>
      <c r="B538" s="176" t="s">
        <v>653</v>
      </c>
      <c r="C538" s="176" t="s">
        <v>293</v>
      </c>
      <c r="D538" s="176" t="s">
        <v>636</v>
      </c>
      <c r="E538" s="176" t="str">
        <f t="shared" si="37"/>
        <v>RobberyTheft_of_vehicle</v>
      </c>
      <c r="F538" s="1046">
        <f t="shared" si="43"/>
        <v>360</v>
      </c>
      <c r="G538" s="1046">
        <f>VLOOKUP(G$484&amp;G$485&amp;G$484&amp;B538&amp;G$486,reoffending_inputs,2,0)+VLOOKUP(G$484&amp;G$485&amp;G$484&amp;B539&amp;G$486,reoffending_inputs,2,0)</f>
        <v>127890</v>
      </c>
      <c r="H538" s="1046">
        <f>F538*(G538/SUM(G534:G541))</f>
        <v>19.918061510108199</v>
      </c>
      <c r="I538" s="1046"/>
      <c r="J538" s="1046">
        <f t="shared" si="44"/>
        <v>2423</v>
      </c>
      <c r="K538" s="1046">
        <f t="shared" si="40"/>
        <v>8.2204133347536928E-3</v>
      </c>
      <c r="L538" s="1046">
        <f t="shared" si="45"/>
        <v>208</v>
      </c>
      <c r="M538" s="1046">
        <f>VLOOKUP(M$484&amp;M$485&amp;M$484&amp;B538&amp;M$486,reoffending_inputs,2,0)+VLOOKUP(M$484&amp;M$485&amp;M$484&amp;B539&amp;M$486,reoffending_inputs,2,0)</f>
        <v>127890</v>
      </c>
      <c r="N538" s="1046">
        <f>L538*(M538/SUM(M534:M541))</f>
        <v>11.508213316951403</v>
      </c>
      <c r="O538" s="1046"/>
      <c r="P538" s="1046">
        <f t="shared" si="46"/>
        <v>1150</v>
      </c>
      <c r="Q538" s="1046">
        <f t="shared" si="41"/>
        <v>1.0007142014740351E-2</v>
      </c>
      <c r="R538" s="1046">
        <f t="shared" si="47"/>
        <v>9.2924505427456876E-3</v>
      </c>
      <c r="S538" s="1046">
        <f t="shared" si="34"/>
        <v>0.83261907677237668</v>
      </c>
      <c r="T538" s="734">
        <f t="shared" si="48"/>
        <v>19.020036437502281</v>
      </c>
      <c r="U538" s="1046">
        <f t="shared" si="49"/>
        <v>0.14715938359662467</v>
      </c>
      <c r="V538" s="734">
        <f>VLOOKUP(G$484&amp;G$485&amp;G$484&amp;B538&amp;G$486,reoffending_inputs,2,0)/
(VLOOKUP(G$484&amp;G$485&amp;G$484&amp;B538&amp;G$486,reoffending_inputs,2,0)+VLOOKUP(G$484&amp;G$485&amp;G$484&amp;B539&amp;G$486,reoffending_inputs,2,0))</f>
        <v>0.53170693564782234</v>
      </c>
      <c r="W538" s="734">
        <f t="shared" si="52"/>
        <v>7.8245664903983714E-2</v>
      </c>
    </row>
    <row r="539" spans="1:23">
      <c r="A539" s="176" t="s">
        <v>292</v>
      </c>
      <c r="B539" s="176" t="s">
        <v>694</v>
      </c>
      <c r="C539" s="176" t="s">
        <v>293</v>
      </c>
      <c r="D539" s="176" t="s">
        <v>636</v>
      </c>
      <c r="E539" s="176" t="str">
        <f t="shared" si="37"/>
        <v>RobberyTheft_of_commercial_vehicle</v>
      </c>
      <c r="F539" s="1046">
        <f t="shared" si="43"/>
        <v>360</v>
      </c>
      <c r="G539" s="1046"/>
      <c r="H539" s="1046">
        <f>F539*(G539/SUM(G534:G541))</f>
        <v>0</v>
      </c>
      <c r="I539" s="1046"/>
      <c r="J539" s="1046">
        <f t="shared" si="44"/>
        <v>2423</v>
      </c>
      <c r="K539" s="1046">
        <f t="shared" si="40"/>
        <v>0</v>
      </c>
      <c r="L539" s="1046">
        <f t="shared" si="45"/>
        <v>208</v>
      </c>
      <c r="M539" s="1046"/>
      <c r="N539" s="1046">
        <f>L539*(M539/SUM(M534:M541))</f>
        <v>0</v>
      </c>
      <c r="O539" s="1046"/>
      <c r="P539" s="1046">
        <f t="shared" si="46"/>
        <v>1150</v>
      </c>
      <c r="Q539" s="1046">
        <f t="shared" si="41"/>
        <v>0</v>
      </c>
      <c r="R539" s="1046">
        <f t="shared" si="47"/>
        <v>0</v>
      </c>
      <c r="S539" s="1046"/>
      <c r="T539" s="734">
        <f t="shared" si="48"/>
        <v>19.020036437502281</v>
      </c>
      <c r="U539" s="1046">
        <f t="shared" si="49"/>
        <v>0</v>
      </c>
      <c r="V539" s="734">
        <f>VLOOKUP(G$484&amp;G$485&amp;G$484&amp;B539&amp;G$486,reoffending_inputs,2,0)/
(VLOOKUP(G$484&amp;G$485&amp;G$484&amp;B538&amp;G$486,reoffending_inputs,2,0)+VLOOKUP(G$484&amp;G$485&amp;G$484&amp;B539&amp;G$486,reoffending_inputs,2,0))</f>
        <v>0.46829306435217766</v>
      </c>
      <c r="W539" s="734">
        <f>U538*V539</f>
        <v>6.8913718692640957E-2</v>
      </c>
    </row>
    <row r="540" spans="1:23">
      <c r="A540" s="176" t="s">
        <v>292</v>
      </c>
      <c r="B540" s="176" t="s">
        <v>654</v>
      </c>
      <c r="C540" s="176" t="s">
        <v>293</v>
      </c>
      <c r="D540" s="176" t="s">
        <v>636</v>
      </c>
      <c r="E540" s="176" t="str">
        <f t="shared" si="37"/>
        <v>RobberyTheft_from_vehicle</v>
      </c>
      <c r="F540" s="1046">
        <f t="shared" si="43"/>
        <v>360</v>
      </c>
      <c r="G540" s="1046">
        <f>VLOOKUP(G$484&amp;G$485&amp;G$484&amp;B540&amp;G$486,reoffending_inputs,2,0)+VLOOKUP(G$484&amp;G$485&amp;G$484&amp;B541&amp;G$486,reoffending_inputs,2,0)</f>
        <v>710260</v>
      </c>
      <c r="H540" s="1046">
        <f>F540*(G540/SUM(G534:G541))</f>
        <v>110.61851879090975</v>
      </c>
      <c r="I540" s="1046"/>
      <c r="J540" s="1046">
        <f t="shared" si="44"/>
        <v>2423</v>
      </c>
      <c r="K540" s="1046">
        <f t="shared" si="40"/>
        <v>4.5653536438675091E-2</v>
      </c>
      <c r="L540" s="1046">
        <f t="shared" si="45"/>
        <v>208</v>
      </c>
      <c r="M540" s="1046">
        <f>VLOOKUP(M$484&amp;M$485&amp;M$484&amp;B540&amp;M$486,reoffending_inputs,2,0)+VLOOKUP(M$484&amp;M$485&amp;M$484&amp;B541&amp;M$486,reoffending_inputs,2,0)</f>
        <v>710260</v>
      </c>
      <c r="N540" s="1046">
        <f>L540*(M540/SUM(M534:M541))</f>
        <v>63.912921968081193</v>
      </c>
      <c r="O540" s="1046"/>
      <c r="P540" s="1046">
        <f t="shared" si="46"/>
        <v>1150</v>
      </c>
      <c r="Q540" s="1046">
        <f t="shared" si="41"/>
        <v>5.5576453885287994E-2</v>
      </c>
      <c r="R540" s="1046">
        <f t="shared" si="47"/>
        <v>5.1607286906642832E-2</v>
      </c>
      <c r="S540" s="1046">
        <f t="shared" si="34"/>
        <v>2.5635632953784326</v>
      </c>
      <c r="T540" s="734">
        <f t="shared" si="48"/>
        <v>19.020036437502281</v>
      </c>
      <c r="U540" s="1046">
        <f t="shared" si="49"/>
        <v>2.5163231748290853</v>
      </c>
      <c r="V540" s="734">
        <f>VLOOKUP(G$484&amp;G$485&amp;G$484&amp;B540&amp;G$486,reoffending_inputs,2,0)/
(VLOOKUP(G$484&amp;G$485&amp;G$484&amp;B540&amp;G$486,reoffending_inputs,2,0)+VLOOKUP(G$484&amp;G$485&amp;G$484&amp;B541&amp;G$486,reoffending_inputs,2,0))</f>
        <v>0.80830963309210713</v>
      </c>
      <c r="W540" s="734">
        <f t="shared" si="52"/>
        <v>2.0339682621872641</v>
      </c>
    </row>
    <row r="541" spans="1:23">
      <c r="A541" s="176" t="s">
        <v>292</v>
      </c>
      <c r="B541" s="176" t="s">
        <v>668</v>
      </c>
      <c r="C541" s="176" t="s">
        <v>293</v>
      </c>
      <c r="D541" s="176" t="s">
        <v>636</v>
      </c>
      <c r="E541" s="176" t="str">
        <f t="shared" si="37"/>
        <v>RobberyTheft_from_commercial_vehicle</v>
      </c>
      <c r="F541" s="1046">
        <f t="shared" si="43"/>
        <v>360</v>
      </c>
      <c r="G541" s="1046"/>
      <c r="H541" s="1046">
        <f>F541*(G541/SUM(G534:G541))</f>
        <v>0</v>
      </c>
      <c r="I541" s="1046"/>
      <c r="J541" s="1046">
        <f t="shared" si="44"/>
        <v>2423</v>
      </c>
      <c r="K541" s="1046">
        <f t="shared" si="40"/>
        <v>0</v>
      </c>
      <c r="L541" s="1046">
        <f t="shared" si="45"/>
        <v>208</v>
      </c>
      <c r="M541" s="1046"/>
      <c r="N541" s="1046">
        <f>L541*(M541/SUM(M534:M541))</f>
        <v>0</v>
      </c>
      <c r="O541" s="1046"/>
      <c r="P541" s="1046">
        <f t="shared" si="46"/>
        <v>1150</v>
      </c>
      <c r="Q541" s="1046">
        <f t="shared" si="41"/>
        <v>0</v>
      </c>
      <c r="R541" s="1046">
        <f t="shared" si="47"/>
        <v>0</v>
      </c>
      <c r="S541" s="1046"/>
      <c r="T541" s="734">
        <f t="shared" si="48"/>
        <v>19.020036437502281</v>
      </c>
      <c r="U541" s="1046">
        <f t="shared" si="49"/>
        <v>0</v>
      </c>
      <c r="V541" s="734">
        <f>VLOOKUP(G$484&amp;G$485&amp;G$484&amp;B541&amp;G$486,reoffending_inputs,2,0)/
(VLOOKUP(G$484&amp;G$485&amp;G$484&amp;B540&amp;G$486,reoffending_inputs,2,0)+VLOOKUP(G$484&amp;G$485&amp;G$484&amp;B541&amp;G$486,reoffending_inputs,2,0))</f>
        <v>0.19169036690789287</v>
      </c>
      <c r="W541" s="734">
        <f>U540*V541</f>
        <v>0.48235491264182123</v>
      </c>
    </row>
    <row r="542" spans="1:23">
      <c r="A542" s="114" t="s">
        <v>292</v>
      </c>
      <c r="B542" s="114" t="s">
        <v>656</v>
      </c>
      <c r="C542" s="114" t="s">
        <v>629</v>
      </c>
      <c r="D542" s="114" t="s">
        <v>636</v>
      </c>
      <c r="E542" s="114" t="str">
        <f t="shared" si="37"/>
        <v>RobberyCriminal_damage_arson</v>
      </c>
      <c r="F542" s="734">
        <f t="shared" si="43"/>
        <v>6</v>
      </c>
      <c r="G542" s="734">
        <f>VLOOKUP(G$484&amp;G$485&amp;G$484&amp;B542&amp;G$486,reoffending_inputs,2,0)+VLOOKUP(G$484&amp;G$485&amp;G$484&amp;B543&amp;G$486,reoffending_inputs,2,0)</f>
        <v>125190</v>
      </c>
      <c r="H542" s="734">
        <f>F542*(G542/SUM(G542:G545))</f>
        <v>0.13794230642092659</v>
      </c>
      <c r="I542" s="734">
        <f>SUM(H542:H545)</f>
        <v>6</v>
      </c>
      <c r="J542" s="734">
        <f t="shared" si="44"/>
        <v>2423</v>
      </c>
      <c r="K542" s="734">
        <f t="shared" si="40"/>
        <v>5.6930378217468668E-5</v>
      </c>
      <c r="L542" s="734">
        <f t="shared" si="45"/>
        <v>4</v>
      </c>
      <c r="M542" s="734">
        <f>VLOOKUP(M$484&amp;M$485&amp;M$484&amp;B542&amp;M$486,reoffending_inputs,2,0)+VLOOKUP(M$484&amp;M$485&amp;M$484&amp;B543&amp;M$486,reoffending_inputs,2,0)</f>
        <v>125190</v>
      </c>
      <c r="N542" s="734">
        <f>L542*(M542/SUM(M542:M545))</f>
        <v>9.1961537613951067E-2</v>
      </c>
      <c r="O542" s="734">
        <f>SUM(N542:N545)</f>
        <v>4</v>
      </c>
      <c r="P542" s="734">
        <f t="shared" si="46"/>
        <v>1150</v>
      </c>
      <c r="Q542" s="734">
        <f t="shared" si="41"/>
        <v>7.9966554446913972E-5</v>
      </c>
      <c r="R542" s="734">
        <f t="shared" si="47"/>
        <v>7.0752083955135856E-5</v>
      </c>
      <c r="S542" s="734">
        <f t="shared" si="34"/>
        <v>1.0338208409506398</v>
      </c>
      <c r="T542" s="734">
        <f t="shared" si="48"/>
        <v>14.657380316370807</v>
      </c>
      <c r="U542" s="734">
        <f t="shared" si="49"/>
        <v>1.0721137744613694E-3</v>
      </c>
      <c r="V542" s="734">
        <f>VLOOKUP(G$484&amp;G$485&amp;G$484&amp;B542&amp;G$486,reoffending_inputs,2,0)/
(VLOOKUP(G$484&amp;G$485&amp;G$484&amp;B542&amp;G$486,reoffending_inputs,2,0)+VLOOKUP(G$484&amp;G$485&amp;G$484&amp;B543&amp;G$486,reoffending_inputs,2,0))</f>
        <v>0.18068535825545171</v>
      </c>
      <c r="W542" s="734">
        <f t="shared" si="52"/>
        <v>1.9371526142915706E-4</v>
      </c>
    </row>
    <row r="543" spans="1:23">
      <c r="A543" s="114" t="s">
        <v>292</v>
      </c>
      <c r="B543" s="114" t="s">
        <v>669</v>
      </c>
      <c r="C543" s="114" t="s">
        <v>629</v>
      </c>
      <c r="D543" s="114" t="s">
        <v>636</v>
      </c>
      <c r="E543" s="114" t="str">
        <f t="shared" si="37"/>
        <v>RobberyCommercial_criminal_damage–arson</v>
      </c>
      <c r="F543" s="734">
        <f t="shared" si="43"/>
        <v>6</v>
      </c>
      <c r="G543" s="734"/>
      <c r="H543" s="734">
        <f>F543*(G543/SUM(G542:G545))</f>
        <v>0</v>
      </c>
      <c r="I543" s="734"/>
      <c r="J543" s="734">
        <f t="shared" si="44"/>
        <v>2423</v>
      </c>
      <c r="K543" s="734">
        <f t="shared" si="40"/>
        <v>0</v>
      </c>
      <c r="L543" s="734">
        <f t="shared" si="45"/>
        <v>4</v>
      </c>
      <c r="M543" s="734"/>
      <c r="N543" s="734">
        <f>L543*(M543/SUM(M542:M545))</f>
        <v>0</v>
      </c>
      <c r="O543" s="734"/>
      <c r="P543" s="734">
        <f t="shared" si="46"/>
        <v>1150</v>
      </c>
      <c r="Q543" s="734">
        <f t="shared" si="41"/>
        <v>0</v>
      </c>
      <c r="R543" s="734">
        <f t="shared" si="47"/>
        <v>0</v>
      </c>
      <c r="S543" s="734"/>
      <c r="T543" s="734">
        <f t="shared" si="48"/>
        <v>14.657380316370807</v>
      </c>
      <c r="U543" s="734">
        <f t="shared" si="49"/>
        <v>0</v>
      </c>
      <c r="V543" s="734">
        <f>VLOOKUP(G$484&amp;G$485&amp;G$484&amp;B543&amp;G$486,reoffending_inputs,2,0)/
(VLOOKUP(G$484&amp;G$485&amp;G$484&amp;B542&amp;G$486,reoffending_inputs,2,0)+VLOOKUP(G$484&amp;G$485&amp;G$484&amp;B543&amp;G$486,reoffending_inputs,2,0))</f>
        <v>0.81931464174454827</v>
      </c>
      <c r="W543" s="734">
        <f>U542*V543</f>
        <v>8.7839851303221227E-4</v>
      </c>
    </row>
    <row r="544" spans="1:23">
      <c r="A544" s="114" t="s">
        <v>292</v>
      </c>
      <c r="B544" s="114" t="s">
        <v>657</v>
      </c>
      <c r="C544" s="114" t="s">
        <v>629</v>
      </c>
      <c r="D544" s="114" t="s">
        <v>636</v>
      </c>
      <c r="E544" s="114" t="str">
        <f t="shared" si="37"/>
        <v>RobberyCriminal_damage_other</v>
      </c>
      <c r="F544" s="734">
        <f t="shared" si="43"/>
        <v>6</v>
      </c>
      <c r="G544" s="734">
        <f>VLOOKUP(G$484&amp;G$485&amp;G$484&amp;B544&amp;G$486,reoffending_inputs,2,0)+VLOOKUP(G$484&amp;G$485&amp;G$484&amp;B545&amp;G$486,reoffending_inputs,2,0)</f>
        <v>5320130</v>
      </c>
      <c r="H544" s="734">
        <f>F544*(G544/SUM(G542:G545))</f>
        <v>5.8620576935790734</v>
      </c>
      <c r="I544" s="734"/>
      <c r="J544" s="734">
        <f t="shared" si="44"/>
        <v>2423</v>
      </c>
      <c r="K544" s="734">
        <f t="shared" si="40"/>
        <v>2.4193387096900841E-3</v>
      </c>
      <c r="L544" s="734">
        <f t="shared" si="45"/>
        <v>4</v>
      </c>
      <c r="M544" s="734">
        <f>VLOOKUP(M$484&amp;M$485&amp;M$484&amp;B544&amp;M$486,reoffending_inputs,2,0)+VLOOKUP(M$484&amp;M$485&amp;M$484&amp;B545&amp;M$486,reoffending_inputs,2,0)</f>
        <v>5320130</v>
      </c>
      <c r="N544" s="734">
        <f>L544*(M544/SUM(M542:M545))</f>
        <v>3.9080384623860489</v>
      </c>
      <c r="O544" s="734"/>
      <c r="P544" s="734">
        <f t="shared" si="46"/>
        <v>1150</v>
      </c>
      <c r="Q544" s="734">
        <f t="shared" si="41"/>
        <v>3.3982943151183035E-3</v>
      </c>
      <c r="R544" s="734">
        <f t="shared" si="47"/>
        <v>3.006712072947016E-3</v>
      </c>
      <c r="S544" s="734">
        <f t="shared" si="34"/>
        <v>1.9666868446232255</v>
      </c>
      <c r="T544" s="734">
        <f t="shared" si="48"/>
        <v>14.657380316370807</v>
      </c>
      <c r="U544" s="734">
        <f t="shared" si="49"/>
        <v>8.6672916551268117E-2</v>
      </c>
      <c r="V544" s="734">
        <f>VLOOKUP(G$484&amp;G$485&amp;G$484&amp;B544&amp;G$486,reoffending_inputs,2,0)/(
VLOOKUP(G$484&amp;G$485&amp;G$484&amp;B544&amp;G$486,reoffending_inputs,2,0)+VLOOKUP(G$484&amp;G$485&amp;G$484&amp;B545&amp;G$486,reoffending_inputs,2,0))</f>
        <v>0.18931116344901347</v>
      </c>
      <c r="W544" s="734">
        <f t="shared" si="52"/>
        <v>1.6408150671839823E-2</v>
      </c>
    </row>
    <row r="545" spans="1:23">
      <c r="A545" s="114" t="s">
        <v>292</v>
      </c>
      <c r="B545" s="114" t="s">
        <v>670</v>
      </c>
      <c r="C545" s="114" t="s">
        <v>629</v>
      </c>
      <c r="D545" s="114" t="s">
        <v>636</v>
      </c>
      <c r="E545" s="114" t="str">
        <f t="shared" si="37"/>
        <v>RobberyCommercial_criminal_damage–other</v>
      </c>
      <c r="F545" s="734">
        <f t="shared" si="43"/>
        <v>6</v>
      </c>
      <c r="G545" s="734"/>
      <c r="H545" s="734">
        <f>F545*(G545/SUM(G542:G545))</f>
        <v>0</v>
      </c>
      <c r="I545" s="734"/>
      <c r="J545" s="734">
        <f t="shared" si="44"/>
        <v>2423</v>
      </c>
      <c r="K545" s="734">
        <f t="shared" si="40"/>
        <v>0</v>
      </c>
      <c r="L545" s="734">
        <f t="shared" si="45"/>
        <v>4</v>
      </c>
      <c r="M545" s="734"/>
      <c r="N545" s="734">
        <f>L545*(M545/SUM(M542:M545))</f>
        <v>0</v>
      </c>
      <c r="O545" s="734"/>
      <c r="P545" s="734">
        <f t="shared" si="46"/>
        <v>1150</v>
      </c>
      <c r="Q545" s="734">
        <f t="shared" si="41"/>
        <v>0</v>
      </c>
      <c r="R545" s="734">
        <f t="shared" si="47"/>
        <v>0</v>
      </c>
      <c r="S545" s="734"/>
      <c r="T545" s="734">
        <f t="shared" si="48"/>
        <v>14.657380316370807</v>
      </c>
      <c r="U545" s="734">
        <f t="shared" si="49"/>
        <v>0</v>
      </c>
      <c r="V545" s="734">
        <f>VLOOKUP(G$484&amp;G$485&amp;G$484&amp;B545&amp;G$486,reoffending_inputs,2,0)/(
VLOOKUP(G$484&amp;G$485&amp;G$484&amp;B544&amp;G$486,reoffending_inputs,2,0)+VLOOKUP(G$484&amp;G$485&amp;G$484&amp;B545&amp;G$486,reoffending_inputs,2,0))</f>
        <v>0.81068883655098656</v>
      </c>
      <c r="W545" s="734">
        <f>U544*V545</f>
        <v>7.0264765879428301E-2</v>
      </c>
    </row>
    <row r="546" spans="1:23">
      <c r="A546" s="114" t="s">
        <v>293</v>
      </c>
      <c r="B546" s="114" t="s">
        <v>290</v>
      </c>
      <c r="C546" s="114" t="s">
        <v>628</v>
      </c>
      <c r="D546" s="114" t="s">
        <v>636</v>
      </c>
      <c r="E546" s="114" t="str">
        <f t="shared" si="37"/>
        <v>TheftHomicide</v>
      </c>
      <c r="F546" s="734">
        <f t="shared" si="43"/>
        <v>4188</v>
      </c>
      <c r="G546" s="734">
        <f>VLOOKUP(G$484&amp;G$485&amp;G$484&amp;$B546&amp;G$486,reoffending_inputs,2,0)</f>
        <v>570</v>
      </c>
      <c r="H546" s="734">
        <f>F546*(G546/SUM(G546:G548))</f>
        <v>1.2189338235294118</v>
      </c>
      <c r="I546" s="734">
        <f>SUM(H546:H548)</f>
        <v>4188</v>
      </c>
      <c r="J546" s="734">
        <f t="shared" si="44"/>
        <v>47819</v>
      </c>
      <c r="K546" s="734">
        <f t="shared" si="40"/>
        <v>2.5490575368146798E-5</v>
      </c>
      <c r="L546" s="734">
        <f t="shared" si="45"/>
        <v>330</v>
      </c>
      <c r="M546" s="734">
        <f t="shared" ref="M546:M550" si="53">VLOOKUP(M$484&amp;M$485&amp;M$484&amp;B546&amp;M$486,reoffending_inputs,2,0)</f>
        <v>570</v>
      </c>
      <c r="N546" s="734">
        <f>L546*(M546/SUM(M546:M548))</f>
        <v>9.6047794117647051E-2</v>
      </c>
      <c r="O546" s="734">
        <f>SUM(N546:N548)</f>
        <v>330</v>
      </c>
      <c r="P546" s="734">
        <f t="shared" si="46"/>
        <v>3196</v>
      </c>
      <c r="Q546" s="734">
        <f t="shared" si="41"/>
        <v>3.0052501288375172E-5</v>
      </c>
      <c r="R546" s="734">
        <f t="shared" si="47"/>
        <v>2.8227730920283824E-5</v>
      </c>
      <c r="S546" s="734">
        <f t="shared" si="34"/>
        <v>1</v>
      </c>
      <c r="T546" s="734">
        <f t="shared" si="48"/>
        <v>13.103611616017602</v>
      </c>
      <c r="U546" s="734">
        <f t="shared" si="49"/>
        <v>3.6988522278085038E-4</v>
      </c>
      <c r="V546" s="734">
        <v>1</v>
      </c>
      <c r="W546" s="734">
        <f>U546*V546</f>
        <v>3.6988522278085038E-4</v>
      </c>
    </row>
    <row r="547" spans="1:23">
      <c r="A547" s="114" t="s">
        <v>293</v>
      </c>
      <c r="B547" s="114" t="s">
        <v>649</v>
      </c>
      <c r="C547" s="114" t="s">
        <v>628</v>
      </c>
      <c r="D547" s="114" t="s">
        <v>636</v>
      </c>
      <c r="E547" s="114" t="str">
        <f t="shared" si="37"/>
        <v>TheftViolence_with_injury</v>
      </c>
      <c r="F547" s="734">
        <f t="shared" si="43"/>
        <v>4188</v>
      </c>
      <c r="G547" s="734">
        <f t="shared" ref="G547:G550" si="54">VLOOKUP(G$484&amp;G$485&amp;G$484&amp;B547&amp;G$486,reoffending_inputs,2,0)</f>
        <v>1104930</v>
      </c>
      <c r="H547" s="734">
        <f>F547*(G547/SUM(G546:G548))</f>
        <v>2362.8711397058823</v>
      </c>
      <c r="I547" s="734"/>
      <c r="J547" s="734">
        <f t="shared" si="44"/>
        <v>47819</v>
      </c>
      <c r="K547" s="734">
        <f t="shared" si="40"/>
        <v>4.9412809546537616E-2</v>
      </c>
      <c r="L547" s="734">
        <f t="shared" si="45"/>
        <v>330</v>
      </c>
      <c r="M547" s="734">
        <f t="shared" si="53"/>
        <v>1104930</v>
      </c>
      <c r="N547" s="734">
        <f>L547*(M547/SUM(M546:M548))</f>
        <v>186.18612132352942</v>
      </c>
      <c r="O547" s="734"/>
      <c r="P547" s="734">
        <f t="shared" si="46"/>
        <v>3196</v>
      </c>
      <c r="Q547" s="734">
        <f t="shared" si="41"/>
        <v>5.8255982892218214E-2</v>
      </c>
      <c r="R547" s="734">
        <f t="shared" si="47"/>
        <v>5.4718713553945975E-2</v>
      </c>
      <c r="S547" s="734">
        <f t="shared" si="34"/>
        <v>2.576795708955224</v>
      </c>
      <c r="T547" s="734">
        <f t="shared" si="48"/>
        <v>13.103611616017602</v>
      </c>
      <c r="U547" s="734">
        <f t="shared" si="49"/>
        <v>1.8475954303910598</v>
      </c>
      <c r="V547" s="734">
        <v>1</v>
      </c>
      <c r="W547" s="734">
        <f t="shared" ref="W547:W563" si="55">U547*V547</f>
        <v>1.8475954303910598</v>
      </c>
    </row>
    <row r="548" spans="1:23">
      <c r="A548" s="114" t="s">
        <v>293</v>
      </c>
      <c r="B548" s="114" t="s">
        <v>650</v>
      </c>
      <c r="C548" s="114" t="s">
        <v>628</v>
      </c>
      <c r="D548" s="114" t="s">
        <v>636</v>
      </c>
      <c r="E548" s="114" t="str">
        <f t="shared" si="37"/>
        <v>TheftViolence_without_injury</v>
      </c>
      <c r="F548" s="734">
        <f t="shared" si="43"/>
        <v>4188</v>
      </c>
      <c r="G548" s="734">
        <f t="shared" si="54"/>
        <v>852900</v>
      </c>
      <c r="H548" s="734">
        <f>F548*(G548/SUM(G546:G548))</f>
        <v>1823.9099264705881</v>
      </c>
      <c r="I548" s="734"/>
      <c r="J548" s="734">
        <f t="shared" si="44"/>
        <v>47819</v>
      </c>
      <c r="K548" s="734">
        <f t="shared" si="40"/>
        <v>3.8141950406127022E-2</v>
      </c>
      <c r="L548" s="734">
        <f t="shared" si="45"/>
        <v>330</v>
      </c>
      <c r="M548" s="734">
        <f t="shared" si="53"/>
        <v>852900</v>
      </c>
      <c r="N548" s="734">
        <f>L548*(M548/SUM(M546:M548))</f>
        <v>143.71783088235293</v>
      </c>
      <c r="O548" s="734"/>
      <c r="P548" s="734">
        <f t="shared" si="46"/>
        <v>3196</v>
      </c>
      <c r="Q548" s="734">
        <f t="shared" si="41"/>
        <v>4.4968032190974006E-2</v>
      </c>
      <c r="R548" s="734">
        <f t="shared" si="47"/>
        <v>4.2237599477035211E-2</v>
      </c>
      <c r="S548" s="734">
        <f t="shared" si="34"/>
        <v>1.5379205885534999</v>
      </c>
      <c r="T548" s="734">
        <f t="shared" si="48"/>
        <v>13.103611616017602</v>
      </c>
      <c r="U548" s="734">
        <f t="shared" si="49"/>
        <v>0.85118537101317548</v>
      </c>
      <c r="V548" s="734">
        <v>1</v>
      </c>
      <c r="W548" s="734">
        <f t="shared" si="55"/>
        <v>0.85118537101317548</v>
      </c>
    </row>
    <row r="549" spans="1:23">
      <c r="A549" s="176" t="s">
        <v>293</v>
      </c>
      <c r="B549" s="176" t="s">
        <v>544</v>
      </c>
      <c r="C549" s="176" t="s">
        <v>617</v>
      </c>
      <c r="D549" s="176" t="s">
        <v>636</v>
      </c>
      <c r="E549" s="176" t="str">
        <f t="shared" si="37"/>
        <v>TheftRape</v>
      </c>
      <c r="F549" s="1046">
        <f t="shared" si="43"/>
        <v>114</v>
      </c>
      <c r="G549" s="1046">
        <f t="shared" si="54"/>
        <v>121750</v>
      </c>
      <c r="H549" s="1046">
        <f>F549*(G549/SUM(G549:G550))</f>
        <v>11.023612666491934</v>
      </c>
      <c r="I549" s="1046">
        <f>SUM(H549:H550)</f>
        <v>113.99999999999999</v>
      </c>
      <c r="J549" s="1046">
        <f t="shared" si="44"/>
        <v>47819</v>
      </c>
      <c r="K549" s="1046">
        <f t="shared" si="40"/>
        <v>2.3052787943060151E-4</v>
      </c>
      <c r="L549" s="1046">
        <f t="shared" si="45"/>
        <v>14</v>
      </c>
      <c r="M549" s="1046">
        <f t="shared" si="53"/>
        <v>121750</v>
      </c>
      <c r="N549" s="1046">
        <f>L549*(M549/SUM(M549:M550))</f>
        <v>1.3537769941305884</v>
      </c>
      <c r="O549" s="1046">
        <f>SUM(N549:N550)</f>
        <v>14</v>
      </c>
      <c r="P549" s="1046">
        <f t="shared" si="46"/>
        <v>3196</v>
      </c>
      <c r="Q549" s="1046">
        <f t="shared" si="41"/>
        <v>4.2358479165537809E-4</v>
      </c>
      <c r="R549" s="1046">
        <f t="shared" si="47"/>
        <v>3.4636202676546746E-4</v>
      </c>
      <c r="S549" s="1046">
        <f t="shared" si="34"/>
        <v>3.4113196973942279</v>
      </c>
      <c r="T549" s="734">
        <f t="shared" si="48"/>
        <v>32.262050536796515</v>
      </c>
      <c r="U549" s="1046">
        <f t="shared" si="49"/>
        <v>3.8119277570870247E-2</v>
      </c>
      <c r="V549" s="734">
        <v>1</v>
      </c>
      <c r="W549" s="734">
        <f t="shared" si="55"/>
        <v>3.8119277570870247E-2</v>
      </c>
    </row>
    <row r="550" spans="1:23">
      <c r="A550" s="176" t="s">
        <v>293</v>
      </c>
      <c r="B550" s="176" t="s">
        <v>651</v>
      </c>
      <c r="C550" s="176" t="s">
        <v>617</v>
      </c>
      <c r="D550" s="176" t="s">
        <v>636</v>
      </c>
      <c r="E550" s="176" t="str">
        <f t="shared" si="37"/>
        <v>TheftOther_sexual_offences</v>
      </c>
      <c r="F550" s="1046">
        <f t="shared" si="43"/>
        <v>114</v>
      </c>
      <c r="G550" s="1046">
        <f t="shared" si="54"/>
        <v>1137320</v>
      </c>
      <c r="H550" s="1046">
        <f>F550*(G550/SUM(G549:G550))</f>
        <v>102.97638733350806</v>
      </c>
      <c r="I550" s="1046"/>
      <c r="J550" s="1046">
        <f t="shared" si="44"/>
        <v>47819</v>
      </c>
      <c r="K550" s="1046">
        <f t="shared" si="40"/>
        <v>2.1534617481232996E-3</v>
      </c>
      <c r="L550" s="1046">
        <f t="shared" si="45"/>
        <v>14</v>
      </c>
      <c r="M550" s="1046">
        <f t="shared" si="53"/>
        <v>1137320</v>
      </c>
      <c r="N550" s="1046">
        <f>L550*(M550/SUM(M549:M550))</f>
        <v>12.646223005869411</v>
      </c>
      <c r="O550" s="1046"/>
      <c r="P550" s="1046">
        <f t="shared" si="46"/>
        <v>3196</v>
      </c>
      <c r="Q550" s="1046">
        <f t="shared" si="41"/>
        <v>3.9568908028377384E-3</v>
      </c>
      <c r="R550" s="1046">
        <f t="shared" si="47"/>
        <v>3.2355191809519627E-3</v>
      </c>
      <c r="S550" s="1046">
        <f t="shared" si="34"/>
        <v>16.487677587706582</v>
      </c>
      <c r="T550" s="734">
        <f t="shared" si="48"/>
        <v>32.262050536796515</v>
      </c>
      <c r="U550" s="1046">
        <f t="shared" si="49"/>
        <v>1.7210577062820593</v>
      </c>
      <c r="V550" s="734">
        <v>1</v>
      </c>
      <c r="W550" s="734">
        <f t="shared" si="55"/>
        <v>1.7210577062820593</v>
      </c>
    </row>
    <row r="551" spans="1:23">
      <c r="A551" s="114" t="s">
        <v>293</v>
      </c>
      <c r="B551" s="114" t="s">
        <v>292</v>
      </c>
      <c r="C551" s="114" t="s">
        <v>292</v>
      </c>
      <c r="D551" s="114" t="s">
        <v>636</v>
      </c>
      <c r="E551" s="114" t="str">
        <f t="shared" si="37"/>
        <v>TheftRobbery</v>
      </c>
      <c r="F551" s="734">
        <f t="shared" si="43"/>
        <v>604</v>
      </c>
      <c r="G551" s="734">
        <f>VLOOKUP(G$484&amp;G$485&amp;G$484&amp;B551&amp;G$486,reoffending_inputs,2,0)+VLOOKUP(G$484&amp;G$485&amp;G$484&amp;B552&amp;G$486,reoffending_inputs,2,0)</f>
        <v>296040</v>
      </c>
      <c r="H551" s="734">
        <f>F551*(G551/SUM(G551:G552))</f>
        <v>604</v>
      </c>
      <c r="I551" s="734">
        <f>SUM(H551:H552)</f>
        <v>604</v>
      </c>
      <c r="J551" s="734">
        <f t="shared" si="44"/>
        <v>47819</v>
      </c>
      <c r="K551" s="734">
        <f t="shared" si="40"/>
        <v>1.26309625880926E-2</v>
      </c>
      <c r="L551" s="734">
        <f t="shared" si="45"/>
        <v>231</v>
      </c>
      <c r="M551" s="734">
        <f>VLOOKUP(M$484&amp;M$485&amp;M$484&amp;B551&amp;M$486,reoffending_inputs,2,0)+VLOOKUP(M$484&amp;M$485&amp;M$484&amp;B552&amp;M$486,reoffending_inputs,2,0)</f>
        <v>296040</v>
      </c>
      <c r="N551" s="734">
        <f>L551*(M551/SUM(M551:M552))</f>
        <v>231</v>
      </c>
      <c r="O551" s="734">
        <f>SUM(N551:N552)</f>
        <v>231</v>
      </c>
      <c r="P551" s="734">
        <f t="shared" si="46"/>
        <v>3196</v>
      </c>
      <c r="Q551" s="734">
        <f t="shared" si="41"/>
        <v>7.2277847309136417E-2</v>
      </c>
      <c r="R551" s="734">
        <f t="shared" si="47"/>
        <v>4.8419093420718894E-2</v>
      </c>
      <c r="S551" s="734">
        <f t="shared" si="34"/>
        <v>4.2680344142951689</v>
      </c>
      <c r="T551" s="734">
        <f t="shared" si="48"/>
        <v>15.814818207757394</v>
      </c>
      <c r="U551" s="734">
        <f t="shared" si="49"/>
        <v>3.2682010882483166</v>
      </c>
      <c r="V551" s="734">
        <f>VLOOKUP(G$484&amp;G$485&amp;G$484&amp;B551&amp;G$486,reoffending_inputs,2,0)/
(VLOOKUP(G$484&amp;G$485&amp;G$484&amp;B551&amp;G$486,reoffending_inputs,2,0)+VLOOKUP(G$484&amp;G$485&amp;G$484&amp;B552&amp;G$486,reoffending_inputs,2,0))</f>
        <v>0.65352655046615327</v>
      </c>
      <c r="W551" s="734">
        <f t="shared" si="55"/>
        <v>2.1358561834326504</v>
      </c>
    </row>
    <row r="552" spans="1:23">
      <c r="A552" s="114" t="s">
        <v>293</v>
      </c>
      <c r="B552" s="114" t="s">
        <v>658</v>
      </c>
      <c r="C552" s="114" t="s">
        <v>292</v>
      </c>
      <c r="D552" s="114" t="s">
        <v>636</v>
      </c>
      <c r="E552" s="114" t="str">
        <f t="shared" si="37"/>
        <v>TheftCommercial_robbery</v>
      </c>
      <c r="F552" s="734">
        <f t="shared" si="43"/>
        <v>604</v>
      </c>
      <c r="G552" s="734"/>
      <c r="H552" s="734">
        <f>F552*(G552/SUM(G551:G552))</f>
        <v>0</v>
      </c>
      <c r="I552" s="734"/>
      <c r="J552" s="734">
        <f t="shared" si="44"/>
        <v>47819</v>
      </c>
      <c r="K552" s="734">
        <f t="shared" si="40"/>
        <v>0</v>
      </c>
      <c r="L552" s="734">
        <f t="shared" si="45"/>
        <v>231</v>
      </c>
      <c r="M552" s="734"/>
      <c r="N552" s="734">
        <f>L552*(M552/SUM(M551:M552))</f>
        <v>0</v>
      </c>
      <c r="O552" s="734"/>
      <c r="P552" s="734">
        <f t="shared" si="46"/>
        <v>3196</v>
      </c>
      <c r="Q552" s="734">
        <f t="shared" si="41"/>
        <v>0</v>
      </c>
      <c r="R552" s="734">
        <f t="shared" si="47"/>
        <v>0</v>
      </c>
      <c r="S552" s="734"/>
      <c r="T552" s="734">
        <f t="shared" si="48"/>
        <v>15.814818207757394</v>
      </c>
      <c r="U552" s="734">
        <f t="shared" si="49"/>
        <v>0</v>
      </c>
      <c r="V552" s="734">
        <f>VLOOKUP(G$484&amp;G$485&amp;G$484&amp;B552&amp;G$486,reoffending_inputs,2,0)/
(VLOOKUP(G$484&amp;G$485&amp;G$484&amp;B551&amp;G$486,reoffending_inputs,2,0)+VLOOKUP(G$484&amp;G$485&amp;G$484&amp;B552&amp;G$486,reoffending_inputs,2,0))</f>
        <v>0.34647344953384679</v>
      </c>
      <c r="W552" s="734">
        <f>U551*V552</f>
        <v>1.1323449048156662</v>
      </c>
    </row>
    <row r="553" spans="1:23">
      <c r="A553" s="176" t="s">
        <v>293</v>
      </c>
      <c r="B553" s="176" t="s">
        <v>652</v>
      </c>
      <c r="C553" s="176" t="s">
        <v>293</v>
      </c>
      <c r="D553" s="176" t="s">
        <v>636</v>
      </c>
      <c r="E553" s="176" t="str">
        <f t="shared" si="37"/>
        <v>TheftDomestic_Burglary</v>
      </c>
      <c r="F553" s="1046">
        <f t="shared" ref="F553:F583" si="56">(VLOOKUP(F$487&amp;A553&amp;C553&amp;D553,reoffending_inputs,2,0))</f>
        <v>69440</v>
      </c>
      <c r="G553" s="1046">
        <f>VLOOKUP(G$484&amp;G$485&amp;G$484&amp;B553&amp;G$486,reoffending_inputs,2,0)+VLOOKUP(G$484&amp;G$485&amp;G$484&amp;B554&amp;G$486,reoffending_inputs,2,0)</f>
        <v>1005700</v>
      </c>
      <c r="H553" s="1046">
        <f>F553*(G553/SUM(G553:G560))</f>
        <v>30212.463822036869</v>
      </c>
      <c r="I553" s="1046">
        <f>SUM(H553:H560)</f>
        <v>69440</v>
      </c>
      <c r="J553" s="1046">
        <f t="shared" ref="J553:J583" si="57">(VLOOKUP(F$487&amp;A553&amp;$E$484&amp;$E$485,reoffending_inputs,2,0))</f>
        <v>47819</v>
      </c>
      <c r="K553" s="1046">
        <f t="shared" si="40"/>
        <v>0.63180877521564371</v>
      </c>
      <c r="L553" s="1046">
        <f t="shared" ref="L553:L583" si="58">(VLOOKUP(L$487&amp;A553&amp;C553&amp;D553,reoffending_inputs,2,0))</f>
        <v>1736</v>
      </c>
      <c r="M553" s="1046">
        <f>VLOOKUP(M$484&amp;M$485&amp;M$484&amp;B553&amp;M$486,reoffending_inputs,2,0)+VLOOKUP(M$484&amp;M$485&amp;M$484&amp;B554&amp;M$486,reoffending_inputs,2,0)</f>
        <v>1005700</v>
      </c>
      <c r="N553" s="1046">
        <f>L553*(M553/SUM(M553:M560))</f>
        <v>755.31159555092177</v>
      </c>
      <c r="O553" s="1046">
        <f>SUM(N553:N560)</f>
        <v>1736</v>
      </c>
      <c r="P553" s="1046">
        <f t="shared" ref="P553:P583" si="59">(VLOOKUP(L$487&amp;A553&amp;$E$484&amp;$E$485,reoffending_inputs,2,0))</f>
        <v>3196</v>
      </c>
      <c r="Q553" s="1046">
        <f t="shared" si="41"/>
        <v>0.23633028646774773</v>
      </c>
      <c r="R553" s="1046">
        <f t="shared" ref="R553:R583" si="60">G$352*K553+(1-G$352)*Q553</f>
        <v>0.39452168196690612</v>
      </c>
      <c r="S553" s="1046">
        <f t="shared" ref="S553:S563" si="61">VLOOKUP($T$480&amp;$S$486&amp;$T$480&amp;$B553&amp;$S$481,reoffending_inputs,2,0)/VLOOKUP($T$480&amp;$S$486&amp;$T$480&amp;$B553&amp;$S$482,reoffending_inputs,2,0)</f>
        <v>3.5749189856488863</v>
      </c>
      <c r="T553" s="734">
        <f t="shared" ref="T553:T583" si="62">(1-VLOOKUP($C553&amp;$T$484,reoffending_inputs,2,0))/
(SUM(VLOOKUP($C553&amp;$U$480,reoffending_inputs,2,0)*
VLOOKUP($C553&amp;$U$479,reoffending_inputs,2,0),
VLOOKUP($C553&amp;$T$481,reoffending_inputs,2,0),
VLOOKUP($C553&amp;$T$482,reoffending_inputs,2,0),
VLOOKUP($C553&amp;$T$483,reoffending_inputs,2,0)))</f>
        <v>19.020036437502281</v>
      </c>
      <c r="U553" s="1046">
        <f t="shared" ref="U553:U583" si="63">R553*S553*T553</f>
        <v>26.825537023016782</v>
      </c>
      <c r="V553" s="734">
        <f>VLOOKUP(G$484&amp;G$485&amp;G$484&amp;B553&amp;G$486,reoffending_inputs,2,0)/
(VLOOKUP(G$484&amp;G$485&amp;G$484&amp;B553&amp;G$486,reoffending_inputs,2,0)+VLOOKUP(G$484&amp;G$485&amp;G$484&amp;B554&amp;G$486,reoffending_inputs,2,0))</f>
        <v>0.69106095257034905</v>
      </c>
      <c r="W553" s="734">
        <f t="shared" si="55"/>
        <v>18.538081168337143</v>
      </c>
    </row>
    <row r="554" spans="1:23">
      <c r="A554" s="176" t="s">
        <v>293</v>
      </c>
      <c r="B554" s="176" t="s">
        <v>659</v>
      </c>
      <c r="C554" s="176" t="s">
        <v>293</v>
      </c>
      <c r="D554" s="176" t="s">
        <v>636</v>
      </c>
      <c r="E554" s="176" t="str">
        <f t="shared" ref="E554:E583" si="64">A554&amp;B554</f>
        <v>TheftCommercial_burglary</v>
      </c>
      <c r="F554" s="1046">
        <f t="shared" si="56"/>
        <v>69440</v>
      </c>
      <c r="G554" s="1046"/>
      <c r="H554" s="1046">
        <f>F554*(G554/SUM(G553:G560))</f>
        <v>0</v>
      </c>
      <c r="I554" s="1046"/>
      <c r="J554" s="1046">
        <f t="shared" si="57"/>
        <v>47819</v>
      </c>
      <c r="K554" s="1046">
        <f t="shared" ref="K554:K583" si="65">H554/J554</f>
        <v>0</v>
      </c>
      <c r="L554" s="1046">
        <f t="shared" si="58"/>
        <v>1736</v>
      </c>
      <c r="M554" s="1046"/>
      <c r="N554" s="1046">
        <f>L554*(M554/SUM(M553:M560))</f>
        <v>0</v>
      </c>
      <c r="O554" s="1046"/>
      <c r="P554" s="1046">
        <f t="shared" si="59"/>
        <v>3196</v>
      </c>
      <c r="Q554" s="1046">
        <f t="shared" ref="Q554:Q583" si="66">N554/P554</f>
        <v>0</v>
      </c>
      <c r="R554" s="1046">
        <f t="shared" si="60"/>
        <v>0</v>
      </c>
      <c r="S554" s="1046"/>
      <c r="T554" s="734">
        <f t="shared" si="62"/>
        <v>19.020036437502281</v>
      </c>
      <c r="U554" s="1046">
        <f t="shared" si="63"/>
        <v>0</v>
      </c>
      <c r="V554" s="734">
        <f>VLOOKUP(G$484&amp;G$485&amp;G$484&amp;B554&amp;G$486,reoffending_inputs,2,0)/
(VLOOKUP(G$484&amp;G$485&amp;G$484&amp;B553&amp;G$486,reoffending_inputs,2,0)+VLOOKUP(G$484&amp;G$485&amp;G$484&amp;B554&amp;G$486,reoffending_inputs,2,0))</f>
        <v>0.308939047429651</v>
      </c>
      <c r="W554" s="734">
        <f>U553*V554</f>
        <v>8.2874558546796404</v>
      </c>
    </row>
    <row r="555" spans="1:23">
      <c r="A555" s="176" t="s">
        <v>293</v>
      </c>
      <c r="B555" s="176" t="s">
        <v>655</v>
      </c>
      <c r="C555" s="176" t="s">
        <v>293</v>
      </c>
      <c r="D555" s="176" t="s">
        <v>636</v>
      </c>
      <c r="E555" s="176" t="str">
        <f t="shared" si="64"/>
        <v>TheftTheft_from_person</v>
      </c>
      <c r="F555" s="1046">
        <f t="shared" si="56"/>
        <v>69440</v>
      </c>
      <c r="G555" s="1046">
        <f>VLOOKUP(G$484&amp;G$485&amp;G$484&amp;B556&amp;G$486,reoffending_inputs,2,0)+VLOOKUP(G$484&amp;G$485&amp;G$484&amp;B555&amp;G$486,reoffending_inputs,2,0)</f>
        <v>467640</v>
      </c>
      <c r="H555" s="1046">
        <f>F555*(G555/SUM(G553:G560))</f>
        <v>14048.480244344557</v>
      </c>
      <c r="I555" s="1046"/>
      <c r="J555" s="1046">
        <f t="shared" si="57"/>
        <v>47819</v>
      </c>
      <c r="K555" s="1046">
        <f t="shared" si="65"/>
        <v>0.29378448408257296</v>
      </c>
      <c r="L555" s="1046">
        <f t="shared" si="58"/>
        <v>1736</v>
      </c>
      <c r="M555" s="1046">
        <f>VLOOKUP(M$484&amp;M$485&amp;M$484&amp;B555&amp;M$486,reoffending_inputs,2,0)+VLOOKUP(M$484&amp;M$485&amp;M$484&amp;B556&amp;M$486,reoffending_inputs,2,0)</f>
        <v>467640</v>
      </c>
      <c r="N555" s="1046">
        <f>L555*(M555/SUM(M553:M560))</f>
        <v>351.21200610861393</v>
      </c>
      <c r="O555" s="1046"/>
      <c r="P555" s="1046">
        <f t="shared" si="59"/>
        <v>3196</v>
      </c>
      <c r="Q555" s="1046">
        <f t="shared" si="66"/>
        <v>0.10989111580369648</v>
      </c>
      <c r="R555" s="1046">
        <f t="shared" si="60"/>
        <v>0.1834484631152471</v>
      </c>
      <c r="S555" s="1046">
        <f t="shared" si="61"/>
        <v>5.9058641975308639</v>
      </c>
      <c r="T555" s="734">
        <f t="shared" si="62"/>
        <v>19.020036437502281</v>
      </c>
      <c r="U555" s="1046">
        <f t="shared" si="63"/>
        <v>20.606720409072715</v>
      </c>
      <c r="V555" s="734">
        <f>VLOOKUP(G$484&amp;G$485&amp;G$484&amp;B555&amp;G$486,reoffending_inputs,2,0)/
(VLOOKUP(G$484&amp;G$485&amp;G$484&amp;B556&amp;G$486,reoffending_inputs,2,0)+VLOOKUP(G$484&amp;G$485&amp;G$484&amp;B555&amp;G$486,reoffending_inputs,2,0))</f>
        <v>0.98203746471644859</v>
      </c>
      <c r="W555" s="734">
        <f t="shared" si="55"/>
        <v>20.236571466646467</v>
      </c>
    </row>
    <row r="556" spans="1:23">
      <c r="A556" s="176" t="s">
        <v>293</v>
      </c>
      <c r="B556" s="176" t="s">
        <v>660</v>
      </c>
      <c r="C556" s="176" t="s">
        <v>293</v>
      </c>
      <c r="D556" s="176" t="s">
        <v>636</v>
      </c>
      <c r="E556" s="176" t="str">
        <f t="shared" si="64"/>
        <v>TheftCommercial_theft</v>
      </c>
      <c r="F556" s="1046">
        <f t="shared" si="56"/>
        <v>69440</v>
      </c>
      <c r="G556" s="1046"/>
      <c r="H556" s="1046">
        <f>F556*(G556/SUM(G553:G560))</f>
        <v>0</v>
      </c>
      <c r="I556" s="1046"/>
      <c r="J556" s="1046">
        <f t="shared" si="57"/>
        <v>47819</v>
      </c>
      <c r="K556" s="1046">
        <f t="shared" si="65"/>
        <v>0</v>
      </c>
      <c r="L556" s="1046">
        <f t="shared" si="58"/>
        <v>1736</v>
      </c>
      <c r="M556" s="1046"/>
      <c r="N556" s="1046">
        <f>L556*(M556/SUM(M553:M560))</f>
        <v>0</v>
      </c>
      <c r="O556" s="1046"/>
      <c r="P556" s="1046">
        <f t="shared" si="59"/>
        <v>3196</v>
      </c>
      <c r="Q556" s="1046">
        <f t="shared" si="66"/>
        <v>0</v>
      </c>
      <c r="R556" s="1046">
        <f t="shared" si="60"/>
        <v>0</v>
      </c>
      <c r="S556" s="1046"/>
      <c r="T556" s="734">
        <f t="shared" si="62"/>
        <v>19.020036437502281</v>
      </c>
      <c r="U556" s="1046">
        <f t="shared" si="63"/>
        <v>0</v>
      </c>
      <c r="V556" s="734">
        <f>VLOOKUP(G$484&amp;G$485&amp;G$484&amp;B556&amp;G$486,reoffending_inputs,2,0)/
(VLOOKUP(G$484&amp;G$485&amp;G$484&amp;B556&amp;G$486,reoffending_inputs,2,0)+VLOOKUP(G$484&amp;G$485&amp;G$484&amp;B555&amp;G$486,reoffending_inputs,2,0))</f>
        <v>1.7962535283551451E-2</v>
      </c>
      <c r="W556" s="734">
        <f>U555*V556</f>
        <v>0.37014894242624841</v>
      </c>
    </row>
    <row r="557" spans="1:23">
      <c r="A557" s="176" t="s">
        <v>293</v>
      </c>
      <c r="B557" s="176" t="s">
        <v>653</v>
      </c>
      <c r="C557" s="176" t="s">
        <v>293</v>
      </c>
      <c r="D557" s="176" t="s">
        <v>636</v>
      </c>
      <c r="E557" s="176" t="str">
        <f t="shared" si="64"/>
        <v>TheftTheft_of_vehicle</v>
      </c>
      <c r="F557" s="1046">
        <f t="shared" si="56"/>
        <v>69440</v>
      </c>
      <c r="G557" s="1046">
        <f>VLOOKUP(G$484&amp;G$485&amp;G$484&amp;B557&amp;G$486,reoffending_inputs,2,0)+VLOOKUP(G$484&amp;G$485&amp;G$484&amp;B558&amp;G$486,reoffending_inputs,2,0)</f>
        <v>127890</v>
      </c>
      <c r="H557" s="1046">
        <f>F557*(G557/SUM(G553:G560))</f>
        <v>3841.9727535053148</v>
      </c>
      <c r="I557" s="1046"/>
      <c r="J557" s="1046">
        <f t="shared" si="57"/>
        <v>47819</v>
      </c>
      <c r="K557" s="1046">
        <f t="shared" si="65"/>
        <v>8.0344063102643609E-2</v>
      </c>
      <c r="L557" s="1046">
        <f t="shared" si="58"/>
        <v>1736</v>
      </c>
      <c r="M557" s="1046">
        <f>VLOOKUP(M$484&amp;M$485&amp;M$484&amp;B557&amp;M$486,reoffending_inputs,2,0)+VLOOKUP(M$484&amp;M$485&amp;M$484&amp;B558&amp;M$486,reoffending_inputs,2,0)</f>
        <v>127890</v>
      </c>
      <c r="N557" s="1046">
        <f>L557*(M557/SUM(M553:M560))</f>
        <v>96.049318837632867</v>
      </c>
      <c r="O557" s="1046"/>
      <c r="P557" s="1046">
        <f t="shared" si="59"/>
        <v>3196</v>
      </c>
      <c r="Q557" s="1046">
        <f t="shared" si="66"/>
        <v>3.0052978359709909E-2</v>
      </c>
      <c r="R557" s="1046">
        <f t="shared" si="60"/>
        <v>5.0169412256883393E-2</v>
      </c>
      <c r="S557" s="1046">
        <f t="shared" si="61"/>
        <v>0.83261907677237668</v>
      </c>
      <c r="T557" s="734">
        <f t="shared" si="62"/>
        <v>19.020036437502281</v>
      </c>
      <c r="U557" s="1046">
        <f t="shared" si="63"/>
        <v>0.79450514685725127</v>
      </c>
      <c r="V557" s="734">
        <f>VLOOKUP(G$484&amp;G$485&amp;G$484&amp;B557&amp;G$486,reoffending_inputs,2,0)/
(VLOOKUP(G$484&amp;G$485&amp;G$484&amp;B557&amp;G$486,reoffending_inputs,2,0)+VLOOKUP(G$484&amp;G$485&amp;G$484&amp;B558&amp;G$486,reoffending_inputs,2,0))</f>
        <v>0.53170693564782234</v>
      </c>
      <c r="W557" s="734">
        <f t="shared" si="55"/>
        <v>0.42244389699189216</v>
      </c>
    </row>
    <row r="558" spans="1:23">
      <c r="A558" s="176" t="s">
        <v>293</v>
      </c>
      <c r="B558" s="176" t="s">
        <v>694</v>
      </c>
      <c r="C558" s="176" t="s">
        <v>293</v>
      </c>
      <c r="D558" s="176" t="s">
        <v>636</v>
      </c>
      <c r="E558" s="176" t="str">
        <f t="shared" si="64"/>
        <v>TheftTheft_of_commercial_vehicle</v>
      </c>
      <c r="F558" s="1046">
        <f t="shared" si="56"/>
        <v>69440</v>
      </c>
      <c r="G558" s="1046"/>
      <c r="H558" s="1046">
        <f>F558*(G558/SUM(G553:G560))</f>
        <v>0</v>
      </c>
      <c r="I558" s="1046"/>
      <c r="J558" s="1046">
        <f t="shared" si="57"/>
        <v>47819</v>
      </c>
      <c r="K558" s="1046">
        <f t="shared" si="65"/>
        <v>0</v>
      </c>
      <c r="L558" s="1046">
        <f t="shared" si="58"/>
        <v>1736</v>
      </c>
      <c r="M558" s="1046"/>
      <c r="N558" s="1046">
        <f>L558*(M558/SUM(M553:M560))</f>
        <v>0</v>
      </c>
      <c r="O558" s="1046"/>
      <c r="P558" s="1046">
        <f t="shared" si="59"/>
        <v>3196</v>
      </c>
      <c r="Q558" s="1046">
        <f t="shared" si="66"/>
        <v>0</v>
      </c>
      <c r="R558" s="1046">
        <f t="shared" si="60"/>
        <v>0</v>
      </c>
      <c r="S558" s="1046"/>
      <c r="T558" s="734">
        <f t="shared" si="62"/>
        <v>19.020036437502281</v>
      </c>
      <c r="U558" s="1046">
        <f t="shared" si="63"/>
        <v>0</v>
      </c>
      <c r="V558" s="734">
        <f>VLOOKUP(G$484&amp;G$485&amp;G$484&amp;B558&amp;G$486,reoffending_inputs,2,0)/
(VLOOKUP(G$484&amp;G$485&amp;G$484&amp;B557&amp;G$486,reoffending_inputs,2,0)+VLOOKUP(G$484&amp;G$485&amp;G$484&amp;B558&amp;G$486,reoffending_inputs,2,0))</f>
        <v>0.46829306435217766</v>
      </c>
      <c r="W558" s="734">
        <f>U557*V558</f>
        <v>0.3720612498653591</v>
      </c>
    </row>
    <row r="559" spans="1:23">
      <c r="A559" s="176" t="s">
        <v>293</v>
      </c>
      <c r="B559" s="176" t="s">
        <v>654</v>
      </c>
      <c r="C559" s="176" t="s">
        <v>293</v>
      </c>
      <c r="D559" s="176" t="s">
        <v>636</v>
      </c>
      <c r="E559" s="176" t="str">
        <f t="shared" si="64"/>
        <v>TheftTheft_from_vehicle</v>
      </c>
      <c r="F559" s="1046">
        <f t="shared" si="56"/>
        <v>69440</v>
      </c>
      <c r="G559" s="1046">
        <f>VLOOKUP(G$484&amp;G$485&amp;G$484&amp;B559&amp;G$486,reoffending_inputs,2,0)+VLOOKUP(G$484&amp;G$485&amp;G$484&amp;B560&amp;G$486,reoffending_inputs,2,0)</f>
        <v>710260</v>
      </c>
      <c r="H559" s="1046">
        <f>F559*(G559/SUM(G553:G560))</f>
        <v>21337.083180113259</v>
      </c>
      <c r="I559" s="1046"/>
      <c r="J559" s="1046">
        <f t="shared" si="57"/>
        <v>47819</v>
      </c>
      <c r="K559" s="1046">
        <f t="shared" si="65"/>
        <v>0.44620513143548085</v>
      </c>
      <c r="L559" s="1046">
        <f t="shared" si="58"/>
        <v>1736</v>
      </c>
      <c r="M559" s="1046">
        <f>VLOOKUP(M$484&amp;M$485&amp;M$484&amp;B559&amp;M$486,reoffending_inputs,2,0)+VLOOKUP(M$484&amp;M$485&amp;M$484&amp;B560&amp;M$486,reoffending_inputs,2,0)</f>
        <v>710260</v>
      </c>
      <c r="N559" s="1046">
        <f>L559*(M559/SUM(M553:M560))</f>
        <v>533.42707950283148</v>
      </c>
      <c r="O559" s="1046"/>
      <c r="P559" s="1046">
        <f t="shared" si="59"/>
        <v>3196</v>
      </c>
      <c r="Q559" s="1046">
        <f t="shared" si="66"/>
        <v>0.16690459308599231</v>
      </c>
      <c r="R559" s="1046">
        <f t="shared" si="60"/>
        <v>0.27862480842578774</v>
      </c>
      <c r="S559" s="1046">
        <f t="shared" si="61"/>
        <v>2.5635632953784326</v>
      </c>
      <c r="T559" s="734">
        <f t="shared" si="62"/>
        <v>19.020036437502281</v>
      </c>
      <c r="U559" s="1046">
        <f t="shared" si="63"/>
        <v>13.585485782122714</v>
      </c>
      <c r="V559" s="734">
        <f>VLOOKUP(G$484&amp;G$485&amp;G$484&amp;B559&amp;G$486,reoffending_inputs,2,0)/
(VLOOKUP(G$484&amp;G$485&amp;G$484&amp;B559&amp;G$486,reoffending_inputs,2,0)+VLOOKUP(G$484&amp;G$485&amp;G$484&amp;B560&amp;G$486,reoffending_inputs,2,0))</f>
        <v>0.80830963309210713</v>
      </c>
      <c r="W559" s="734">
        <f t="shared" si="55"/>
        <v>10.981279027925648</v>
      </c>
    </row>
    <row r="560" spans="1:23">
      <c r="A560" s="176" t="s">
        <v>293</v>
      </c>
      <c r="B560" s="176" t="s">
        <v>668</v>
      </c>
      <c r="C560" s="176" t="s">
        <v>293</v>
      </c>
      <c r="D560" s="176" t="s">
        <v>636</v>
      </c>
      <c r="E560" s="176" t="str">
        <f t="shared" si="64"/>
        <v>TheftTheft_from_commercial_vehicle</v>
      </c>
      <c r="F560" s="1046">
        <f t="shared" si="56"/>
        <v>69440</v>
      </c>
      <c r="G560" s="1046"/>
      <c r="H560" s="1046">
        <f>F560*(G560/SUM(G553:G560))</f>
        <v>0</v>
      </c>
      <c r="I560" s="1046"/>
      <c r="J560" s="1046">
        <f t="shared" si="57"/>
        <v>47819</v>
      </c>
      <c r="K560" s="1046">
        <f t="shared" si="65"/>
        <v>0</v>
      </c>
      <c r="L560" s="1046">
        <f t="shared" si="58"/>
        <v>1736</v>
      </c>
      <c r="M560" s="1046"/>
      <c r="N560" s="1046">
        <f>L560*(M560/SUM(M553:M560))</f>
        <v>0</v>
      </c>
      <c r="O560" s="1046"/>
      <c r="P560" s="1046">
        <f t="shared" si="59"/>
        <v>3196</v>
      </c>
      <c r="Q560" s="1046">
        <f t="shared" si="66"/>
        <v>0</v>
      </c>
      <c r="R560" s="1046">
        <f t="shared" si="60"/>
        <v>0</v>
      </c>
      <c r="S560" s="1046"/>
      <c r="T560" s="734">
        <f t="shared" si="62"/>
        <v>19.020036437502281</v>
      </c>
      <c r="U560" s="1046">
        <f t="shared" si="63"/>
        <v>0</v>
      </c>
      <c r="V560" s="734">
        <f>VLOOKUP(G$484&amp;G$485&amp;G$484&amp;B560&amp;G$486,reoffending_inputs,2,0)/
(VLOOKUP(G$484&amp;G$485&amp;G$484&amp;B559&amp;G$486,reoffending_inputs,2,0)+VLOOKUP(G$484&amp;G$485&amp;G$484&amp;B560&amp;G$486,reoffending_inputs,2,0))</f>
        <v>0.19169036690789287</v>
      </c>
      <c r="W560" s="734">
        <f>U559*V560</f>
        <v>2.6042067541970648</v>
      </c>
    </row>
    <row r="561" spans="1:23">
      <c r="A561" s="114" t="s">
        <v>293</v>
      </c>
      <c r="B561" s="114" t="s">
        <v>656</v>
      </c>
      <c r="C561" s="114" t="s">
        <v>629</v>
      </c>
      <c r="D561" s="114" t="s">
        <v>636</v>
      </c>
      <c r="E561" s="114" t="str">
        <f t="shared" si="64"/>
        <v>TheftCriminal_damage_arson</v>
      </c>
      <c r="F561" s="734">
        <f t="shared" si="56"/>
        <v>187</v>
      </c>
      <c r="G561" s="734">
        <f>VLOOKUP(G$484&amp;G$485&amp;G$484&amp;B561&amp;G$486,reoffending_inputs,2,0)+VLOOKUP(G$484&amp;G$485&amp;G$484&amp;B562&amp;G$486,reoffending_inputs,2,0)</f>
        <v>125190</v>
      </c>
      <c r="H561" s="734">
        <f>F561*(G561/SUM(G561:G564))</f>
        <v>4.2992018834522128</v>
      </c>
      <c r="I561" s="734">
        <f>SUM(H561:H564)</f>
        <v>187</v>
      </c>
      <c r="J561" s="734">
        <f t="shared" si="57"/>
        <v>47819</v>
      </c>
      <c r="K561" s="734">
        <f t="shared" si="65"/>
        <v>8.9905725411493611E-5</v>
      </c>
      <c r="L561" s="734">
        <f t="shared" si="58"/>
        <v>33</v>
      </c>
      <c r="M561" s="734">
        <f>VLOOKUP(M$484&amp;M$485&amp;M$484&amp;B561&amp;M$486,reoffending_inputs,2,0)+VLOOKUP(M$484&amp;M$485&amp;M$484&amp;B562&amp;M$486,reoffending_inputs,2,0)</f>
        <v>125190</v>
      </c>
      <c r="N561" s="734">
        <f>L561*(M561/SUM(M561:M564))</f>
        <v>0.75868268531509631</v>
      </c>
      <c r="O561" s="734">
        <f>SUM(N561:N564)</f>
        <v>33</v>
      </c>
      <c r="P561" s="734">
        <f t="shared" si="59"/>
        <v>3196</v>
      </c>
      <c r="Q561" s="734">
        <f t="shared" si="66"/>
        <v>2.3738507049909146E-4</v>
      </c>
      <c r="R561" s="734">
        <f t="shared" si="60"/>
        <v>1.7839333246405233E-4</v>
      </c>
      <c r="S561" s="734">
        <f t="shared" si="61"/>
        <v>1.0338208409506398</v>
      </c>
      <c r="T561" s="734">
        <f t="shared" si="62"/>
        <v>14.657380316370807</v>
      </c>
      <c r="U561" s="734">
        <f t="shared" si="63"/>
        <v>2.7032129417990632E-3</v>
      </c>
      <c r="V561" s="734">
        <f>VLOOKUP(G$484&amp;G$485&amp;G$484&amp;B561&amp;G$486,reoffending_inputs,2,0)/
(VLOOKUP(G$484&amp;G$485&amp;G$484&amp;B561&amp;G$486,reoffending_inputs,2,0)+VLOOKUP(G$484&amp;G$485&amp;G$484&amp;B562&amp;G$486,reoffending_inputs,2,0))</f>
        <v>0.18068535825545171</v>
      </c>
      <c r="W561" s="734">
        <f t="shared" si="55"/>
        <v>4.8843099882973722E-4</v>
      </c>
    </row>
    <row r="562" spans="1:23">
      <c r="A562" s="114" t="s">
        <v>293</v>
      </c>
      <c r="B562" s="114" t="s">
        <v>669</v>
      </c>
      <c r="C562" s="114" t="s">
        <v>629</v>
      </c>
      <c r="D562" s="114" t="s">
        <v>636</v>
      </c>
      <c r="E562" s="114" t="str">
        <f t="shared" si="64"/>
        <v>TheftCommercial_criminal_damage–arson</v>
      </c>
      <c r="F562" s="734">
        <f t="shared" si="56"/>
        <v>187</v>
      </c>
      <c r="G562" s="734"/>
      <c r="H562" s="734">
        <f>F562*(G562/SUM(G561:G564))</f>
        <v>0</v>
      </c>
      <c r="I562" s="734"/>
      <c r="J562" s="734">
        <f t="shared" si="57"/>
        <v>47819</v>
      </c>
      <c r="K562" s="734">
        <f t="shared" si="65"/>
        <v>0</v>
      </c>
      <c r="L562" s="734">
        <f t="shared" si="58"/>
        <v>33</v>
      </c>
      <c r="M562" s="734"/>
      <c r="N562" s="734">
        <f>L562*(M562/SUM(M561:M564))</f>
        <v>0</v>
      </c>
      <c r="O562" s="734"/>
      <c r="P562" s="734">
        <f t="shared" si="59"/>
        <v>3196</v>
      </c>
      <c r="Q562" s="734">
        <f t="shared" si="66"/>
        <v>0</v>
      </c>
      <c r="R562" s="734">
        <f t="shared" si="60"/>
        <v>0</v>
      </c>
      <c r="S562" s="734"/>
      <c r="T562" s="734">
        <f t="shared" si="62"/>
        <v>14.657380316370807</v>
      </c>
      <c r="U562" s="734">
        <f t="shared" si="63"/>
        <v>0</v>
      </c>
      <c r="V562" s="734">
        <f>VLOOKUP(G$484&amp;G$485&amp;G$484&amp;B562&amp;G$486,reoffending_inputs,2,0)/
(VLOOKUP(G$484&amp;G$485&amp;G$484&amp;B561&amp;G$486,reoffending_inputs,2,0)+VLOOKUP(G$484&amp;G$485&amp;G$484&amp;B562&amp;G$486,reoffending_inputs,2,0))</f>
        <v>0.81931464174454827</v>
      </c>
      <c r="W562" s="734">
        <f>U561*V562</f>
        <v>2.2147819429693258E-3</v>
      </c>
    </row>
    <row r="563" spans="1:23">
      <c r="A563" s="114" t="s">
        <v>293</v>
      </c>
      <c r="B563" s="114" t="s">
        <v>657</v>
      </c>
      <c r="C563" s="114" t="s">
        <v>629</v>
      </c>
      <c r="D563" s="114" t="s">
        <v>636</v>
      </c>
      <c r="E563" s="114" t="str">
        <f t="shared" si="64"/>
        <v>TheftCriminal_damage_other</v>
      </c>
      <c r="F563" s="734">
        <f t="shared" si="56"/>
        <v>187</v>
      </c>
      <c r="G563" s="734">
        <f>VLOOKUP(G$484&amp;G$485&amp;G$484&amp;B563&amp;G$486,reoffending_inputs,2,0)+VLOOKUP(G$484&amp;G$485&amp;G$484&amp;B564&amp;G$486,reoffending_inputs,2,0)</f>
        <v>5320130</v>
      </c>
      <c r="H563" s="734">
        <f>F563*(G563/SUM(G561:G564))</f>
        <v>182.70079811654779</v>
      </c>
      <c r="I563" s="734"/>
      <c r="J563" s="734">
        <f t="shared" si="57"/>
        <v>47819</v>
      </c>
      <c r="K563" s="734">
        <f t="shared" si="65"/>
        <v>3.8206737513655198E-3</v>
      </c>
      <c r="L563" s="734">
        <f t="shared" si="58"/>
        <v>33</v>
      </c>
      <c r="M563" s="734">
        <f>VLOOKUP(M$484&amp;M$485&amp;M$484&amp;B563&amp;M$486,reoffending_inputs,2,0)+VLOOKUP(M$484&amp;M$485&amp;M$484&amp;B564&amp;M$486,reoffending_inputs,2,0)</f>
        <v>5320130</v>
      </c>
      <c r="N563" s="734">
        <f>L563*(M563/SUM(M561:M564))</f>
        <v>32.241317314684906</v>
      </c>
      <c r="O563" s="734"/>
      <c r="P563" s="734">
        <f t="shared" si="59"/>
        <v>3196</v>
      </c>
      <c r="Q563" s="734">
        <f t="shared" si="66"/>
        <v>1.0088021687948969E-2</v>
      </c>
      <c r="R563" s="734">
        <f t="shared" si="60"/>
        <v>7.58108251331559E-3</v>
      </c>
      <c r="S563" s="734">
        <f t="shared" si="61"/>
        <v>1.9666868446232255</v>
      </c>
      <c r="T563" s="734">
        <f t="shared" si="62"/>
        <v>14.657380316370807</v>
      </c>
      <c r="U563" s="734">
        <f t="shared" si="63"/>
        <v>0.21853590104517434</v>
      </c>
      <c r="V563" s="734">
        <f>VLOOKUP(G$484&amp;G$485&amp;G$484&amp;B563&amp;G$486,reoffending_inputs,2,0)/(
VLOOKUP(G$484&amp;G$485&amp;G$484&amp;B563&amp;G$486,reoffending_inputs,2,0)+VLOOKUP(G$484&amp;G$485&amp;G$484&amp;B564&amp;G$486,reoffending_inputs,2,0))</f>
        <v>0.18931116344901347</v>
      </c>
      <c r="W563" s="734">
        <f t="shared" si="55"/>
        <v>4.1371285682240432E-2</v>
      </c>
    </row>
    <row r="564" spans="1:23">
      <c r="A564" s="114" t="s">
        <v>293</v>
      </c>
      <c r="B564" s="114" t="s">
        <v>670</v>
      </c>
      <c r="C564" s="114" t="s">
        <v>629</v>
      </c>
      <c r="D564" s="114" t="s">
        <v>636</v>
      </c>
      <c r="E564" s="114" t="str">
        <f t="shared" si="64"/>
        <v>TheftCommercial_criminal_damage–other</v>
      </c>
      <c r="F564" s="734">
        <f t="shared" si="56"/>
        <v>187</v>
      </c>
      <c r="G564" s="734"/>
      <c r="H564" s="734">
        <f>F564*(G564/SUM(G561:G564))</f>
        <v>0</v>
      </c>
      <c r="I564" s="734"/>
      <c r="J564" s="734">
        <f t="shared" si="57"/>
        <v>47819</v>
      </c>
      <c r="K564" s="734">
        <f t="shared" si="65"/>
        <v>0</v>
      </c>
      <c r="L564" s="734">
        <f t="shared" si="58"/>
        <v>33</v>
      </c>
      <c r="M564" s="734"/>
      <c r="N564" s="734">
        <f>L564*(M564/SUM(M561:M564))</f>
        <v>0</v>
      </c>
      <c r="O564" s="734"/>
      <c r="P564" s="734">
        <f t="shared" si="59"/>
        <v>3196</v>
      </c>
      <c r="Q564" s="734">
        <f t="shared" si="66"/>
        <v>0</v>
      </c>
      <c r="R564" s="734">
        <f t="shared" si="60"/>
        <v>0</v>
      </c>
      <c r="S564" s="734"/>
      <c r="T564" s="734">
        <f t="shared" si="62"/>
        <v>14.657380316370807</v>
      </c>
      <c r="U564" s="734">
        <f t="shared" si="63"/>
        <v>0</v>
      </c>
      <c r="V564" s="734">
        <f>VLOOKUP(G$484&amp;G$485&amp;G$484&amp;B564&amp;G$486,reoffending_inputs,2,0)/(
VLOOKUP(G$484&amp;G$485&amp;G$484&amp;B563&amp;G$486,reoffending_inputs,2,0)+VLOOKUP(G$484&amp;G$485&amp;G$484&amp;B564&amp;G$486,reoffending_inputs,2,0))</f>
        <v>0.81068883655098656</v>
      </c>
      <c r="W564" s="734">
        <f>U563*V564</f>
        <v>0.1771646153629339</v>
      </c>
    </row>
    <row r="565" spans="1:23">
      <c r="A565" s="114" t="s">
        <v>629</v>
      </c>
      <c r="B565" s="114" t="s">
        <v>290</v>
      </c>
      <c r="C565" s="114" t="s">
        <v>628</v>
      </c>
      <c r="D565" s="114" t="s">
        <v>636</v>
      </c>
      <c r="E565" s="114" t="str">
        <f t="shared" si="64"/>
        <v>Criminal_damage_and_arsonHomicide</v>
      </c>
      <c r="F565" s="734">
        <f t="shared" si="56"/>
        <v>143</v>
      </c>
      <c r="G565" s="734">
        <f>VLOOKUP(G$484&amp;G$485&amp;G$484&amp;$B565&amp;G$486,reoffending_inputs,2,0)</f>
        <v>570</v>
      </c>
      <c r="H565" s="734">
        <f>F565*(G565/SUM(G565:G567))</f>
        <v>4.1620710784313723E-2</v>
      </c>
      <c r="I565" s="734">
        <f>SUM(H565:H567)</f>
        <v>143</v>
      </c>
      <c r="J565" s="734">
        <f t="shared" si="57"/>
        <v>1614</v>
      </c>
      <c r="K565" s="734">
        <f t="shared" si="65"/>
        <v>2.578730531865782E-5</v>
      </c>
      <c r="L565" s="734">
        <f t="shared" si="58"/>
        <v>31</v>
      </c>
      <c r="M565" s="734">
        <f t="shared" ref="M565:M569" si="67">VLOOKUP(M$484&amp;M$485&amp;M$484&amp;B565&amp;M$486,reoffending_inputs,2,0)</f>
        <v>570</v>
      </c>
      <c r="N565" s="734">
        <f>L565*(M565/SUM(M565:M567))</f>
        <v>9.0226715686274502E-3</v>
      </c>
      <c r="O565" s="734">
        <f>SUM(N565:N567)</f>
        <v>31</v>
      </c>
      <c r="P565" s="734">
        <f t="shared" si="59"/>
        <v>346</v>
      </c>
      <c r="Q565" s="734">
        <f t="shared" si="66"/>
        <v>2.6077085458460839E-5</v>
      </c>
      <c r="R565" s="734">
        <f t="shared" si="60"/>
        <v>2.5961173402539632E-5</v>
      </c>
      <c r="S565" s="734">
        <f t="shared" ref="S565:S582" si="68">VLOOKUP($T$480&amp;$S$486&amp;$T$480&amp;$B565&amp;$S$481,reoffending_inputs,2,0)/VLOOKUP($T$480&amp;$S$486&amp;$T$480&amp;$B565&amp;$S$482,reoffending_inputs,2,0)</f>
        <v>1</v>
      </c>
      <c r="T565" s="734">
        <f t="shared" si="62"/>
        <v>13.103611616017602</v>
      </c>
      <c r="U565" s="734">
        <f t="shared" si="63"/>
        <v>3.4018513336296554E-4</v>
      </c>
      <c r="V565" s="734">
        <v>1</v>
      </c>
      <c r="W565" s="734">
        <f>U565*V565</f>
        <v>3.4018513336296554E-4</v>
      </c>
    </row>
    <row r="566" spans="1:23">
      <c r="A566" s="114" t="s">
        <v>629</v>
      </c>
      <c r="B566" s="114" t="s">
        <v>649</v>
      </c>
      <c r="C566" s="114" t="s">
        <v>628</v>
      </c>
      <c r="D566" s="114" t="s">
        <v>636</v>
      </c>
      <c r="E566" s="114" t="str">
        <f t="shared" si="64"/>
        <v>Criminal_damage_and_arsonViolence_with_injury</v>
      </c>
      <c r="F566" s="734">
        <f t="shared" si="56"/>
        <v>143</v>
      </c>
      <c r="G566" s="734">
        <f t="shared" ref="G566:G569" si="69">VLOOKUP(G$484&amp;G$485&amp;G$484&amp;B566&amp;G$486,reoffending_inputs,2,0)</f>
        <v>1104930</v>
      </c>
      <c r="H566" s="734">
        <f>F566*(G566/SUM(G565:G567))</f>
        <v>80.680652573529414</v>
      </c>
      <c r="I566" s="734"/>
      <c r="J566" s="734">
        <f t="shared" si="57"/>
        <v>1614</v>
      </c>
      <c r="K566" s="734">
        <f t="shared" si="65"/>
        <v>4.9988012746920329E-2</v>
      </c>
      <c r="L566" s="734">
        <f t="shared" si="58"/>
        <v>31</v>
      </c>
      <c r="M566" s="734">
        <f t="shared" si="67"/>
        <v>1104930</v>
      </c>
      <c r="N566" s="734">
        <f>L566*(M566/SUM(M565:M567))</f>
        <v>17.490211397058825</v>
      </c>
      <c r="O566" s="734"/>
      <c r="P566" s="734">
        <f t="shared" si="59"/>
        <v>346</v>
      </c>
      <c r="Q566" s="734">
        <f t="shared" si="66"/>
        <v>5.0549743922135335E-2</v>
      </c>
      <c r="R566" s="734">
        <f t="shared" si="60"/>
        <v>5.0325051452049338E-2</v>
      </c>
      <c r="S566" s="734">
        <f t="shared" si="68"/>
        <v>2.576795708955224</v>
      </c>
      <c r="T566" s="734">
        <f t="shared" si="62"/>
        <v>13.103611616017602</v>
      </c>
      <c r="U566" s="734">
        <f t="shared" si="63"/>
        <v>1.6992419788037243</v>
      </c>
      <c r="V566" s="734">
        <v>1</v>
      </c>
      <c r="W566" s="734">
        <f t="shared" ref="W566:W582" si="70">U566*V566</f>
        <v>1.6992419788037243</v>
      </c>
    </row>
    <row r="567" spans="1:23">
      <c r="A567" s="114" t="s">
        <v>629</v>
      </c>
      <c r="B567" s="114" t="s">
        <v>650</v>
      </c>
      <c r="C567" s="114" t="s">
        <v>628</v>
      </c>
      <c r="D567" s="114" t="s">
        <v>636</v>
      </c>
      <c r="E567" s="114" t="str">
        <f t="shared" si="64"/>
        <v>Criminal_damage_and_arsonViolence_without_injury</v>
      </c>
      <c r="F567" s="734">
        <f t="shared" si="56"/>
        <v>143</v>
      </c>
      <c r="G567" s="734">
        <f t="shared" si="69"/>
        <v>852900</v>
      </c>
      <c r="H567" s="734">
        <f>F567*(G567/SUM(G565:G567))</f>
        <v>62.277726715686271</v>
      </c>
      <c r="I567" s="734"/>
      <c r="J567" s="734">
        <f t="shared" si="57"/>
        <v>1614</v>
      </c>
      <c r="K567" s="734">
        <f t="shared" si="65"/>
        <v>3.8585952116286411E-2</v>
      </c>
      <c r="L567" s="734">
        <f t="shared" si="58"/>
        <v>31</v>
      </c>
      <c r="M567" s="734">
        <f t="shared" si="67"/>
        <v>852900</v>
      </c>
      <c r="N567" s="734">
        <f>L567*(M567/SUM(M565:M567))</f>
        <v>13.500765931372548</v>
      </c>
      <c r="O567" s="734"/>
      <c r="P567" s="734">
        <f t="shared" si="59"/>
        <v>346</v>
      </c>
      <c r="Q567" s="734">
        <f t="shared" si="66"/>
        <v>3.9019554714949563E-2</v>
      </c>
      <c r="R567" s="734">
        <f t="shared" si="60"/>
        <v>3.8846113675484302E-2</v>
      </c>
      <c r="S567" s="734">
        <f t="shared" si="68"/>
        <v>1.5379205885534999</v>
      </c>
      <c r="T567" s="734">
        <f t="shared" si="62"/>
        <v>13.103611616017602</v>
      </c>
      <c r="U567" s="734">
        <f t="shared" si="63"/>
        <v>0.78283908391301527</v>
      </c>
      <c r="V567" s="734">
        <v>1</v>
      </c>
      <c r="W567" s="734">
        <f t="shared" si="70"/>
        <v>0.78283908391301527</v>
      </c>
    </row>
    <row r="568" spans="1:23">
      <c r="A568" s="176" t="s">
        <v>629</v>
      </c>
      <c r="B568" s="176" t="s">
        <v>544</v>
      </c>
      <c r="C568" s="176" t="s">
        <v>617</v>
      </c>
      <c r="D568" s="176" t="s">
        <v>636</v>
      </c>
      <c r="E568" s="176" t="str">
        <f t="shared" si="64"/>
        <v>Criminal_damage_and_arsonRape</v>
      </c>
      <c r="F568" s="1046">
        <f t="shared" si="56"/>
        <v>4</v>
      </c>
      <c r="G568" s="1046">
        <f t="shared" si="69"/>
        <v>121750</v>
      </c>
      <c r="H568" s="1046">
        <f>F568*(G568/SUM(G568:G569))</f>
        <v>0.38679342689445384</v>
      </c>
      <c r="I568" s="1046">
        <f>SUM(H568:H569)</f>
        <v>4</v>
      </c>
      <c r="J568" s="1046">
        <f t="shared" si="57"/>
        <v>1614</v>
      </c>
      <c r="K568" s="1046">
        <f t="shared" si="65"/>
        <v>2.3964896337946335E-4</v>
      </c>
      <c r="L568" s="1046">
        <f t="shared" si="58"/>
        <v>0</v>
      </c>
      <c r="M568" s="1046">
        <f t="shared" si="67"/>
        <v>121750</v>
      </c>
      <c r="N568" s="1046">
        <f>L568*(M568/SUM(M568:M569))</f>
        <v>0</v>
      </c>
      <c r="O568" s="1046">
        <f>SUM(N568:N569)</f>
        <v>0</v>
      </c>
      <c r="P568" s="1046">
        <f t="shared" si="59"/>
        <v>346</v>
      </c>
      <c r="Q568" s="1046">
        <f t="shared" si="66"/>
        <v>0</v>
      </c>
      <c r="R568" s="1046">
        <f t="shared" si="60"/>
        <v>9.5859585351785345E-5</v>
      </c>
      <c r="S568" s="1046">
        <f t="shared" si="68"/>
        <v>3.4113196973942279</v>
      </c>
      <c r="T568" s="734">
        <f t="shared" si="62"/>
        <v>32.262050536796515</v>
      </c>
      <c r="U568" s="1046">
        <f t="shared" si="63"/>
        <v>1.0549938675371989E-2</v>
      </c>
      <c r="V568" s="734">
        <v>1</v>
      </c>
      <c r="W568" s="734">
        <f t="shared" si="70"/>
        <v>1.0549938675371989E-2</v>
      </c>
    </row>
    <row r="569" spans="1:23">
      <c r="A569" s="176" t="s">
        <v>629</v>
      </c>
      <c r="B569" s="176" t="s">
        <v>651</v>
      </c>
      <c r="C569" s="176" t="s">
        <v>617</v>
      </c>
      <c r="D569" s="176" t="s">
        <v>636</v>
      </c>
      <c r="E569" s="176" t="str">
        <f t="shared" si="64"/>
        <v>Criminal_damage_and_arsonOther_sexual_offences</v>
      </c>
      <c r="F569" s="1046">
        <f t="shared" si="56"/>
        <v>4</v>
      </c>
      <c r="G569" s="1046">
        <f t="shared" si="69"/>
        <v>1137320</v>
      </c>
      <c r="H569" s="1046">
        <f>F569*(G569/SUM(G568:G569))</f>
        <v>3.613206573105546</v>
      </c>
      <c r="I569" s="1046"/>
      <c r="J569" s="1046">
        <f t="shared" si="57"/>
        <v>1614</v>
      </c>
      <c r="K569" s="1046">
        <f t="shared" si="65"/>
        <v>2.2386657825932753E-3</v>
      </c>
      <c r="L569" s="1046">
        <f t="shared" si="58"/>
        <v>0</v>
      </c>
      <c r="M569" s="1046">
        <f t="shared" si="67"/>
        <v>1137320</v>
      </c>
      <c r="N569" s="1046">
        <f>L569*(M569/SUM(M568:M569))</f>
        <v>0</v>
      </c>
      <c r="O569" s="1046"/>
      <c r="P569" s="1046">
        <f t="shared" si="59"/>
        <v>346</v>
      </c>
      <c r="Q569" s="1046">
        <f t="shared" si="66"/>
        <v>0</v>
      </c>
      <c r="R569" s="1046">
        <f t="shared" si="60"/>
        <v>8.9546631303731019E-4</v>
      </c>
      <c r="S569" s="1046">
        <f t="shared" si="68"/>
        <v>16.487677587706582</v>
      </c>
      <c r="T569" s="734">
        <f t="shared" si="62"/>
        <v>32.262050536796515</v>
      </c>
      <c r="U569" s="1046">
        <f t="shared" si="63"/>
        <v>0.47632207153703376</v>
      </c>
      <c r="V569" s="734">
        <v>1</v>
      </c>
      <c r="W569" s="734">
        <f t="shared" si="70"/>
        <v>0.47632207153703376</v>
      </c>
    </row>
    <row r="570" spans="1:23">
      <c r="A570" s="114" t="s">
        <v>629</v>
      </c>
      <c r="B570" s="114" t="s">
        <v>292</v>
      </c>
      <c r="C570" s="114" t="s">
        <v>292</v>
      </c>
      <c r="D570" s="114" t="s">
        <v>636</v>
      </c>
      <c r="E570" s="114" t="str">
        <f t="shared" si="64"/>
        <v>Criminal_damage_and_arsonRobbery</v>
      </c>
      <c r="F570" s="734">
        <f t="shared" si="56"/>
        <v>5</v>
      </c>
      <c r="G570" s="734">
        <f>VLOOKUP(G$484&amp;G$485&amp;G$484&amp;B570&amp;G$486,reoffending_inputs,2,0)+VLOOKUP(G$484&amp;G$485&amp;G$484&amp;B571&amp;G$486,reoffending_inputs,2,0)</f>
        <v>296040</v>
      </c>
      <c r="H570" s="734">
        <f>F570*(G570/SUM(G570:G571))</f>
        <v>5</v>
      </c>
      <c r="I570" s="734">
        <f>SUM(H570:H571)</f>
        <v>5</v>
      </c>
      <c r="J570" s="734">
        <f t="shared" si="57"/>
        <v>1614</v>
      </c>
      <c r="K570" s="734">
        <f t="shared" si="65"/>
        <v>3.0978934324659233E-3</v>
      </c>
      <c r="L570" s="734">
        <f t="shared" si="58"/>
        <v>17</v>
      </c>
      <c r="M570" s="734">
        <f>VLOOKUP(M$484&amp;M$485&amp;M$484&amp;B570&amp;M$486,reoffending_inputs,2,0)+VLOOKUP(M$484&amp;M$485&amp;M$484&amp;B571&amp;M$486,reoffending_inputs,2,0)</f>
        <v>296040</v>
      </c>
      <c r="N570" s="734">
        <f>L570*(M570/SUM(M570:M571))</f>
        <v>17</v>
      </c>
      <c r="O570" s="734">
        <f>SUM(N570:N571)</f>
        <v>17</v>
      </c>
      <c r="P570" s="734">
        <f t="shared" si="59"/>
        <v>346</v>
      </c>
      <c r="Q570" s="734">
        <f t="shared" si="66"/>
        <v>4.9132947976878616E-2</v>
      </c>
      <c r="R570" s="734">
        <f t="shared" si="60"/>
        <v>3.0718926159113535E-2</v>
      </c>
      <c r="S570" s="734">
        <f t="shared" si="68"/>
        <v>4.2680344142951689</v>
      </c>
      <c r="T570" s="734">
        <f t="shared" si="62"/>
        <v>15.814818207757394</v>
      </c>
      <c r="U570" s="734">
        <f t="shared" si="63"/>
        <v>2.0734718643053838</v>
      </c>
      <c r="V570" s="734">
        <f>VLOOKUP(G$484&amp;G$485&amp;G$484&amp;B570&amp;G$486,reoffending_inputs,2,0)/
(VLOOKUP(G$484&amp;G$485&amp;G$484&amp;B570&amp;G$486,reoffending_inputs,2,0)+VLOOKUP(G$484&amp;G$485&amp;G$484&amp;B571&amp;G$486,reoffending_inputs,2,0))</f>
        <v>0.65352655046615327</v>
      </c>
      <c r="W570" s="734">
        <f t="shared" si="70"/>
        <v>1.3550689149681212</v>
      </c>
    </row>
    <row r="571" spans="1:23">
      <c r="A571" s="114" t="s">
        <v>629</v>
      </c>
      <c r="B571" s="114" t="s">
        <v>658</v>
      </c>
      <c r="C571" s="114" t="s">
        <v>292</v>
      </c>
      <c r="D571" s="114" t="s">
        <v>636</v>
      </c>
      <c r="E571" s="114" t="str">
        <f t="shared" si="64"/>
        <v>Criminal_damage_and_arsonCommercial_robbery</v>
      </c>
      <c r="F571" s="734">
        <f t="shared" si="56"/>
        <v>5</v>
      </c>
      <c r="G571" s="734"/>
      <c r="H571" s="734">
        <f>F571*(G571/SUM(G570:G571))</f>
        <v>0</v>
      </c>
      <c r="I571" s="734"/>
      <c r="J571" s="734">
        <f t="shared" si="57"/>
        <v>1614</v>
      </c>
      <c r="K571" s="734">
        <f t="shared" si="65"/>
        <v>0</v>
      </c>
      <c r="L571" s="734">
        <f t="shared" si="58"/>
        <v>17</v>
      </c>
      <c r="M571" s="734"/>
      <c r="N571" s="734">
        <f>L571*(M571/SUM(M570:M571))</f>
        <v>0</v>
      </c>
      <c r="O571" s="734"/>
      <c r="P571" s="734">
        <f t="shared" si="59"/>
        <v>346</v>
      </c>
      <c r="Q571" s="734">
        <f t="shared" si="66"/>
        <v>0</v>
      </c>
      <c r="R571" s="734">
        <f t="shared" si="60"/>
        <v>0</v>
      </c>
      <c r="S571" s="734"/>
      <c r="T571" s="734">
        <f t="shared" si="62"/>
        <v>15.814818207757394</v>
      </c>
      <c r="U571" s="734">
        <f t="shared" si="63"/>
        <v>0</v>
      </c>
      <c r="V571" s="734">
        <f>VLOOKUP(G$484&amp;G$485&amp;G$484&amp;B571&amp;G$486,reoffending_inputs,2,0)/
(VLOOKUP(G$484&amp;G$485&amp;G$484&amp;B570&amp;G$486,reoffending_inputs,2,0)+VLOOKUP(G$484&amp;G$485&amp;G$484&amp;B571&amp;G$486,reoffending_inputs,2,0))</f>
        <v>0.34647344953384679</v>
      </c>
      <c r="W571" s="734">
        <f>U570*V571</f>
        <v>0.71840294933726256</v>
      </c>
    </row>
    <row r="572" spans="1:23">
      <c r="A572" s="176" t="s">
        <v>629</v>
      </c>
      <c r="B572" s="176" t="s">
        <v>652</v>
      </c>
      <c r="C572" s="176" t="s">
        <v>293</v>
      </c>
      <c r="D572" s="176" t="s">
        <v>636</v>
      </c>
      <c r="E572" s="176" t="str">
        <f t="shared" si="64"/>
        <v>Criminal_damage_and_arsonDomestic_Burglary</v>
      </c>
      <c r="F572" s="1046">
        <f t="shared" si="56"/>
        <v>259</v>
      </c>
      <c r="G572" s="1046">
        <f>VLOOKUP(G$484&amp;G$485&amp;G$484&amp;B572&amp;G$486,reoffending_inputs,2,0)+VLOOKUP(G$484&amp;G$485&amp;G$484&amp;B573&amp;G$486,reoffending_inputs,2,0)</f>
        <v>1005700</v>
      </c>
      <c r="H572" s="1046">
        <f>F572*(G572/SUM(G572:G579))</f>
        <v>112.68761707816171</v>
      </c>
      <c r="I572" s="1046">
        <f>SUM(H572:H579)</f>
        <v>259</v>
      </c>
      <c r="J572" s="1046">
        <f t="shared" si="57"/>
        <v>1614</v>
      </c>
      <c r="K572" s="1046">
        <f t="shared" si="65"/>
        <v>6.9818845773334387E-2</v>
      </c>
      <c r="L572" s="1046">
        <f t="shared" si="58"/>
        <v>113</v>
      </c>
      <c r="M572" s="1046">
        <f>VLOOKUP(M$484&amp;M$485&amp;M$484&amp;B572&amp;M$486,reoffending_inputs,2,0)+VLOOKUP(M$484&amp;M$485&amp;M$484&amp;B573&amp;M$486,reoffending_inputs,2,0)</f>
        <v>1005700</v>
      </c>
      <c r="N572" s="1046">
        <f>L572*(M572/SUM(M572:M579))</f>
        <v>49.164867682750092</v>
      </c>
      <c r="O572" s="1046">
        <f>SUM(N572:N579)</f>
        <v>113</v>
      </c>
      <c r="P572" s="1046">
        <f t="shared" si="59"/>
        <v>346</v>
      </c>
      <c r="Q572" s="1046">
        <f t="shared" si="66"/>
        <v>0.14209499330274594</v>
      </c>
      <c r="R572" s="1046">
        <f t="shared" si="60"/>
        <v>0.11318453429098131</v>
      </c>
      <c r="S572" s="1046">
        <f t="shared" si="68"/>
        <v>3.5749189856488863</v>
      </c>
      <c r="T572" s="734">
        <f t="shared" si="62"/>
        <v>19.020036437502281</v>
      </c>
      <c r="U572" s="1046">
        <f t="shared" si="63"/>
        <v>7.6959925242089025</v>
      </c>
      <c r="V572" s="734">
        <f>VLOOKUP(G$484&amp;G$485&amp;G$484&amp;B572&amp;G$486,reoffending_inputs,2,0)/
(VLOOKUP(G$484&amp;G$485&amp;G$484&amp;B572&amp;G$486,reoffending_inputs,2,0)+VLOOKUP(G$484&amp;G$485&amp;G$484&amp;B573&amp;G$486,reoffending_inputs,2,0))</f>
        <v>0.69106095257034905</v>
      </c>
      <c r="W572" s="734">
        <f t="shared" si="70"/>
        <v>5.3183999247540896</v>
      </c>
    </row>
    <row r="573" spans="1:23">
      <c r="A573" s="176" t="s">
        <v>629</v>
      </c>
      <c r="B573" s="176" t="s">
        <v>659</v>
      </c>
      <c r="C573" s="176" t="s">
        <v>293</v>
      </c>
      <c r="D573" s="176" t="s">
        <v>636</v>
      </c>
      <c r="E573" s="176" t="str">
        <f t="shared" si="64"/>
        <v>Criminal_damage_and_arsonCommercial_burglary</v>
      </c>
      <c r="F573" s="1046">
        <f t="shared" si="56"/>
        <v>259</v>
      </c>
      <c r="G573" s="1046"/>
      <c r="H573" s="1046">
        <f>F573*(G573/SUM(G572:G579))</f>
        <v>0</v>
      </c>
      <c r="I573" s="1046"/>
      <c r="J573" s="1046">
        <f t="shared" si="57"/>
        <v>1614</v>
      </c>
      <c r="K573" s="1046">
        <f t="shared" si="65"/>
        <v>0</v>
      </c>
      <c r="L573" s="1046">
        <f t="shared" si="58"/>
        <v>113</v>
      </c>
      <c r="M573" s="1046"/>
      <c r="N573" s="1046">
        <f>L573*(M573/SUM(M572:M579))</f>
        <v>0</v>
      </c>
      <c r="O573" s="1046"/>
      <c r="P573" s="1046">
        <f t="shared" si="59"/>
        <v>346</v>
      </c>
      <c r="Q573" s="1046">
        <f t="shared" si="66"/>
        <v>0</v>
      </c>
      <c r="R573" s="1046">
        <f t="shared" si="60"/>
        <v>0</v>
      </c>
      <c r="S573" s="1046"/>
      <c r="T573" s="734">
        <f t="shared" si="62"/>
        <v>19.020036437502281</v>
      </c>
      <c r="U573" s="1046">
        <f t="shared" si="63"/>
        <v>0</v>
      </c>
      <c r="V573" s="734">
        <f>VLOOKUP(G$484&amp;G$485&amp;G$484&amp;B573&amp;G$486,reoffending_inputs,2,0)/
(VLOOKUP(G$484&amp;G$485&amp;G$484&amp;B572&amp;G$486,reoffending_inputs,2,0)+VLOOKUP(G$484&amp;G$485&amp;G$484&amp;B573&amp;G$486,reoffending_inputs,2,0))</f>
        <v>0.308939047429651</v>
      </c>
      <c r="W573" s="734">
        <f>U572*V573</f>
        <v>2.3775925994548137</v>
      </c>
    </row>
    <row r="574" spans="1:23">
      <c r="A574" s="176" t="s">
        <v>629</v>
      </c>
      <c r="B574" s="176" t="s">
        <v>655</v>
      </c>
      <c r="C574" s="176" t="s">
        <v>293</v>
      </c>
      <c r="D574" s="176" t="s">
        <v>636</v>
      </c>
      <c r="E574" s="176" t="str">
        <f t="shared" si="64"/>
        <v>Criminal_damage_and_arsonTheft_from_person</v>
      </c>
      <c r="F574" s="1046">
        <f t="shared" si="56"/>
        <v>259</v>
      </c>
      <c r="G574" s="1046">
        <f>VLOOKUP(G$484&amp;G$485&amp;G$484&amp;B575&amp;G$486,reoffending_inputs,2,0)+VLOOKUP(G$484&amp;G$485&amp;G$484&amp;B574&amp;G$486,reoffending_inputs,2,0)</f>
        <v>467640</v>
      </c>
      <c r="H574" s="1046">
        <f>F574*(G574/SUM(G572:G579))</f>
        <v>52.398565427494816</v>
      </c>
      <c r="I574" s="1046"/>
      <c r="J574" s="1046">
        <f t="shared" si="57"/>
        <v>1614</v>
      </c>
      <c r="K574" s="1046">
        <f t="shared" si="65"/>
        <v>3.2465034341694433E-2</v>
      </c>
      <c r="L574" s="1046">
        <f t="shared" si="58"/>
        <v>113</v>
      </c>
      <c r="M574" s="1046">
        <f>VLOOKUP(M$484&amp;M$485&amp;M$484&amp;B574&amp;M$486,reoffending_inputs,2,0)+VLOOKUP(M$484&amp;M$485&amp;M$484&amp;B575&amp;M$486,reoffending_inputs,2,0)</f>
        <v>467640</v>
      </c>
      <c r="N574" s="1046">
        <f>L574*(M574/SUM(M572:M579))</f>
        <v>22.861150167208162</v>
      </c>
      <c r="O574" s="1046"/>
      <c r="P574" s="1046">
        <f t="shared" si="59"/>
        <v>346</v>
      </c>
      <c r="Q574" s="1046">
        <f t="shared" si="66"/>
        <v>6.6072688344532254E-2</v>
      </c>
      <c r="R574" s="1046">
        <f t="shared" si="60"/>
        <v>5.262962674339712E-2</v>
      </c>
      <c r="S574" s="1046">
        <f t="shared" si="68"/>
        <v>5.9058641975308639</v>
      </c>
      <c r="T574" s="734">
        <f t="shared" si="62"/>
        <v>19.020036437502281</v>
      </c>
      <c r="U574" s="1046">
        <f t="shared" si="63"/>
        <v>5.9118729321472401</v>
      </c>
      <c r="V574" s="734">
        <f>VLOOKUP(G$484&amp;G$485&amp;G$484&amp;B574&amp;G$486,reoffending_inputs,2,0)/
(VLOOKUP(G$484&amp;G$485&amp;G$484&amp;B575&amp;G$486,reoffending_inputs,2,0)+VLOOKUP(G$484&amp;G$485&amp;G$484&amp;B574&amp;G$486,reoffending_inputs,2,0))</f>
        <v>0.98203746471644859</v>
      </c>
      <c r="W574" s="734">
        <f t="shared" si="70"/>
        <v>5.8056807060116729</v>
      </c>
    </row>
    <row r="575" spans="1:23">
      <c r="A575" s="176" t="s">
        <v>629</v>
      </c>
      <c r="B575" s="176" t="s">
        <v>660</v>
      </c>
      <c r="C575" s="176" t="s">
        <v>293</v>
      </c>
      <c r="D575" s="176" t="s">
        <v>636</v>
      </c>
      <c r="E575" s="176" t="str">
        <f t="shared" si="64"/>
        <v>Criminal_damage_and_arsonCommercial_theft</v>
      </c>
      <c r="F575" s="1046">
        <f t="shared" si="56"/>
        <v>259</v>
      </c>
      <c r="G575" s="1046"/>
      <c r="H575" s="1046">
        <f>F575*(G575/SUM(G572:G579))</f>
        <v>0</v>
      </c>
      <c r="I575" s="1046"/>
      <c r="J575" s="1046">
        <f t="shared" si="57"/>
        <v>1614</v>
      </c>
      <c r="K575" s="1046">
        <f t="shared" si="65"/>
        <v>0</v>
      </c>
      <c r="L575" s="1046">
        <f t="shared" si="58"/>
        <v>113</v>
      </c>
      <c r="M575" s="1046"/>
      <c r="N575" s="1046">
        <f>L575*(M575/SUM(M572:M579))</f>
        <v>0</v>
      </c>
      <c r="O575" s="1046"/>
      <c r="P575" s="1046">
        <f t="shared" si="59"/>
        <v>346</v>
      </c>
      <c r="Q575" s="1046">
        <f t="shared" si="66"/>
        <v>0</v>
      </c>
      <c r="R575" s="1046">
        <f t="shared" si="60"/>
        <v>0</v>
      </c>
      <c r="S575" s="1046"/>
      <c r="T575" s="734">
        <f t="shared" si="62"/>
        <v>19.020036437502281</v>
      </c>
      <c r="U575" s="1046">
        <f t="shared" si="63"/>
        <v>0</v>
      </c>
      <c r="V575" s="734">
        <f>VLOOKUP(G$484&amp;G$485&amp;G$484&amp;B575&amp;G$486,reoffending_inputs,2,0)/
(VLOOKUP(G$484&amp;G$485&amp;G$484&amp;B575&amp;G$486,reoffending_inputs,2,0)+VLOOKUP(G$484&amp;G$485&amp;G$484&amp;B574&amp;G$486,reoffending_inputs,2,0))</f>
        <v>1.7962535283551451E-2</v>
      </c>
      <c r="W575" s="734">
        <f>U574*V575</f>
        <v>0.10619222613556757</v>
      </c>
    </row>
    <row r="576" spans="1:23">
      <c r="A576" s="176" t="s">
        <v>629</v>
      </c>
      <c r="B576" s="176" t="s">
        <v>653</v>
      </c>
      <c r="C576" s="176" t="s">
        <v>293</v>
      </c>
      <c r="D576" s="176" t="s">
        <v>636</v>
      </c>
      <c r="E576" s="176" t="str">
        <f t="shared" si="64"/>
        <v>Criminal_damage_and_arsonTheft_of_vehicle</v>
      </c>
      <c r="F576" s="1046">
        <f t="shared" si="56"/>
        <v>259</v>
      </c>
      <c r="G576" s="1046">
        <f>VLOOKUP(G$484&amp;G$485&amp;G$484&amp;B576&amp;G$486,reoffending_inputs,2,0)+VLOOKUP(G$484&amp;G$485&amp;G$484&amp;B577&amp;G$486,reoffending_inputs,2,0)</f>
        <v>127890</v>
      </c>
      <c r="H576" s="1046">
        <f>F576*(G576/SUM(G572:G579))</f>
        <v>14.329938697550064</v>
      </c>
      <c r="I576" s="1046"/>
      <c r="J576" s="1046">
        <f t="shared" si="57"/>
        <v>1614</v>
      </c>
      <c r="K576" s="1046">
        <f t="shared" si="65"/>
        <v>8.878524595755926E-3</v>
      </c>
      <c r="L576" s="1046">
        <f t="shared" si="58"/>
        <v>113</v>
      </c>
      <c r="M576" s="1046">
        <f>VLOOKUP(M$484&amp;M$485&amp;M$484&amp;B576&amp;M$486,reoffending_inputs,2,0)+VLOOKUP(M$484&amp;M$485&amp;M$484&amp;B577&amp;M$486,reoffending_inputs,2,0)</f>
        <v>127890</v>
      </c>
      <c r="N576" s="1046">
        <f>L576*(M576/SUM(M572:M579))</f>
        <v>6.2520581962284068</v>
      </c>
      <c r="O576" s="1046"/>
      <c r="P576" s="1046">
        <f t="shared" si="59"/>
        <v>346</v>
      </c>
      <c r="Q576" s="1046">
        <f t="shared" si="66"/>
        <v>1.8069532359041639E-2</v>
      </c>
      <c r="R576" s="1046">
        <f t="shared" si="60"/>
        <v>1.4393129253727354E-2</v>
      </c>
      <c r="S576" s="1046">
        <f t="shared" si="68"/>
        <v>0.83261907677237668</v>
      </c>
      <c r="T576" s="734">
        <f t="shared" si="62"/>
        <v>19.020036437502281</v>
      </c>
      <c r="U576" s="1046">
        <f t="shared" si="63"/>
        <v>0.22793600237760561</v>
      </c>
      <c r="V576" s="734">
        <f>VLOOKUP(G$484&amp;G$485&amp;G$484&amp;B576&amp;G$486,reoffending_inputs,2,0)/
(VLOOKUP(G$484&amp;G$485&amp;G$484&amp;B576&amp;G$486,reoffending_inputs,2,0)+VLOOKUP(G$484&amp;G$485&amp;G$484&amp;B577&amp;G$486,reoffending_inputs,2,0))</f>
        <v>0.53170693564782234</v>
      </c>
      <c r="W576" s="734">
        <f t="shared" si="70"/>
        <v>0.12119515334801143</v>
      </c>
    </row>
    <row r="577" spans="1:52">
      <c r="A577" s="176" t="s">
        <v>629</v>
      </c>
      <c r="B577" s="176" t="s">
        <v>694</v>
      </c>
      <c r="C577" s="176" t="s">
        <v>293</v>
      </c>
      <c r="D577" s="176" t="s">
        <v>636</v>
      </c>
      <c r="E577" s="176" t="str">
        <f t="shared" si="64"/>
        <v>Criminal_damage_and_arsonTheft_of_commercial_vehicle</v>
      </c>
      <c r="F577" s="1046">
        <f t="shared" si="56"/>
        <v>259</v>
      </c>
      <c r="G577" s="1046"/>
      <c r="H577" s="1046">
        <f>F577*(G577/SUM(G572:G579))</f>
        <v>0</v>
      </c>
      <c r="I577" s="1046"/>
      <c r="J577" s="1046">
        <f t="shared" si="57"/>
        <v>1614</v>
      </c>
      <c r="K577" s="1046">
        <f t="shared" si="65"/>
        <v>0</v>
      </c>
      <c r="L577" s="1046">
        <f t="shared" si="58"/>
        <v>113</v>
      </c>
      <c r="M577" s="1046"/>
      <c r="N577" s="1046">
        <f>L577*(M577/SUM(M572:M579))</f>
        <v>0</v>
      </c>
      <c r="O577" s="1046"/>
      <c r="P577" s="1046">
        <f t="shared" si="59"/>
        <v>346</v>
      </c>
      <c r="Q577" s="1046">
        <f t="shared" si="66"/>
        <v>0</v>
      </c>
      <c r="R577" s="1046">
        <f t="shared" si="60"/>
        <v>0</v>
      </c>
      <c r="S577" s="1046"/>
      <c r="T577" s="734">
        <f t="shared" si="62"/>
        <v>19.020036437502281</v>
      </c>
      <c r="U577" s="1046">
        <f t="shared" si="63"/>
        <v>0</v>
      </c>
      <c r="V577" s="734">
        <f>VLOOKUP(G$484&amp;G$485&amp;G$484&amp;B577&amp;G$486,reoffending_inputs,2,0)/
(VLOOKUP(G$484&amp;G$485&amp;G$484&amp;B576&amp;G$486,reoffending_inputs,2,0)+VLOOKUP(G$484&amp;G$485&amp;G$484&amp;B577&amp;G$486,reoffending_inputs,2,0))</f>
        <v>0.46829306435217766</v>
      </c>
      <c r="W577" s="734">
        <f>U576*V577</f>
        <v>0.10674084902959419</v>
      </c>
    </row>
    <row r="578" spans="1:52">
      <c r="A578" s="176" t="s">
        <v>629</v>
      </c>
      <c r="B578" s="176" t="s">
        <v>654</v>
      </c>
      <c r="C578" s="176" t="s">
        <v>293</v>
      </c>
      <c r="D578" s="176" t="s">
        <v>636</v>
      </c>
      <c r="E578" s="176" t="str">
        <f t="shared" si="64"/>
        <v>Criminal_damage_and_arsonTheft_from_vehicle</v>
      </c>
      <c r="F578" s="1046">
        <f t="shared" si="56"/>
        <v>259</v>
      </c>
      <c r="G578" s="1046">
        <f>VLOOKUP(G$484&amp;G$485&amp;G$484&amp;B578&amp;G$486,reoffending_inputs,2,0)+VLOOKUP(G$484&amp;G$485&amp;G$484&amp;B579&amp;G$486,reoffending_inputs,2,0)</f>
        <v>710260</v>
      </c>
      <c r="H578" s="1046">
        <f>F578*(G578/SUM(G572:G579))</f>
        <v>79.5838787967934</v>
      </c>
      <c r="I578" s="1046"/>
      <c r="J578" s="1046">
        <f t="shared" si="57"/>
        <v>1614</v>
      </c>
      <c r="K578" s="1046">
        <f t="shared" si="65"/>
        <v>4.9308475090950064E-2</v>
      </c>
      <c r="L578" s="1046">
        <f t="shared" si="58"/>
        <v>113</v>
      </c>
      <c r="M578" s="1046">
        <f>VLOOKUP(M$484&amp;M$485&amp;M$484&amp;B578&amp;M$486,reoffending_inputs,2,0)+VLOOKUP(M$484&amp;M$485&amp;M$484&amp;B579&amp;M$486,reoffending_inputs,2,0)</f>
        <v>710260</v>
      </c>
      <c r="N578" s="1046">
        <f>L578*(M578/SUM(M572:M579))</f>
        <v>34.721923953813338</v>
      </c>
      <c r="O578" s="1046"/>
      <c r="P578" s="1046">
        <f t="shared" si="59"/>
        <v>346</v>
      </c>
      <c r="Q578" s="1046">
        <f t="shared" si="66"/>
        <v>0.10035238136940271</v>
      </c>
      <c r="R578" s="1046">
        <f t="shared" si="60"/>
        <v>7.9934818858021645E-2</v>
      </c>
      <c r="S578" s="1046">
        <f t="shared" si="68"/>
        <v>2.5635632953784326</v>
      </c>
      <c r="T578" s="734">
        <f t="shared" si="62"/>
        <v>19.020036437502281</v>
      </c>
      <c r="U578" s="1046">
        <f t="shared" si="63"/>
        <v>3.897547211347669</v>
      </c>
      <c r="V578" s="734">
        <f>VLOOKUP(G$484&amp;G$485&amp;G$484&amp;B578&amp;G$486,reoffending_inputs,2,0)/
(VLOOKUP(G$484&amp;G$485&amp;G$484&amp;B578&amp;G$486,reoffending_inputs,2,0)+VLOOKUP(G$484&amp;G$485&amp;G$484&amp;B579&amp;G$486,reoffending_inputs,2,0))</f>
        <v>0.80830963309210713</v>
      </c>
      <c r="W578" s="734">
        <f t="shared" si="70"/>
        <v>3.1504249563635995</v>
      </c>
    </row>
    <row r="579" spans="1:52">
      <c r="A579" s="176" t="s">
        <v>629</v>
      </c>
      <c r="B579" s="176" t="s">
        <v>668</v>
      </c>
      <c r="C579" s="176" t="s">
        <v>293</v>
      </c>
      <c r="D579" s="176" t="s">
        <v>636</v>
      </c>
      <c r="E579" s="176" t="str">
        <f t="shared" si="64"/>
        <v>Criminal_damage_and_arsonTheft_from_commercial_vehicle</v>
      </c>
      <c r="F579" s="1046">
        <f t="shared" si="56"/>
        <v>259</v>
      </c>
      <c r="G579" s="1046"/>
      <c r="H579" s="1046">
        <f>F579*(G579/SUM(G572:G579))</f>
        <v>0</v>
      </c>
      <c r="I579" s="1046"/>
      <c r="J579" s="1046">
        <f t="shared" si="57"/>
        <v>1614</v>
      </c>
      <c r="K579" s="1046">
        <f t="shared" si="65"/>
        <v>0</v>
      </c>
      <c r="L579" s="1046">
        <f t="shared" si="58"/>
        <v>113</v>
      </c>
      <c r="M579" s="1046"/>
      <c r="N579" s="1046">
        <f>L579*(M579/SUM(M572:M579))</f>
        <v>0</v>
      </c>
      <c r="O579" s="1046"/>
      <c r="P579" s="1046">
        <f t="shared" si="59"/>
        <v>346</v>
      </c>
      <c r="Q579" s="1046">
        <f t="shared" si="66"/>
        <v>0</v>
      </c>
      <c r="R579" s="1046">
        <f t="shared" si="60"/>
        <v>0</v>
      </c>
      <c r="S579" s="1046"/>
      <c r="T579" s="734">
        <f t="shared" si="62"/>
        <v>19.020036437502281</v>
      </c>
      <c r="U579" s="1046">
        <f t="shared" si="63"/>
        <v>0</v>
      </c>
      <c r="V579" s="734">
        <f>VLOOKUP(G$484&amp;G$485&amp;G$484&amp;B579&amp;G$486,reoffending_inputs,2,0)/
(VLOOKUP(G$484&amp;G$485&amp;G$484&amp;B578&amp;G$486,reoffending_inputs,2,0)+VLOOKUP(G$484&amp;G$485&amp;G$484&amp;B579&amp;G$486,reoffending_inputs,2,0))</f>
        <v>0.19169036690789287</v>
      </c>
      <c r="W579" s="734">
        <f>U578*V579</f>
        <v>0.74712225498406937</v>
      </c>
    </row>
    <row r="580" spans="1:52">
      <c r="A580" s="114" t="s">
        <v>629</v>
      </c>
      <c r="B580" s="114" t="s">
        <v>656</v>
      </c>
      <c r="C580" s="114" t="s">
        <v>629</v>
      </c>
      <c r="D580" s="114" t="s">
        <v>636</v>
      </c>
      <c r="E580" s="114" t="str">
        <f t="shared" si="64"/>
        <v>Criminal_damage_and_arsonCriminal_damage_arson</v>
      </c>
      <c r="F580" s="734">
        <f t="shared" si="56"/>
        <v>26</v>
      </c>
      <c r="G580" s="734">
        <f>VLOOKUP(G$484&amp;G$485&amp;G$484&amp;B580&amp;G$486,reoffending_inputs,2,0)+VLOOKUP(G$484&amp;G$485&amp;G$484&amp;B581&amp;G$486,reoffending_inputs,2,0)</f>
        <v>125190</v>
      </c>
      <c r="H580" s="734">
        <f>F580*(G580/SUM(G580:G583))</f>
        <v>0.59774999449068189</v>
      </c>
      <c r="I580" s="734">
        <f>SUM(H580:H583)</f>
        <v>25.999999999999996</v>
      </c>
      <c r="J580" s="734">
        <f t="shared" si="57"/>
        <v>1614</v>
      </c>
      <c r="K580" s="734">
        <f t="shared" si="65"/>
        <v>3.7035315643784501E-4</v>
      </c>
      <c r="L580" s="734">
        <f t="shared" si="58"/>
        <v>24</v>
      </c>
      <c r="M580" s="734">
        <f>VLOOKUP(M$484&amp;M$485&amp;M$484&amp;B580&amp;M$486,reoffending_inputs,2,0)+VLOOKUP(M$484&amp;M$485&amp;M$484&amp;B581&amp;M$486,reoffending_inputs,2,0)</f>
        <v>125190</v>
      </c>
      <c r="N580" s="734">
        <f>L580*(M580/SUM(M580:M583))</f>
        <v>0.55176922568370634</v>
      </c>
      <c r="O580" s="734">
        <f>SUM(N580:N583)</f>
        <v>24</v>
      </c>
      <c r="P580" s="734">
        <f t="shared" si="59"/>
        <v>346</v>
      </c>
      <c r="Q580" s="734">
        <f t="shared" si="66"/>
        <v>1.5947087447505963E-3</v>
      </c>
      <c r="R580" s="734">
        <f t="shared" si="60"/>
        <v>1.1049665094254959E-3</v>
      </c>
      <c r="S580" s="734">
        <f t="shared" si="68"/>
        <v>1.0338208409506398</v>
      </c>
      <c r="T580" s="734">
        <f t="shared" si="62"/>
        <v>14.657380316370807</v>
      </c>
      <c r="U580" s="734">
        <f t="shared" si="63"/>
        <v>1.6743673809308055E-2</v>
      </c>
      <c r="V580" s="734">
        <f>VLOOKUP(G$484&amp;G$485&amp;G$484&amp;B580&amp;G$486,reoffending_inputs,2,0)/
(VLOOKUP(G$484&amp;G$485&amp;G$484&amp;B580&amp;G$486,reoffending_inputs,2,0)+VLOOKUP(G$484&amp;G$485&amp;G$484&amp;B581&amp;G$486,reoffending_inputs,2,0))</f>
        <v>0.18068535825545171</v>
      </c>
      <c r="W580" s="734">
        <f t="shared" si="70"/>
        <v>3.0253367007472497E-3</v>
      </c>
    </row>
    <row r="581" spans="1:52">
      <c r="A581" s="114" t="s">
        <v>629</v>
      </c>
      <c r="B581" s="114" t="s">
        <v>669</v>
      </c>
      <c r="C581" s="114" t="s">
        <v>629</v>
      </c>
      <c r="D581" s="114" t="s">
        <v>636</v>
      </c>
      <c r="E581" s="114" t="str">
        <f t="shared" si="64"/>
        <v>Criminal_damage_and_arsonCommercial_criminal_damage–arson</v>
      </c>
      <c r="F581" s="734">
        <f t="shared" si="56"/>
        <v>26</v>
      </c>
      <c r="G581" s="734"/>
      <c r="H581" s="734">
        <f>F581*(G581/SUM(G580:G583))</f>
        <v>0</v>
      </c>
      <c r="I581" s="734"/>
      <c r="J581" s="734">
        <f t="shared" si="57"/>
        <v>1614</v>
      </c>
      <c r="K581" s="734">
        <f t="shared" si="65"/>
        <v>0</v>
      </c>
      <c r="L581" s="734">
        <f t="shared" si="58"/>
        <v>24</v>
      </c>
      <c r="M581" s="734"/>
      <c r="N581" s="734">
        <f>L581*(M581/SUM(M580:M583))</f>
        <v>0</v>
      </c>
      <c r="O581" s="734"/>
      <c r="P581" s="734">
        <f t="shared" si="59"/>
        <v>346</v>
      </c>
      <c r="Q581" s="734">
        <f t="shared" si="66"/>
        <v>0</v>
      </c>
      <c r="R581" s="734">
        <f t="shared" si="60"/>
        <v>0</v>
      </c>
      <c r="S581" s="734"/>
      <c r="T581" s="734">
        <f t="shared" si="62"/>
        <v>14.657380316370807</v>
      </c>
      <c r="U581" s="734">
        <f t="shared" si="63"/>
        <v>0</v>
      </c>
      <c r="V581" s="734">
        <f>VLOOKUP(G$484&amp;G$485&amp;G$484&amp;B581&amp;G$486,reoffending_inputs,2,0)/
(VLOOKUP(G$484&amp;G$485&amp;G$484&amp;B580&amp;G$486,reoffending_inputs,2,0)+VLOOKUP(G$484&amp;G$485&amp;G$484&amp;B581&amp;G$486,reoffending_inputs,2,0))</f>
        <v>0.81931464174454827</v>
      </c>
      <c r="W581" s="734">
        <f>U580*V581</f>
        <v>1.3718337108560805E-2</v>
      </c>
    </row>
    <row r="582" spans="1:52">
      <c r="A582" s="114" t="s">
        <v>629</v>
      </c>
      <c r="B582" s="114" t="s">
        <v>657</v>
      </c>
      <c r="C582" s="114" t="s">
        <v>629</v>
      </c>
      <c r="D582" s="114" t="s">
        <v>636</v>
      </c>
      <c r="E582" s="114" t="str">
        <f t="shared" si="64"/>
        <v>Criminal_damage_and_arsonCriminal_damage_other</v>
      </c>
      <c r="F582" s="734">
        <f t="shared" si="56"/>
        <v>26</v>
      </c>
      <c r="G582" s="734">
        <f>VLOOKUP(G$484&amp;G$485&amp;G$484&amp;B582&amp;G$486,reoffending_inputs,2,0)+VLOOKUP(G$484&amp;G$485&amp;G$484&amp;B583&amp;G$486,reoffending_inputs,2,0)</f>
        <v>5320130</v>
      </c>
      <c r="H582" s="734">
        <f>F582*(G582/SUM(G580:G583))</f>
        <v>25.402250005509316</v>
      </c>
      <c r="I582" s="734"/>
      <c r="J582" s="734">
        <f t="shared" si="57"/>
        <v>1614</v>
      </c>
      <c r="K582" s="734">
        <f t="shared" si="65"/>
        <v>1.5738692692384953E-2</v>
      </c>
      <c r="L582" s="734">
        <f t="shared" si="58"/>
        <v>24</v>
      </c>
      <c r="M582" s="734">
        <f>VLOOKUP(M$484&amp;M$485&amp;M$484&amp;B582&amp;M$486,reoffending_inputs,2,0)+VLOOKUP(M$484&amp;M$485&amp;M$484&amp;B583&amp;M$486,reoffending_inputs,2,0)</f>
        <v>5320130</v>
      </c>
      <c r="N582" s="734">
        <f>L582*(M582/SUM(M580:M583))</f>
        <v>23.448230774316293</v>
      </c>
      <c r="O582" s="734"/>
      <c r="P582" s="734">
        <f t="shared" si="59"/>
        <v>346</v>
      </c>
      <c r="Q582" s="734">
        <f t="shared" si="66"/>
        <v>6.7769453104960381E-2</v>
      </c>
      <c r="R582" s="734">
        <f t="shared" si="60"/>
        <v>4.6957148939930207E-2</v>
      </c>
      <c r="S582" s="734">
        <f t="shared" si="68"/>
        <v>1.9666868446232255</v>
      </c>
      <c r="T582" s="734">
        <f t="shared" si="62"/>
        <v>14.657380316370807</v>
      </c>
      <c r="U582" s="734">
        <f t="shared" si="63"/>
        <v>1.3536091760083071</v>
      </c>
      <c r="V582" s="734">
        <f>VLOOKUP(G$484&amp;G$485&amp;G$484&amp;B582&amp;G$486,reoffending_inputs,2,0)/(
VLOOKUP(G$484&amp;G$485&amp;G$484&amp;B582&amp;G$486,reoffending_inputs,2,0)+VLOOKUP(G$484&amp;G$485&amp;G$484&amp;B583&amp;G$486,reoffending_inputs,2,0))</f>
        <v>0.18931116344901347</v>
      </c>
      <c r="W582" s="734">
        <f t="shared" si="70"/>
        <v>0.25625332796539307</v>
      </c>
    </row>
    <row r="583" spans="1:52">
      <c r="A583" s="114" t="s">
        <v>629</v>
      </c>
      <c r="B583" s="114" t="s">
        <v>670</v>
      </c>
      <c r="C583" s="114" t="s">
        <v>629</v>
      </c>
      <c r="D583" s="114" t="s">
        <v>636</v>
      </c>
      <c r="E583" s="114" t="str">
        <f t="shared" si="64"/>
        <v>Criminal_damage_and_arsonCommercial_criminal_damage–other</v>
      </c>
      <c r="F583" s="734">
        <f t="shared" si="56"/>
        <v>26</v>
      </c>
      <c r="G583" s="734"/>
      <c r="H583" s="734">
        <f>F583*(G583/SUM(G580:G583))</f>
        <v>0</v>
      </c>
      <c r="I583" s="734"/>
      <c r="J583" s="734">
        <f t="shared" si="57"/>
        <v>1614</v>
      </c>
      <c r="K583" s="734">
        <f t="shared" si="65"/>
        <v>0</v>
      </c>
      <c r="L583" s="734">
        <f t="shared" si="58"/>
        <v>24</v>
      </c>
      <c r="M583" s="734"/>
      <c r="N583" s="734">
        <f>L583*(M583/SUM(M580:M583))</f>
        <v>0</v>
      </c>
      <c r="O583" s="734"/>
      <c r="P583" s="734">
        <f t="shared" si="59"/>
        <v>346</v>
      </c>
      <c r="Q583" s="734">
        <f t="shared" si="66"/>
        <v>0</v>
      </c>
      <c r="R583" s="734">
        <f t="shared" si="60"/>
        <v>0</v>
      </c>
      <c r="S583" s="734"/>
      <c r="T583" s="734">
        <f t="shared" si="62"/>
        <v>14.657380316370807</v>
      </c>
      <c r="U583" s="734">
        <f t="shared" si="63"/>
        <v>0</v>
      </c>
      <c r="V583" s="734">
        <f>VLOOKUP(G$484&amp;G$485&amp;G$484&amp;B583&amp;G$486,reoffending_inputs,2,0)/(
VLOOKUP(G$484&amp;G$485&amp;G$484&amp;B582&amp;G$486,reoffending_inputs,2,0)+VLOOKUP(G$484&amp;G$485&amp;G$484&amp;B583&amp;G$486,reoffending_inputs,2,0))</f>
        <v>0.81068883655098656</v>
      </c>
      <c r="W583" s="734">
        <f>U582*V583</f>
        <v>1.097355848042914</v>
      </c>
    </row>
    <row r="584" spans="1:52">
      <c r="B584" s="177"/>
    </row>
    <row r="586" spans="1:52">
      <c r="A586" s="174" t="s">
        <v>692</v>
      </c>
      <c r="E586" s="386"/>
    </row>
    <row r="588" spans="1:52">
      <c r="B588" s="698">
        <v>0</v>
      </c>
      <c r="C588" s="114">
        <v>1</v>
      </c>
      <c r="D588" s="114">
        <v>2</v>
      </c>
      <c r="E588" s="114">
        <v>3</v>
      </c>
      <c r="F588" s="114">
        <v>4</v>
      </c>
      <c r="H588" s="150"/>
    </row>
    <row r="589" spans="1:52">
      <c r="B589" s="150" t="s">
        <v>856</v>
      </c>
    </row>
    <row r="590" spans="1:52">
      <c r="A590" s="150" t="s">
        <v>614</v>
      </c>
      <c r="B590" s="150" t="s">
        <v>839</v>
      </c>
      <c r="G590" s="150" t="s">
        <v>840</v>
      </c>
      <c r="L590" s="150" t="s">
        <v>839</v>
      </c>
      <c r="Q590" s="150" t="s">
        <v>839</v>
      </c>
      <c r="AH590" s="150"/>
      <c r="AI590" s="150"/>
      <c r="AJ590" s="150"/>
      <c r="AK590" s="150"/>
      <c r="AP590" s="150"/>
      <c r="AU590" s="150"/>
    </row>
    <row r="591" spans="1:52">
      <c r="A591" s="150"/>
      <c r="B591" s="150" t="s">
        <v>638</v>
      </c>
      <c r="G591" s="150" t="s">
        <v>638</v>
      </c>
      <c r="L591" s="150" t="s">
        <v>841</v>
      </c>
      <c r="Q591" s="150" t="s">
        <v>842</v>
      </c>
      <c r="AH591" s="150"/>
      <c r="AI591" s="150"/>
      <c r="AJ591" s="150"/>
      <c r="AK591" s="150"/>
      <c r="AL591" s="150"/>
      <c r="AM591" s="150"/>
      <c r="AN591" s="150"/>
      <c r="AO591" s="150"/>
      <c r="AP591" s="150"/>
      <c r="AQ591" s="150"/>
      <c r="AR591" s="150"/>
      <c r="AS591" s="150"/>
      <c r="AT591" s="150"/>
      <c r="AU591" s="150"/>
      <c r="AV591" s="150"/>
      <c r="AW591" s="150"/>
      <c r="AX591" s="150"/>
      <c r="AY591" s="150"/>
      <c r="AZ591" s="150"/>
    </row>
    <row r="592" spans="1:52">
      <c r="A592" s="150"/>
      <c r="B592" s="150" t="s">
        <v>827</v>
      </c>
      <c r="C592" s="150" t="s">
        <v>828</v>
      </c>
      <c r="D592" s="150" t="s">
        <v>829</v>
      </c>
      <c r="E592" s="150" t="s">
        <v>830</v>
      </c>
      <c r="F592" s="150" t="s">
        <v>831</v>
      </c>
      <c r="G592" s="150" t="s">
        <v>827</v>
      </c>
      <c r="H592" s="150" t="s">
        <v>828</v>
      </c>
      <c r="I592" s="150" t="s">
        <v>829</v>
      </c>
      <c r="J592" s="150" t="s">
        <v>830</v>
      </c>
      <c r="K592" s="150" t="s">
        <v>831</v>
      </c>
      <c r="L592" s="150" t="s">
        <v>827</v>
      </c>
      <c r="M592" s="150" t="s">
        <v>828</v>
      </c>
      <c r="N592" s="150" t="s">
        <v>829</v>
      </c>
      <c r="O592" s="150" t="s">
        <v>830</v>
      </c>
      <c r="P592" s="150" t="s">
        <v>831</v>
      </c>
      <c r="Q592" s="150" t="s">
        <v>827</v>
      </c>
      <c r="R592" s="150" t="s">
        <v>828</v>
      </c>
      <c r="S592" s="150" t="s">
        <v>829</v>
      </c>
      <c r="T592" s="150" t="s">
        <v>830</v>
      </c>
      <c r="U592" s="150" t="s">
        <v>831</v>
      </c>
      <c r="AH592" s="150"/>
      <c r="AI592" s="150"/>
      <c r="AJ592" s="150"/>
      <c r="AP592" s="150"/>
      <c r="AQ592" s="150"/>
      <c r="AR592" s="150"/>
      <c r="AS592" s="150"/>
      <c r="AT592" s="150"/>
      <c r="AU592" s="150"/>
      <c r="AV592" s="150"/>
      <c r="AW592" s="150"/>
      <c r="AX592" s="150"/>
      <c r="AY592" s="150"/>
      <c r="AZ592" s="150"/>
    </row>
    <row r="593" spans="1:52">
      <c r="A593" s="150"/>
      <c r="B593" s="150"/>
      <c r="C593" s="150"/>
      <c r="D593" s="150"/>
      <c r="E593" s="150"/>
      <c r="F593" s="150"/>
      <c r="Q593" s="114">
        <v>0</v>
      </c>
      <c r="R593" s="114">
        <v>1</v>
      </c>
      <c r="S593" s="114">
        <v>2</v>
      </c>
      <c r="T593" s="114">
        <v>3</v>
      </c>
      <c r="U593" s="114">
        <v>4</v>
      </c>
      <c r="AH593" s="150"/>
      <c r="AI593" s="150"/>
      <c r="AJ593" s="150"/>
      <c r="AK593" s="150"/>
      <c r="AP593" s="150"/>
      <c r="AQ593" s="150"/>
      <c r="AR593" s="150"/>
      <c r="AS593" s="150"/>
      <c r="AT593" s="150"/>
      <c r="AU593" s="150"/>
      <c r="AV593" s="150"/>
      <c r="AW593" s="150"/>
      <c r="AX593" s="150"/>
      <c r="AY593" s="150"/>
      <c r="AZ593" s="150"/>
    </row>
    <row r="594" spans="1:52">
      <c r="A594" s="114" t="s">
        <v>290</v>
      </c>
      <c r="B594" s="710"/>
      <c r="AI594" s="387"/>
      <c r="AJ594" s="710"/>
    </row>
    <row r="595" spans="1:52">
      <c r="A595" s="114" t="s">
        <v>649</v>
      </c>
      <c r="B595" s="710">
        <v>0</v>
      </c>
      <c r="C595" s="734">
        <f t="shared" ref="C595:C612" si="71">SUM($D$402*VLOOKUP($C$402&amp;$A595,$E$489:$W$583,MATCH($B$589,$E$486:$W$486,0),0),
$D$405*VLOOKUP($C$405&amp;$A595,$E$489:$W$583,MATCH($B$589,$E$486:$W$486,0),0),
$D$407*VLOOKUP($C$407&amp;$A595,$E$489:$W$583,MATCH($B$589,$E$486:$W$486,0),0),
$D$409*VLOOKUP($C$409&amp;$A595,$E$489:$W$583,MATCH($B$589,$E$486:$W$486,0),0),
$D$417*VLOOKUP($C$417&amp;$A595,$E$489:$W$583,MATCH($B$589,$E$486:$W$486,0),0))
*VLOOKUP(average_age+C$588,$A$428:$F$466,6,0)</f>
        <v>2.8088518971324281</v>
      </c>
      <c r="D595" s="734">
        <f t="shared" ref="D595:F612" si="72">SUM($D$402*VLOOKUP($C$402&amp;$A595,$E$489:$W$583,MATCH($B$589,$E$486:$W$486,0),0),
$D$405*VLOOKUP($C$405&amp;$A595,$E$489:$W$583,MATCH($B$589,$E$486:$W$486,0),0),
$D$407*VLOOKUP($C$407&amp;$A595,$E$489:$W$583,MATCH($B$589,$E$486:$W$486,0),0),
$D$409*VLOOKUP($C$409&amp;$A595,$E$489:$W$583,MATCH($B$589,$E$486:$W$486,0),0),
$D$417*VLOOKUP($C$417&amp;$A595,$E$489:$W$583,MATCH($B$589,$E$486:$W$486,0),0))
*VLOOKUP(average_age+D$588,$A$428:$F$466,6,0)</f>
        <v>2.8616498651236397</v>
      </c>
      <c r="E595" s="734">
        <f t="shared" si="72"/>
        <v>2.7095659622026145</v>
      </c>
      <c r="F595" s="734">
        <f t="shared" si="72"/>
        <v>2.8118137343612037</v>
      </c>
      <c r="G595" s="734">
        <v>0</v>
      </c>
      <c r="H595" s="710">
        <f t="shared" ref="H595:K595" si="73">LN(C595)</f>
        <v>1.0327758223221681</v>
      </c>
      <c r="I595" s="734">
        <f t="shared" si="73"/>
        <v>1.0513983344201701</v>
      </c>
      <c r="J595" s="734">
        <f t="shared" si="73"/>
        <v>0.99678846051552827</v>
      </c>
      <c r="K595" s="734">
        <f t="shared" si="73"/>
        <v>1.0338297321958774</v>
      </c>
      <c r="L595" s="387">
        <v>0</v>
      </c>
      <c r="M595" s="710">
        <f>EXP(H595+$C$474)</f>
        <v>1.9792392328213251</v>
      </c>
      <c r="N595" s="710">
        <f t="shared" ref="N595:P595" si="74">EXP(I595+$C$474)</f>
        <v>2.0164429777991697</v>
      </c>
      <c r="O595" s="710">
        <f t="shared" si="74"/>
        <v>1.9092780440946959</v>
      </c>
      <c r="P595" s="710">
        <f t="shared" si="74"/>
        <v>1.9813262721737408</v>
      </c>
      <c r="Q595" s="710">
        <v>0</v>
      </c>
      <c r="R595" s="734">
        <f>IF(Control!$E$52&gt;=R$593,C595-M595,0)*(RJ_pathway!$C$43+RJ_pathway!$C$44*Control!$E$48)</f>
        <v>6.9592887958401184E-2</v>
      </c>
      <c r="S595" s="734">
        <f>IF(Control!$E$52&gt;=S$593,D595-N595,0)*(RJ_pathway!$C$43+RJ_pathway!$C$44*Control!$E$48)</f>
        <v>0</v>
      </c>
      <c r="T595" s="734">
        <f>IF(Control!$E$52&gt;=T$593,E595-O595,0)*(RJ_pathway!$C$43+RJ_pathway!$C$44*Control!$E$48)</f>
        <v>0</v>
      </c>
      <c r="U595" s="734">
        <f>IF(Control!$E$52&gt;=U$593,F595-P595,0)*(RJ_pathway!$C$43+RJ_pathway!$C$44*Control!$E$48)</f>
        <v>0</v>
      </c>
      <c r="W595" s="734"/>
      <c r="X595" s="734"/>
      <c r="Y595" s="734"/>
      <c r="Z595" s="734"/>
      <c r="AH595" s="387"/>
      <c r="AI595" s="387"/>
      <c r="AJ595" s="387"/>
      <c r="AK595" s="387"/>
      <c r="AP595" s="387"/>
      <c r="AQ595" s="387"/>
    </row>
    <row r="596" spans="1:52">
      <c r="A596" s="114" t="s">
        <v>650</v>
      </c>
      <c r="B596" s="710">
        <v>0</v>
      </c>
      <c r="C596" s="734">
        <f t="shared" si="71"/>
        <v>1.2940352659757786</v>
      </c>
      <c r="D596" s="734">
        <f t="shared" si="72"/>
        <v>1.3183592371407371</v>
      </c>
      <c r="E596" s="734">
        <f t="shared" si="72"/>
        <v>1.2482943348338695</v>
      </c>
      <c r="F596" s="734">
        <f t="shared" si="72"/>
        <v>1.295399781431374</v>
      </c>
      <c r="G596" s="734">
        <v>0</v>
      </c>
      <c r="H596" s="710">
        <f t="shared" ref="H596:H612" si="75">LN(C596)</f>
        <v>0.25776544916621064</v>
      </c>
      <c r="I596" s="734">
        <f t="shared" ref="I596:I612" si="76">LN(D596)</f>
        <v>0.27638796126421272</v>
      </c>
      <c r="J596" s="734">
        <f t="shared" ref="J596:J612" si="77">LN(E596)</f>
        <v>0.22177808735957091</v>
      </c>
      <c r="K596" s="734">
        <f t="shared" ref="K596:K612" si="78">LN(F596)</f>
        <v>0.25881935903991998</v>
      </c>
      <c r="L596" s="387">
        <v>0</v>
      </c>
      <c r="M596" s="710">
        <f t="shared" ref="M596:M612" si="79">EXP(H596+$C$474)</f>
        <v>0.91183353942170731</v>
      </c>
      <c r="N596" s="710">
        <f t="shared" ref="N596:N612" si="80">EXP(I596+$C$474)</f>
        <v>0.92897326760632615</v>
      </c>
      <c r="O596" s="710">
        <f t="shared" ref="O596:O612" si="81">EXP(J596+$C$474)</f>
        <v>0.87960248959160769</v>
      </c>
      <c r="P596" s="710">
        <f t="shared" ref="P596:P612" si="82">EXP(K596+$C$474)</f>
        <v>0.91279503636864956</v>
      </c>
      <c r="Q596" s="710">
        <v>0</v>
      </c>
      <c r="R596" s="734">
        <f>IF(Control!$E$52&gt;=R$593,C596-M596,0)*(RJ_pathway!$C$43+RJ_pathway!$C$44*Control!$E$48)</f>
        <v>3.2061374033714819E-2</v>
      </c>
      <c r="S596" s="734">
        <f>IF(Control!$E$52&gt;=S$593,D596-N596,0)*(RJ_pathway!$C$43+RJ_pathway!$C$44*Control!$E$48)</f>
        <v>0</v>
      </c>
      <c r="T596" s="734">
        <f>IF(Control!$E$52&gt;=T$593,E596-O596,0)*(RJ_pathway!$C$43+RJ_pathway!$C$44*Control!$E$48)</f>
        <v>0</v>
      </c>
      <c r="U596" s="734">
        <f>IF(Control!$E$52&gt;=U$593,F596-P596,0)*(RJ_pathway!$C$43+RJ_pathway!$C$44*Control!$E$48)</f>
        <v>0</v>
      </c>
      <c r="W596" s="734"/>
      <c r="X596" s="734"/>
      <c r="Y596" s="734"/>
      <c r="Z596" s="734"/>
      <c r="AH596" s="387"/>
      <c r="AI596" s="387"/>
      <c r="AJ596" s="387"/>
      <c r="AK596" s="387"/>
      <c r="AP596" s="387"/>
      <c r="AQ596" s="387"/>
    </row>
    <row r="597" spans="1:52">
      <c r="A597" s="114" t="s">
        <v>544</v>
      </c>
      <c r="B597" s="710">
        <v>0</v>
      </c>
      <c r="C597" s="734">
        <f t="shared" si="71"/>
        <v>3.0699215542578755E-2</v>
      </c>
      <c r="D597" s="734">
        <f t="shared" si="72"/>
        <v>3.1276268466311444E-2</v>
      </c>
      <c r="E597" s="734">
        <f t="shared" si="72"/>
        <v>2.9614074556730225E-2</v>
      </c>
      <c r="F597" s="734">
        <f t="shared" si="72"/>
        <v>3.0731586804154009E-2</v>
      </c>
      <c r="G597" s="734">
        <v>0</v>
      </c>
      <c r="H597" s="710">
        <f t="shared" si="75"/>
        <v>-3.4835181770744508</v>
      </c>
      <c r="I597" s="734">
        <f t="shared" si="76"/>
        <v>-3.4648956649764489</v>
      </c>
      <c r="J597" s="734">
        <f t="shared" si="77"/>
        <v>-3.5195055388810905</v>
      </c>
      <c r="K597" s="734">
        <f t="shared" si="78"/>
        <v>-3.4824642672007418</v>
      </c>
      <c r="L597" s="387">
        <v>0</v>
      </c>
      <c r="M597" s="710">
        <f t="shared" si="79"/>
        <v>2.1632002698590627E-2</v>
      </c>
      <c r="N597" s="710">
        <f t="shared" si="80"/>
        <v>2.2038619290669401E-2</v>
      </c>
      <c r="O597" s="710">
        <f t="shared" si="81"/>
        <v>2.0867365155925431E-2</v>
      </c>
      <c r="P597" s="710">
        <f t="shared" si="82"/>
        <v>2.165481289765846E-2</v>
      </c>
      <c r="Q597" s="710">
        <v>0</v>
      </c>
      <c r="R597" s="734">
        <f>IF(Control!$E$52&gt;=R$593,C597-M597,0)*(RJ_pathway!$C$43+RJ_pathway!$C$44*Control!$E$48)</f>
        <v>7.606122166307881E-4</v>
      </c>
      <c r="S597" s="734">
        <f>IF(Control!$E$52&gt;=S$593,D597-N597,0)*(RJ_pathway!$C$43+RJ_pathway!$C$44*Control!$E$48)</f>
        <v>0</v>
      </c>
      <c r="T597" s="734">
        <f>IF(Control!$E$52&gt;=T$593,E597-O597,0)*(RJ_pathway!$C$43+RJ_pathway!$C$44*Control!$E$48)</f>
        <v>0</v>
      </c>
      <c r="U597" s="734">
        <f>IF(Control!$E$52&gt;=U$593,F597-P597,0)*(RJ_pathway!$C$43+RJ_pathway!$C$44*Control!$E$48)</f>
        <v>0</v>
      </c>
      <c r="W597" s="734"/>
      <c r="X597" s="734"/>
      <c r="Y597" s="734"/>
      <c r="Z597" s="734"/>
      <c r="AH597" s="387"/>
      <c r="AI597" s="387"/>
      <c r="AJ597" s="387"/>
      <c r="AK597" s="387"/>
      <c r="AP597" s="387"/>
      <c r="AQ597" s="387"/>
    </row>
    <row r="598" spans="1:52">
      <c r="A598" s="114" t="s">
        <v>651</v>
      </c>
      <c r="B598" s="710">
        <v>0</v>
      </c>
      <c r="C598" s="734">
        <f t="shared" si="71"/>
        <v>1.3860472929514371</v>
      </c>
      <c r="D598" s="734">
        <f t="shared" si="72"/>
        <v>1.4121008134956372</v>
      </c>
      <c r="E598" s="734">
        <f t="shared" si="72"/>
        <v>1.3370539652939295</v>
      </c>
      <c r="F598" s="734">
        <f t="shared" si="72"/>
        <v>1.3875088319087947</v>
      </c>
      <c r="G598" s="734">
        <v>0</v>
      </c>
      <c r="H598" s="710">
        <f t="shared" si="75"/>
        <v>0.32645602208415653</v>
      </c>
      <c r="I598" s="734">
        <f t="shared" si="76"/>
        <v>0.34507853418215845</v>
      </c>
      <c r="J598" s="734">
        <f t="shared" si="77"/>
        <v>0.29046866027751667</v>
      </c>
      <c r="K598" s="734">
        <f t="shared" si="78"/>
        <v>0.32750993195786571</v>
      </c>
      <c r="L598" s="387">
        <v>0</v>
      </c>
      <c r="M598" s="710">
        <f t="shared" si="79"/>
        <v>0.97666921618613856</v>
      </c>
      <c r="N598" s="710">
        <f t="shared" si="80"/>
        <v>0.9950276600994119</v>
      </c>
      <c r="O598" s="710">
        <f t="shared" si="81"/>
        <v>0.94214638629069059</v>
      </c>
      <c r="P598" s="710">
        <f t="shared" si="82"/>
        <v>0.97769908011298079</v>
      </c>
      <c r="Q598" s="710">
        <v>0</v>
      </c>
      <c r="R598" s="734">
        <f>IF(Control!$E$52&gt;=R$593,C598-M598,0)*(RJ_pathway!$C$43+RJ_pathway!$C$44*Control!$E$48)</f>
        <v>3.434108934753384E-2</v>
      </c>
      <c r="S598" s="734">
        <f>IF(Control!$E$52&gt;=S$593,D598-N598,0)*(RJ_pathway!$C$43+RJ_pathway!$C$44*Control!$E$48)</f>
        <v>0</v>
      </c>
      <c r="T598" s="734">
        <f>IF(Control!$E$52&gt;=T$593,E598-O598,0)*(RJ_pathway!$C$43+RJ_pathway!$C$44*Control!$E$48)</f>
        <v>0</v>
      </c>
      <c r="U598" s="734">
        <f>IF(Control!$E$52&gt;=U$593,F598-P598,0)*(RJ_pathway!$C$43+RJ_pathway!$C$44*Control!$E$48)</f>
        <v>0</v>
      </c>
      <c r="W598" s="734"/>
      <c r="X598" s="734"/>
      <c r="Y598" s="734"/>
      <c r="Z598" s="734"/>
      <c r="AH598" s="387"/>
      <c r="AI598" s="387"/>
      <c r="AJ598" s="387"/>
      <c r="AK598" s="387"/>
      <c r="AP598" s="387"/>
      <c r="AQ598" s="387"/>
    </row>
    <row r="599" spans="1:52">
      <c r="A599" s="114" t="s">
        <v>292</v>
      </c>
      <c r="B599" s="710">
        <v>0</v>
      </c>
      <c r="C599" s="734">
        <f t="shared" si="71"/>
        <v>1.1923382241632388</v>
      </c>
      <c r="D599" s="734">
        <f t="shared" si="72"/>
        <v>1.2147505967978864</v>
      </c>
      <c r="E599" s="734">
        <f t="shared" si="72"/>
        <v>1.1501920307454021</v>
      </c>
      <c r="F599" s="734">
        <f t="shared" si="72"/>
        <v>1.1935955036037191</v>
      </c>
      <c r="G599" s="734">
        <v>0</v>
      </c>
      <c r="H599" s="710">
        <f t="shared" si="75"/>
        <v>0.17591627349851766</v>
      </c>
      <c r="I599" s="734">
        <f t="shared" si="76"/>
        <v>0.19453878559651977</v>
      </c>
      <c r="J599" s="734">
        <f t="shared" si="77"/>
        <v>0.13992891169187788</v>
      </c>
      <c r="K599" s="734">
        <f t="shared" si="78"/>
        <v>0.17697018337222695</v>
      </c>
      <c r="L599" s="387">
        <v>0</v>
      </c>
      <c r="M599" s="710">
        <f t="shared" si="79"/>
        <v>0.84017337990146346</v>
      </c>
      <c r="N599" s="710">
        <f t="shared" si="80"/>
        <v>0.85596611260637845</v>
      </c>
      <c r="O599" s="710">
        <f t="shared" si="81"/>
        <v>0.81047533864417276</v>
      </c>
      <c r="P599" s="710">
        <f t="shared" si="82"/>
        <v>0.84105931368734899</v>
      </c>
      <c r="Q599" s="710">
        <v>0</v>
      </c>
      <c r="R599" s="734">
        <f>IF(Control!$E$52&gt;=R$593,C599-M599,0)*(RJ_pathway!$C$43+RJ_pathway!$C$44*Control!$E$48)</f>
        <v>2.9541700125743284E-2</v>
      </c>
      <c r="S599" s="734">
        <f>IF(Control!$E$52&gt;=S$593,D599-N599,0)*(RJ_pathway!$C$43+RJ_pathway!$C$44*Control!$E$48)</f>
        <v>0</v>
      </c>
      <c r="T599" s="734">
        <f>IF(Control!$E$52&gt;=T$593,E599-O599,0)*(RJ_pathway!$C$43+RJ_pathway!$C$44*Control!$E$48)</f>
        <v>0</v>
      </c>
      <c r="U599" s="734">
        <f>IF(Control!$E$52&gt;=U$593,F599-P599,0)*(RJ_pathway!$C$43+RJ_pathway!$C$44*Control!$E$48)</f>
        <v>0</v>
      </c>
      <c r="W599" s="734"/>
      <c r="X599" s="734"/>
      <c r="Y599" s="734"/>
      <c r="Z599" s="734"/>
      <c r="AH599" s="387"/>
      <c r="AI599" s="387"/>
      <c r="AJ599" s="387"/>
      <c r="AK599" s="387"/>
      <c r="AP599" s="387"/>
      <c r="AQ599" s="387"/>
    </row>
    <row r="600" spans="1:52">
      <c r="A600" s="114" t="s">
        <v>652</v>
      </c>
      <c r="B600" s="710">
        <v>0</v>
      </c>
      <c r="C600" s="734">
        <f t="shared" si="71"/>
        <v>5.8694362936053865</v>
      </c>
      <c r="D600" s="734">
        <f t="shared" si="72"/>
        <v>5.9797640434851882</v>
      </c>
      <c r="E600" s="734">
        <f t="shared" si="72"/>
        <v>5.6619663054167866</v>
      </c>
      <c r="F600" s="734">
        <f t="shared" si="72"/>
        <v>5.8756254112815709</v>
      </c>
      <c r="G600" s="734">
        <v>0</v>
      </c>
      <c r="H600" s="710">
        <f t="shared" si="75"/>
        <v>1.7697585974748937</v>
      </c>
      <c r="I600" s="734">
        <f t="shared" si="76"/>
        <v>1.7883811095728959</v>
      </c>
      <c r="J600" s="734">
        <f t="shared" si="77"/>
        <v>1.733771235668254</v>
      </c>
      <c r="K600" s="734">
        <f t="shared" si="78"/>
        <v>1.770812507348603</v>
      </c>
      <c r="L600" s="387">
        <v>0</v>
      </c>
      <c r="M600" s="710">
        <f t="shared" si="79"/>
        <v>4.1358601351352995</v>
      </c>
      <c r="N600" s="710">
        <f t="shared" si="80"/>
        <v>4.2136018669987463</v>
      </c>
      <c r="O600" s="710">
        <f t="shared" si="81"/>
        <v>3.9896677564359915</v>
      </c>
      <c r="P600" s="710">
        <f t="shared" si="82"/>
        <v>4.140221256678859</v>
      </c>
      <c r="Q600" s="710">
        <v>0</v>
      </c>
      <c r="R600" s="734">
        <f>IF(Control!$E$52&gt;=R$593,C600-M600,0)*(RJ_pathway!$C$43+RJ_pathway!$C$44*Control!$E$48)</f>
        <v>0.14542276962942172</v>
      </c>
      <c r="S600" s="734">
        <f>IF(Control!$E$52&gt;=S$593,D600-N600,0)*(RJ_pathway!$C$43+RJ_pathway!$C$44*Control!$E$48)</f>
        <v>0</v>
      </c>
      <c r="T600" s="734">
        <f>IF(Control!$E$52&gt;=T$593,E600-O600,0)*(RJ_pathway!$C$43+RJ_pathway!$C$44*Control!$E$48)</f>
        <v>0</v>
      </c>
      <c r="U600" s="734">
        <f>IF(Control!$E$52&gt;=U$593,F600-P600,0)*(RJ_pathway!$C$43+RJ_pathway!$C$44*Control!$E$48)</f>
        <v>0</v>
      </c>
      <c r="W600" s="734"/>
      <c r="X600" s="734"/>
      <c r="Y600" s="734"/>
      <c r="Z600" s="734"/>
      <c r="AH600" s="387"/>
      <c r="AI600" s="387"/>
      <c r="AJ600" s="387"/>
      <c r="AK600" s="387"/>
      <c r="AP600" s="387"/>
      <c r="AQ600" s="387"/>
    </row>
    <row r="601" spans="1:52">
      <c r="A601" s="114" t="s">
        <v>653</v>
      </c>
      <c r="B601" s="710">
        <v>0</v>
      </c>
      <c r="C601" s="734">
        <f t="shared" si="71"/>
        <v>0.13375211374364251</v>
      </c>
      <c r="D601" s="734">
        <f t="shared" si="72"/>
        <v>0.13626625122002681</v>
      </c>
      <c r="E601" s="734">
        <f t="shared" si="72"/>
        <v>0.12902430887951505</v>
      </c>
      <c r="F601" s="734">
        <f t="shared" si="72"/>
        <v>0.13389315072402505</v>
      </c>
      <c r="G601" s="734">
        <v>0</v>
      </c>
      <c r="H601" s="710">
        <f t="shared" si="75"/>
        <v>-2.011767089640113</v>
      </c>
      <c r="I601" s="734">
        <f t="shared" si="76"/>
        <v>-1.9931445775421108</v>
      </c>
      <c r="J601" s="734">
        <f t="shared" si="77"/>
        <v>-2.0477544514467527</v>
      </c>
      <c r="K601" s="734">
        <f t="shared" si="78"/>
        <v>-2.010713179766404</v>
      </c>
      <c r="L601" s="387">
        <v>0</v>
      </c>
      <c r="M601" s="710">
        <f t="shared" si="79"/>
        <v>9.4247557610445509E-2</v>
      </c>
      <c r="N601" s="710">
        <f t="shared" si="80"/>
        <v>9.6019128242220808E-2</v>
      </c>
      <c r="O601" s="710">
        <f t="shared" si="81"/>
        <v>9.0916140641911988E-2</v>
      </c>
      <c r="P601" s="710">
        <f t="shared" si="82"/>
        <v>9.4346938401984104E-2</v>
      </c>
      <c r="Q601" s="710">
        <v>0</v>
      </c>
      <c r="R601" s="734">
        <f>IF(Control!$E$52&gt;=R$593,C601-M601,0)*(RJ_pathway!$C$43+RJ_pathway!$C$44*Control!$E$48)</f>
        <v>3.3138791957893639E-3</v>
      </c>
      <c r="S601" s="734">
        <f>IF(Control!$E$52&gt;=S$593,D601-N601,0)*(RJ_pathway!$C$43+RJ_pathway!$C$44*Control!$E$48)</f>
        <v>0</v>
      </c>
      <c r="T601" s="734">
        <f>IF(Control!$E$52&gt;=T$593,E601-O601,0)*(RJ_pathway!$C$43+RJ_pathway!$C$44*Control!$E$48)</f>
        <v>0</v>
      </c>
      <c r="U601" s="734">
        <f>IF(Control!$E$52&gt;=U$593,F601-P601,0)*(RJ_pathway!$C$43+RJ_pathway!$C$44*Control!$E$48)</f>
        <v>0</v>
      </c>
      <c r="W601" s="734"/>
      <c r="X601" s="734"/>
      <c r="Y601" s="734"/>
      <c r="Z601" s="734"/>
      <c r="AH601" s="387"/>
      <c r="AI601" s="387"/>
      <c r="AJ601" s="387"/>
      <c r="AK601" s="387"/>
      <c r="AP601" s="387"/>
      <c r="AQ601" s="387"/>
    </row>
    <row r="602" spans="1:52">
      <c r="A602" s="114" t="s">
        <v>654</v>
      </c>
      <c r="B602" s="710">
        <v>0</v>
      </c>
      <c r="C602" s="734">
        <f t="shared" si="71"/>
        <v>3.4768386809526506</v>
      </c>
      <c r="D602" s="734">
        <f t="shared" si="72"/>
        <v>3.5421927914968738</v>
      </c>
      <c r="E602" s="734">
        <f t="shared" si="72"/>
        <v>3.3539410730755881</v>
      </c>
      <c r="F602" s="734">
        <f t="shared" si="72"/>
        <v>3.4805048871539124</v>
      </c>
      <c r="G602" s="734">
        <v>0</v>
      </c>
      <c r="H602" s="710">
        <f t="shared" si="75"/>
        <v>1.2461234559047154</v>
      </c>
      <c r="I602" s="734">
        <f t="shared" si="76"/>
        <v>1.2647459680027173</v>
      </c>
      <c r="J602" s="734">
        <f t="shared" si="77"/>
        <v>1.2101360940980757</v>
      </c>
      <c r="K602" s="734">
        <f t="shared" si="78"/>
        <v>1.2471773657784246</v>
      </c>
      <c r="L602" s="387">
        <v>0</v>
      </c>
      <c r="M602" s="710">
        <f t="shared" si="79"/>
        <v>2.4499317783744976</v>
      </c>
      <c r="N602" s="710">
        <f t="shared" si="80"/>
        <v>2.4959831275920639</v>
      </c>
      <c r="O602" s="710">
        <f t="shared" si="81"/>
        <v>2.3633327777726856</v>
      </c>
      <c r="P602" s="710">
        <f t="shared" si="82"/>
        <v>2.4525151467452395</v>
      </c>
      <c r="Q602" s="710">
        <v>0</v>
      </c>
      <c r="R602" s="734">
        <f>IF(Control!$E$52&gt;=R$593,C602-M602,0)*(RJ_pathway!$C$43+RJ_pathway!$C$44*Control!$E$48)</f>
        <v>8.6143112429670946E-2</v>
      </c>
      <c r="S602" s="734">
        <f>IF(Control!$E$52&gt;=S$593,D602-N602,0)*(RJ_pathway!$C$43+RJ_pathway!$C$44*Control!$E$48)</f>
        <v>0</v>
      </c>
      <c r="T602" s="734">
        <f>IF(Control!$E$52&gt;=T$593,E602-O602,0)*(RJ_pathway!$C$43+RJ_pathway!$C$44*Control!$E$48)</f>
        <v>0</v>
      </c>
      <c r="U602" s="734">
        <f>IF(Control!$E$52&gt;=U$593,F602-P602,0)*(RJ_pathway!$C$43+RJ_pathway!$C$44*Control!$E$48)</f>
        <v>0</v>
      </c>
      <c r="W602" s="734"/>
      <c r="X602" s="734"/>
      <c r="Y602" s="734"/>
      <c r="Z602" s="734"/>
      <c r="AH602" s="387"/>
      <c r="AI602" s="387"/>
      <c r="AJ602" s="387"/>
      <c r="AK602" s="387"/>
      <c r="AP602" s="387"/>
      <c r="AQ602" s="387"/>
    </row>
    <row r="603" spans="1:52">
      <c r="A603" s="114" t="s">
        <v>655</v>
      </c>
      <c r="B603" s="710">
        <v>0</v>
      </c>
      <c r="C603" s="734">
        <f t="shared" si="71"/>
        <v>6.4072039574054909</v>
      </c>
      <c r="D603" s="734">
        <f t="shared" si="72"/>
        <v>6.5276401220183775</v>
      </c>
      <c r="E603" s="734">
        <f t="shared" si="72"/>
        <v>6.1807252185846764</v>
      </c>
      <c r="F603" s="734">
        <f t="shared" si="72"/>
        <v>6.413960132493532</v>
      </c>
      <c r="G603" s="734">
        <v>0</v>
      </c>
      <c r="H603" s="710">
        <f t="shared" si="75"/>
        <v>1.8574229756768967</v>
      </c>
      <c r="I603" s="734">
        <f t="shared" si="76"/>
        <v>1.8760454877748987</v>
      </c>
      <c r="J603" s="734">
        <f t="shared" si="77"/>
        <v>1.821435613870257</v>
      </c>
      <c r="K603" s="734">
        <f t="shared" si="78"/>
        <v>1.858476885550606</v>
      </c>
      <c r="L603" s="387">
        <v>0</v>
      </c>
      <c r="M603" s="710">
        <f t="shared" si="79"/>
        <v>4.514794624142163</v>
      </c>
      <c r="N603" s="710">
        <f t="shared" si="80"/>
        <v>4.5996591847463391</v>
      </c>
      <c r="O603" s="710">
        <f t="shared" si="81"/>
        <v>4.3552078528596763</v>
      </c>
      <c r="P603" s="710">
        <f t="shared" si="82"/>
        <v>4.5195553190053239</v>
      </c>
      <c r="Q603" s="710">
        <v>0</v>
      </c>
      <c r="R603" s="734">
        <f>IF(Control!$E$52&gt;=R$593,C603-M603,0)*(RJ_pathway!$C$43+RJ_pathway!$C$44*Control!$E$48)</f>
        <v>0.15874664933012753</v>
      </c>
      <c r="S603" s="734">
        <f>IF(Control!$E$52&gt;=S$593,D603-N603,0)*(RJ_pathway!$C$43+RJ_pathway!$C$44*Control!$E$48)</f>
        <v>0</v>
      </c>
      <c r="T603" s="734">
        <f>IF(Control!$E$52&gt;=T$593,E603-O603,0)*(RJ_pathway!$C$43+RJ_pathway!$C$44*Control!$E$48)</f>
        <v>0</v>
      </c>
      <c r="U603" s="734">
        <f>IF(Control!$E$52&gt;=U$593,F603-P603,0)*(RJ_pathway!$C$43+RJ_pathway!$C$44*Control!$E$48)</f>
        <v>0</v>
      </c>
      <c r="W603" s="734"/>
      <c r="X603" s="734"/>
      <c r="Y603" s="734"/>
      <c r="Z603" s="734"/>
      <c r="AH603" s="387"/>
      <c r="AI603" s="387"/>
      <c r="AJ603" s="387"/>
      <c r="AK603" s="387"/>
      <c r="AP603" s="387"/>
      <c r="AQ603" s="387"/>
    </row>
    <row r="604" spans="1:52">
      <c r="A604" s="114" t="s">
        <v>656</v>
      </c>
      <c r="B604" s="710">
        <v>0</v>
      </c>
      <c r="C604" s="734">
        <f t="shared" si="71"/>
        <v>9.8158509492202823E-4</v>
      </c>
      <c r="D604" s="734">
        <f t="shared" si="72"/>
        <v>1.0000359425709389E-3</v>
      </c>
      <c r="E604" s="734">
        <f t="shared" si="72"/>
        <v>9.4688850092858974E-4</v>
      </c>
      <c r="F604" s="734">
        <f t="shared" si="72"/>
        <v>9.8262014247306483E-4</v>
      </c>
      <c r="G604" s="734">
        <v>0</v>
      </c>
      <c r="H604" s="710">
        <f t="shared" si="75"/>
        <v>-6.9263418491551194</v>
      </c>
      <c r="I604" s="734">
        <f t="shared" si="76"/>
        <v>-6.9077193370571166</v>
      </c>
      <c r="J604" s="734">
        <f t="shared" si="77"/>
        <v>-6.9623292109617587</v>
      </c>
      <c r="K604" s="734">
        <f t="shared" si="78"/>
        <v>-6.92528793928141</v>
      </c>
      <c r="L604" s="387">
        <v>0</v>
      </c>
      <c r="M604" s="710">
        <f t="shared" si="79"/>
        <v>6.9166755719862912E-4</v>
      </c>
      <c r="N604" s="710">
        <f t="shared" si="80"/>
        <v>7.0466882707078445E-4</v>
      </c>
      <c r="O604" s="710">
        <f t="shared" si="81"/>
        <v>6.6721882775611422E-4</v>
      </c>
      <c r="P604" s="710">
        <f t="shared" si="82"/>
        <v>6.923968967280428E-4</v>
      </c>
      <c r="Q604" s="710">
        <v>0</v>
      </c>
      <c r="R604" s="734">
        <f>IF(Control!$E$52&gt;=R$593,C604-M604,0)*(RJ_pathway!$C$43+RJ_pathway!$C$44*Control!$E$48)</f>
        <v>2.4320022569465059E-5</v>
      </c>
      <c r="S604" s="734">
        <f>IF(Control!$E$52&gt;=S$593,D604-N604,0)*(RJ_pathway!$C$43+RJ_pathway!$C$44*Control!$E$48)</f>
        <v>0</v>
      </c>
      <c r="T604" s="734">
        <f>IF(Control!$E$52&gt;=T$593,E604-O604,0)*(RJ_pathway!$C$43+RJ_pathway!$C$44*Control!$E$48)</f>
        <v>0</v>
      </c>
      <c r="U604" s="734">
        <f>IF(Control!$E$52&gt;=U$593,F604-P604,0)*(RJ_pathway!$C$43+RJ_pathway!$C$44*Control!$E$48)</f>
        <v>0</v>
      </c>
      <c r="W604" s="734"/>
      <c r="X604" s="734"/>
      <c r="Y604" s="734"/>
      <c r="Z604" s="734"/>
      <c r="AH604" s="387"/>
      <c r="AI604" s="387"/>
      <c r="AJ604" s="387"/>
      <c r="AK604" s="387"/>
      <c r="AP604" s="387"/>
      <c r="AQ604" s="387"/>
    </row>
    <row r="605" spans="1:52">
      <c r="A605" s="114" t="s">
        <v>657</v>
      </c>
      <c r="B605" s="710">
        <v>0</v>
      </c>
      <c r="C605" s="734">
        <f t="shared" si="71"/>
        <v>8.3142629113932234E-2</v>
      </c>
      <c r="D605" s="734">
        <f t="shared" si="72"/>
        <v>8.4705460488254294E-2</v>
      </c>
      <c r="E605" s="734">
        <f t="shared" si="72"/>
        <v>8.0203743773438863E-2</v>
      </c>
      <c r="F605" s="734">
        <f t="shared" si="72"/>
        <v>8.3230300142247873E-2</v>
      </c>
      <c r="G605" s="734">
        <v>0</v>
      </c>
      <c r="H605" s="710">
        <f t="shared" si="75"/>
        <v>-2.4871977229257087</v>
      </c>
      <c r="I605" s="734">
        <f t="shared" si="76"/>
        <v>-2.4685752108277068</v>
      </c>
      <c r="J605" s="734">
        <f t="shared" si="77"/>
        <v>-2.5231850847323485</v>
      </c>
      <c r="K605" s="734">
        <f t="shared" si="78"/>
        <v>-2.4861438130519997</v>
      </c>
      <c r="L605" s="387">
        <v>0</v>
      </c>
      <c r="M605" s="710">
        <f t="shared" si="79"/>
        <v>5.8585913208954364E-2</v>
      </c>
      <c r="N605" s="710">
        <f t="shared" si="80"/>
        <v>5.9687152179047499E-2</v>
      </c>
      <c r="O605" s="710">
        <f t="shared" si="81"/>
        <v>5.6515046755437788E-2</v>
      </c>
      <c r="P605" s="710">
        <f t="shared" si="82"/>
        <v>5.8647690029227872E-2</v>
      </c>
      <c r="Q605" s="710">
        <v>0</v>
      </c>
      <c r="R605" s="734">
        <f>IF(Control!$E$52&gt;=R$593,C605-M605,0)*(RJ_pathway!$C$43+RJ_pathway!$C$44*Control!$E$48)</f>
        <v>2.0599646704049738E-3</v>
      </c>
      <c r="S605" s="734">
        <f>IF(Control!$E$52&gt;=S$593,D605-N605,0)*(RJ_pathway!$C$43+RJ_pathway!$C$44*Control!$E$48)</f>
        <v>0</v>
      </c>
      <c r="T605" s="734">
        <f>IF(Control!$E$52&gt;=T$593,E605-O605,0)*(RJ_pathway!$C$43+RJ_pathway!$C$44*Control!$E$48)</f>
        <v>0</v>
      </c>
      <c r="U605" s="734">
        <f>IF(Control!$E$52&gt;=U$593,F605-P605,0)*(RJ_pathway!$C$43+RJ_pathway!$C$44*Control!$E$48)</f>
        <v>0</v>
      </c>
      <c r="W605" s="734"/>
      <c r="X605" s="734"/>
      <c r="Y605" s="734"/>
      <c r="Z605" s="734"/>
      <c r="AH605" s="387"/>
      <c r="AI605" s="387"/>
      <c r="AJ605" s="387"/>
      <c r="AK605" s="387"/>
      <c r="AP605" s="387"/>
      <c r="AQ605" s="387"/>
    </row>
    <row r="606" spans="1:52">
      <c r="A606" s="114" t="s">
        <v>658</v>
      </c>
      <c r="B606" s="710">
        <v>0</v>
      </c>
      <c r="C606" s="734">
        <f t="shared" si="71"/>
        <v>0.63212969272974306</v>
      </c>
      <c r="D606" s="734">
        <f t="shared" si="72"/>
        <v>0.64401182981112937</v>
      </c>
      <c r="E606" s="734">
        <f t="shared" si="72"/>
        <v>0.60978547885230727</v>
      </c>
      <c r="F606" s="734">
        <f t="shared" si="72"/>
        <v>0.63279625163918674</v>
      </c>
      <c r="G606" s="734">
        <v>0</v>
      </c>
      <c r="H606" s="710">
        <f t="shared" si="75"/>
        <v>-0.45866069587255848</v>
      </c>
      <c r="I606" s="734">
        <f t="shared" si="76"/>
        <v>-0.44003818377455645</v>
      </c>
      <c r="J606" s="734">
        <f t="shared" si="77"/>
        <v>-0.49464805767919828</v>
      </c>
      <c r="K606" s="734">
        <f t="shared" si="78"/>
        <v>-0.45760678599884924</v>
      </c>
      <c r="L606" s="387">
        <v>0</v>
      </c>
      <c r="M606" s="710">
        <f t="shared" si="79"/>
        <v>0.44542607937402751</v>
      </c>
      <c r="N606" s="710">
        <f t="shared" si="80"/>
        <v>0.45379875003895292</v>
      </c>
      <c r="O606" s="710">
        <f t="shared" si="81"/>
        <v>0.42968137429437525</v>
      </c>
      <c r="P606" s="710">
        <f t="shared" si="82"/>
        <v>0.44589576577718187</v>
      </c>
      <c r="Q606" s="710">
        <v>0</v>
      </c>
      <c r="R606" s="734">
        <f>IF(Control!$E$52&gt;=R$593,C606-M606,0)*(RJ_pathway!$C$43+RJ_pathway!$C$44*Control!$E$48)</f>
        <v>1.5661819309957557E-2</v>
      </c>
      <c r="S606" s="734">
        <f>IF(Control!$E$52&gt;=S$593,D606-N606,0)*(RJ_pathway!$C$43+RJ_pathway!$C$44*Control!$E$48)</f>
        <v>0</v>
      </c>
      <c r="T606" s="734">
        <f>IF(Control!$E$52&gt;=T$593,E606-O606,0)*(RJ_pathway!$C$43+RJ_pathway!$C$44*Control!$E$48)</f>
        <v>0</v>
      </c>
      <c r="U606" s="734">
        <f>IF(Control!$E$52&gt;=U$593,F606-P606,0)*(RJ_pathway!$C$43+RJ_pathway!$C$44*Control!$E$48)</f>
        <v>0</v>
      </c>
      <c r="W606" s="734"/>
      <c r="X606" s="734"/>
      <c r="Y606" s="734"/>
      <c r="Z606" s="734"/>
      <c r="AH606" s="387"/>
      <c r="AI606" s="387"/>
      <c r="AJ606" s="387"/>
      <c r="AK606" s="387"/>
      <c r="AP606" s="387"/>
      <c r="AQ606" s="387"/>
    </row>
    <row r="607" spans="1:52">
      <c r="A607" s="114" t="s">
        <v>659</v>
      </c>
      <c r="B607" s="710">
        <v>0</v>
      </c>
      <c r="C607" s="734">
        <f t="shared" si="71"/>
        <v>2.6239336063643073</v>
      </c>
      <c r="D607" s="734">
        <f t="shared" si="72"/>
        <v>2.6732556666343137</v>
      </c>
      <c r="E607" s="734">
        <f t="shared" si="72"/>
        <v>2.5311840735151017</v>
      </c>
      <c r="F607" s="734">
        <f t="shared" si="72"/>
        <v>2.626700453647747</v>
      </c>
      <c r="G607" s="734">
        <v>0</v>
      </c>
      <c r="H607" s="710">
        <f t="shared" si="75"/>
        <v>0.96467456830910336</v>
      </c>
      <c r="I607" s="734">
        <f t="shared" si="76"/>
        <v>0.98329708040710539</v>
      </c>
      <c r="J607" s="734">
        <f t="shared" si="77"/>
        <v>0.92868720650246361</v>
      </c>
      <c r="K607" s="734">
        <f t="shared" si="78"/>
        <v>0.9657284781828126</v>
      </c>
      <c r="L607" s="387">
        <v>0</v>
      </c>
      <c r="M607" s="710">
        <f t="shared" si="79"/>
        <v>1.8489377611317086</v>
      </c>
      <c r="N607" s="710">
        <f t="shared" si="80"/>
        <v>1.8836922303259143</v>
      </c>
      <c r="O607" s="710">
        <f t="shared" si="81"/>
        <v>1.7835824056469967</v>
      </c>
      <c r="P607" s="710">
        <f t="shared" si="82"/>
        <v>1.8508874020865058</v>
      </c>
      <c r="Q607" s="710">
        <v>0</v>
      </c>
      <c r="R607" s="734">
        <f>IF(Control!$E$52&gt;=R$593,C607-M607,0)*(RJ_pathway!$C$43+RJ_pathway!$C$44*Control!$E$48)</f>
        <v>6.5011301473181779E-2</v>
      </c>
      <c r="S607" s="734">
        <f>IF(Control!$E$52&gt;=S$593,D607-N607,0)*(RJ_pathway!$C$43+RJ_pathway!$C$44*Control!$E$48)</f>
        <v>0</v>
      </c>
      <c r="T607" s="734">
        <f>IF(Control!$E$52&gt;=T$593,E607-O607,0)*(RJ_pathway!$C$43+RJ_pathway!$C$44*Control!$E$48)</f>
        <v>0</v>
      </c>
      <c r="U607" s="734">
        <f>IF(Control!$E$52&gt;=U$593,F607-P607,0)*(RJ_pathway!$C$43+RJ_pathway!$C$44*Control!$E$48)</f>
        <v>0</v>
      </c>
      <c r="W607" s="734"/>
      <c r="X607" s="734"/>
      <c r="Y607" s="734"/>
      <c r="Z607" s="734"/>
      <c r="AH607" s="387"/>
      <c r="AI607" s="387"/>
      <c r="AJ607" s="387"/>
      <c r="AK607" s="387"/>
      <c r="AP607" s="387"/>
      <c r="AQ607" s="387"/>
    </row>
    <row r="608" spans="1:52">
      <c r="A608" s="114" t="s">
        <v>660</v>
      </c>
      <c r="B608" s="710">
        <v>0</v>
      </c>
      <c r="C608" s="734">
        <f t="shared" si="71"/>
        <v>0.11719474183913883</v>
      </c>
      <c r="D608" s="734">
        <f t="shared" si="72"/>
        <v>0.11939765052032568</v>
      </c>
      <c r="E608" s="734">
        <f t="shared" si="72"/>
        <v>0.11305219892890704</v>
      </c>
      <c r="F608" s="734">
        <f t="shared" si="72"/>
        <v>0.11731831964320542</v>
      </c>
      <c r="G608" s="734">
        <v>0</v>
      </c>
      <c r="H608" s="710">
        <f t="shared" si="75"/>
        <v>-2.1439182676994468</v>
      </c>
      <c r="I608" s="734">
        <f t="shared" si="76"/>
        <v>-2.1252957556014445</v>
      </c>
      <c r="J608" s="734">
        <f t="shared" si="77"/>
        <v>-2.1799056295060866</v>
      </c>
      <c r="K608" s="734">
        <f t="shared" si="78"/>
        <v>-2.1428643578257374</v>
      </c>
      <c r="L608" s="387">
        <v>0</v>
      </c>
      <c r="M608" s="710">
        <f t="shared" si="79"/>
        <v>8.258051311469855E-2</v>
      </c>
      <c r="N608" s="710">
        <f t="shared" si="80"/>
        <v>8.4132778398809477E-2</v>
      </c>
      <c r="O608" s="710">
        <f t="shared" si="81"/>
        <v>7.9661497177992507E-2</v>
      </c>
      <c r="P608" s="710">
        <f t="shared" si="82"/>
        <v>8.2667591411124314E-2</v>
      </c>
      <c r="Q608" s="710">
        <v>0</v>
      </c>
      <c r="R608" s="734">
        <f>IF(Control!$E$52&gt;=R$593,C608-M608,0)*(RJ_pathway!$C$43+RJ_pathway!$C$44*Control!$E$48)</f>
        <v>2.9036491907783978E-3</v>
      </c>
      <c r="S608" s="734">
        <f>IF(Control!$E$52&gt;=S$593,D608-N608,0)*(RJ_pathway!$C$43+RJ_pathway!$C$44*Control!$E$48)</f>
        <v>0</v>
      </c>
      <c r="T608" s="734">
        <f>IF(Control!$E$52&gt;=T$593,E608-O608,0)*(RJ_pathway!$C$43+RJ_pathway!$C$44*Control!$E$48)</f>
        <v>0</v>
      </c>
      <c r="U608" s="734">
        <f>IF(Control!$E$52&gt;=U$593,F608-P608,0)*(RJ_pathway!$C$43+RJ_pathway!$C$44*Control!$E$48)</f>
        <v>0</v>
      </c>
      <c r="W608" s="734"/>
      <c r="X608" s="734"/>
      <c r="Y608" s="734"/>
      <c r="Z608" s="734"/>
      <c r="AH608" s="387"/>
      <c r="AI608" s="387"/>
      <c r="AJ608" s="387"/>
      <c r="AK608" s="387"/>
      <c r="AP608" s="387"/>
      <c r="AQ608" s="387"/>
    </row>
    <row r="609" spans="1:43">
      <c r="A609" s="114" t="s">
        <v>694</v>
      </c>
      <c r="B609" s="710">
        <v>0</v>
      </c>
      <c r="C609" s="734">
        <f t="shared" si="71"/>
        <v>0.11780020723686398</v>
      </c>
      <c r="D609" s="734">
        <f t="shared" si="72"/>
        <v>0.12001449684657949</v>
      </c>
      <c r="E609" s="734">
        <f t="shared" si="72"/>
        <v>0.11363626262932583</v>
      </c>
      <c r="F609" s="734">
        <f t="shared" si="72"/>
        <v>0.11792442348326267</v>
      </c>
      <c r="G609" s="734">
        <v>0</v>
      </c>
      <c r="H609" s="710">
        <f t="shared" si="75"/>
        <v>-2.1387652485398485</v>
      </c>
      <c r="I609" s="734">
        <f t="shared" si="76"/>
        <v>-2.1201427364418466</v>
      </c>
      <c r="J609" s="734">
        <f t="shared" si="77"/>
        <v>-2.1747526103464887</v>
      </c>
      <c r="K609" s="734">
        <f t="shared" si="78"/>
        <v>-2.1377113386661395</v>
      </c>
      <c r="L609" s="387">
        <v>0</v>
      </c>
      <c r="M609" s="710">
        <f t="shared" si="79"/>
        <v>8.3007150371905619E-2</v>
      </c>
      <c r="N609" s="710">
        <f t="shared" si="80"/>
        <v>8.4567435153332426E-2</v>
      </c>
      <c r="O609" s="710">
        <f t="shared" si="81"/>
        <v>8.007305386829569E-2</v>
      </c>
      <c r="P609" s="710">
        <f t="shared" si="82"/>
        <v>8.3094678542571007E-2</v>
      </c>
      <c r="Q609" s="710">
        <v>0</v>
      </c>
      <c r="R609" s="734">
        <f>IF(Control!$E$52&gt;=R$593,C609-M609,0)*(RJ_pathway!$C$43+RJ_pathway!$C$44*Control!$E$48)</f>
        <v>2.9186503681738968E-3</v>
      </c>
      <c r="S609" s="734">
        <f>IF(Control!$E$52&gt;=S$593,D609-N609,0)*(RJ_pathway!$C$43+RJ_pathway!$C$44*Control!$E$48)</f>
        <v>0</v>
      </c>
      <c r="T609" s="734">
        <f>IF(Control!$E$52&gt;=T$593,E609-O609,0)*(RJ_pathway!$C$43+RJ_pathway!$C$44*Control!$E$48)</f>
        <v>0</v>
      </c>
      <c r="U609" s="734">
        <f>IF(Control!$E$52&gt;=U$593,F609-P609,0)*(RJ_pathway!$C$43+RJ_pathway!$C$44*Control!$E$48)</f>
        <v>0</v>
      </c>
      <c r="W609" s="734"/>
      <c r="X609" s="734"/>
      <c r="Y609" s="734"/>
      <c r="Z609" s="734"/>
      <c r="AH609" s="387"/>
      <c r="AI609" s="387"/>
      <c r="AJ609" s="387"/>
      <c r="AK609" s="387"/>
      <c r="AP609" s="387"/>
      <c r="AQ609" s="387"/>
    </row>
    <row r="610" spans="1:43">
      <c r="A610" s="114" t="s">
        <v>668</v>
      </c>
      <c r="B610" s="710">
        <v>0</v>
      </c>
      <c r="C610" s="734">
        <f t="shared" si="71"/>
        <v>0.82453116373465596</v>
      </c>
      <c r="D610" s="734">
        <f t="shared" si="72"/>
        <v>0.84002986981989403</v>
      </c>
      <c r="E610" s="734">
        <f t="shared" si="72"/>
        <v>0.79538603594997703</v>
      </c>
      <c r="F610" s="734">
        <f t="shared" si="72"/>
        <v>0.82540060334431575</v>
      </c>
      <c r="G610" s="734">
        <v>0</v>
      </c>
      <c r="H610" s="710">
        <f t="shared" si="75"/>
        <v>-0.19294034056559939</v>
      </c>
      <c r="I610" s="734">
        <f t="shared" si="76"/>
        <v>-0.17431782846759736</v>
      </c>
      <c r="J610" s="734">
        <f t="shared" si="77"/>
        <v>-0.22892770237223917</v>
      </c>
      <c r="K610" s="734">
        <f t="shared" si="78"/>
        <v>-0.19188643069189013</v>
      </c>
      <c r="L610" s="387">
        <v>0</v>
      </c>
      <c r="M610" s="710">
        <f t="shared" si="79"/>
        <v>0.58100052537960989</v>
      </c>
      <c r="N610" s="710">
        <f t="shared" si="80"/>
        <v>0.59192158788674565</v>
      </c>
      <c r="O610" s="710">
        <f t="shared" si="81"/>
        <v>0.56046360051863076</v>
      </c>
      <c r="P610" s="710">
        <f t="shared" si="82"/>
        <v>0.58161317034952253</v>
      </c>
      <c r="Q610" s="710">
        <v>0</v>
      </c>
      <c r="R610" s="734">
        <f>IF(Control!$E$52&gt;=R$593,C610-M610,0)*(RJ_pathway!$C$43+RJ_pathway!$C$44*Control!$E$48)</f>
        <v>2.0428811129051396E-2</v>
      </c>
      <c r="S610" s="734">
        <f>IF(Control!$E$52&gt;=S$593,D610-N610,0)*(RJ_pathway!$C$43+RJ_pathway!$C$44*Control!$E$48)</f>
        <v>0</v>
      </c>
      <c r="T610" s="734">
        <f>IF(Control!$E$52&gt;=T$593,E610-O610,0)*(RJ_pathway!$C$43+RJ_pathway!$C$44*Control!$E$48)</f>
        <v>0</v>
      </c>
      <c r="U610" s="734">
        <f>IF(Control!$E$52&gt;=U$593,F610-P610,0)*(RJ_pathway!$C$43+RJ_pathway!$C$44*Control!$E$48)</f>
        <v>0</v>
      </c>
      <c r="W610" s="734"/>
      <c r="X610" s="734"/>
      <c r="Y610" s="734"/>
      <c r="Z610" s="734"/>
      <c r="AH610" s="387"/>
      <c r="AI610" s="387"/>
      <c r="AJ610" s="387"/>
      <c r="AK610" s="387"/>
      <c r="AP610" s="387"/>
      <c r="AQ610" s="387"/>
    </row>
    <row r="611" spans="1:43">
      <c r="A611" s="114" t="s">
        <v>669</v>
      </c>
      <c r="B611" s="710">
        <v>0</v>
      </c>
      <c r="C611" s="734">
        <f t="shared" si="71"/>
        <v>4.4509806890429904E-3</v>
      </c>
      <c r="D611" s="734">
        <f t="shared" si="72"/>
        <v>4.5346457395889122E-3</v>
      </c>
      <c r="E611" s="734">
        <f t="shared" si="72"/>
        <v>4.2936495817968816E-3</v>
      </c>
      <c r="F611" s="734">
        <f t="shared" si="72"/>
        <v>4.4556740943175188E-3</v>
      </c>
      <c r="G611" s="734">
        <v>0</v>
      </c>
      <c r="H611" s="710">
        <f t="shared" si="75"/>
        <v>-5.4146308275237738</v>
      </c>
      <c r="I611" s="734">
        <f t="shared" si="76"/>
        <v>-5.3960083154257719</v>
      </c>
      <c r="J611" s="734">
        <f t="shared" si="77"/>
        <v>-5.4506181893304131</v>
      </c>
      <c r="K611" s="734">
        <f t="shared" si="78"/>
        <v>-5.4135769176500643</v>
      </c>
      <c r="L611" s="387">
        <v>0</v>
      </c>
      <c r="M611" s="710">
        <f t="shared" si="79"/>
        <v>3.1363546128144746E-3</v>
      </c>
      <c r="N611" s="710">
        <f t="shared" si="80"/>
        <v>3.1953086468899349E-3</v>
      </c>
      <c r="O611" s="710">
        <f t="shared" si="81"/>
        <v>3.025492270687209E-3</v>
      </c>
      <c r="P611" s="710">
        <f t="shared" si="82"/>
        <v>3.1396617903357818E-3</v>
      </c>
      <c r="Q611" s="710">
        <v>0</v>
      </c>
      <c r="R611" s="734">
        <f>IF(Control!$E$52&gt;=R$593,C611-M611,0)*(RJ_pathway!$C$43+RJ_pathway!$C$44*Control!$E$48)</f>
        <v>1.1027872303050529E-4</v>
      </c>
      <c r="S611" s="734">
        <f>IF(Control!$E$52&gt;=S$593,D611-N611,0)*(RJ_pathway!$C$43+RJ_pathway!$C$44*Control!$E$48)</f>
        <v>0</v>
      </c>
      <c r="T611" s="734">
        <f>IF(Control!$E$52&gt;=T$593,E611-O611,0)*(RJ_pathway!$C$43+RJ_pathway!$C$44*Control!$E$48)</f>
        <v>0</v>
      </c>
      <c r="U611" s="734">
        <f>IF(Control!$E$52&gt;=U$593,F611-P611,0)*(RJ_pathway!$C$43+RJ_pathway!$C$44*Control!$E$48)</f>
        <v>0</v>
      </c>
      <c r="W611" s="734"/>
      <c r="X611" s="734"/>
      <c r="Y611" s="734"/>
      <c r="Z611" s="734"/>
      <c r="AH611" s="387"/>
      <c r="AI611" s="387"/>
      <c r="AJ611" s="387"/>
      <c r="AK611" s="387"/>
      <c r="AP611" s="387"/>
      <c r="AQ611" s="387"/>
    </row>
    <row r="612" spans="1:43">
      <c r="A612" s="114" t="s">
        <v>670</v>
      </c>
      <c r="B612" s="710">
        <v>0</v>
      </c>
      <c r="C612" s="734">
        <f t="shared" si="71"/>
        <v>0.35604240149481348</v>
      </c>
      <c r="D612" s="734">
        <f t="shared" si="72"/>
        <v>0.36273492783870104</v>
      </c>
      <c r="E612" s="734">
        <f t="shared" si="72"/>
        <v>0.34345718732130803</v>
      </c>
      <c r="F612" s="734">
        <f t="shared" si="72"/>
        <v>0.35641783589947063</v>
      </c>
      <c r="G612" s="734">
        <v>0</v>
      </c>
      <c r="H612" s="710">
        <f t="shared" si="75"/>
        <v>-1.0327054499000725</v>
      </c>
      <c r="I612" s="734">
        <f t="shared" si="76"/>
        <v>-1.0140829378020706</v>
      </c>
      <c r="J612" s="734">
        <f t="shared" si="77"/>
        <v>-1.0686928117067125</v>
      </c>
      <c r="K612" s="734">
        <f t="shared" si="78"/>
        <v>-1.0316515400263633</v>
      </c>
      <c r="L612" s="387">
        <v>0</v>
      </c>
      <c r="M612" s="710">
        <f t="shared" si="79"/>
        <v>0.25088296407008209</v>
      </c>
      <c r="N612" s="710">
        <f t="shared" si="80"/>
        <v>0.25559880925936934</v>
      </c>
      <c r="O612" s="710">
        <f t="shared" si="81"/>
        <v>0.24201487470193458</v>
      </c>
      <c r="P612" s="710">
        <f t="shared" si="82"/>
        <v>0.25114751148313968</v>
      </c>
      <c r="Q612" s="710">
        <v>0</v>
      </c>
      <c r="R612" s="734">
        <f>IF(Control!$E$52&gt;=R$593,C612-M612,0)*(RJ_pathway!$C$43+RJ_pathway!$C$44*Control!$E$48)</f>
        <v>8.8214045678110167E-3</v>
      </c>
      <c r="S612" s="734">
        <f>IF(Control!$E$52&gt;=S$593,D612-N612,0)*(RJ_pathway!$C$43+RJ_pathway!$C$44*Control!$E$48)</f>
        <v>0</v>
      </c>
      <c r="T612" s="734">
        <f>IF(Control!$E$52&gt;=T$593,E612-O612,0)*(RJ_pathway!$C$43+RJ_pathway!$C$44*Control!$E$48)</f>
        <v>0</v>
      </c>
      <c r="U612" s="734">
        <f>IF(Control!$E$52&gt;=U$593,F612-P612,0)*(RJ_pathway!$C$43+RJ_pathway!$C$44*Control!$E$48)</f>
        <v>0</v>
      </c>
      <c r="W612" s="734"/>
      <c r="X612" s="734"/>
      <c r="Y612" s="734"/>
      <c r="Z612" s="734"/>
      <c r="AH612" s="387"/>
      <c r="AI612" s="387"/>
      <c r="AJ612" s="387"/>
      <c r="AK612" s="387"/>
      <c r="AP612" s="387"/>
      <c r="AQ612" s="387"/>
    </row>
    <row r="613" spans="1:43">
      <c r="J613" s="735"/>
    </row>
    <row r="614" spans="1:43">
      <c r="H614" s="387"/>
      <c r="I614" s="387"/>
      <c r="J614" s="387"/>
    </row>
    <row r="615" spans="1:43">
      <c r="C615" s="150"/>
      <c r="D615" s="113"/>
    </row>
    <row r="616" spans="1:43">
      <c r="C616" s="150"/>
      <c r="D616" s="113"/>
    </row>
    <row r="617" spans="1:43">
      <c r="C617" s="150"/>
      <c r="D617" s="113"/>
    </row>
    <row r="618" spans="1:43" s="389" customFormat="1">
      <c r="A618" s="389" t="s">
        <v>697</v>
      </c>
      <c r="C618" s="390"/>
      <c r="D618" s="391"/>
    </row>
    <row r="619" spans="1:43">
      <c r="C619" s="150"/>
      <c r="D619" s="113"/>
    </row>
    <row r="620" spans="1:43">
      <c r="D620" s="113"/>
    </row>
    <row r="621" spans="1:43">
      <c r="D621" s="113"/>
    </row>
    <row r="622" spans="1:43">
      <c r="D622" s="113"/>
    </row>
    <row r="623" spans="1:43">
      <c r="D623" s="113"/>
    </row>
    <row r="624" spans="1:43">
      <c r="D624" s="113"/>
    </row>
    <row r="625" spans="4:4">
      <c r="D625" s="113"/>
    </row>
    <row r="626" spans="4:4">
      <c r="D626" s="113"/>
    </row>
    <row r="627" spans="4:4">
      <c r="D627" s="113"/>
    </row>
    <row r="628" spans="4:4">
      <c r="D628" s="113"/>
    </row>
    <row r="629" spans="4:4">
      <c r="D629" s="113"/>
    </row>
    <row r="630" spans="4:4">
      <c r="D630" s="113"/>
    </row>
    <row r="631" spans="4:4">
      <c r="D631" s="113"/>
    </row>
  </sheetData>
  <phoneticPr fontId="46"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theme="1"/>
  </sheetPr>
  <dimension ref="A1:U39"/>
  <sheetViews>
    <sheetView showGridLines="0" showRowColHeaders="0" workbookViewId="0">
      <selection activeCell="K2" sqref="K2"/>
    </sheetView>
  </sheetViews>
  <sheetFormatPr defaultColWidth="8.69140625" defaultRowHeight="15.5"/>
  <cols>
    <col min="1" max="1" width="0.3828125" style="114" customWidth="1"/>
    <col min="2" max="2" width="3.921875" style="114" customWidth="1"/>
    <col min="3" max="3" width="28.53515625" style="114" customWidth="1"/>
    <col min="4" max="4" width="13.921875" style="114" customWidth="1"/>
    <col min="5" max="5" width="0.23046875" style="114" customWidth="1"/>
    <col min="6" max="6" width="14.3828125" style="114" customWidth="1"/>
    <col min="7" max="7" width="19.69140625" style="114" customWidth="1"/>
    <col min="8" max="8" width="15.84375" style="114" customWidth="1"/>
    <col min="9" max="9" width="12.23046875" style="114" customWidth="1"/>
    <col min="10" max="10" width="8.69140625" style="114" customWidth="1"/>
    <col min="11" max="12" width="8.69140625" style="114"/>
    <col min="13" max="13" width="11" style="114" bestFit="1" customWidth="1"/>
    <col min="14" max="16384" width="8.69140625" style="114"/>
  </cols>
  <sheetData>
    <row r="1" spans="1:21" ht="20.5">
      <c r="B1" s="816" t="s">
        <v>488</v>
      </c>
      <c r="C1" s="816"/>
      <c r="D1" s="802"/>
      <c r="E1" s="802"/>
      <c r="F1" s="802"/>
    </row>
    <row r="2" spans="1:21" ht="84.5" customHeight="1" thickBot="1">
      <c r="B2" s="1107" t="s">
        <v>808</v>
      </c>
      <c r="C2" s="1107"/>
      <c r="D2" s="1107"/>
      <c r="E2" s="1107"/>
      <c r="F2" s="1107"/>
      <c r="G2" s="1107"/>
      <c r="H2" s="1107"/>
    </row>
    <row r="3" spans="1:21" s="113" customFormat="1" ht="62.5" thickBot="1">
      <c r="A3" s="1091"/>
      <c r="B3" s="1044" t="s">
        <v>903</v>
      </c>
      <c r="C3" s="1085"/>
      <c r="D3" s="1086" t="str">
        <f>CONCATENATE("Total costs"," ", "(",'Proposition Summary'!$B$76,")")</f>
        <v>Total costs (GBP (£))</v>
      </c>
      <c r="E3" s="1086"/>
      <c r="F3" s="1086" t="str">
        <f>CONCATENATE("Total costs per direct intervention"," ", "(",'Proposition Summary'!$B$76,")")</f>
        <v>Total costs per direct intervention (GBP (£))</v>
      </c>
      <c r="G3" s="1086" t="str">
        <f>CONCATENATE("Total benefits"," ", "(",'Proposition Summary'!$B$76,")")</f>
        <v>Total benefits (GBP (£))</v>
      </c>
      <c r="H3" s="1086" t="str">
        <f>CONCATENATE("Total benefits per intervention"," ", "(",'Proposition Summary'!$B$76,")")</f>
        <v>Total benefits per intervention (GBP (£))</v>
      </c>
      <c r="I3" s="1087" t="s">
        <v>468</v>
      </c>
      <c r="N3" s="114"/>
      <c r="O3" s="114"/>
      <c r="P3" s="114"/>
      <c r="Q3" s="114"/>
      <c r="R3" s="114"/>
      <c r="S3" s="114"/>
      <c r="T3" s="114"/>
      <c r="U3" s="114"/>
    </row>
    <row r="4" spans="1:21" ht="31">
      <c r="A4" s="472"/>
      <c r="B4" s="1076">
        <v>1</v>
      </c>
      <c r="C4" s="1076" t="str">
        <f>Title</f>
        <v>Economic evaluation of Restorative Justice</v>
      </c>
      <c r="D4" s="1093">
        <f>'Total Costs'!C23</f>
        <v>284.73002251534706</v>
      </c>
      <c r="E4" s="1093"/>
      <c r="F4" s="1093">
        <f>D4/RJ_pathway!C$43</f>
        <v>3394.2496067919205</v>
      </c>
      <c r="G4" s="1093">
        <f>'Benefits with economics'!AA115</f>
        <v>4092.4230181837293</v>
      </c>
      <c r="H4" s="1093">
        <f>G4/RJ_pathway!C$43</f>
        <v>48785.530579402155</v>
      </c>
      <c r="I4" s="1088">
        <f>IF(ISERROR(G4/D4), "", G4/D4)</f>
        <v>14.372994396694315</v>
      </c>
    </row>
    <row r="5" spans="1:21">
      <c r="A5" s="132">
        <v>1</v>
      </c>
      <c r="B5" s="1076">
        <v>2</v>
      </c>
      <c r="C5" s="1076" t="str">
        <f>IF(A5&lt;&gt;"",INDEX('Bearer list'!$D$4:$D$16,A5),"")</f>
        <v>CJS</v>
      </c>
      <c r="D5" s="1093">
        <f>IF($A5&lt;&gt;"", 'Costs to bearers'!AB24, "")</f>
        <v>284.73002251534706</v>
      </c>
      <c r="E5" s="1093"/>
      <c r="F5" s="1093">
        <f>D5/RJ_pathway!C$43</f>
        <v>3394.2496067919205</v>
      </c>
      <c r="G5" s="1093">
        <f>IF(A5&lt;&gt;"", 'Savings and benefits to bearers'!AC35, "")</f>
        <v>1203.9660856534467</v>
      </c>
      <c r="H5" s="1093">
        <f>G5/RJ_pathway!C$43</f>
        <v>14352.407858920997</v>
      </c>
      <c r="I5" s="1088">
        <f>IF(ISERROR(G5/D5), "", G5/D5)</f>
        <v>4.228447969825706</v>
      </c>
    </row>
    <row r="6" spans="1:21">
      <c r="A6" s="132">
        <f>IF((13-COUNTIF('Bearer list'!$E$4:$E$16,""))&gt;A5,A5+1,"")</f>
        <v>2</v>
      </c>
      <c r="B6" s="1076">
        <v>3</v>
      </c>
      <c r="C6" s="1076" t="str">
        <f>IF(A6&lt;&gt;"",INDEX('Bearer list'!$E$4:$E$16,A6),"")</f>
        <v>Society</v>
      </c>
      <c r="D6" s="1093">
        <f>IF($A6&lt;&gt;"", 'Costs to bearers'!AB25, "")</f>
        <v>0</v>
      </c>
      <c r="E6" s="1093"/>
      <c r="F6" s="1093">
        <f>D6/RJ_pathway!C$43</f>
        <v>0</v>
      </c>
      <c r="G6" s="1093">
        <f>IF(A6&lt;&gt;"", 'Savings and benefits to bearers'!AC36, "")</f>
        <v>2635.6690336596726</v>
      </c>
      <c r="H6" s="1093">
        <f>G6/RJ_pathway!C$43</f>
        <v>31419.653263472719</v>
      </c>
      <c r="I6" s="1084" t="str">
        <f>IF(ISERROR(#REF!/#REF!), "",#REF! /#REF!)</f>
        <v/>
      </c>
    </row>
    <row r="7" spans="1:21">
      <c r="A7" s="132">
        <f>IF((13-COUNTIF('Bearer list'!$E$4:$E$16,""))&gt;A6,A6+1,"")</f>
        <v>3</v>
      </c>
      <c r="B7" s="1076">
        <v>4</v>
      </c>
      <c r="C7" s="1076" t="str">
        <f>IF(A7&lt;&gt;"",INDEX('Bearer list'!$E$4:$E$16,A7),"")</f>
        <v>HealthSystem</v>
      </c>
      <c r="D7" s="1093">
        <f>IF($A7&lt;&gt;"", 'Costs to bearers'!AB26, "")</f>
        <v>0</v>
      </c>
      <c r="E7" s="1093"/>
      <c r="F7" s="1093">
        <f>D7/RJ_pathway!C$43</f>
        <v>0</v>
      </c>
      <c r="G7" s="1093">
        <f>IF(A7&lt;&gt;"", 'Savings and benefits to bearers'!AC37, "")</f>
        <v>252.78789887061015</v>
      </c>
      <c r="H7" s="1093">
        <f>G7/RJ_pathway!C$43</f>
        <v>3013.4694570084416</v>
      </c>
      <c r="I7" s="1084" t="str">
        <f>IF(ISERROR(#REF!/#REF!), "",#REF! /#REF!)</f>
        <v/>
      </c>
    </row>
    <row r="8" spans="1:21">
      <c r="A8" s="132">
        <v>4</v>
      </c>
      <c r="B8" s="1076">
        <v>5</v>
      </c>
      <c r="C8" s="1076" t="str">
        <f>IF(A8&lt;&gt;"",INDEX('Bearer list'!$E$4:$E$16,A8),"")</f>
        <v>Victim</v>
      </c>
      <c r="D8" s="1093">
        <f>IF($A8&lt;&gt;"", 'Costs to bearers'!AB27, "")</f>
        <v>0</v>
      </c>
      <c r="E8" s="1093"/>
      <c r="F8" s="1093">
        <f>D8/RJ_pathway!C$43</f>
        <v>0</v>
      </c>
      <c r="G8" s="1093">
        <f>IF(A8&lt;&gt;"", 'Savings and benefits to bearers'!AC38, "")</f>
        <v>0</v>
      </c>
      <c r="H8" s="1093">
        <f>G8/RJ_pathway!C$43</f>
        <v>0</v>
      </c>
      <c r="I8" s="1084"/>
    </row>
    <row r="9" spans="1:21" ht="15.65" hidden="1" customHeight="1">
      <c r="A9" s="132" t="str">
        <f>IF((13-COUNTIF('Bearer list'!$E$4:$E$16,""))&gt;A8,A8+1,"")</f>
        <v/>
      </c>
      <c r="B9" s="1076">
        <v>5</v>
      </c>
      <c r="C9" s="1076" t="str">
        <f>IF(A9&lt;&gt;"",INDEX('Bearer list'!$E$4:$E$16,A9),"")</f>
        <v/>
      </c>
      <c r="D9" s="1094" t="str">
        <f>IF($A9&lt;&gt;"", 'Costs to bearers'!AB28, "")</f>
        <v/>
      </c>
      <c r="E9" s="1094"/>
      <c r="F9" s="1094"/>
      <c r="G9" s="1094" t="str">
        <f>IF(A9&lt;&gt;"", 'Savings and benefits to bearers'!AC39, "")</f>
        <v/>
      </c>
      <c r="H9" s="1094"/>
      <c r="I9" s="1089" t="str">
        <f>IF(ISERROR(#REF!/#REF!), "",#REF! /#REF!)</f>
        <v/>
      </c>
    </row>
    <row r="10" spans="1:21" ht="15.65" hidden="1" customHeight="1">
      <c r="A10" s="132" t="str">
        <f>IF((13-COUNTIF('Bearer list'!$E$4:$E$16,""))&gt;A9,A9+1,"")</f>
        <v/>
      </c>
      <c r="B10" s="1096"/>
      <c r="C10" s="1076" t="str">
        <f>IF(A10&lt;&gt;"",INDEX('Bearer list'!$E$4:$E$16,A10),"")</f>
        <v/>
      </c>
      <c r="D10" s="1094" t="str">
        <f>IF($A10&lt;&gt;"", 'Costs to bearers'!AB29, "")</f>
        <v/>
      </c>
      <c r="E10" s="1094"/>
      <c r="F10" s="1094"/>
      <c r="G10" s="1094" t="str">
        <f>IF(A10&lt;&gt;"", 'Savings and benefits to bearers'!AC40, "")</f>
        <v/>
      </c>
      <c r="H10" s="1094"/>
      <c r="I10" s="1089" t="str">
        <f>IF(ISERROR(#REF!/#REF!), "",#REF! /#REF!)</f>
        <v/>
      </c>
    </row>
    <row r="11" spans="1:21" ht="15.65" hidden="1" customHeight="1" thickBot="1">
      <c r="A11" s="132" t="str">
        <f>IF((13-COUNTIF('Bearer list'!$E$4:$E$16,""))&gt;A10,A10+1,"")</f>
        <v/>
      </c>
      <c r="B11" s="1096"/>
      <c r="C11" s="1076" t="str">
        <f>IF(A11&lt;&gt;"",INDEX('Bearer list'!$E$4:$E$16,A11),"")</f>
        <v/>
      </c>
      <c r="D11" s="1094" t="str">
        <f>IF($A11&lt;&gt;"", 'Costs to bearers'!AB30, "")</f>
        <v/>
      </c>
      <c r="E11" s="1094"/>
      <c r="F11" s="1094"/>
      <c r="G11" s="1094" t="str">
        <f>IF(A11&lt;&gt;"", 'Savings and benefits to bearers'!AC41, "")</f>
        <v/>
      </c>
      <c r="H11" s="1094"/>
      <c r="I11" s="1089" t="str">
        <f>IF(ISERROR(#REF!/#REF!), "",#REF! /#REF!)</f>
        <v/>
      </c>
    </row>
    <row r="12" spans="1:21" ht="15.65" hidden="1" customHeight="1" thickBot="1">
      <c r="A12" s="132" t="str">
        <f>IF((13-COUNTIF('Bearer list'!$E$4:$E$16,""))&gt;A11,A11+1,"")</f>
        <v/>
      </c>
      <c r="B12" s="1096"/>
      <c r="C12" s="1076" t="str">
        <f>IF(A12&lt;&gt;"",INDEX('Bearer list'!$E$4:$E$16,A12),"")</f>
        <v/>
      </c>
      <c r="D12" s="1094" t="str">
        <f>IF($A12&lt;&gt;"", 'Costs to bearers'!AB31, "")</f>
        <v/>
      </c>
      <c r="E12" s="1094"/>
      <c r="F12" s="1094"/>
      <c r="G12" s="1094"/>
      <c r="H12" s="1094"/>
      <c r="I12" s="1089" t="str">
        <f>IF(ISERROR(#REF!/#REF!), "",#REF! /#REF!)</f>
        <v/>
      </c>
    </row>
    <row r="13" spans="1:21" ht="15.65" hidden="1" customHeight="1" thickBot="1">
      <c r="A13" s="132" t="str">
        <f>IF((13-COUNTIF('Bearer list'!$E$4:$E$16,""))&gt;A12,A12+1,"")</f>
        <v/>
      </c>
      <c r="B13" s="1096"/>
      <c r="C13" s="1076" t="str">
        <f>IF(A13&lt;&gt;"",INDEX('Bearer list'!$E$4:$E$16,A13),"")</f>
        <v/>
      </c>
      <c r="D13" s="1094" t="str">
        <f>IF($A13&lt;&gt;"", 'Costs to bearers'!AB32, "")</f>
        <v/>
      </c>
      <c r="E13" s="1094"/>
      <c r="F13" s="1094"/>
      <c r="G13" s="1094" t="str">
        <f>IF(A13&lt;&gt;"", 'Savings and benefits to bearers'!AC43, "")</f>
        <v/>
      </c>
      <c r="H13" s="1094"/>
      <c r="I13" s="1089" t="str">
        <f>IF(ISERROR(#REF!/#REF!), "",#REF! /#REF!)</f>
        <v/>
      </c>
    </row>
    <row r="14" spans="1:21" ht="15.65" hidden="1" customHeight="1" thickBot="1">
      <c r="A14" s="132" t="str">
        <f>IF((13-COUNTIF('Bearer list'!$E$4:$E$16,""))&gt;A13,A13+1,"")</f>
        <v/>
      </c>
      <c r="B14" s="1096"/>
      <c r="C14" s="1076" t="str">
        <f>IF(A14&lt;&gt;"",INDEX('Bearer list'!$E$4:$E$16,A14),"")</f>
        <v/>
      </c>
      <c r="D14" s="1094" t="str">
        <f>IF($A14&lt;&gt;"", 'Costs to bearers'!AB33, "")</f>
        <v/>
      </c>
      <c r="E14" s="1094"/>
      <c r="F14" s="1094"/>
      <c r="G14" s="1094" t="str">
        <f>IF(A14&lt;&gt;"", 'Savings and benefits to bearers'!AC44, "")</f>
        <v/>
      </c>
      <c r="H14" s="1094"/>
      <c r="I14" s="1089" t="str">
        <f>IF(ISERROR(#REF!/#REF!), "",#REF! /#REF!)</f>
        <v/>
      </c>
    </row>
    <row r="15" spans="1:21" hidden="1">
      <c r="A15" s="132" t="str">
        <f>IF((13-COUNTIF('Bearer list'!$E$4:$E$16,""))&gt;A14,A14+1,"")</f>
        <v/>
      </c>
      <c r="B15" s="1096"/>
      <c r="C15" s="1076" t="str">
        <f>IF(A15&lt;&gt;"",INDEX('Bearer list'!$E$4:$E$16,A15),"")</f>
        <v/>
      </c>
      <c r="D15" s="1094" t="str">
        <f>IF($A15&lt;&gt;"", 'Costs to bearers'!AB34, "")</f>
        <v/>
      </c>
      <c r="E15" s="1094"/>
      <c r="F15" s="1094"/>
      <c r="G15" s="1094" t="str">
        <f>IF(A15&lt;&gt;"", 'Savings and benefits to bearers'!AC45, "")</f>
        <v/>
      </c>
      <c r="H15" s="1094"/>
      <c r="I15" s="1089" t="str">
        <f>IF(ISERROR(#REF!/#REF!), "",#REF! /#REF!)</f>
        <v/>
      </c>
    </row>
    <row r="16" spans="1:21" hidden="1">
      <c r="A16" s="132" t="str">
        <f>IF((13-COUNTIF('Bearer list'!$E$4:$E$16,""))&gt;A15,A15+1,"")</f>
        <v/>
      </c>
      <c r="B16" s="1096"/>
      <c r="C16" s="1076" t="str">
        <f>IF(A16&lt;&gt;"",INDEX('Bearer list'!$E$4:$E$16,A16),"")</f>
        <v/>
      </c>
      <c r="D16" s="1094" t="str">
        <f>IF($A16&lt;&gt;"", 'Costs to bearers'!AB35, "")</f>
        <v/>
      </c>
      <c r="E16" s="1094"/>
      <c r="F16" s="1094"/>
      <c r="G16" s="1094" t="str">
        <f>IF(A16&lt;&gt;"", 'Savings and benefits to bearers'!AC46, "")</f>
        <v/>
      </c>
      <c r="H16" s="1094"/>
      <c r="I16" s="1089" t="str">
        <f>IF(ISERROR(#REF!/#REF!), "",#REF! /#REF!)</f>
        <v/>
      </c>
    </row>
    <row r="17" spans="1:11" ht="16" thickBot="1">
      <c r="A17" s="1092" t="str">
        <f>IF((13-COUNTIF('Bearer list'!$E$4:$E$16,""))&gt;A16,A16+1,"")</f>
        <v/>
      </c>
      <c r="B17" s="1077"/>
      <c r="C17" s="1077" t="str">
        <f>IF(A17&lt;&gt;"",INDEX('Bearer list'!$E$4:$E$16,A17),"")</f>
        <v/>
      </c>
      <c r="D17" s="1090" t="str">
        <f>IF($A17&lt;&gt;"", 'Costs to bearers'!AB36, "")</f>
        <v/>
      </c>
      <c r="E17" s="1090"/>
      <c r="F17" s="1090"/>
      <c r="G17" s="1090" t="str">
        <f>IF(A17&lt;&gt;"", 'Savings and benefits to bearers'!AC47, "")</f>
        <v/>
      </c>
      <c r="H17" s="1090"/>
      <c r="I17" s="1095" t="str">
        <f>IF(ISERROR(#REF!/#REF!), "",#REF! /#REF!)</f>
        <v/>
      </c>
    </row>
    <row r="18" spans="1:11">
      <c r="A18" s="113"/>
      <c r="B18" s="113"/>
    </row>
    <row r="20" spans="1:11" ht="16" thickBot="1">
      <c r="J20"/>
      <c r="K20"/>
    </row>
    <row r="21" spans="1:11" ht="16.25" customHeight="1" thickBot="1">
      <c r="B21" s="1044" t="s">
        <v>903</v>
      </c>
      <c r="C21" s="1045" t="s">
        <v>873</v>
      </c>
      <c r="D21" s="1074" t="s">
        <v>874</v>
      </c>
      <c r="E21" s="1074" t="s">
        <v>907</v>
      </c>
      <c r="F21" s="1075" t="s">
        <v>876</v>
      </c>
      <c r="J21"/>
      <c r="K21"/>
    </row>
    <row r="22" spans="1:11">
      <c r="B22" s="1076">
        <v>0</v>
      </c>
      <c r="C22" s="603" t="s">
        <v>731</v>
      </c>
      <c r="D22" s="1078">
        <v>14.372994396694315</v>
      </c>
      <c r="E22" s="1102">
        <f>F22-D22</f>
        <v>0</v>
      </c>
      <c r="F22" s="1079">
        <v>14.372994396694315</v>
      </c>
    </row>
    <row r="23" spans="1:11" ht="31">
      <c r="B23" s="1076">
        <v>1</v>
      </c>
      <c r="C23" s="603" t="s">
        <v>877</v>
      </c>
      <c r="D23" s="1080">
        <v>14.372994396694315</v>
      </c>
      <c r="E23" s="1043">
        <f t="shared" ref="E23:E33" si="0">F23-D23</f>
        <v>0.20880800288159662</v>
      </c>
      <c r="F23" s="1081">
        <v>14.581802399575912</v>
      </c>
    </row>
    <row r="24" spans="1:11">
      <c r="B24" s="1076">
        <v>2</v>
      </c>
      <c r="C24" s="603" t="s">
        <v>878</v>
      </c>
      <c r="D24" s="1080">
        <v>12.90947241146821</v>
      </c>
      <c r="E24" s="1043">
        <f t="shared" si="0"/>
        <v>2.8098125456184189</v>
      </c>
      <c r="F24" s="1081">
        <v>15.719284957086629</v>
      </c>
    </row>
    <row r="25" spans="1:11">
      <c r="B25" s="1076">
        <v>3</v>
      </c>
      <c r="C25" s="603" t="s">
        <v>880</v>
      </c>
      <c r="D25" s="1080">
        <v>12.935694957024884</v>
      </c>
      <c r="E25" s="1043">
        <f t="shared" si="0"/>
        <v>2.8745988793388637</v>
      </c>
      <c r="F25" s="1081">
        <v>15.810293836363748</v>
      </c>
    </row>
    <row r="26" spans="1:11">
      <c r="B26" s="1076">
        <v>4</v>
      </c>
      <c r="C26" s="603" t="s">
        <v>881</v>
      </c>
      <c r="D26" s="1080">
        <v>12.935694957024884</v>
      </c>
      <c r="E26" s="1043">
        <f t="shared" si="0"/>
        <v>2.8745988793388637</v>
      </c>
      <c r="F26" s="1081">
        <v>15.810293836363748</v>
      </c>
    </row>
    <row r="27" spans="1:11" ht="62">
      <c r="B27" s="1076">
        <v>5</v>
      </c>
      <c r="C27" s="603" t="s">
        <v>879</v>
      </c>
      <c r="D27" s="1080">
        <v>14.372994396694315</v>
      </c>
      <c r="E27" s="1043">
        <f t="shared" si="0"/>
        <v>4.2164434189348601</v>
      </c>
      <c r="F27" s="1081">
        <v>18.589437815629175</v>
      </c>
    </row>
    <row r="28" spans="1:11" ht="31">
      <c r="B28" s="1076">
        <v>6</v>
      </c>
      <c r="C28" s="603" t="s">
        <v>885</v>
      </c>
      <c r="D28" s="1080">
        <v>10.981395185225608</v>
      </c>
      <c r="E28" s="1043">
        <f t="shared" si="0"/>
        <v>6.4779332368022935</v>
      </c>
      <c r="F28" s="1081">
        <v>17.459328422027902</v>
      </c>
    </row>
    <row r="29" spans="1:11" ht="31">
      <c r="B29" s="1076">
        <v>7</v>
      </c>
      <c r="C29" s="603" t="s">
        <v>898</v>
      </c>
      <c r="D29" s="1080">
        <v>11.642659987920728</v>
      </c>
      <c r="E29" s="1043">
        <f t="shared" si="0"/>
        <v>7.1335713428264054</v>
      </c>
      <c r="F29" s="1081">
        <v>18.776231330747134</v>
      </c>
    </row>
    <row r="30" spans="1:11" ht="31">
      <c r="B30" s="1076">
        <v>8</v>
      </c>
      <c r="C30" s="603" t="s">
        <v>884</v>
      </c>
      <c r="D30" s="1080">
        <v>7.1864971983471575</v>
      </c>
      <c r="E30" s="1043">
        <f t="shared" si="0"/>
        <v>7.1864971983471575</v>
      </c>
      <c r="F30" s="1081">
        <v>14.372994396694315</v>
      </c>
    </row>
    <row r="31" spans="1:11" ht="31">
      <c r="B31" s="1076">
        <v>9</v>
      </c>
      <c r="C31" s="603" t="s">
        <v>893</v>
      </c>
      <c r="D31" s="1080">
        <v>14.372994396694315</v>
      </c>
      <c r="E31" s="1043">
        <f t="shared" si="0"/>
        <v>11.836856353148578</v>
      </c>
      <c r="F31" s="1081">
        <v>26.209850749842893</v>
      </c>
    </row>
    <row r="32" spans="1:11">
      <c r="B32" s="1076">
        <v>10</v>
      </c>
      <c r="C32" s="603" t="s">
        <v>897</v>
      </c>
      <c r="D32" s="1080">
        <v>7.1864971983471584</v>
      </c>
      <c r="E32" s="1043">
        <f t="shared" si="0"/>
        <v>14.37299439669432</v>
      </c>
      <c r="F32" s="1081">
        <v>21.559491595041479</v>
      </c>
    </row>
    <row r="33" spans="2:6" ht="16" thickBot="1">
      <c r="B33" s="1077">
        <v>11</v>
      </c>
      <c r="C33" s="1062" t="s">
        <v>900</v>
      </c>
      <c r="D33" s="1082">
        <v>9.5819962644628749</v>
      </c>
      <c r="E33" s="1103">
        <f t="shared" si="0"/>
        <v>19.163992528925753</v>
      </c>
      <c r="F33" s="1083">
        <v>28.74598879338863</v>
      </c>
    </row>
    <row r="34" spans="2:6" ht="16" thickBot="1"/>
    <row r="35" spans="2:6" ht="16" thickBot="1">
      <c r="B35" s="1044" t="s">
        <v>903</v>
      </c>
      <c r="C35" s="1045" t="s">
        <v>873</v>
      </c>
      <c r="D35" s="1075" t="s">
        <v>875</v>
      </c>
    </row>
    <row r="36" spans="2:6">
      <c r="B36" s="603">
        <v>0</v>
      </c>
      <c r="C36" s="603" t="s">
        <v>731</v>
      </c>
      <c r="D36" s="1097">
        <v>14.372994396694315</v>
      </c>
    </row>
    <row r="37" spans="2:6">
      <c r="B37" s="603">
        <v>1</v>
      </c>
      <c r="C37" s="603" t="s">
        <v>894</v>
      </c>
      <c r="D37" s="1098">
        <v>29.02</v>
      </c>
    </row>
    <row r="38" spans="2:6">
      <c r="B38" s="603">
        <v>2</v>
      </c>
      <c r="C38" s="603" t="s">
        <v>895</v>
      </c>
      <c r="D38" s="1098">
        <v>42.88</v>
      </c>
    </row>
    <row r="39" spans="2:6" ht="16" thickBot="1">
      <c r="B39" s="1062">
        <v>3</v>
      </c>
      <c r="C39" s="1062" t="s">
        <v>896</v>
      </c>
      <c r="D39" s="1099">
        <v>57.27</v>
      </c>
    </row>
  </sheetData>
  <mergeCells count="1">
    <mergeCell ref="B2:H2"/>
  </mergeCells>
  <phoneticPr fontId="41" type="noConversion"/>
  <pageMargins left="0.7" right="0.7" top="0.75" bottom="0.75" header="0.3" footer="0.3"/>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891FF-5D42-4497-B2A2-2E5BB29B98CA}">
  <sheetPr codeName="Sheet33">
    <tabColor theme="5" tint="-0.249977111117893"/>
  </sheetPr>
  <dimension ref="A1:J55"/>
  <sheetViews>
    <sheetView workbookViewId="0"/>
  </sheetViews>
  <sheetFormatPr defaultColWidth="8.69140625" defaultRowHeight="15.5"/>
  <cols>
    <col min="1" max="1" width="50.23046875" style="169" customWidth="1"/>
    <col min="2" max="2" width="29.69140625" style="169" customWidth="1"/>
    <col min="3" max="3" width="25.3828125" style="169" customWidth="1"/>
    <col min="4" max="4" width="17.84375" style="169" customWidth="1"/>
    <col min="5" max="5" width="18.23046875" style="169" customWidth="1"/>
    <col min="6" max="6" width="13.53515625" style="169" customWidth="1"/>
    <col min="7" max="7" width="14.61328125" style="169" customWidth="1"/>
    <col min="8" max="8" width="8.69140625" style="169"/>
    <col min="9" max="9" width="27.3828125" style="169" customWidth="1"/>
    <col min="10" max="16384" width="8.69140625" style="169"/>
  </cols>
  <sheetData>
    <row r="1" spans="1:10">
      <c r="A1" s="215" t="s">
        <v>740</v>
      </c>
      <c r="E1" s="173"/>
    </row>
    <row r="2" spans="1:10">
      <c r="A2" s="173" t="s">
        <v>610</v>
      </c>
      <c r="B2" s="173" t="s">
        <v>614</v>
      </c>
      <c r="C2" s="173" t="s">
        <v>609</v>
      </c>
      <c r="D2" s="173" t="s">
        <v>637</v>
      </c>
      <c r="E2" s="173" t="s">
        <v>730</v>
      </c>
      <c r="F2" s="150" t="s">
        <v>871</v>
      </c>
      <c r="H2" s="173" t="s">
        <v>872</v>
      </c>
      <c r="I2" s="173" t="s">
        <v>596</v>
      </c>
      <c r="J2" s="173" t="s">
        <v>639</v>
      </c>
    </row>
    <row r="3" spans="1:10">
      <c r="A3" s="169" t="s">
        <v>742</v>
      </c>
      <c r="B3" s="169" t="s">
        <v>649</v>
      </c>
      <c r="C3" s="169" t="s">
        <v>742</v>
      </c>
      <c r="E3" s="392">
        <f>F3</f>
        <v>9369.1176413693447</v>
      </c>
      <c r="F3" s="220">
        <f>H3*VLOOKUP(G3,Misc_inputs!$A$4:$C$24,3,0)</f>
        <v>9369.1176413693447</v>
      </c>
      <c r="G3" s="169">
        <v>2016</v>
      </c>
      <c r="H3" s="392">
        <v>8240</v>
      </c>
      <c r="I3" s="169" t="s">
        <v>741</v>
      </c>
    </row>
    <row r="4" spans="1:10">
      <c r="A4" s="169" t="s">
        <v>742</v>
      </c>
      <c r="B4" s="169" t="s">
        <v>650</v>
      </c>
      <c r="C4" s="169" t="s">
        <v>742</v>
      </c>
      <c r="E4" s="392">
        <f t="shared" ref="E4:E20" si="0">F4</f>
        <v>3195.051040321342</v>
      </c>
      <c r="F4" s="220">
        <f>H4*VLOOKUP(G4,Misc_inputs!$A$4:$C$24,3,0)</f>
        <v>3195.051040321342</v>
      </c>
      <c r="G4" s="169">
        <v>2016</v>
      </c>
      <c r="H4" s="392">
        <v>2810</v>
      </c>
      <c r="I4" s="169" t="s">
        <v>741</v>
      </c>
    </row>
    <row r="5" spans="1:10">
      <c r="A5" s="169" t="s">
        <v>742</v>
      </c>
      <c r="B5" s="169" t="s">
        <v>544</v>
      </c>
      <c r="C5" s="169" t="s">
        <v>742</v>
      </c>
      <c r="E5" s="392">
        <f t="shared" si="0"/>
        <v>27732.133406917274</v>
      </c>
      <c r="F5" s="220">
        <f>H5*VLOOKUP(G5,Misc_inputs!$A$4:$C$24,3,0)</f>
        <v>27732.133406917274</v>
      </c>
      <c r="G5" s="169">
        <v>2016</v>
      </c>
      <c r="H5" s="392">
        <v>24390</v>
      </c>
      <c r="I5" s="169" t="s">
        <v>741</v>
      </c>
    </row>
    <row r="6" spans="1:10">
      <c r="A6" s="169" t="s">
        <v>742</v>
      </c>
      <c r="B6" s="169" t="s">
        <v>651</v>
      </c>
      <c r="C6" s="169" t="s">
        <v>742</v>
      </c>
      <c r="E6" s="392">
        <f t="shared" si="0"/>
        <v>4207.0067078964294</v>
      </c>
      <c r="F6" s="220">
        <f>H6*VLOOKUP(G6,Misc_inputs!$A$4:$C$24,3,0)</f>
        <v>4207.0067078964294</v>
      </c>
      <c r="G6" s="169">
        <v>2016</v>
      </c>
      <c r="H6" s="392">
        <v>3700</v>
      </c>
      <c r="I6" s="169" t="s">
        <v>741</v>
      </c>
    </row>
    <row r="7" spans="1:10">
      <c r="A7" s="169" t="s">
        <v>742</v>
      </c>
      <c r="B7" s="169" t="s">
        <v>292</v>
      </c>
      <c r="C7" s="169" t="s">
        <v>742</v>
      </c>
      <c r="E7" s="392">
        <f t="shared" si="0"/>
        <v>4081.9335354995083</v>
      </c>
      <c r="F7" s="220">
        <f>H7*VLOOKUP(G7,Misc_inputs!$A$4:$C$24,3,0)</f>
        <v>4081.9335354995083</v>
      </c>
      <c r="G7" s="169">
        <v>2016</v>
      </c>
      <c r="H7" s="392">
        <v>3590</v>
      </c>
      <c r="I7" s="169" t="s">
        <v>741</v>
      </c>
    </row>
    <row r="8" spans="1:10">
      <c r="A8" s="169" t="s">
        <v>742</v>
      </c>
      <c r="B8" s="169" t="s">
        <v>652</v>
      </c>
      <c r="C8" s="169" t="s">
        <v>742</v>
      </c>
      <c r="E8" s="392">
        <f t="shared" si="0"/>
        <v>1353.0643195666894</v>
      </c>
      <c r="F8" s="220">
        <f>H8*VLOOKUP(G8,Misc_inputs!$A$4:$C$24,3,0)</f>
        <v>1353.0643195666894</v>
      </c>
      <c r="G8" s="169">
        <v>2016</v>
      </c>
      <c r="H8" s="392">
        <v>1190</v>
      </c>
      <c r="I8" s="169" t="s">
        <v>741</v>
      </c>
    </row>
    <row r="9" spans="1:10">
      <c r="A9" s="169" t="s">
        <v>742</v>
      </c>
      <c r="B9" s="169" t="s">
        <v>653</v>
      </c>
      <c r="C9" s="169" t="s">
        <v>742</v>
      </c>
      <c r="E9" s="392">
        <f t="shared" si="0"/>
        <v>306.99778679244213</v>
      </c>
      <c r="F9" s="220">
        <f>H9*VLOOKUP(G9,Misc_inputs!$A$4:$C$24,3,0)</f>
        <v>306.99778679244213</v>
      </c>
      <c r="G9" s="169">
        <v>2016</v>
      </c>
      <c r="H9" s="392">
        <v>270</v>
      </c>
      <c r="I9" s="169" t="s">
        <v>741</v>
      </c>
    </row>
    <row r="10" spans="1:10">
      <c r="A10" s="169" t="s">
        <v>742</v>
      </c>
      <c r="B10" s="169" t="s">
        <v>654</v>
      </c>
      <c r="C10" s="169" t="s">
        <v>742</v>
      </c>
      <c r="E10" s="392">
        <f t="shared" si="0"/>
        <v>159.18403759608111</v>
      </c>
      <c r="F10" s="220">
        <f>H10*VLOOKUP(G10,Misc_inputs!$A$4:$C$24,3,0)</f>
        <v>159.18403759608111</v>
      </c>
      <c r="G10" s="169">
        <v>2016</v>
      </c>
      <c r="H10" s="392">
        <v>140</v>
      </c>
      <c r="I10" s="169" t="s">
        <v>741</v>
      </c>
    </row>
    <row r="11" spans="1:10">
      <c r="A11" s="169" t="s">
        <v>742</v>
      </c>
      <c r="B11" s="169" t="s">
        <v>655</v>
      </c>
      <c r="C11" s="169" t="s">
        <v>742</v>
      </c>
      <c r="E11" s="392">
        <f t="shared" si="0"/>
        <v>466.18182438852324</v>
      </c>
      <c r="F11" s="220">
        <f>H11*VLOOKUP(G11,Misc_inputs!$A$4:$C$24,3,0)</f>
        <v>466.18182438852324</v>
      </c>
      <c r="G11" s="169">
        <v>2016</v>
      </c>
      <c r="H11" s="392">
        <v>410</v>
      </c>
      <c r="I11" s="169" t="s">
        <v>741</v>
      </c>
    </row>
    <row r="12" spans="1:10">
      <c r="A12" s="169" t="s">
        <v>742</v>
      </c>
      <c r="B12" s="169" t="s">
        <v>656</v>
      </c>
      <c r="C12" s="169" t="s">
        <v>742</v>
      </c>
      <c r="E12" s="392">
        <f t="shared" si="0"/>
        <v>1114.2882631725677</v>
      </c>
      <c r="F12" s="220">
        <f>H12*VLOOKUP(G12,Misc_inputs!$A$4:$C$24,3,0)</f>
        <v>1114.2882631725677</v>
      </c>
      <c r="G12" s="169">
        <v>2016</v>
      </c>
      <c r="H12" s="392">
        <v>980</v>
      </c>
      <c r="I12" s="169" t="s">
        <v>741</v>
      </c>
    </row>
    <row r="13" spans="1:10">
      <c r="A13" s="169" t="s">
        <v>742</v>
      </c>
      <c r="B13" s="169" t="s">
        <v>657</v>
      </c>
      <c r="C13" s="169" t="s">
        <v>742</v>
      </c>
      <c r="E13" s="392">
        <f t="shared" si="0"/>
        <v>306.99778679244213</v>
      </c>
      <c r="F13" s="220">
        <f>H13*VLOOKUP(G13,Misc_inputs!$A$4:$C$24,3,0)</f>
        <v>306.99778679244213</v>
      </c>
      <c r="G13" s="169">
        <v>2016</v>
      </c>
      <c r="H13" s="392">
        <v>270</v>
      </c>
      <c r="I13" s="169" t="s">
        <v>741</v>
      </c>
    </row>
    <row r="14" spans="1:10">
      <c r="A14" s="169" t="s">
        <v>742</v>
      </c>
      <c r="B14" s="169" t="s">
        <v>658</v>
      </c>
      <c r="C14" s="169" t="s">
        <v>742</v>
      </c>
      <c r="E14" s="392">
        <f t="shared" si="0"/>
        <v>4741.4102626832728</v>
      </c>
      <c r="F14" s="220">
        <f>H14*VLOOKUP(G14,Misc_inputs!$A$4:$C$24,3,0)</f>
        <v>4741.4102626832728</v>
      </c>
      <c r="G14" s="169">
        <v>2016</v>
      </c>
      <c r="H14" s="392">
        <v>4170</v>
      </c>
      <c r="I14" s="169" t="s">
        <v>741</v>
      </c>
    </row>
    <row r="15" spans="1:10">
      <c r="A15" s="169" t="s">
        <v>742</v>
      </c>
      <c r="B15" s="169" t="s">
        <v>659</v>
      </c>
      <c r="C15" s="169" t="s">
        <v>742</v>
      </c>
      <c r="E15" s="392">
        <f t="shared" si="0"/>
        <v>579.88470838572402</v>
      </c>
      <c r="F15" s="220">
        <f>H15*VLOOKUP(G15,Misc_inputs!$A$4:$C$24,3,0)</f>
        <v>579.88470838572402</v>
      </c>
      <c r="G15" s="169">
        <v>2016</v>
      </c>
      <c r="H15" s="392">
        <v>510</v>
      </c>
      <c r="I15" s="169" t="s">
        <v>741</v>
      </c>
    </row>
    <row r="16" spans="1:10">
      <c r="A16" s="169" t="s">
        <v>742</v>
      </c>
      <c r="B16" s="169" t="s">
        <v>660</v>
      </c>
      <c r="C16" s="169" t="s">
        <v>742</v>
      </c>
      <c r="E16" s="392">
        <f t="shared" si="0"/>
        <v>0</v>
      </c>
      <c r="F16" s="220">
        <f>H16*VLOOKUP(G16,Misc_inputs!$A$4:$C$24,3,0)</f>
        <v>0</v>
      </c>
      <c r="G16" s="169">
        <v>2016</v>
      </c>
      <c r="H16" s="392">
        <v>0</v>
      </c>
      <c r="I16" s="169" t="s">
        <v>741</v>
      </c>
    </row>
    <row r="17" spans="1:9">
      <c r="A17" s="169" t="s">
        <v>742</v>
      </c>
      <c r="B17" s="169" t="s">
        <v>694</v>
      </c>
      <c r="C17" s="169" t="s">
        <v>742</v>
      </c>
      <c r="E17" s="392">
        <f t="shared" si="0"/>
        <v>409.33038238992282</v>
      </c>
      <c r="F17" s="220">
        <f>H17*VLOOKUP(G17,Misc_inputs!$A$4:$C$24,3,0)</f>
        <v>409.33038238992282</v>
      </c>
      <c r="G17" s="169">
        <v>2016</v>
      </c>
      <c r="H17" s="392">
        <v>360</v>
      </c>
      <c r="I17" s="169" t="s">
        <v>741</v>
      </c>
    </row>
    <row r="18" spans="1:9">
      <c r="A18" s="169" t="s">
        <v>742</v>
      </c>
      <c r="B18" s="169" t="s">
        <v>668</v>
      </c>
      <c r="C18" s="169" t="s">
        <v>742</v>
      </c>
      <c r="E18" s="392">
        <f t="shared" si="0"/>
        <v>113.70288399720079</v>
      </c>
      <c r="F18" s="220">
        <f>H18*VLOOKUP(G18,Misc_inputs!$A$4:$C$24,3,0)</f>
        <v>113.70288399720079</v>
      </c>
      <c r="G18" s="169">
        <v>2016</v>
      </c>
      <c r="H18" s="392">
        <v>100</v>
      </c>
      <c r="I18" s="169" t="s">
        <v>741</v>
      </c>
    </row>
    <row r="19" spans="1:9">
      <c r="A19" s="169" t="s">
        <v>742</v>
      </c>
      <c r="B19" s="169" t="s">
        <v>669</v>
      </c>
      <c r="C19" s="169" t="s">
        <v>742</v>
      </c>
      <c r="E19" s="392">
        <f t="shared" si="0"/>
        <v>1148.399128371728</v>
      </c>
      <c r="F19" s="220">
        <f>H19*VLOOKUP(G19,Misc_inputs!$A$4:$C$24,3,0)</f>
        <v>1148.399128371728</v>
      </c>
      <c r="G19" s="169">
        <v>2016</v>
      </c>
      <c r="H19" s="392">
        <v>1010</v>
      </c>
      <c r="I19" s="169" t="s">
        <v>741</v>
      </c>
    </row>
    <row r="20" spans="1:9">
      <c r="A20" s="169" t="s">
        <v>742</v>
      </c>
      <c r="B20" s="169" t="s">
        <v>670</v>
      </c>
      <c r="C20" s="169" t="s">
        <v>742</v>
      </c>
      <c r="E20" s="392">
        <f t="shared" si="0"/>
        <v>68.221730398320474</v>
      </c>
      <c r="F20" s="220">
        <f>H20*VLOOKUP(G20,Misc_inputs!$A$4:$C$24,3,0)</f>
        <v>68.221730398320474</v>
      </c>
      <c r="G20" s="169">
        <v>2016</v>
      </c>
      <c r="H20" s="392">
        <v>60</v>
      </c>
      <c r="I20" s="169" t="s">
        <v>741</v>
      </c>
    </row>
    <row r="22" spans="1:9">
      <c r="A22" s="169" t="s">
        <v>742</v>
      </c>
      <c r="B22" s="169" t="s">
        <v>732</v>
      </c>
      <c r="C22" s="169" t="s">
        <v>743</v>
      </c>
      <c r="E22" s="216">
        <f>Control!E44</f>
        <v>0</v>
      </c>
      <c r="F22" s="216">
        <v>0</v>
      </c>
      <c r="H22" s="169" t="s">
        <v>744</v>
      </c>
    </row>
    <row r="23" spans="1:9">
      <c r="E23" s="216"/>
      <c r="F23" s="216"/>
    </row>
    <row r="24" spans="1:9">
      <c r="E24" s="216"/>
      <c r="F24" s="216"/>
    </row>
    <row r="25" spans="1:9">
      <c r="B25" s="169" t="s">
        <v>732</v>
      </c>
    </row>
    <row r="26" spans="1:9">
      <c r="B26" s="169" t="s">
        <v>642</v>
      </c>
    </row>
    <row r="27" spans="1:9">
      <c r="B27" s="169" t="s">
        <v>732</v>
      </c>
    </row>
    <row r="28" spans="1:9">
      <c r="C28" s="150" t="s">
        <v>752</v>
      </c>
    </row>
    <row r="29" spans="1:9">
      <c r="A29" s="150" t="s">
        <v>814</v>
      </c>
      <c r="B29" s="150" t="s">
        <v>756</v>
      </c>
      <c r="C29" s="173" t="s">
        <v>698</v>
      </c>
      <c r="D29" s="173" t="s">
        <v>699</v>
      </c>
      <c r="E29" s="173" t="s">
        <v>700</v>
      </c>
      <c r="F29" s="173" t="s">
        <v>767</v>
      </c>
      <c r="G29" s="173" t="s">
        <v>768</v>
      </c>
      <c r="H29" s="173" t="s">
        <v>639</v>
      </c>
    </row>
    <row r="30" spans="1:9">
      <c r="A30" s="169" t="s">
        <v>290</v>
      </c>
      <c r="B30" s="394">
        <f>Control!E11</f>
        <v>2.9389521015641253E-4</v>
      </c>
      <c r="D30" s="697">
        <f>0</f>
        <v>0</v>
      </c>
      <c r="H30" s="72" t="s">
        <v>815</v>
      </c>
    </row>
    <row r="31" spans="1:9">
      <c r="A31" s="169" t="s">
        <v>649</v>
      </c>
      <c r="B31" s="394">
        <f>Control!E12</f>
        <v>0.22109169493871875</v>
      </c>
      <c r="D31" s="220">
        <f>$B31*$E$22*VLOOKUP($A31,$B$3:$E$20,4,0)*(RJ_pathway!$C$43+RJ_pathway!$C$44*Reoffending_inputs!$G$362)</f>
        <v>0</v>
      </c>
      <c r="H31" s="169" t="s">
        <v>757</v>
      </c>
    </row>
    <row r="32" spans="1:9">
      <c r="A32" s="169" t="s">
        <v>650</v>
      </c>
      <c r="B32" s="394">
        <f>Control!E13</f>
        <v>0.28594457131323381</v>
      </c>
      <c r="D32" s="220">
        <f>$B32*$E$22*VLOOKUP($A32,$B$3:$E$20,4,0)*(RJ_pathway!$C$43+RJ_pathway!$C$44*Reoffending_inputs!$G$362)</f>
        <v>0</v>
      </c>
    </row>
    <row r="33" spans="1:7">
      <c r="A33" s="393" t="s">
        <v>544</v>
      </c>
      <c r="B33" s="696">
        <f>Control!E14</f>
        <v>7.4741747139604377E-3</v>
      </c>
      <c r="C33" s="393"/>
      <c r="D33" s="695">
        <f>$B33*$E$22*VLOOKUP($A33,$B$3:$E$20,4,0)*(RJ_pathway!$C$43+RJ_pathway!$C$44*Reoffending_inputs!$G$362)</f>
        <v>0</v>
      </c>
      <c r="E33" s="393"/>
      <c r="F33" s="393"/>
      <c r="G33" s="393"/>
    </row>
    <row r="34" spans="1:7">
      <c r="A34" s="393" t="s">
        <v>651</v>
      </c>
      <c r="B34" s="696">
        <f>Control!E15</f>
        <v>1.4445743114849847E-2</v>
      </c>
      <c r="C34" s="393"/>
      <c r="D34" s="695">
        <f>$B34*$E$22*VLOOKUP($A34,$B$3:$E$20,4,0)*(RJ_pathway!$C$43+RJ_pathway!$C$44*Reoffending_inputs!$G$362)</f>
        <v>0</v>
      </c>
      <c r="E34" s="393"/>
      <c r="F34" s="393"/>
      <c r="G34" s="393"/>
    </row>
    <row r="35" spans="1:7">
      <c r="A35" s="169" t="s">
        <v>292</v>
      </c>
      <c r="B35" s="394">
        <f>Control!E16</f>
        <v>1.936556533542242E-2</v>
      </c>
      <c r="D35" s="220">
        <f>$B35*$E$22*VLOOKUP($A35,$B$3:$E$20,4,0)*(RJ_pathway!$C$43+RJ_pathway!$C$44*Reoffending_inputs!$G$362)</f>
        <v>0</v>
      </c>
    </row>
    <row r="36" spans="1:7">
      <c r="A36" s="169" t="s">
        <v>658</v>
      </c>
      <c r="B36" s="394">
        <f>Control!E17</f>
        <v>0</v>
      </c>
      <c r="D36" s="220">
        <f>$B36*$E$22*VLOOKUP($A36,$B$3:$E$20,4,0)*(RJ_pathway!$C$43+RJ_pathway!$C$44*Reoffending_inputs!$G$362)</f>
        <v>0</v>
      </c>
    </row>
    <row r="37" spans="1:7">
      <c r="A37" s="393" t="s">
        <v>652</v>
      </c>
      <c r="B37" s="696">
        <f>Control!E18</f>
        <v>6.9058305926001137E-2</v>
      </c>
      <c r="C37" s="393"/>
      <c r="D37" s="695">
        <f>$B37*$E$22*VLOOKUP($A37,$B$3:$E$20,4,0)*(RJ_pathway!$C$43+RJ_pathway!$C$44*Reoffending_inputs!$G$362)</f>
        <v>0</v>
      </c>
      <c r="E37" s="393"/>
      <c r="F37" s="393"/>
      <c r="G37" s="393"/>
    </row>
    <row r="38" spans="1:7">
      <c r="A38" s="393" t="s">
        <v>659</v>
      </c>
      <c r="B38" s="696">
        <f>Control!E19</f>
        <v>0</v>
      </c>
      <c r="C38" s="393"/>
      <c r="D38" s="695">
        <f>$B38*$E$22*VLOOKUP($A38,$B$3:$E$20,4,0)*(RJ_pathway!$C$43+RJ_pathway!$C$44*Reoffending_inputs!$G$362)</f>
        <v>0</v>
      </c>
      <c r="E38" s="393"/>
      <c r="F38" s="393"/>
      <c r="G38" s="393"/>
    </row>
    <row r="39" spans="1:7">
      <c r="A39" s="393" t="s">
        <v>660</v>
      </c>
      <c r="B39" s="696">
        <f>Control!E20</f>
        <v>0</v>
      </c>
      <c r="C39" s="393"/>
      <c r="D39" s="695">
        <f>$B39*$E$22*VLOOKUP($A39,$B$3:$E$20,4,0)*(RJ_pathway!$C$43+RJ_pathway!$C$44*Reoffending_inputs!$G$362)</f>
        <v>0</v>
      </c>
      <c r="E39" s="393"/>
      <c r="F39" s="393"/>
      <c r="G39" s="393"/>
    </row>
    <row r="40" spans="1:7">
      <c r="A40" s="393" t="s">
        <v>653</v>
      </c>
      <c r="B40" s="696">
        <f>Control!E21</f>
        <v>2.9010811403613567E-2</v>
      </c>
      <c r="C40" s="393"/>
      <c r="D40" s="695">
        <f>$B40*$E$22*VLOOKUP($A40,$B$3:$E$20,4,0)*(RJ_pathway!$C$43+RJ_pathway!$C$44*Reoffending_inputs!$G$362)</f>
        <v>0</v>
      </c>
      <c r="E40" s="393"/>
      <c r="F40" s="393"/>
      <c r="G40" s="393"/>
    </row>
    <row r="41" spans="1:7">
      <c r="A41" s="393" t="s">
        <v>694</v>
      </c>
      <c r="B41" s="696">
        <f>Control!E22</f>
        <v>0</v>
      </c>
      <c r="C41" s="393"/>
      <c r="D41" s="695">
        <f>$B41*$E$22*VLOOKUP($A41,$B$3:$E$20,4,0)*(RJ_pathway!$C$43+RJ_pathway!$C$44*Reoffending_inputs!$G$362)</f>
        <v>0</v>
      </c>
      <c r="E41" s="393"/>
      <c r="F41" s="393"/>
      <c r="G41" s="393"/>
    </row>
    <row r="42" spans="1:7">
      <c r="A42" s="393" t="s">
        <v>654</v>
      </c>
      <c r="B42" s="696">
        <f>Control!E23</f>
        <v>7.9551502557111034E-2</v>
      </c>
      <c r="C42" s="393"/>
      <c r="D42" s="695">
        <f>$B42*$E$22*VLOOKUP($A42,$B$3:$E$20,4,0)*(RJ_pathway!$C$43+RJ_pathway!$C$44*Reoffending_inputs!$G$362)</f>
        <v>0</v>
      </c>
      <c r="E42" s="393"/>
      <c r="F42" s="393"/>
      <c r="G42" s="393"/>
    </row>
    <row r="43" spans="1:7">
      <c r="A43" s="393" t="s">
        <v>668</v>
      </c>
      <c r="B43" s="696">
        <f>Control!E24</f>
        <v>0</v>
      </c>
      <c r="C43" s="393"/>
      <c r="D43" s="695">
        <f>$B43*$E$22*VLOOKUP($A43,$B$3:$E$20,4,0)*(RJ_pathway!$C$43+RJ_pathway!$C$44*Reoffending_inputs!$G$362)</f>
        <v>0</v>
      </c>
      <c r="E43" s="393"/>
      <c r="F43" s="393"/>
      <c r="G43" s="393"/>
    </row>
    <row r="44" spans="1:7">
      <c r="A44" s="393" t="s">
        <v>655</v>
      </c>
      <c r="B44" s="696">
        <f>Control!E25</f>
        <v>2.7621901490694146E-2</v>
      </c>
      <c r="C44" s="393"/>
      <c r="D44" s="695">
        <f>$B44*$E$22*VLOOKUP($A44,$B$3:$E$20,4,0)*(RJ_pathway!$C$43+RJ_pathway!$C$44*Reoffending_inputs!$G$362)</f>
        <v>0</v>
      </c>
      <c r="E44" s="393"/>
      <c r="F44" s="393"/>
      <c r="G44" s="393"/>
    </row>
    <row r="45" spans="1:7">
      <c r="A45" s="169" t="s">
        <v>656</v>
      </c>
      <c r="B45" s="394">
        <f>Control!E26</f>
        <v>1.0085550905143721E-2</v>
      </c>
      <c r="D45" s="220">
        <f>$B45*$E$22*VLOOKUP($A45,$B$3:$E$20,4,0)*(RJ_pathway!$C$43+RJ_pathway!$C$44*Reoffending_inputs!$G$362)</f>
        <v>0</v>
      </c>
    </row>
    <row r="46" spans="1:7">
      <c r="A46" s="169" t="s">
        <v>657</v>
      </c>
      <c r="B46" s="394">
        <f>Control!E27</f>
        <v>0.23605628309109464</v>
      </c>
      <c r="D46" s="220">
        <f>$B46*$E$22*VLOOKUP($A46,$B$3:$E$20,4,0)*(RJ_pathway!$C$43+RJ_pathway!$C$44*Reoffending_inputs!$G$362)</f>
        <v>0</v>
      </c>
    </row>
    <row r="47" spans="1:7">
      <c r="A47" s="169" t="s">
        <v>669</v>
      </c>
      <c r="B47" s="394">
        <f>Control!E28</f>
        <v>0</v>
      </c>
      <c r="D47" s="220">
        <f>$B47*$E$22*VLOOKUP($A47,$B$3:$E$20,4,0)*(RJ_pathway!$C$43+RJ_pathway!$C$44*Reoffending_inputs!$G$362)</f>
        <v>0</v>
      </c>
    </row>
    <row r="48" spans="1:7">
      <c r="A48" s="169" t="s">
        <v>670</v>
      </c>
      <c r="B48" s="394">
        <f>Control!E29</f>
        <v>0</v>
      </c>
      <c r="D48" s="220">
        <f>$B48*$E$22*VLOOKUP($A48,$B$3:$E$20,4,0)*(RJ_pathway!$C$43+RJ_pathway!$C$44*Reoffending_inputs!$G$362)</f>
        <v>0</v>
      </c>
    </row>
    <row r="50" spans="1:5">
      <c r="A50" s="169" t="s">
        <v>755</v>
      </c>
      <c r="B50" s="394">
        <f>SUM(B30:B48)</f>
        <v>0.99999999999999989</v>
      </c>
      <c r="C50" s="395">
        <f t="shared" ref="C50:E50" si="1">SUM(C30:C48)</f>
        <v>0</v>
      </c>
      <c r="D50" s="395">
        <f t="shared" si="1"/>
        <v>0</v>
      </c>
      <c r="E50" s="395">
        <f t="shared" si="1"/>
        <v>0</v>
      </c>
    </row>
    <row r="55" spans="1:5" s="222" customFormat="1">
      <c r="A55" s="222" t="s">
        <v>697</v>
      </c>
    </row>
  </sheetData>
  <phoneticPr fontId="46"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tabColor theme="2" tint="-0.249977111117893"/>
  </sheetPr>
  <dimension ref="A1:BI39"/>
  <sheetViews>
    <sheetView workbookViewId="0"/>
  </sheetViews>
  <sheetFormatPr defaultColWidth="10.921875" defaultRowHeight="15.5"/>
  <cols>
    <col min="1" max="1" width="12.15234375" style="114" customWidth="1"/>
    <col min="2" max="2" width="10.921875" style="114"/>
    <col min="3" max="7" width="10.921875" style="114" customWidth="1"/>
    <col min="8" max="19" width="10.921875" style="114" hidden="1" customWidth="1"/>
    <col min="20" max="27" width="10.69140625" style="114" hidden="1" customWidth="1"/>
    <col min="28" max="28" width="10.4609375" style="114" customWidth="1"/>
    <col min="29" max="34" width="10.69140625" style="114" customWidth="1"/>
    <col min="35" max="45" width="10.921875" style="114"/>
    <col min="46" max="60" width="10.69140625" style="114" customWidth="1"/>
    <col min="61" max="62" width="10.921875" style="114"/>
    <col min="63" max="63" width="10.69140625" style="114" customWidth="1"/>
    <col min="64" max="16384" width="10.921875" style="114"/>
  </cols>
  <sheetData>
    <row r="1" spans="1:61" ht="20.5">
      <c r="A1" s="235" t="s">
        <v>0</v>
      </c>
      <c r="B1" s="396"/>
      <c r="C1" s="760" t="s">
        <v>484</v>
      </c>
      <c r="D1" s="760"/>
      <c r="E1" s="892"/>
      <c r="F1" s="892"/>
      <c r="G1" s="892"/>
      <c r="H1" s="892"/>
      <c r="I1" s="892"/>
      <c r="J1" s="892"/>
      <c r="K1" s="892"/>
      <c r="L1" s="892"/>
      <c r="M1" s="892"/>
      <c r="N1" s="892"/>
      <c r="O1" s="892"/>
      <c r="P1" s="892"/>
      <c r="Q1" s="892"/>
      <c r="R1" s="892"/>
      <c r="S1" s="892"/>
      <c r="T1" s="892"/>
      <c r="U1" s="892"/>
      <c r="V1" s="892"/>
      <c r="W1" s="892"/>
      <c r="X1" s="892"/>
      <c r="Y1" s="892"/>
      <c r="Z1" s="892"/>
      <c r="AA1" s="892"/>
      <c r="AB1" s="892"/>
      <c r="AC1" s="304"/>
      <c r="AD1" s="304"/>
      <c r="AE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c r="BD1" s="113"/>
      <c r="BE1" s="113"/>
      <c r="BF1" s="113"/>
      <c r="BG1" s="113"/>
      <c r="BH1" s="113"/>
      <c r="BI1" s="113"/>
    </row>
    <row r="2" spans="1:61" ht="25.5">
      <c r="A2" s="326" t="str">
        <f>Title</f>
        <v>Economic evaluation of Restorative Justice</v>
      </c>
      <c r="B2" s="397"/>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04"/>
      <c r="AD2" s="304"/>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row>
    <row r="3" spans="1:61" ht="16" thickBot="1">
      <c r="A3" s="304"/>
      <c r="B3" s="304"/>
      <c r="C3" s="304">
        <v>1</v>
      </c>
      <c r="D3" s="304">
        <v>2</v>
      </c>
      <c r="E3" s="304">
        <v>3</v>
      </c>
      <c r="F3" s="304">
        <v>4</v>
      </c>
      <c r="G3" s="304">
        <v>5</v>
      </c>
      <c r="H3" s="304">
        <v>6</v>
      </c>
      <c r="I3" s="304">
        <v>7</v>
      </c>
      <c r="J3" s="304">
        <v>8</v>
      </c>
      <c r="K3" s="304">
        <v>9</v>
      </c>
      <c r="L3" s="304">
        <v>10</v>
      </c>
      <c r="M3" s="304">
        <v>11</v>
      </c>
      <c r="N3" s="304">
        <v>12</v>
      </c>
      <c r="O3" s="304">
        <v>13</v>
      </c>
      <c r="P3" s="304">
        <v>14</v>
      </c>
      <c r="Q3" s="304">
        <v>15</v>
      </c>
      <c r="R3" s="304">
        <v>16</v>
      </c>
      <c r="S3" s="304">
        <v>17</v>
      </c>
      <c r="T3" s="304">
        <v>18</v>
      </c>
      <c r="U3" s="304">
        <v>19</v>
      </c>
      <c r="V3" s="304">
        <v>20</v>
      </c>
      <c r="W3" s="304">
        <v>21</v>
      </c>
      <c r="X3" s="304">
        <v>22</v>
      </c>
      <c r="Y3" s="304">
        <v>23</v>
      </c>
      <c r="Z3" s="304">
        <v>24</v>
      </c>
      <c r="AA3" s="304">
        <v>25</v>
      </c>
      <c r="AB3" s="304"/>
      <c r="AC3" s="196"/>
      <c r="AD3" s="196"/>
    </row>
    <row r="4" spans="1:61" ht="47" thickBot="1">
      <c r="A4" s="891" t="s">
        <v>247</v>
      </c>
      <c r="B4" s="821"/>
      <c r="C4" s="799" t="str">
        <f>CONCATENATE("Costs Yr1"," ", "(",'Proposition Summary'!$B$76,")")</f>
        <v>Costs Yr1 (GBP (£))</v>
      </c>
      <c r="D4" s="800" t="str">
        <f>CONCATENATE("Costs Yr2"," ", "(",'Proposition Summary'!$B$76,")")</f>
        <v>Costs Yr2 (GBP (£))</v>
      </c>
      <c r="E4" s="801" t="str">
        <f>CONCATENATE("Costs Yr3"," ", "(",'Proposition Summary'!$B$76,")")</f>
        <v>Costs Yr3 (GBP (£))</v>
      </c>
      <c r="F4" s="801" t="str">
        <f>CONCATENATE("Costs Yr4"," ", "(",'Proposition Summary'!$B$76,")")</f>
        <v>Costs Yr4 (GBP (£))</v>
      </c>
      <c r="G4" s="801" t="str">
        <f>CONCATENATE("Costs Yr5"," ", "(",'Proposition Summary'!$B$76,")")</f>
        <v>Costs Yr5 (GBP (£))</v>
      </c>
      <c r="H4" s="801" t="str">
        <f>CONCATENATE("Costs Yr6"," ", "(",'Proposition Summary'!$B$76,")")</f>
        <v>Costs Yr6 (GBP (£))</v>
      </c>
      <c r="I4" s="801" t="str">
        <f>CONCATENATE("Costs Yr7"," ", "(",'Proposition Summary'!$B$76,")")</f>
        <v>Costs Yr7 (GBP (£))</v>
      </c>
      <c r="J4" s="801" t="str">
        <f>CONCATENATE("Costs Yr8"," ", "(",'Proposition Summary'!$B$76,")")</f>
        <v>Costs Yr8 (GBP (£))</v>
      </c>
      <c r="K4" s="801" t="str">
        <f>CONCATENATE("Costs Yr9"," ", "(",'Proposition Summary'!$B$76,")")</f>
        <v>Costs Yr9 (GBP (£))</v>
      </c>
      <c r="L4" s="801" t="str">
        <f>CONCATENATE("Costs Yr10"," ", "(",'Proposition Summary'!$B$76,")")</f>
        <v>Costs Yr10 (GBP (£))</v>
      </c>
      <c r="M4" s="801" t="str">
        <f>CONCATENATE("Costs Yr11"," ", "(",'Proposition Summary'!$B$76,")")</f>
        <v>Costs Yr11 (GBP (£))</v>
      </c>
      <c r="N4" s="801" t="str">
        <f>CONCATENATE("Costs Yr12"," ", "(",'Proposition Summary'!$B$76,")")</f>
        <v>Costs Yr12 (GBP (£))</v>
      </c>
      <c r="O4" s="801" t="str">
        <f>CONCATENATE("Costs Yr13"," ", "(",'Proposition Summary'!$B$76,")")</f>
        <v>Costs Yr13 (GBP (£))</v>
      </c>
      <c r="P4" s="801" t="str">
        <f>CONCATENATE("Costs Yr14"," ", "(",'Proposition Summary'!$B$76,")")</f>
        <v>Costs Yr14 (GBP (£))</v>
      </c>
      <c r="Q4" s="801" t="str">
        <f>CONCATENATE("Costs Yr15"," ", "(",'Proposition Summary'!$B$76,")")</f>
        <v>Costs Yr15 (GBP (£))</v>
      </c>
      <c r="R4" s="801" t="str">
        <f>CONCATENATE("Costs Yr16"," ", "(",'Proposition Summary'!$B$76,")")</f>
        <v>Costs Yr16 (GBP (£))</v>
      </c>
      <c r="S4" s="801" t="str">
        <f>CONCATENATE("Costs Yr17"," ", "(",'Proposition Summary'!$B$76,")")</f>
        <v>Costs Yr17 (GBP (£))</v>
      </c>
      <c r="T4" s="801" t="str">
        <f>CONCATENATE("Costs Yr18"," ", "(",'Proposition Summary'!$B$76,")")</f>
        <v>Costs Yr18 (GBP (£))</v>
      </c>
      <c r="U4" s="801" t="str">
        <f>CONCATENATE("Costs Yr19"," ", "(",'Proposition Summary'!$B$76,")")</f>
        <v>Costs Yr19 (GBP (£))</v>
      </c>
      <c r="V4" s="801" t="str">
        <f>CONCATENATE("Costs Yr20"," ", "(",'Proposition Summary'!$B$76,")")</f>
        <v>Costs Yr20 (GBP (£))</v>
      </c>
      <c r="W4" s="801" t="str">
        <f>CONCATENATE("Costs Yr21"," ", "(",'Proposition Summary'!$B$76,")")</f>
        <v>Costs Yr21 (GBP (£))</v>
      </c>
      <c r="X4" s="801" t="str">
        <f>CONCATENATE("Costs Yr22"," ", "(",'Proposition Summary'!$B$76,")")</f>
        <v>Costs Yr22 (GBP (£))</v>
      </c>
      <c r="Y4" s="801" t="str">
        <f>CONCATENATE("Costs Yr23"," ", "(",'Proposition Summary'!$B$76,")")</f>
        <v>Costs Yr23 (GBP (£))</v>
      </c>
      <c r="Z4" s="801" t="str">
        <f>CONCATENATE("Costs Yr24"," ", "(",'Proposition Summary'!$B$76,")")</f>
        <v>Costs Yr24 (GBP (£))</v>
      </c>
      <c r="AA4" s="801" t="str">
        <f>CONCATENATE("Costs Yr25"," ", "(",'Proposition Summary'!$B$76,")")</f>
        <v>Costs Yr25 (GBP (£))</v>
      </c>
      <c r="AB4" s="821" t="str">
        <f>CONCATENATE("Total"," ", "(",'Proposition Summary'!$B$76,")")</f>
        <v>Total (GBP (£))</v>
      </c>
      <c r="AC4" s="823" t="str">
        <f>CONCATENATE("Average per year"," ", "(",'Proposition Summary'!$B$76,")")</f>
        <v>Average per year (GBP (£))</v>
      </c>
      <c r="AD4" s="196"/>
    </row>
    <row r="5" spans="1:61" ht="24.9" customHeight="1" thickTop="1">
      <c r="A5" s="398">
        <v>1</v>
      </c>
      <c r="B5" s="399" t="str">
        <f>IF(A5&lt;&gt;"",INDEX('Bearer list'!$D$4:$D$16,A5),"")</f>
        <v>CJS</v>
      </c>
      <c r="C5" s="893">
        <f>IF(Costs!AH$225&lt;=time,IF($B5&lt;&gt;"",SUMIF(Costs!$D$5:$D$223,$B5,'Attributable fraction'!AA$5:AA$223),""),"")</f>
        <v>284.73002251534706</v>
      </c>
      <c r="D5" s="400">
        <f>IF(Costs!AI$225&lt;=time,IF($B5&lt;&gt;"",SUMIF(Costs!$D$5:$D$223,$B5,'Attributable fraction'!AB$5:AB$223),""),"")</f>
        <v>0</v>
      </c>
      <c r="E5" s="400">
        <f>IF(Costs!AJ$225&lt;=time,IF($B5&lt;&gt;"",SUMIF(Costs!$D$5:$D$223,$B5,'Attributable fraction'!AC$5:AC$223),""),"")</f>
        <v>0</v>
      </c>
      <c r="F5" s="400">
        <f>IF(Costs!AK$225&lt;=time,IF($B5&lt;&gt;"",SUMIF(Costs!$D$5:$D$223,$B5,'Attributable fraction'!AD$5:AD$223),""),"")</f>
        <v>0</v>
      </c>
      <c r="G5" s="400">
        <f>IF(Costs!AL$225&lt;=time,IF($B5&lt;&gt;"",SUMIF(Costs!$D$5:$D$223,$B5,'Attributable fraction'!AE$5:AE$223),""),"")</f>
        <v>0</v>
      </c>
      <c r="H5" s="400" t="str">
        <f>IF(Costs!AM$225&lt;=time,IF($B5&lt;&gt;"",SUMIF(Costs!$D$5:$D$223,$B5,'Attributable fraction'!AF$5:AF$223),""),"")</f>
        <v/>
      </c>
      <c r="I5" s="400" t="str">
        <f>IF(Costs!AN$225&lt;=time,IF($B5&lt;&gt;"",SUMIF(Costs!$D$5:$D$223,$B5,'Attributable fraction'!AG$5:AG$223),""),"")</f>
        <v/>
      </c>
      <c r="J5" s="400" t="str">
        <f>IF(Costs!AO$225&lt;=time,IF($B5&lt;&gt;"",SUMIF(Costs!$D$5:$D$223,$B5,'Attributable fraction'!AH$5:AH$223),""),"")</f>
        <v/>
      </c>
      <c r="K5" s="400" t="str">
        <f>IF(Costs!AP$225&lt;=time,IF($B5&lt;&gt;"",SUMIF(Costs!$D$5:$D$223,$B5,'Attributable fraction'!AI$5:AI$223),""),"")</f>
        <v/>
      </c>
      <c r="L5" s="400" t="str">
        <f>IF(Costs!AQ$225&lt;=time,IF($B5&lt;&gt;"",SUMIF(Costs!$D$5:$D$223,$B5,'Attributable fraction'!AJ$5:AJ$223),""),"")</f>
        <v/>
      </c>
      <c r="M5" s="400" t="str">
        <f>IF(Costs!AR$225&lt;=time,IF($B5&lt;&gt;"",SUMIF(Costs!$D$5:$D$223,$B5,'Attributable fraction'!AK$5:AK$223),""),"")</f>
        <v/>
      </c>
      <c r="N5" s="400" t="str">
        <f>IF(Costs!AS$225&lt;=time,IF($B5&lt;&gt;"",SUMIF(Costs!$D$5:$D$223,$B5,'Attributable fraction'!AL$5:AL$223),""),"")</f>
        <v/>
      </c>
      <c r="O5" s="400" t="str">
        <f>IF(Costs!AT$225&lt;=time,IF($B5&lt;&gt;"",SUMIF(Costs!$D$5:$D$223,$B5,'Attributable fraction'!AM$5:AM$223),""),"")</f>
        <v/>
      </c>
      <c r="P5" s="400" t="str">
        <f>IF(Costs!AU$225&lt;=time,IF($B5&lt;&gt;"",SUMIF(Costs!$D$5:$D$223,$B5,'Attributable fraction'!AN$5:AN$223),""),"")</f>
        <v/>
      </c>
      <c r="Q5" s="400" t="str">
        <f>IF(Costs!AV$225&lt;=time,IF($B5&lt;&gt;"",SUMIF(Costs!$D$5:$D$223,$B5,'Attributable fraction'!AO$5:AO$223),""),"")</f>
        <v/>
      </c>
      <c r="R5" s="400" t="str">
        <f>IF(Costs!AW$225&lt;=time,IF($B5&lt;&gt;"",SUMIF(Costs!$D$5:$D$223,$B5,'Attributable fraction'!AP$5:AP$223),""),"")</f>
        <v/>
      </c>
      <c r="S5" s="400" t="str">
        <f>IF(Costs!AX$225&lt;=time,IF($B5&lt;&gt;"",SUMIF(Costs!$D$5:$D$223,$B5,'Attributable fraction'!AQ$5:AQ$223),""),"")</f>
        <v/>
      </c>
      <c r="T5" s="400" t="str">
        <f>IF(Costs!AY$225&lt;=time,IF($B5&lt;&gt;"",SUMIF(Costs!$D$5:$D$223,$B5,'Attributable fraction'!AR$5:AR$223),""),"")</f>
        <v/>
      </c>
      <c r="U5" s="400" t="str">
        <f>IF(Costs!AZ$225&lt;=time,IF($B5&lt;&gt;"",SUMIF(Costs!$D$5:$D$223,$B5,'Attributable fraction'!AS$5:AS$223),""),"")</f>
        <v/>
      </c>
      <c r="V5" s="400" t="str">
        <f>IF(Costs!BA$225&lt;=time,IF($B5&lt;&gt;"",SUMIF(Costs!$D$5:$D$223,$B5,'Attributable fraction'!AT$5:AT$223),""),"")</f>
        <v/>
      </c>
      <c r="W5" s="400" t="str">
        <f>IF(Costs!BB$225&lt;=time,IF($B5&lt;&gt;"",SUMIF(Costs!$D$5:$D$223,$B5,'Attributable fraction'!AU$5:AU$223),""),"")</f>
        <v/>
      </c>
      <c r="X5" s="400" t="str">
        <f>IF(Costs!BC$225&lt;=time,IF($B5&lt;&gt;"",SUMIF(Costs!$D$5:$D$223,$B5,'Attributable fraction'!AV$5:AV$223),""),"")</f>
        <v/>
      </c>
      <c r="Y5" s="400" t="str">
        <f>IF(Costs!BD$225&lt;=time,IF($B5&lt;&gt;"",SUMIF(Costs!$D$5:$D$223,$B5,'Attributable fraction'!AW$5:AW$223),""),"")</f>
        <v/>
      </c>
      <c r="Z5" s="400" t="str">
        <f>IF(Costs!BE$225&lt;=time,IF($B5&lt;&gt;"",SUMIF(Costs!$D$5:$D$223,$B5,'Attributable fraction'!AX$5:AX$223),""),"")</f>
        <v/>
      </c>
      <c r="AA5" s="400" t="str">
        <f>IF(Costs!BF$225&lt;=time,IF($B5&lt;&gt;"",SUMIF(Costs!$D$5:$D$223,$B5,'Attributable fraction'!AY$5:AY$223),""),"")</f>
        <v/>
      </c>
      <c r="AB5" s="894">
        <f>IF($B5&lt;&gt;"",SUM(C5:AA5),"")</f>
        <v>284.73002251534706</v>
      </c>
      <c r="AC5" s="895">
        <f t="shared" ref="AC5:AC17" si="0">IF($B5&lt;&gt;"",AB5/time,"")</f>
        <v>56.94600450306941</v>
      </c>
      <c r="AD5" s="196"/>
    </row>
    <row r="6" spans="1:61">
      <c r="A6" s="398">
        <f>IF((13-COUNTIF('Bearer list'!$E$4:$E$16,""))&gt;A5,A5+1,"")</f>
        <v>2</v>
      </c>
      <c r="B6" s="403" t="str">
        <f>IF(A6&lt;&gt;"",INDEX('Bearer list'!$E$4:$E$16,A6),"")</f>
        <v>Society</v>
      </c>
      <c r="C6" s="400">
        <f>IF(Costs!AH$225&lt;=time,IF($B6&lt;&gt;"",SUMIF(Costs!$D$5:$D$223,$B6,'Attributable fraction'!AA$5:AA$223),""),"")</f>
        <v>0</v>
      </c>
      <c r="D6" s="400">
        <f>IF(Costs!AI$225&lt;=time,IF($B6&lt;&gt;"",SUMIF(Costs!$D$5:$D$223,$B6,'Attributable fraction'!AB$5:AB$223),""),"")</f>
        <v>0</v>
      </c>
      <c r="E6" s="400">
        <f>IF(Costs!AJ$225&lt;=time,IF($B6&lt;&gt;"",SUMIF(Costs!$D$5:$D$223,$B6,'Attributable fraction'!AC$5:AC$223),""),"")</f>
        <v>0</v>
      </c>
      <c r="F6" s="400">
        <f>IF(Costs!AK$225&lt;=time,IF($B6&lt;&gt;"",SUMIF(Costs!$D$5:$D$223,$B6,'Attributable fraction'!AD$5:AD$223),""),"")</f>
        <v>0</v>
      </c>
      <c r="G6" s="400">
        <f>IF(Costs!AL$225&lt;=time,IF($B6&lt;&gt;"",SUMIF(Costs!$D$5:$D$223,$B6,'Attributable fraction'!AE$5:AE$223),""),"")</f>
        <v>0</v>
      </c>
      <c r="H6" s="400" t="str">
        <f>IF(Costs!AM$225&lt;=time,IF($B6&lt;&gt;"",SUMIF(Costs!$D$5:$D$223,$B6,'Attributable fraction'!AF$5:AF$223),""),"")</f>
        <v/>
      </c>
      <c r="I6" s="400" t="str">
        <f>IF(Costs!AN$225&lt;=time,IF($B6&lt;&gt;"",SUMIF(Costs!$D$5:$D$223,$B6,'Attributable fraction'!AG$5:AG$223),""),"")</f>
        <v/>
      </c>
      <c r="J6" s="400" t="str">
        <f>IF(Costs!AO$225&lt;=time,IF($B6&lt;&gt;"",SUMIF(Costs!$D$5:$D$223,$B6,'Attributable fraction'!AH$5:AH$223),""),"")</f>
        <v/>
      </c>
      <c r="K6" s="400" t="str">
        <f>IF(Costs!AP$225&lt;=time,IF($B6&lt;&gt;"",SUMIF(Costs!$D$5:$D$223,$B6,'Attributable fraction'!AI$5:AI$223),""),"")</f>
        <v/>
      </c>
      <c r="L6" s="400" t="str">
        <f>IF(Costs!AQ$225&lt;=time,IF($B6&lt;&gt;"",SUMIF(Costs!$D$5:$D$223,$B6,'Attributable fraction'!AJ$5:AJ$223),""),"")</f>
        <v/>
      </c>
      <c r="M6" s="400" t="str">
        <f>IF(Costs!AR$225&lt;=time,IF($B6&lt;&gt;"",SUMIF(Costs!$D$5:$D$223,$B6,'Attributable fraction'!AK$5:AK$223),""),"")</f>
        <v/>
      </c>
      <c r="N6" s="400" t="str">
        <f>IF(Costs!AS$225&lt;=time,IF($B6&lt;&gt;"",SUMIF(Costs!$D$5:$D$223,$B6,'Attributable fraction'!AL$5:AL$223),""),"")</f>
        <v/>
      </c>
      <c r="O6" s="400" t="str">
        <f>IF(Costs!AT$225&lt;=time,IF($B6&lt;&gt;"",SUMIF(Costs!$D$5:$D$223,$B6,'Attributable fraction'!AM$5:AM$223),""),"")</f>
        <v/>
      </c>
      <c r="P6" s="400" t="str">
        <f>IF(Costs!AU$225&lt;=time,IF($B6&lt;&gt;"",SUMIF(Costs!$D$5:$D$223,$B6,'Attributable fraction'!AN$5:AN$223),""),"")</f>
        <v/>
      </c>
      <c r="Q6" s="400" t="str">
        <f>IF(Costs!AV$225&lt;=time,IF($B6&lt;&gt;"",SUMIF(Costs!$D$5:$D$223,$B6,'Attributable fraction'!AO$5:AO$223),""),"")</f>
        <v/>
      </c>
      <c r="R6" s="400" t="str">
        <f>IF(Costs!AW$225&lt;=time,IF($B6&lt;&gt;"",SUMIF(Costs!$D$5:$D$223,$B6,'Attributable fraction'!AP$5:AP$223),""),"")</f>
        <v/>
      </c>
      <c r="S6" s="400" t="str">
        <f>IF(Costs!AX$225&lt;=time,IF($B6&lt;&gt;"",SUMIF(Costs!$D$5:$D$223,$B6,'Attributable fraction'!AQ$5:AQ$223),""),"")</f>
        <v/>
      </c>
      <c r="T6" s="400" t="str">
        <f>IF(Costs!AY$225&lt;=time,IF($B6&lt;&gt;"",SUMIF(Costs!$D$5:$D$223,$B6,'Attributable fraction'!AR$5:AR$223),""),"")</f>
        <v/>
      </c>
      <c r="U6" s="400" t="str">
        <f>IF(Costs!AZ$225&lt;=time,IF($B6&lt;&gt;"",SUMIF(Costs!$D$5:$D$223,$B6,'Attributable fraction'!AS$5:AS$223),""),"")</f>
        <v/>
      </c>
      <c r="V6" s="400" t="str">
        <f>IF(Costs!BA$225&lt;=time,IF($B6&lt;&gt;"",SUMIF(Costs!$D$5:$D$223,$B6,'Attributable fraction'!AT$5:AT$223),""),"")</f>
        <v/>
      </c>
      <c r="W6" s="400" t="str">
        <f>IF(Costs!BB$225&lt;=time,IF($B6&lt;&gt;"",SUMIF(Costs!$D$5:$D$223,$B6,'Attributable fraction'!AU$5:AU$223),""),"")</f>
        <v/>
      </c>
      <c r="X6" s="400" t="str">
        <f>IF(Costs!BC$225&lt;=time,IF($B6&lt;&gt;"",SUMIF(Costs!$D$5:$D$223,$B6,'Attributable fraction'!AV$5:AV$223),""),"")</f>
        <v/>
      </c>
      <c r="Y6" s="400" t="str">
        <f>IF(Costs!BD$225&lt;=time,IF($B6&lt;&gt;"",SUMIF(Costs!$D$5:$D$223,$B6,'Attributable fraction'!AW$5:AW$223),""),"")</f>
        <v/>
      </c>
      <c r="Z6" s="400" t="str">
        <f>IF(Costs!BE$225&lt;=time,IF($B6&lt;&gt;"",SUMIF(Costs!$D$5:$D$223,$B6,'Attributable fraction'!AX$5:AX$223),""),"")</f>
        <v/>
      </c>
      <c r="AA6" s="400" t="str">
        <f>IF(Costs!BF$225&lt;=time,IF($B6&lt;&gt;"",SUMIF(Costs!$D$5:$D$223,$B6,'Attributable fraction'!AY$5:AY$223),""),"")</f>
        <v/>
      </c>
      <c r="AB6" s="887">
        <f t="shared" ref="AB6:AB17" si="1">IF($B6&lt;&gt;"",SUM(C6:AA6),"")</f>
        <v>0</v>
      </c>
      <c r="AC6" s="888">
        <f t="shared" si="0"/>
        <v>0</v>
      </c>
      <c r="AD6" s="196"/>
    </row>
    <row r="7" spans="1:61">
      <c r="A7" s="398">
        <f>IF((13-COUNTIF('Bearer list'!$E$4:$E$16,""))&gt;A6,A6+1,"")</f>
        <v>3</v>
      </c>
      <c r="B7" s="403" t="str">
        <f>IF(A7&lt;&gt;"",INDEX('Bearer list'!$E$4:$E$16,A7),"")</f>
        <v>HealthSystem</v>
      </c>
      <c r="C7" s="400">
        <f>IF(Costs!AH$225&lt;=time,IF($B7&lt;&gt;"",SUMIF(Costs!$D$5:$D$223,$B7,'Attributable fraction'!AA$5:AA$223),""),"")</f>
        <v>0</v>
      </c>
      <c r="D7" s="400">
        <f>IF(Costs!AI$225&lt;=time,IF($B7&lt;&gt;"",SUMIF(Costs!$D$5:$D$223,$B7,'Attributable fraction'!AB$5:AB$223),""),"")</f>
        <v>0</v>
      </c>
      <c r="E7" s="400">
        <f>IF(Costs!AJ$225&lt;=time,IF($B7&lt;&gt;"",SUMIF(Costs!$D$5:$D$223,$B7,'Attributable fraction'!AC$5:AC$223),""),"")</f>
        <v>0</v>
      </c>
      <c r="F7" s="400">
        <f>IF(Costs!AK$225&lt;=time,IF($B7&lt;&gt;"",SUMIF(Costs!$D$5:$D$223,$B7,'Attributable fraction'!AD$5:AD$223),""),"")</f>
        <v>0</v>
      </c>
      <c r="G7" s="400">
        <f>IF(Costs!AL$225&lt;=time,IF($B7&lt;&gt;"",SUMIF(Costs!$D$5:$D$223,$B7,'Attributable fraction'!AE$5:AE$223),""),"")</f>
        <v>0</v>
      </c>
      <c r="H7" s="400" t="str">
        <f>IF(Costs!AM$225&lt;=time,IF($B7&lt;&gt;"",SUMIF(Costs!$D$5:$D$223,$B7,'Attributable fraction'!AF$5:AF$223),""),"")</f>
        <v/>
      </c>
      <c r="I7" s="400" t="str">
        <f>IF(Costs!AN$225&lt;=time,IF($B7&lt;&gt;"",SUMIF(Costs!$D$5:$D$223,$B7,'Attributable fraction'!AG$5:AG$223),""),"")</f>
        <v/>
      </c>
      <c r="J7" s="400" t="str">
        <f>IF(Costs!AO$225&lt;=time,IF($B7&lt;&gt;"",SUMIF(Costs!$D$5:$D$223,$B7,'Attributable fraction'!AH$5:AH$223),""),"")</f>
        <v/>
      </c>
      <c r="K7" s="400" t="str">
        <f>IF(Costs!AP$225&lt;=time,IF($B7&lt;&gt;"",SUMIF(Costs!$D$5:$D$223,$B7,'Attributable fraction'!AI$5:AI$223),""),"")</f>
        <v/>
      </c>
      <c r="L7" s="400" t="str">
        <f>IF(Costs!AQ$225&lt;=time,IF($B7&lt;&gt;"",SUMIF(Costs!$D$5:$D$223,$B7,'Attributable fraction'!AJ$5:AJ$223),""),"")</f>
        <v/>
      </c>
      <c r="M7" s="400" t="str">
        <f>IF(Costs!AR$225&lt;=time,IF($B7&lt;&gt;"",SUMIF(Costs!$D$5:$D$223,$B7,'Attributable fraction'!AK$5:AK$223),""),"")</f>
        <v/>
      </c>
      <c r="N7" s="400" t="str">
        <f>IF(Costs!AS$225&lt;=time,IF($B7&lt;&gt;"",SUMIF(Costs!$D$5:$D$223,$B7,'Attributable fraction'!AL$5:AL$223),""),"")</f>
        <v/>
      </c>
      <c r="O7" s="400" t="str">
        <f>IF(Costs!AT$225&lt;=time,IF($B7&lt;&gt;"",SUMIF(Costs!$D$5:$D$223,$B7,'Attributable fraction'!AM$5:AM$223),""),"")</f>
        <v/>
      </c>
      <c r="P7" s="400" t="str">
        <f>IF(Costs!AU$225&lt;=time,IF($B7&lt;&gt;"",SUMIF(Costs!$D$5:$D$223,$B7,'Attributable fraction'!AN$5:AN$223),""),"")</f>
        <v/>
      </c>
      <c r="Q7" s="400" t="str">
        <f>IF(Costs!AV$225&lt;=time,IF($B7&lt;&gt;"",SUMIF(Costs!$D$5:$D$223,$B7,'Attributable fraction'!AO$5:AO$223),""),"")</f>
        <v/>
      </c>
      <c r="R7" s="400" t="str">
        <f>IF(Costs!AW$225&lt;=time,IF($B7&lt;&gt;"",SUMIF(Costs!$D$5:$D$223,$B7,'Attributable fraction'!AP$5:AP$223),""),"")</f>
        <v/>
      </c>
      <c r="S7" s="400" t="str">
        <f>IF(Costs!AX$225&lt;=time,IF($B7&lt;&gt;"",SUMIF(Costs!$D$5:$D$223,$B7,'Attributable fraction'!AQ$5:AQ$223),""),"")</f>
        <v/>
      </c>
      <c r="T7" s="400" t="str">
        <f>IF(Costs!AY$225&lt;=time,IF($B7&lt;&gt;"",SUMIF(Costs!$D$5:$D$223,$B7,'Attributable fraction'!AR$5:AR$223),""),"")</f>
        <v/>
      </c>
      <c r="U7" s="400" t="str">
        <f>IF(Costs!AZ$225&lt;=time,IF($B7&lt;&gt;"",SUMIF(Costs!$D$5:$D$223,$B7,'Attributable fraction'!AS$5:AS$223),""),"")</f>
        <v/>
      </c>
      <c r="V7" s="400" t="str">
        <f>IF(Costs!BA$225&lt;=time,IF($B7&lt;&gt;"",SUMIF(Costs!$D$5:$D$223,$B7,'Attributable fraction'!AT$5:AT$223),""),"")</f>
        <v/>
      </c>
      <c r="W7" s="400" t="str">
        <f>IF(Costs!BB$225&lt;=time,IF($B7&lt;&gt;"",SUMIF(Costs!$D$5:$D$223,$B7,'Attributable fraction'!AU$5:AU$223),""),"")</f>
        <v/>
      </c>
      <c r="X7" s="400" t="str">
        <f>IF(Costs!BC$225&lt;=time,IF($B7&lt;&gt;"",SUMIF(Costs!$D$5:$D$223,$B7,'Attributable fraction'!AV$5:AV$223),""),"")</f>
        <v/>
      </c>
      <c r="Y7" s="400" t="str">
        <f>IF(Costs!BD$225&lt;=time,IF($B7&lt;&gt;"",SUMIF(Costs!$D$5:$D$223,$B7,'Attributable fraction'!AW$5:AW$223),""),"")</f>
        <v/>
      </c>
      <c r="Z7" s="400" t="str">
        <f>IF(Costs!BE$225&lt;=time,IF($B7&lt;&gt;"",SUMIF(Costs!$D$5:$D$223,$B7,'Attributable fraction'!AX$5:AX$223),""),"")</f>
        <v/>
      </c>
      <c r="AA7" s="400" t="str">
        <f>IF(Costs!BF$225&lt;=time,IF($B7&lt;&gt;"",SUMIF(Costs!$D$5:$D$223,$B7,'Attributable fraction'!AY$5:AY$223),""),"")</f>
        <v/>
      </c>
      <c r="AB7" s="887">
        <f t="shared" si="1"/>
        <v>0</v>
      </c>
      <c r="AC7" s="888">
        <f t="shared" si="0"/>
        <v>0</v>
      </c>
      <c r="AD7" s="196"/>
    </row>
    <row r="8" spans="1:61">
      <c r="A8" s="398">
        <f>IF((13-COUNTIF('Bearer list'!$E$4:$E$16,""))&gt;A7,A7+1,"")</f>
        <v>4</v>
      </c>
      <c r="B8" s="403" t="str">
        <f>IF(A8&lt;&gt;"",INDEX('Bearer list'!$E$4:$E$16,A8),"")</f>
        <v>Victim</v>
      </c>
      <c r="C8" s="400">
        <f>IF(Costs!AH$225&lt;=time,IF($B8&lt;&gt;"",SUMIF(Costs!$D$5:$D$223,$B8,'Attributable fraction'!AA$5:AA$223),""),"")</f>
        <v>0</v>
      </c>
      <c r="D8" s="400">
        <f>IF(Costs!AI$225&lt;=time,IF($B8&lt;&gt;"",SUMIF(Costs!$D$5:$D$223,$B8,'Attributable fraction'!AB$5:AB$223),""),"")</f>
        <v>0</v>
      </c>
      <c r="E8" s="400">
        <f>IF(Costs!AJ$225&lt;=time,IF($B8&lt;&gt;"",SUMIF(Costs!$D$5:$D$223,$B8,'Attributable fraction'!AC$5:AC$223),""),"")</f>
        <v>0</v>
      </c>
      <c r="F8" s="400">
        <f>IF(Costs!AK$225&lt;=time,IF($B8&lt;&gt;"",SUMIF(Costs!$D$5:$D$223,$B8,'Attributable fraction'!AD$5:AD$223),""),"")</f>
        <v>0</v>
      </c>
      <c r="G8" s="400">
        <f>IF(Costs!AL$225&lt;=time,IF($B8&lt;&gt;"",SUMIF(Costs!$D$5:$D$223,$B8,'Attributable fraction'!AE$5:AE$223),""),"")</f>
        <v>0</v>
      </c>
      <c r="H8" s="400" t="str">
        <f>IF(Costs!AM$225&lt;=time,IF($B8&lt;&gt;"",SUMIF(Costs!$D$5:$D$223,$B8,'Attributable fraction'!AF$5:AF$223),""),"")</f>
        <v/>
      </c>
      <c r="I8" s="400" t="str">
        <f>IF(Costs!AN$225&lt;=time,IF($B8&lt;&gt;"",SUMIF(Costs!$D$5:$D$223,$B8,'Attributable fraction'!AG$5:AG$223),""),"")</f>
        <v/>
      </c>
      <c r="J8" s="400" t="str">
        <f>IF(Costs!AO$225&lt;=time,IF($B8&lt;&gt;"",SUMIF(Costs!$D$5:$D$223,$B8,'Attributable fraction'!AH$5:AH$223),""),"")</f>
        <v/>
      </c>
      <c r="K8" s="400" t="str">
        <f>IF(Costs!AP$225&lt;=time,IF($B8&lt;&gt;"",SUMIF(Costs!$D$5:$D$223,$B8,'Attributable fraction'!AI$5:AI$223),""),"")</f>
        <v/>
      </c>
      <c r="L8" s="400" t="str">
        <f>IF(Costs!AQ$225&lt;=time,IF($B8&lt;&gt;"",SUMIF(Costs!$D$5:$D$223,$B8,'Attributable fraction'!AJ$5:AJ$223),""),"")</f>
        <v/>
      </c>
      <c r="M8" s="400" t="str">
        <f>IF(Costs!AR$225&lt;=time,IF($B8&lt;&gt;"",SUMIF(Costs!$D$5:$D$223,$B8,'Attributable fraction'!AK$5:AK$223),""),"")</f>
        <v/>
      </c>
      <c r="N8" s="400" t="str">
        <f>IF(Costs!AS$225&lt;=time,IF($B8&lt;&gt;"",SUMIF(Costs!$D$5:$D$223,$B8,'Attributable fraction'!AL$5:AL$223),""),"")</f>
        <v/>
      </c>
      <c r="O8" s="400" t="str">
        <f>IF(Costs!AT$225&lt;=time,IF($B8&lt;&gt;"",SUMIF(Costs!$D$5:$D$223,$B8,'Attributable fraction'!AM$5:AM$223),""),"")</f>
        <v/>
      </c>
      <c r="P8" s="400" t="str">
        <f>IF(Costs!AU$225&lt;=time,IF($B8&lt;&gt;"",SUMIF(Costs!$D$5:$D$223,$B8,'Attributable fraction'!AN$5:AN$223),""),"")</f>
        <v/>
      </c>
      <c r="Q8" s="400" t="str">
        <f>IF(Costs!AV$225&lt;=time,IF($B8&lt;&gt;"",SUMIF(Costs!$D$5:$D$223,$B8,'Attributable fraction'!AO$5:AO$223),""),"")</f>
        <v/>
      </c>
      <c r="R8" s="400" t="str">
        <f>IF(Costs!AW$225&lt;=time,IF($B8&lt;&gt;"",SUMIF(Costs!$D$5:$D$223,$B8,'Attributable fraction'!AP$5:AP$223),""),"")</f>
        <v/>
      </c>
      <c r="S8" s="400" t="str">
        <f>IF(Costs!AX$225&lt;=time,IF($B8&lt;&gt;"",SUMIF(Costs!$D$5:$D$223,$B8,'Attributable fraction'!AQ$5:AQ$223),""),"")</f>
        <v/>
      </c>
      <c r="T8" s="400" t="str">
        <f>IF(Costs!AY$225&lt;=time,IF($B8&lt;&gt;"",SUMIF(Costs!$D$5:$D$223,$B8,'Attributable fraction'!AR$5:AR$223),""),"")</f>
        <v/>
      </c>
      <c r="U8" s="400" t="str">
        <f>IF(Costs!AZ$225&lt;=time,IF($B8&lt;&gt;"",SUMIF(Costs!$D$5:$D$223,$B8,'Attributable fraction'!AS$5:AS$223),""),"")</f>
        <v/>
      </c>
      <c r="V8" s="400" t="str">
        <f>IF(Costs!BA$225&lt;=time,IF($B8&lt;&gt;"",SUMIF(Costs!$D$5:$D$223,$B8,'Attributable fraction'!AT$5:AT$223),""),"")</f>
        <v/>
      </c>
      <c r="W8" s="400" t="str">
        <f>IF(Costs!BB$225&lt;=time,IF($B8&lt;&gt;"",SUMIF(Costs!$D$5:$D$223,$B8,'Attributable fraction'!AU$5:AU$223),""),"")</f>
        <v/>
      </c>
      <c r="X8" s="400" t="str">
        <f>IF(Costs!BC$225&lt;=time,IF($B8&lt;&gt;"",SUMIF(Costs!$D$5:$D$223,$B8,'Attributable fraction'!AV$5:AV$223),""),"")</f>
        <v/>
      </c>
      <c r="Y8" s="400" t="str">
        <f>IF(Costs!BD$225&lt;=time,IF($B8&lt;&gt;"",SUMIF(Costs!$D$5:$D$223,$B8,'Attributable fraction'!AW$5:AW$223),""),"")</f>
        <v/>
      </c>
      <c r="Z8" s="400" t="str">
        <f>IF(Costs!BE$225&lt;=time,IF($B8&lt;&gt;"",SUMIF(Costs!$D$5:$D$223,$B8,'Attributable fraction'!AX$5:AX$223),""),"")</f>
        <v/>
      </c>
      <c r="AA8" s="400" t="str">
        <f>IF(Costs!BF$225&lt;=time,IF($B8&lt;&gt;"",SUMIF(Costs!$D$5:$D$223,$B8,'Attributable fraction'!AY$5:AY$223),""),"")</f>
        <v/>
      </c>
      <c r="AB8" s="887">
        <f t="shared" si="1"/>
        <v>0</v>
      </c>
      <c r="AC8" s="888">
        <f t="shared" si="0"/>
        <v>0</v>
      </c>
      <c r="AD8" s="196"/>
    </row>
    <row r="9" spans="1:61">
      <c r="A9" s="398" t="str">
        <f>IF((13-COUNTIF('Bearer list'!$E$4:$E$16,""))&gt;A8,A8+1,"")</f>
        <v/>
      </c>
      <c r="B9" s="403" t="str">
        <f>IF(A9&lt;&gt;"",INDEX('Bearer list'!$E$4:$E$16,A9),"")</f>
        <v/>
      </c>
      <c r="C9" s="400" t="str">
        <f>IF(Costs!AH$225&lt;=time,IF($B9&lt;&gt;"",SUMIF(Costs!$D$5:$D$223,$B9,'Attributable fraction'!AA$5:AA$223),""),"")</f>
        <v/>
      </c>
      <c r="D9" s="400" t="str">
        <f>IF(Costs!AI$225&lt;=time,IF($B9&lt;&gt;"",SUMIF(Costs!$D$5:$D$223,$B9,'Attributable fraction'!AB$5:AB$223),""),"")</f>
        <v/>
      </c>
      <c r="E9" s="400" t="str">
        <f>IF(Costs!AJ$225&lt;=time,IF($B9&lt;&gt;"",SUMIF(Costs!$D$5:$D$223,$B9,'Attributable fraction'!AC$5:AC$223),""),"")</f>
        <v/>
      </c>
      <c r="F9" s="400" t="str">
        <f>IF(Costs!AK$225&lt;=time,IF($B9&lt;&gt;"",SUMIF(Costs!$D$5:$D$223,$B9,'Attributable fraction'!AD$5:AD$223),""),"")</f>
        <v/>
      </c>
      <c r="G9" s="400" t="str">
        <f>IF(Costs!AL$225&lt;=time,IF($B9&lt;&gt;"",SUMIF(Costs!$D$5:$D$223,$B9,'Attributable fraction'!AE$5:AE$223),""),"")</f>
        <v/>
      </c>
      <c r="H9" s="400" t="str">
        <f>IF(Costs!AM$225&lt;=time,IF($B9&lt;&gt;"",SUMIF(Costs!$D$5:$D$223,$B9,'Attributable fraction'!AF$5:AF$223),""),"")</f>
        <v/>
      </c>
      <c r="I9" s="400" t="str">
        <f>IF(Costs!AN$225&lt;=time,IF($B9&lt;&gt;"",SUMIF(Costs!$D$5:$D$223,$B9,'Attributable fraction'!AG$5:AG$223),""),"")</f>
        <v/>
      </c>
      <c r="J9" s="400" t="str">
        <f>IF(Costs!AO$225&lt;=time,IF($B9&lt;&gt;"",SUMIF(Costs!$D$5:$D$223,$B9,'Attributable fraction'!AH$5:AH$223),""),"")</f>
        <v/>
      </c>
      <c r="K9" s="400" t="str">
        <f>IF(Costs!AP$225&lt;=time,IF($B9&lt;&gt;"",SUMIF(Costs!$D$5:$D$223,$B9,'Attributable fraction'!AI$5:AI$223),""),"")</f>
        <v/>
      </c>
      <c r="L9" s="400" t="str">
        <f>IF(Costs!AQ$225&lt;=time,IF($B9&lt;&gt;"",SUMIF(Costs!$D$5:$D$223,$B9,'Attributable fraction'!AJ$5:AJ$223),""),"")</f>
        <v/>
      </c>
      <c r="M9" s="400" t="str">
        <f>IF(Costs!AR$225&lt;=time,IF($B9&lt;&gt;"",SUMIF(Costs!$D$5:$D$223,$B9,'Attributable fraction'!AK$5:AK$223),""),"")</f>
        <v/>
      </c>
      <c r="N9" s="400" t="str">
        <f>IF(Costs!AS$225&lt;=time,IF($B9&lt;&gt;"",SUMIF(Costs!$D$5:$D$223,$B9,'Attributable fraction'!AL$5:AL$223),""),"")</f>
        <v/>
      </c>
      <c r="O9" s="400" t="str">
        <f>IF(Costs!AT$225&lt;=time,IF($B9&lt;&gt;"",SUMIF(Costs!$D$5:$D$223,$B9,'Attributable fraction'!AM$5:AM$223),""),"")</f>
        <v/>
      </c>
      <c r="P9" s="400" t="str">
        <f>IF(Costs!AU$225&lt;=time,IF($B9&lt;&gt;"",SUMIF(Costs!$D$5:$D$223,$B9,'Attributable fraction'!AN$5:AN$223),""),"")</f>
        <v/>
      </c>
      <c r="Q9" s="400" t="str">
        <f>IF(Costs!AV$225&lt;=time,IF($B9&lt;&gt;"",SUMIF(Costs!$D$5:$D$223,$B9,'Attributable fraction'!AO$5:AO$223),""),"")</f>
        <v/>
      </c>
      <c r="R9" s="400" t="str">
        <f>IF(Costs!AW$225&lt;=time,IF($B9&lt;&gt;"",SUMIF(Costs!$D$5:$D$223,$B9,'Attributable fraction'!AP$5:AP$223),""),"")</f>
        <v/>
      </c>
      <c r="S9" s="400" t="str">
        <f>IF(Costs!AX$225&lt;=time,IF($B9&lt;&gt;"",SUMIF(Costs!$D$5:$D$223,$B9,'Attributable fraction'!AQ$5:AQ$223),""),"")</f>
        <v/>
      </c>
      <c r="T9" s="400" t="str">
        <f>IF(Costs!AY$225&lt;=time,IF($B9&lt;&gt;"",SUMIF(Costs!$D$5:$D$223,$B9,'Attributable fraction'!AR$5:AR$223),""),"")</f>
        <v/>
      </c>
      <c r="U9" s="400" t="str">
        <f>IF(Costs!AZ$225&lt;=time,IF($B9&lt;&gt;"",SUMIF(Costs!$D$5:$D$223,$B9,'Attributable fraction'!AS$5:AS$223),""),"")</f>
        <v/>
      </c>
      <c r="V9" s="400" t="str">
        <f>IF(Costs!BA$225&lt;=time,IF($B9&lt;&gt;"",SUMIF(Costs!$D$5:$D$223,$B9,'Attributable fraction'!AT$5:AT$223),""),"")</f>
        <v/>
      </c>
      <c r="W9" s="400" t="str">
        <f>IF(Costs!BB$225&lt;=time,IF($B9&lt;&gt;"",SUMIF(Costs!$D$5:$D$223,$B9,'Attributable fraction'!AU$5:AU$223),""),"")</f>
        <v/>
      </c>
      <c r="X9" s="400" t="str">
        <f>IF(Costs!BC$225&lt;=time,IF($B9&lt;&gt;"",SUMIF(Costs!$D$5:$D$223,$B9,'Attributable fraction'!AV$5:AV$223),""),"")</f>
        <v/>
      </c>
      <c r="Y9" s="400" t="str">
        <f>IF(Costs!BD$225&lt;=time,IF($B9&lt;&gt;"",SUMIF(Costs!$D$5:$D$223,$B9,'Attributable fraction'!AW$5:AW$223),""),"")</f>
        <v/>
      </c>
      <c r="Z9" s="400" t="str">
        <f>IF(Costs!BE$225&lt;=time,IF($B9&lt;&gt;"",SUMIF(Costs!$D$5:$D$223,$B9,'Attributable fraction'!AX$5:AX$223),""),"")</f>
        <v/>
      </c>
      <c r="AA9" s="400" t="str">
        <f>IF(Costs!BF$225&lt;=time,IF($B9&lt;&gt;"",SUMIF(Costs!$D$5:$D$223,$B9,'Attributable fraction'!AY$5:AY$223),""),"")</f>
        <v/>
      </c>
      <c r="AB9" s="887" t="str">
        <f t="shared" si="1"/>
        <v/>
      </c>
      <c r="AC9" s="888" t="str">
        <f t="shared" si="0"/>
        <v/>
      </c>
      <c r="AD9" s="196"/>
    </row>
    <row r="10" spans="1:61">
      <c r="A10" s="398" t="str">
        <f>IF((13-COUNTIF('Bearer list'!$E$4:$E$16,""))&gt;A9,A9+1,"")</f>
        <v/>
      </c>
      <c r="B10" s="403" t="str">
        <f>IF(A10&lt;&gt;"",INDEX('Bearer list'!$E$4:$E$16,A10),"")</f>
        <v/>
      </c>
      <c r="C10" s="400" t="str">
        <f>IF(Costs!AH$225&lt;=time,IF($B10&lt;&gt;"",SUMIF(Costs!$D$5:$D$223,$B10,'Attributable fraction'!AA$5:AA$223),""),"")</f>
        <v/>
      </c>
      <c r="D10" s="400" t="str">
        <f>IF(Costs!AI$225&lt;=time,IF($B10&lt;&gt;"",SUMIF(Costs!$D$5:$D$223,$B10,'Attributable fraction'!AB$5:AB$223),""),"")</f>
        <v/>
      </c>
      <c r="E10" s="400" t="str">
        <f>IF(Costs!AJ$225&lt;=time,IF($B10&lt;&gt;"",SUMIF(Costs!$D$5:$D$223,$B10,'Attributable fraction'!AC$5:AC$223),""),"")</f>
        <v/>
      </c>
      <c r="F10" s="400" t="str">
        <f>IF(Costs!AK$225&lt;=time,IF($B10&lt;&gt;"",SUMIF(Costs!$D$5:$D$223,$B10,'Attributable fraction'!AD$5:AD$223),""),"")</f>
        <v/>
      </c>
      <c r="G10" s="400" t="str">
        <f>IF(Costs!AL$225&lt;=time,IF($B10&lt;&gt;"",SUMIF(Costs!$D$5:$D$223,$B10,'Attributable fraction'!AE$5:AE$223),""),"")</f>
        <v/>
      </c>
      <c r="H10" s="400" t="str">
        <f>IF(Costs!AM$225&lt;=time,IF($B10&lt;&gt;"",SUMIF(Costs!$D$5:$D$223,$B10,'Attributable fraction'!AF$5:AF$223),""),"")</f>
        <v/>
      </c>
      <c r="I10" s="400" t="str">
        <f>IF(Costs!AN$225&lt;=time,IF($B10&lt;&gt;"",SUMIF(Costs!$D$5:$D$223,$B10,'Attributable fraction'!AG$5:AG$223),""),"")</f>
        <v/>
      </c>
      <c r="J10" s="400" t="str">
        <f>IF(Costs!AO$225&lt;=time,IF($B10&lt;&gt;"",SUMIF(Costs!$D$5:$D$223,$B10,'Attributable fraction'!AH$5:AH$223),""),"")</f>
        <v/>
      </c>
      <c r="K10" s="400" t="str">
        <f>IF(Costs!AP$225&lt;=time,IF($B10&lt;&gt;"",SUMIF(Costs!$D$5:$D$223,$B10,'Attributable fraction'!AI$5:AI$223),""),"")</f>
        <v/>
      </c>
      <c r="L10" s="400" t="str">
        <f>IF(Costs!AQ$225&lt;=time,IF($B10&lt;&gt;"",SUMIF(Costs!$D$5:$D$223,$B10,'Attributable fraction'!AJ$5:AJ$223),""),"")</f>
        <v/>
      </c>
      <c r="M10" s="400" t="str">
        <f>IF(Costs!AR$225&lt;=time,IF($B10&lt;&gt;"",SUMIF(Costs!$D$5:$D$223,$B10,'Attributable fraction'!AK$5:AK$223),""),"")</f>
        <v/>
      </c>
      <c r="N10" s="400" t="str">
        <f>IF(Costs!AS$225&lt;=time,IF($B10&lt;&gt;"",SUMIF(Costs!$D$5:$D$223,$B10,'Attributable fraction'!AL$5:AL$223),""),"")</f>
        <v/>
      </c>
      <c r="O10" s="400" t="str">
        <f>IF(Costs!AT$225&lt;=time,IF($B10&lt;&gt;"",SUMIF(Costs!$D$5:$D$223,$B10,'Attributable fraction'!AM$5:AM$223),""),"")</f>
        <v/>
      </c>
      <c r="P10" s="400" t="str">
        <f>IF(Costs!AU$225&lt;=time,IF($B10&lt;&gt;"",SUMIF(Costs!$D$5:$D$223,$B10,'Attributable fraction'!AN$5:AN$223),""),"")</f>
        <v/>
      </c>
      <c r="Q10" s="400" t="str">
        <f>IF(Costs!AV$225&lt;=time,IF($B10&lt;&gt;"",SUMIF(Costs!$D$5:$D$223,$B10,'Attributable fraction'!AO$5:AO$223),""),"")</f>
        <v/>
      </c>
      <c r="R10" s="400" t="str">
        <f>IF(Costs!AW$225&lt;=time,IF($B10&lt;&gt;"",SUMIF(Costs!$D$5:$D$223,$B10,'Attributable fraction'!AP$5:AP$223),""),"")</f>
        <v/>
      </c>
      <c r="S10" s="400" t="str">
        <f>IF(Costs!AX$225&lt;=time,IF($B10&lt;&gt;"",SUMIF(Costs!$D$5:$D$223,$B10,'Attributable fraction'!AQ$5:AQ$223),""),"")</f>
        <v/>
      </c>
      <c r="T10" s="400" t="str">
        <f>IF(Costs!AY$225&lt;=time,IF($B10&lt;&gt;"",SUMIF(Costs!$D$5:$D$223,$B10,'Attributable fraction'!AR$5:AR$223),""),"")</f>
        <v/>
      </c>
      <c r="U10" s="400" t="str">
        <f>IF(Costs!AZ$225&lt;=time,IF($B10&lt;&gt;"",SUMIF(Costs!$D$5:$D$223,$B10,'Attributable fraction'!AS$5:AS$223),""),"")</f>
        <v/>
      </c>
      <c r="V10" s="400" t="str">
        <f>IF(Costs!BA$225&lt;=time,IF($B10&lt;&gt;"",SUMIF(Costs!$D$5:$D$223,$B10,'Attributable fraction'!AT$5:AT$223),""),"")</f>
        <v/>
      </c>
      <c r="W10" s="400" t="str">
        <f>IF(Costs!BB$225&lt;=time,IF($B10&lt;&gt;"",SUMIF(Costs!$D$5:$D$223,$B10,'Attributable fraction'!AU$5:AU$223),""),"")</f>
        <v/>
      </c>
      <c r="X10" s="400" t="str">
        <f>IF(Costs!BC$225&lt;=time,IF($B10&lt;&gt;"",SUMIF(Costs!$D$5:$D$223,$B10,'Attributable fraction'!AV$5:AV$223),""),"")</f>
        <v/>
      </c>
      <c r="Y10" s="400" t="str">
        <f>IF(Costs!BD$225&lt;=time,IF($B10&lt;&gt;"",SUMIF(Costs!$D$5:$D$223,$B10,'Attributable fraction'!AW$5:AW$223),""),"")</f>
        <v/>
      </c>
      <c r="Z10" s="400" t="str">
        <f>IF(Costs!BE$225&lt;=time,IF($B10&lt;&gt;"",SUMIF(Costs!$D$5:$D$223,$B10,'Attributable fraction'!AX$5:AX$223),""),"")</f>
        <v/>
      </c>
      <c r="AA10" s="400" t="str">
        <f>IF(Costs!BF$225&lt;=time,IF($B10&lt;&gt;"",SUMIF(Costs!$D$5:$D$223,$B10,'Attributable fraction'!AY$5:AY$223),""),"")</f>
        <v/>
      </c>
      <c r="AB10" s="887" t="str">
        <f t="shared" si="1"/>
        <v/>
      </c>
      <c r="AC10" s="888" t="str">
        <f t="shared" si="0"/>
        <v/>
      </c>
      <c r="AD10" s="304"/>
      <c r="AE10" s="113"/>
      <c r="AF10" s="113"/>
      <c r="AG10" s="113"/>
      <c r="AH10" s="310"/>
      <c r="AI10" s="310"/>
      <c r="AJ10" s="310"/>
      <c r="AK10" s="310"/>
      <c r="AL10" s="310"/>
      <c r="AM10" s="310"/>
      <c r="AN10" s="310"/>
      <c r="AO10" s="310"/>
      <c r="AP10" s="310"/>
      <c r="AQ10" s="310"/>
      <c r="AR10" s="310"/>
      <c r="AS10" s="310"/>
      <c r="AT10" s="310"/>
      <c r="AU10" s="310"/>
      <c r="AV10" s="310"/>
      <c r="AW10" s="310"/>
      <c r="AX10" s="310"/>
      <c r="AY10" s="310"/>
      <c r="AZ10" s="310"/>
      <c r="BA10" s="310"/>
      <c r="BB10" s="310"/>
      <c r="BC10" s="310"/>
      <c r="BD10" s="310"/>
      <c r="BE10" s="310"/>
      <c r="BF10" s="310"/>
      <c r="BG10" s="310"/>
    </row>
    <row r="11" spans="1:61">
      <c r="A11" s="398" t="str">
        <f>IF((13-COUNTIF('Bearer list'!$E$4:$E$16,""))&gt;A10,A10+1,"")</f>
        <v/>
      </c>
      <c r="B11" s="403" t="str">
        <f>IF(A11&lt;&gt;"",INDEX('Bearer list'!$E$4:$E$16,A11),"")</f>
        <v/>
      </c>
      <c r="C11" s="400" t="str">
        <f>IF(Costs!AH$225&lt;=time,IF($B11&lt;&gt;"",SUMIF(Costs!$D$5:$D$223,$B11,'Attributable fraction'!AA$5:AA$223),""),"")</f>
        <v/>
      </c>
      <c r="D11" s="400" t="str">
        <f>IF(Costs!AI$225&lt;=time,IF($B11&lt;&gt;"",SUMIF(Costs!$D$5:$D$223,$B11,'Attributable fraction'!AB$5:AB$223),""),"")</f>
        <v/>
      </c>
      <c r="E11" s="400" t="str">
        <f>IF(Costs!AJ$225&lt;=time,IF($B11&lt;&gt;"",SUMIF(Costs!$D$5:$D$223,$B11,'Attributable fraction'!AC$5:AC$223),""),"")</f>
        <v/>
      </c>
      <c r="F11" s="400" t="str">
        <f>IF(Costs!AK$225&lt;=time,IF($B11&lt;&gt;"",SUMIF(Costs!$D$5:$D$223,$B11,'Attributable fraction'!AD$5:AD$223),""),"")</f>
        <v/>
      </c>
      <c r="G11" s="400" t="str">
        <f>IF(Costs!AL$225&lt;=time,IF($B11&lt;&gt;"",SUMIF(Costs!$D$5:$D$223,$B11,'Attributable fraction'!AE$5:AE$223),""),"")</f>
        <v/>
      </c>
      <c r="H11" s="400" t="str">
        <f>IF(Costs!AM$225&lt;=time,IF($B11&lt;&gt;"",SUMIF(Costs!$D$5:$D$223,$B11,'Attributable fraction'!AF$5:AF$223),""),"")</f>
        <v/>
      </c>
      <c r="I11" s="400" t="str">
        <f>IF(Costs!AN$225&lt;=time,IF($B11&lt;&gt;"",SUMIF(Costs!$D$5:$D$223,$B11,'Attributable fraction'!AG$5:AG$223),""),"")</f>
        <v/>
      </c>
      <c r="J11" s="400" t="str">
        <f>IF(Costs!AO$225&lt;=time,IF($B11&lt;&gt;"",SUMIF(Costs!$D$5:$D$223,$B11,'Attributable fraction'!AH$5:AH$223),""),"")</f>
        <v/>
      </c>
      <c r="K11" s="400" t="str">
        <f>IF(Costs!AP$225&lt;=time,IF($B11&lt;&gt;"",SUMIF(Costs!$D$5:$D$223,$B11,'Attributable fraction'!AI$5:AI$223),""),"")</f>
        <v/>
      </c>
      <c r="L11" s="400" t="str">
        <f>IF(Costs!AQ$225&lt;=time,IF($B11&lt;&gt;"",SUMIF(Costs!$D$5:$D$223,$B11,'Attributable fraction'!AJ$5:AJ$223),""),"")</f>
        <v/>
      </c>
      <c r="M11" s="400" t="str">
        <f>IF(Costs!AR$225&lt;=time,IF($B11&lt;&gt;"",SUMIF(Costs!$D$5:$D$223,$B11,'Attributable fraction'!AK$5:AK$223),""),"")</f>
        <v/>
      </c>
      <c r="N11" s="400" t="str">
        <f>IF(Costs!AS$225&lt;=time,IF($B11&lt;&gt;"",SUMIF(Costs!$D$5:$D$223,$B11,'Attributable fraction'!AL$5:AL$223),""),"")</f>
        <v/>
      </c>
      <c r="O11" s="400" t="str">
        <f>IF(Costs!AT$225&lt;=time,IF($B11&lt;&gt;"",SUMIF(Costs!$D$5:$D$223,$B11,'Attributable fraction'!AM$5:AM$223),""),"")</f>
        <v/>
      </c>
      <c r="P11" s="400" t="str">
        <f>IF(Costs!AU$225&lt;=time,IF($B11&lt;&gt;"",SUMIF(Costs!$D$5:$D$223,$B11,'Attributable fraction'!AN$5:AN$223),""),"")</f>
        <v/>
      </c>
      <c r="Q11" s="400" t="str">
        <f>IF(Costs!AV$225&lt;=time,IF($B11&lt;&gt;"",SUMIF(Costs!$D$5:$D$223,$B11,'Attributable fraction'!AO$5:AO$223),""),"")</f>
        <v/>
      </c>
      <c r="R11" s="400" t="str">
        <f>IF(Costs!AW$225&lt;=time,IF($B11&lt;&gt;"",SUMIF(Costs!$D$5:$D$223,$B11,'Attributable fraction'!AP$5:AP$223),""),"")</f>
        <v/>
      </c>
      <c r="S11" s="400" t="str">
        <f>IF(Costs!AX$225&lt;=time,IF($B11&lt;&gt;"",SUMIF(Costs!$D$5:$D$223,$B11,'Attributable fraction'!AQ$5:AQ$223),""),"")</f>
        <v/>
      </c>
      <c r="T11" s="400" t="str">
        <f>IF(Costs!AY$225&lt;=time,IF($B11&lt;&gt;"",SUMIF(Costs!$D$5:$D$223,$B11,'Attributable fraction'!AR$5:AR$223),""),"")</f>
        <v/>
      </c>
      <c r="U11" s="400" t="str">
        <f>IF(Costs!AZ$225&lt;=time,IF($B11&lt;&gt;"",SUMIF(Costs!$D$5:$D$223,$B11,'Attributable fraction'!AS$5:AS$223),""),"")</f>
        <v/>
      </c>
      <c r="V11" s="400" t="str">
        <f>IF(Costs!BA$225&lt;=time,IF($B11&lt;&gt;"",SUMIF(Costs!$D$5:$D$223,$B11,'Attributable fraction'!AT$5:AT$223),""),"")</f>
        <v/>
      </c>
      <c r="W11" s="400" t="str">
        <f>IF(Costs!BB$225&lt;=time,IF($B11&lt;&gt;"",SUMIF(Costs!$D$5:$D$223,$B11,'Attributable fraction'!AU$5:AU$223),""),"")</f>
        <v/>
      </c>
      <c r="X11" s="400" t="str">
        <f>IF(Costs!BC$225&lt;=time,IF($B11&lt;&gt;"",SUMIF(Costs!$D$5:$D$223,$B11,'Attributable fraction'!AV$5:AV$223),""),"")</f>
        <v/>
      </c>
      <c r="Y11" s="400" t="str">
        <f>IF(Costs!BD$225&lt;=time,IF($B11&lt;&gt;"",SUMIF(Costs!$D$5:$D$223,$B11,'Attributable fraction'!AW$5:AW$223),""),"")</f>
        <v/>
      </c>
      <c r="Z11" s="400" t="str">
        <f>IF(Costs!BE$225&lt;=time,IF($B11&lt;&gt;"",SUMIF(Costs!$D$5:$D$223,$B11,'Attributable fraction'!AX$5:AX$223),""),"")</f>
        <v/>
      </c>
      <c r="AA11" s="400" t="str">
        <f>IF(Costs!BF$225&lt;=time,IF($B11&lt;&gt;"",SUMIF(Costs!$D$5:$D$223,$B11,'Attributable fraction'!AY$5:AY$223),""),"")</f>
        <v/>
      </c>
      <c r="AB11" s="887" t="str">
        <f t="shared" si="1"/>
        <v/>
      </c>
      <c r="AC11" s="888" t="str">
        <f t="shared" si="0"/>
        <v/>
      </c>
      <c r="AD11" s="304"/>
      <c r="AE11" s="113"/>
      <c r="AF11" s="113"/>
      <c r="AG11" s="113"/>
      <c r="AH11" s="310"/>
      <c r="AI11" s="310"/>
      <c r="AJ11" s="310"/>
      <c r="AK11" s="310"/>
      <c r="AL11" s="310"/>
      <c r="AM11" s="310"/>
      <c r="AN11" s="310"/>
      <c r="AO11" s="310"/>
      <c r="AP11" s="310"/>
      <c r="AQ11" s="310"/>
      <c r="AR11" s="310"/>
      <c r="AS11" s="310"/>
      <c r="AT11" s="310"/>
      <c r="AU11" s="310"/>
      <c r="AV11" s="310"/>
      <c r="AW11" s="310"/>
      <c r="AX11" s="310"/>
      <c r="AY11" s="310"/>
      <c r="AZ11" s="310"/>
      <c r="BA11" s="310"/>
      <c r="BB11" s="310"/>
      <c r="BC11" s="310"/>
      <c r="BD11" s="310"/>
      <c r="BE11" s="310"/>
      <c r="BF11" s="310"/>
      <c r="BG11" s="310"/>
    </row>
    <row r="12" spans="1:61">
      <c r="A12" s="398" t="str">
        <f>IF((13-COUNTIF('Bearer list'!$E$4:$E$16,""))&gt;A11,A11+1,"")</f>
        <v/>
      </c>
      <c r="B12" s="403" t="str">
        <f>IF(A12&lt;&gt;"",INDEX('Bearer list'!$E$4:$E$16,A12),"")</f>
        <v/>
      </c>
      <c r="C12" s="400" t="str">
        <f>IF(Costs!AH$225&lt;=time,IF($B12&lt;&gt;"",SUMIF(Costs!$D$5:$D$223,$B12,'Attributable fraction'!AA$5:AA$223),""),"")</f>
        <v/>
      </c>
      <c r="D12" s="400" t="str">
        <f>IF(Costs!AI$225&lt;=time,IF($B12&lt;&gt;"",SUMIF(Costs!$D$5:$D$223,$B12,'Attributable fraction'!AB$5:AB$223),""),"")</f>
        <v/>
      </c>
      <c r="E12" s="400" t="str">
        <f>IF(Costs!AJ$225&lt;=time,IF($B12&lt;&gt;"",SUMIF(Costs!$D$5:$D$223,$B12,'Attributable fraction'!AC$5:AC$223),""),"")</f>
        <v/>
      </c>
      <c r="F12" s="400" t="str">
        <f>IF(Costs!AK$225&lt;=time,IF($B12&lt;&gt;"",SUMIF(Costs!$D$5:$D$223,$B12,'Attributable fraction'!AD$5:AD$223),""),"")</f>
        <v/>
      </c>
      <c r="G12" s="400" t="str">
        <f>IF(Costs!AL$225&lt;=time,IF($B12&lt;&gt;"",SUMIF(Costs!$D$5:$D$223,$B12,'Attributable fraction'!AE$5:AE$223),""),"")</f>
        <v/>
      </c>
      <c r="H12" s="400" t="str">
        <f>IF(Costs!AM$225&lt;=time,IF($B12&lt;&gt;"",SUMIF(Costs!$D$5:$D$223,$B12,'Attributable fraction'!AF$5:AF$223),""),"")</f>
        <v/>
      </c>
      <c r="I12" s="400" t="str">
        <f>IF(Costs!AN$225&lt;=time,IF($B12&lt;&gt;"",SUMIF(Costs!$D$5:$D$223,$B12,'Attributable fraction'!AG$5:AG$223),""),"")</f>
        <v/>
      </c>
      <c r="J12" s="400" t="str">
        <f>IF(Costs!AO$225&lt;=time,IF($B12&lt;&gt;"",SUMIF(Costs!$D$5:$D$223,$B12,'Attributable fraction'!AH$5:AH$223),""),"")</f>
        <v/>
      </c>
      <c r="K12" s="400" t="str">
        <f>IF(Costs!AP$225&lt;=time,IF($B12&lt;&gt;"",SUMIF(Costs!$D$5:$D$223,$B12,'Attributable fraction'!AI$5:AI$223),""),"")</f>
        <v/>
      </c>
      <c r="L12" s="400" t="str">
        <f>IF(Costs!AQ$225&lt;=time,IF($B12&lt;&gt;"",SUMIF(Costs!$D$5:$D$223,$B12,'Attributable fraction'!AJ$5:AJ$223),""),"")</f>
        <v/>
      </c>
      <c r="M12" s="400" t="str">
        <f>IF(Costs!AR$225&lt;=time,IF($B12&lt;&gt;"",SUMIF(Costs!$D$5:$D$223,$B12,'Attributable fraction'!AK$5:AK$223),""),"")</f>
        <v/>
      </c>
      <c r="N12" s="400" t="str">
        <f>IF(Costs!AS$225&lt;=time,IF($B12&lt;&gt;"",SUMIF(Costs!$D$5:$D$223,$B12,'Attributable fraction'!AL$5:AL$223),""),"")</f>
        <v/>
      </c>
      <c r="O12" s="400" t="str">
        <f>IF(Costs!AT$225&lt;=time,IF($B12&lt;&gt;"",SUMIF(Costs!$D$5:$D$223,$B12,'Attributable fraction'!AM$5:AM$223),""),"")</f>
        <v/>
      </c>
      <c r="P12" s="400" t="str">
        <f>IF(Costs!AU$225&lt;=time,IF($B12&lt;&gt;"",SUMIF(Costs!$D$5:$D$223,$B12,'Attributable fraction'!AN$5:AN$223),""),"")</f>
        <v/>
      </c>
      <c r="Q12" s="400" t="str">
        <f>IF(Costs!AV$225&lt;=time,IF($B12&lt;&gt;"",SUMIF(Costs!$D$5:$D$223,$B12,'Attributable fraction'!AO$5:AO$223),""),"")</f>
        <v/>
      </c>
      <c r="R12" s="400" t="str">
        <f>IF(Costs!AW$225&lt;=time,IF($B12&lt;&gt;"",SUMIF(Costs!$D$5:$D$223,$B12,'Attributable fraction'!AP$5:AP$223),""),"")</f>
        <v/>
      </c>
      <c r="S12" s="400" t="str">
        <f>IF(Costs!AX$225&lt;=time,IF($B12&lt;&gt;"",SUMIF(Costs!$D$5:$D$223,$B12,'Attributable fraction'!AQ$5:AQ$223),""),"")</f>
        <v/>
      </c>
      <c r="T12" s="400" t="str">
        <f>IF(Costs!AY$225&lt;=time,IF($B12&lt;&gt;"",SUMIF(Costs!$D$5:$D$223,$B12,'Attributable fraction'!AR$5:AR$223),""),"")</f>
        <v/>
      </c>
      <c r="U12" s="400" t="str">
        <f>IF(Costs!AZ$225&lt;=time,IF($B12&lt;&gt;"",SUMIF(Costs!$D$5:$D$223,$B12,'Attributable fraction'!AS$5:AS$223),""),"")</f>
        <v/>
      </c>
      <c r="V12" s="400" t="str">
        <f>IF(Costs!BA$225&lt;=time,IF($B12&lt;&gt;"",SUMIF(Costs!$D$5:$D$223,$B12,'Attributable fraction'!AT$5:AT$223),""),"")</f>
        <v/>
      </c>
      <c r="W12" s="400" t="str">
        <f>IF(Costs!BB$225&lt;=time,IF($B12&lt;&gt;"",SUMIF(Costs!$D$5:$D$223,$B12,'Attributable fraction'!AU$5:AU$223),""),"")</f>
        <v/>
      </c>
      <c r="X12" s="400" t="str">
        <f>IF(Costs!BC$225&lt;=time,IF($B12&lt;&gt;"",SUMIF(Costs!$D$5:$D$223,$B12,'Attributable fraction'!AV$5:AV$223),""),"")</f>
        <v/>
      </c>
      <c r="Y12" s="400" t="str">
        <f>IF(Costs!BD$225&lt;=time,IF($B12&lt;&gt;"",SUMIF(Costs!$D$5:$D$223,$B12,'Attributable fraction'!AW$5:AW$223),""),"")</f>
        <v/>
      </c>
      <c r="Z12" s="400" t="str">
        <f>IF(Costs!BE$225&lt;=time,IF($B12&lt;&gt;"",SUMIF(Costs!$D$5:$D$223,$B12,'Attributable fraction'!AX$5:AX$223),""),"")</f>
        <v/>
      </c>
      <c r="AA12" s="400" t="str">
        <f>IF(Costs!BF$225&lt;=time,IF($B12&lt;&gt;"",SUMIF(Costs!$D$5:$D$223,$B12,'Attributable fraction'!AY$5:AY$223),""),"")</f>
        <v/>
      </c>
      <c r="AB12" s="887" t="str">
        <f t="shared" si="1"/>
        <v/>
      </c>
      <c r="AC12" s="888" t="str">
        <f t="shared" si="0"/>
        <v/>
      </c>
      <c r="AD12" s="304"/>
      <c r="AE12" s="113"/>
      <c r="AF12" s="113"/>
      <c r="AG12" s="113"/>
      <c r="AH12" s="310"/>
      <c r="AI12" s="310"/>
      <c r="AJ12" s="310"/>
      <c r="AK12" s="310"/>
      <c r="AL12" s="310"/>
      <c r="AM12" s="310"/>
      <c r="AN12" s="310"/>
      <c r="AO12" s="310"/>
      <c r="AP12" s="310"/>
      <c r="AQ12" s="310"/>
      <c r="AR12" s="310"/>
      <c r="AS12" s="310"/>
      <c r="AT12" s="310"/>
      <c r="AU12" s="310"/>
      <c r="AV12" s="310"/>
      <c r="AW12" s="310"/>
      <c r="AX12" s="310"/>
      <c r="AY12" s="310"/>
      <c r="AZ12" s="310"/>
      <c r="BA12" s="310"/>
      <c r="BB12" s="310"/>
      <c r="BC12" s="310"/>
      <c r="BD12" s="310"/>
      <c r="BE12" s="310"/>
      <c r="BF12" s="310"/>
      <c r="BG12" s="310"/>
    </row>
    <row r="13" spans="1:61">
      <c r="A13" s="398" t="str">
        <f>IF((13-COUNTIF('Bearer list'!$E$4:$E$16,""))&gt;A12,A12+1,"")</f>
        <v/>
      </c>
      <c r="B13" s="403" t="str">
        <f>IF(A13&lt;&gt;"",INDEX('Bearer list'!$E$4:$E$16,A13),"")</f>
        <v/>
      </c>
      <c r="C13" s="400" t="str">
        <f>IF(Costs!AH$225&lt;=time,IF($B13&lt;&gt;"",SUMIF(Costs!$D$5:$D$223,$B13,'Attributable fraction'!AA$5:AA$223),""),"")</f>
        <v/>
      </c>
      <c r="D13" s="400" t="str">
        <f>IF(Costs!AI$225&lt;=time,IF($B13&lt;&gt;"",SUMIF(Costs!$D$5:$D$223,$B13,'Attributable fraction'!AB$5:AB$223),""),"")</f>
        <v/>
      </c>
      <c r="E13" s="400" t="str">
        <f>IF(Costs!AJ$225&lt;=time,IF($B13&lt;&gt;"",SUMIF(Costs!$D$5:$D$223,$B13,'Attributable fraction'!AC$5:AC$223),""),"")</f>
        <v/>
      </c>
      <c r="F13" s="400" t="str">
        <f>IF(Costs!AK$225&lt;=time,IF($B13&lt;&gt;"",SUMIF(Costs!$D$5:$D$223,$B13,'Attributable fraction'!AD$5:AD$223),""),"")</f>
        <v/>
      </c>
      <c r="G13" s="400" t="str">
        <f>IF(Costs!AL$225&lt;=time,IF($B13&lt;&gt;"",SUMIF(Costs!$D$5:$D$223,$B13,'Attributable fraction'!AE$5:AE$223),""),"")</f>
        <v/>
      </c>
      <c r="H13" s="400" t="str">
        <f>IF(Costs!AM$225&lt;=time,IF($B13&lt;&gt;"",SUMIF(Costs!$D$5:$D$223,$B13,'Attributable fraction'!AF$5:AF$223),""),"")</f>
        <v/>
      </c>
      <c r="I13" s="400" t="str">
        <f>IF(Costs!AN$225&lt;=time,IF($B13&lt;&gt;"",SUMIF(Costs!$D$5:$D$223,$B13,'Attributable fraction'!AG$5:AG$223),""),"")</f>
        <v/>
      </c>
      <c r="J13" s="400" t="str">
        <f>IF(Costs!AO$225&lt;=time,IF($B13&lt;&gt;"",SUMIF(Costs!$D$5:$D$223,$B13,'Attributable fraction'!AH$5:AH$223),""),"")</f>
        <v/>
      </c>
      <c r="K13" s="400" t="str">
        <f>IF(Costs!AP$225&lt;=time,IF($B13&lt;&gt;"",SUMIF(Costs!$D$5:$D$223,$B13,'Attributable fraction'!AI$5:AI$223),""),"")</f>
        <v/>
      </c>
      <c r="L13" s="400" t="str">
        <f>IF(Costs!AQ$225&lt;=time,IF($B13&lt;&gt;"",SUMIF(Costs!$D$5:$D$223,$B13,'Attributable fraction'!AJ$5:AJ$223),""),"")</f>
        <v/>
      </c>
      <c r="M13" s="400" t="str">
        <f>IF(Costs!AR$225&lt;=time,IF($B13&lt;&gt;"",SUMIF(Costs!$D$5:$D$223,$B13,'Attributable fraction'!AK$5:AK$223),""),"")</f>
        <v/>
      </c>
      <c r="N13" s="400" t="str">
        <f>IF(Costs!AS$225&lt;=time,IF($B13&lt;&gt;"",SUMIF(Costs!$D$5:$D$223,$B13,'Attributable fraction'!AL$5:AL$223),""),"")</f>
        <v/>
      </c>
      <c r="O13" s="400" t="str">
        <f>IF(Costs!AT$225&lt;=time,IF($B13&lt;&gt;"",SUMIF(Costs!$D$5:$D$223,$B13,'Attributable fraction'!AM$5:AM$223),""),"")</f>
        <v/>
      </c>
      <c r="P13" s="400" t="str">
        <f>IF(Costs!AU$225&lt;=time,IF($B13&lt;&gt;"",SUMIF(Costs!$D$5:$D$223,$B13,'Attributable fraction'!AN$5:AN$223),""),"")</f>
        <v/>
      </c>
      <c r="Q13" s="400" t="str">
        <f>IF(Costs!AV$225&lt;=time,IF($B13&lt;&gt;"",SUMIF(Costs!$D$5:$D$223,$B13,'Attributable fraction'!AO$5:AO$223),""),"")</f>
        <v/>
      </c>
      <c r="R13" s="400" t="str">
        <f>IF(Costs!AW$225&lt;=time,IF($B13&lt;&gt;"",SUMIF(Costs!$D$5:$D$223,$B13,'Attributable fraction'!AP$5:AP$223),""),"")</f>
        <v/>
      </c>
      <c r="S13" s="400" t="str">
        <f>IF(Costs!AX$225&lt;=time,IF($B13&lt;&gt;"",SUMIF(Costs!$D$5:$D$223,$B13,'Attributable fraction'!AQ$5:AQ$223),""),"")</f>
        <v/>
      </c>
      <c r="T13" s="400" t="str">
        <f>IF(Costs!AY$225&lt;=time,IF($B13&lt;&gt;"",SUMIF(Costs!$D$5:$D$223,$B13,'Attributable fraction'!AR$5:AR$223),""),"")</f>
        <v/>
      </c>
      <c r="U13" s="400" t="str">
        <f>IF(Costs!AZ$225&lt;=time,IF($B13&lt;&gt;"",SUMIF(Costs!$D$5:$D$223,$B13,'Attributable fraction'!AS$5:AS$223),""),"")</f>
        <v/>
      </c>
      <c r="V13" s="400" t="str">
        <f>IF(Costs!BA$225&lt;=time,IF($B13&lt;&gt;"",SUMIF(Costs!$D$5:$D$223,$B13,'Attributable fraction'!AT$5:AT$223),""),"")</f>
        <v/>
      </c>
      <c r="W13" s="400" t="str">
        <f>IF(Costs!BB$225&lt;=time,IF($B13&lt;&gt;"",SUMIF(Costs!$D$5:$D$223,$B13,'Attributable fraction'!AU$5:AU$223),""),"")</f>
        <v/>
      </c>
      <c r="X13" s="400" t="str">
        <f>IF(Costs!BC$225&lt;=time,IF($B13&lt;&gt;"",SUMIF(Costs!$D$5:$D$223,$B13,'Attributable fraction'!AV$5:AV$223),""),"")</f>
        <v/>
      </c>
      <c r="Y13" s="400" t="str">
        <f>IF(Costs!BD$225&lt;=time,IF($B13&lt;&gt;"",SUMIF(Costs!$D$5:$D$223,$B13,'Attributable fraction'!AW$5:AW$223),""),"")</f>
        <v/>
      </c>
      <c r="Z13" s="400" t="str">
        <f>IF(Costs!BE$225&lt;=time,IF($B13&lt;&gt;"",SUMIF(Costs!$D$5:$D$223,$B13,'Attributable fraction'!AX$5:AX$223),""),"")</f>
        <v/>
      </c>
      <c r="AA13" s="400" t="str">
        <f>IF(Costs!BF$225&lt;=time,IF($B13&lt;&gt;"",SUMIF(Costs!$D$5:$D$223,$B13,'Attributable fraction'!AY$5:AY$223),""),"")</f>
        <v/>
      </c>
      <c r="AB13" s="887" t="str">
        <f t="shared" si="1"/>
        <v/>
      </c>
      <c r="AC13" s="888" t="str">
        <f t="shared" si="0"/>
        <v/>
      </c>
      <c r="AD13" s="304"/>
      <c r="AE13" s="113"/>
      <c r="AF13" s="113"/>
      <c r="AG13" s="113"/>
      <c r="AH13" s="310"/>
      <c r="AI13" s="310"/>
      <c r="AJ13" s="310"/>
      <c r="AK13" s="310"/>
      <c r="AL13" s="310"/>
      <c r="AM13" s="310"/>
      <c r="AN13" s="310"/>
      <c r="AO13" s="310"/>
      <c r="AP13" s="310"/>
      <c r="AQ13" s="310"/>
      <c r="AR13" s="310"/>
      <c r="AS13" s="310"/>
      <c r="AT13" s="310"/>
      <c r="AU13" s="310"/>
      <c r="AV13" s="310"/>
      <c r="AW13" s="310"/>
      <c r="AX13" s="310"/>
      <c r="AY13" s="310"/>
      <c r="AZ13" s="310"/>
      <c r="BA13" s="310"/>
      <c r="BB13" s="310"/>
      <c r="BC13" s="310"/>
      <c r="BD13" s="310"/>
      <c r="BE13" s="310"/>
      <c r="BF13" s="310"/>
      <c r="BG13" s="310"/>
    </row>
    <row r="14" spans="1:61">
      <c r="A14" s="398" t="str">
        <f>IF((13-COUNTIF('Bearer list'!$E$4:$E$16,""))&gt;A13,A13+1,"")</f>
        <v/>
      </c>
      <c r="B14" s="403" t="str">
        <f>IF(A14&lt;&gt;"",INDEX('Bearer list'!$E$4:$E$16,A14),"")</f>
        <v/>
      </c>
      <c r="C14" s="400" t="str">
        <f>IF(Costs!AH$225&lt;=time,IF($B14&lt;&gt;"",SUMIF(Costs!$D$5:$D$223,$B14,'Attributable fraction'!AA$5:AA$223),""),"")</f>
        <v/>
      </c>
      <c r="D14" s="400" t="str">
        <f>IF(Costs!AI$225&lt;=time,IF($B14&lt;&gt;"",SUMIF(Costs!$D$5:$D$223,$B14,'Attributable fraction'!AB$5:AB$223),""),"")</f>
        <v/>
      </c>
      <c r="E14" s="400" t="str">
        <f>IF(Costs!AJ$225&lt;=time,IF($B14&lt;&gt;"",SUMIF(Costs!$D$5:$D$223,$B14,'Attributable fraction'!AC$5:AC$223),""),"")</f>
        <v/>
      </c>
      <c r="F14" s="400" t="str">
        <f>IF(Costs!AK$225&lt;=time,IF($B14&lt;&gt;"",SUMIF(Costs!$D$5:$D$223,$B14,'Attributable fraction'!AD$5:AD$223),""),"")</f>
        <v/>
      </c>
      <c r="G14" s="400" t="str">
        <f>IF(Costs!AL$225&lt;=time,IF($B14&lt;&gt;"",SUMIF(Costs!$D$5:$D$223,$B14,'Attributable fraction'!AE$5:AE$223),""),"")</f>
        <v/>
      </c>
      <c r="H14" s="400" t="str">
        <f>IF(Costs!AM$225&lt;=time,IF($B14&lt;&gt;"",SUMIF(Costs!$D$5:$D$223,$B14,'Attributable fraction'!AF$5:AF$223),""),"")</f>
        <v/>
      </c>
      <c r="I14" s="400" t="str">
        <f>IF(Costs!AN$225&lt;=time,IF($B14&lt;&gt;"",SUMIF(Costs!$D$5:$D$223,$B14,'Attributable fraction'!AG$5:AG$223),""),"")</f>
        <v/>
      </c>
      <c r="J14" s="400" t="str">
        <f>IF(Costs!AO$225&lt;=time,IF($B14&lt;&gt;"",SUMIF(Costs!$D$5:$D$223,$B14,'Attributable fraction'!AH$5:AH$223),""),"")</f>
        <v/>
      </c>
      <c r="K14" s="400" t="str">
        <f>IF(Costs!AP$225&lt;=time,IF($B14&lt;&gt;"",SUMIF(Costs!$D$5:$D$223,$B14,'Attributable fraction'!AI$5:AI$223),""),"")</f>
        <v/>
      </c>
      <c r="L14" s="400" t="str">
        <f>IF(Costs!AQ$225&lt;=time,IF($B14&lt;&gt;"",SUMIF(Costs!$D$5:$D$223,$B14,'Attributable fraction'!AJ$5:AJ$223),""),"")</f>
        <v/>
      </c>
      <c r="M14" s="400" t="str">
        <f>IF(Costs!AR$225&lt;=time,IF($B14&lt;&gt;"",SUMIF(Costs!$D$5:$D$223,$B14,'Attributable fraction'!AK$5:AK$223),""),"")</f>
        <v/>
      </c>
      <c r="N14" s="400" t="str">
        <f>IF(Costs!AS$225&lt;=time,IF($B14&lt;&gt;"",SUMIF(Costs!$D$5:$D$223,$B14,'Attributable fraction'!AL$5:AL$223),""),"")</f>
        <v/>
      </c>
      <c r="O14" s="400" t="str">
        <f>IF(Costs!AT$225&lt;=time,IF($B14&lt;&gt;"",SUMIF(Costs!$D$5:$D$223,$B14,'Attributable fraction'!AM$5:AM$223),""),"")</f>
        <v/>
      </c>
      <c r="P14" s="400" t="str">
        <f>IF(Costs!AU$225&lt;=time,IF($B14&lt;&gt;"",SUMIF(Costs!$D$5:$D$223,$B14,'Attributable fraction'!AN$5:AN$223),""),"")</f>
        <v/>
      </c>
      <c r="Q14" s="400" t="str">
        <f>IF(Costs!AV$225&lt;=time,IF($B14&lt;&gt;"",SUMIF(Costs!$D$5:$D$223,$B14,'Attributable fraction'!AO$5:AO$223),""),"")</f>
        <v/>
      </c>
      <c r="R14" s="400" t="str">
        <f>IF(Costs!AW$225&lt;=time,IF($B14&lt;&gt;"",SUMIF(Costs!$D$5:$D$223,$B14,'Attributable fraction'!AP$5:AP$223),""),"")</f>
        <v/>
      </c>
      <c r="S14" s="400" t="str">
        <f>IF(Costs!AX$225&lt;=time,IF($B14&lt;&gt;"",SUMIF(Costs!$D$5:$D$223,$B14,'Attributable fraction'!AQ$5:AQ$223),""),"")</f>
        <v/>
      </c>
      <c r="T14" s="400" t="str">
        <f>IF(Costs!AY$225&lt;=time,IF($B14&lt;&gt;"",SUMIF(Costs!$D$5:$D$223,$B14,'Attributable fraction'!AR$5:AR$223),""),"")</f>
        <v/>
      </c>
      <c r="U14" s="400" t="str">
        <f>IF(Costs!AZ$225&lt;=time,IF($B14&lt;&gt;"",SUMIF(Costs!$D$5:$D$223,$B14,'Attributable fraction'!AS$5:AS$223),""),"")</f>
        <v/>
      </c>
      <c r="V14" s="400" t="str">
        <f>IF(Costs!BA$225&lt;=time,IF($B14&lt;&gt;"",SUMIF(Costs!$D$5:$D$223,$B14,'Attributable fraction'!AT$5:AT$223),""),"")</f>
        <v/>
      </c>
      <c r="W14" s="400" t="str">
        <f>IF(Costs!BB$225&lt;=time,IF($B14&lt;&gt;"",SUMIF(Costs!$D$5:$D$223,$B14,'Attributable fraction'!AU$5:AU$223),""),"")</f>
        <v/>
      </c>
      <c r="X14" s="400" t="str">
        <f>IF(Costs!BC$225&lt;=time,IF($B14&lt;&gt;"",SUMIF(Costs!$D$5:$D$223,$B14,'Attributable fraction'!AV$5:AV$223),""),"")</f>
        <v/>
      </c>
      <c r="Y14" s="400" t="str">
        <f>IF(Costs!BD$225&lt;=time,IF($B14&lt;&gt;"",SUMIF(Costs!$D$5:$D$223,$B14,'Attributable fraction'!AW$5:AW$223),""),"")</f>
        <v/>
      </c>
      <c r="Z14" s="400" t="str">
        <f>IF(Costs!BE$225&lt;=time,IF($B14&lt;&gt;"",SUMIF(Costs!$D$5:$D$223,$B14,'Attributable fraction'!AX$5:AX$223),""),"")</f>
        <v/>
      </c>
      <c r="AA14" s="400" t="str">
        <f>IF(Costs!BF$225&lt;=time,IF($B14&lt;&gt;"",SUMIF(Costs!$D$5:$D$223,$B14,'Attributable fraction'!AY$5:AY$223),""),"")</f>
        <v/>
      </c>
      <c r="AB14" s="887" t="str">
        <f t="shared" si="1"/>
        <v/>
      </c>
      <c r="AC14" s="888" t="str">
        <f t="shared" si="0"/>
        <v/>
      </c>
      <c r="AD14" s="304"/>
      <c r="AE14" s="113"/>
      <c r="AF14" s="113"/>
      <c r="AG14" s="113"/>
      <c r="AH14" s="310"/>
      <c r="AI14" s="310"/>
      <c r="AJ14" s="310"/>
      <c r="AK14" s="310"/>
      <c r="AL14" s="310"/>
      <c r="AM14" s="310"/>
      <c r="AN14" s="310"/>
      <c r="AO14" s="310"/>
      <c r="AP14" s="310"/>
      <c r="AQ14" s="310"/>
      <c r="AR14" s="310"/>
      <c r="AS14" s="310"/>
      <c r="AT14" s="310"/>
      <c r="AU14" s="310"/>
      <c r="AV14" s="310"/>
      <c r="AW14" s="310"/>
      <c r="AX14" s="310"/>
      <c r="AY14" s="310"/>
      <c r="AZ14" s="310"/>
      <c r="BA14" s="310"/>
      <c r="BB14" s="310"/>
      <c r="BC14" s="310"/>
      <c r="BD14" s="310"/>
      <c r="BE14" s="310"/>
      <c r="BF14" s="310"/>
      <c r="BG14" s="310"/>
    </row>
    <row r="15" spans="1:61">
      <c r="A15" s="398" t="str">
        <f>IF((13-COUNTIF('Bearer list'!$E$4:$E$16,""))&gt;A14,A14+1,"")</f>
        <v/>
      </c>
      <c r="B15" s="403" t="str">
        <f>IF(A15&lt;&gt;"",INDEX('Bearer list'!$E$4:$E$16,A15),"")</f>
        <v/>
      </c>
      <c r="C15" s="400" t="str">
        <f>IF(Costs!AH$225&lt;=time,IF($B15&lt;&gt;"",SUMIF(Costs!$D$5:$D$223,$B15,'Attributable fraction'!AA$5:AA$223),""),"")</f>
        <v/>
      </c>
      <c r="D15" s="400" t="str">
        <f>IF(Costs!AI$225&lt;=time,IF($B15&lt;&gt;"",SUMIF(Costs!$D$5:$D$223,$B15,'Attributable fraction'!AB$5:AB$223),""),"")</f>
        <v/>
      </c>
      <c r="E15" s="400" t="str">
        <f>IF(Costs!AJ$225&lt;=time,IF($B15&lt;&gt;"",SUMIF(Costs!$D$5:$D$223,$B15,'Attributable fraction'!AC$5:AC$223),""),"")</f>
        <v/>
      </c>
      <c r="F15" s="400" t="str">
        <f>IF(Costs!AK$225&lt;=time,IF($B15&lt;&gt;"",SUMIF(Costs!$D$5:$D$223,$B15,'Attributable fraction'!AD$5:AD$223),""),"")</f>
        <v/>
      </c>
      <c r="G15" s="400" t="str">
        <f>IF(Costs!AL$225&lt;=time,IF($B15&lt;&gt;"",SUMIF(Costs!$D$5:$D$223,$B15,'Attributable fraction'!AE$5:AE$223),""),"")</f>
        <v/>
      </c>
      <c r="H15" s="400" t="str">
        <f>IF(Costs!AM$225&lt;=time,IF($B15&lt;&gt;"",SUMIF(Costs!$D$5:$D$223,$B15,'Attributable fraction'!AF$5:AF$223),""),"")</f>
        <v/>
      </c>
      <c r="I15" s="400" t="str">
        <f>IF(Costs!AN$225&lt;=time,IF($B15&lt;&gt;"",SUMIF(Costs!$D$5:$D$223,$B15,'Attributable fraction'!AG$5:AG$223),""),"")</f>
        <v/>
      </c>
      <c r="J15" s="400" t="str">
        <f>IF(Costs!AO$225&lt;=time,IF($B15&lt;&gt;"",SUMIF(Costs!$D$5:$D$223,$B15,'Attributable fraction'!AH$5:AH$223),""),"")</f>
        <v/>
      </c>
      <c r="K15" s="400" t="str">
        <f>IF(Costs!AP$225&lt;=time,IF($B15&lt;&gt;"",SUMIF(Costs!$D$5:$D$223,$B15,'Attributable fraction'!AI$5:AI$223),""),"")</f>
        <v/>
      </c>
      <c r="L15" s="400" t="str">
        <f>IF(Costs!AQ$225&lt;=time,IF($B15&lt;&gt;"",SUMIF(Costs!$D$5:$D$223,$B15,'Attributable fraction'!AJ$5:AJ$223),""),"")</f>
        <v/>
      </c>
      <c r="M15" s="400" t="str">
        <f>IF(Costs!AR$225&lt;=time,IF($B15&lt;&gt;"",SUMIF(Costs!$D$5:$D$223,$B15,'Attributable fraction'!AK$5:AK$223),""),"")</f>
        <v/>
      </c>
      <c r="N15" s="400" t="str">
        <f>IF(Costs!AS$225&lt;=time,IF($B15&lt;&gt;"",SUMIF(Costs!$D$5:$D$223,$B15,'Attributable fraction'!AL$5:AL$223),""),"")</f>
        <v/>
      </c>
      <c r="O15" s="400" t="str">
        <f>IF(Costs!AT$225&lt;=time,IF($B15&lt;&gt;"",SUMIF(Costs!$D$5:$D$223,$B15,'Attributable fraction'!AM$5:AM$223),""),"")</f>
        <v/>
      </c>
      <c r="P15" s="400" t="str">
        <f>IF(Costs!AU$225&lt;=time,IF($B15&lt;&gt;"",SUMIF(Costs!$D$5:$D$223,$B15,'Attributable fraction'!AN$5:AN$223),""),"")</f>
        <v/>
      </c>
      <c r="Q15" s="400" t="str">
        <f>IF(Costs!AV$225&lt;=time,IF($B15&lt;&gt;"",SUMIF(Costs!$D$5:$D$223,$B15,'Attributable fraction'!AO$5:AO$223),""),"")</f>
        <v/>
      </c>
      <c r="R15" s="400" t="str">
        <f>IF(Costs!AW$225&lt;=time,IF($B15&lt;&gt;"",SUMIF(Costs!$D$5:$D$223,$B15,'Attributable fraction'!AP$5:AP$223),""),"")</f>
        <v/>
      </c>
      <c r="S15" s="400" t="str">
        <f>IF(Costs!AX$225&lt;=time,IF($B15&lt;&gt;"",SUMIF(Costs!$D$5:$D$223,$B15,'Attributable fraction'!AQ$5:AQ$223),""),"")</f>
        <v/>
      </c>
      <c r="T15" s="400" t="str">
        <f>IF(Costs!AY$225&lt;=time,IF($B15&lt;&gt;"",SUMIF(Costs!$D$5:$D$223,$B15,'Attributable fraction'!AR$5:AR$223),""),"")</f>
        <v/>
      </c>
      <c r="U15" s="400" t="str">
        <f>IF(Costs!AZ$225&lt;=time,IF($B15&lt;&gt;"",SUMIF(Costs!$D$5:$D$223,$B15,'Attributable fraction'!AS$5:AS$223),""),"")</f>
        <v/>
      </c>
      <c r="V15" s="400" t="str">
        <f>IF(Costs!BA$225&lt;=time,IF($B15&lt;&gt;"",SUMIF(Costs!$D$5:$D$223,$B15,'Attributable fraction'!AT$5:AT$223),""),"")</f>
        <v/>
      </c>
      <c r="W15" s="400" t="str">
        <f>IF(Costs!BB$225&lt;=time,IF($B15&lt;&gt;"",SUMIF(Costs!$D$5:$D$223,$B15,'Attributable fraction'!AU$5:AU$223),""),"")</f>
        <v/>
      </c>
      <c r="X15" s="400" t="str">
        <f>IF(Costs!BC$225&lt;=time,IF($B15&lt;&gt;"",SUMIF(Costs!$D$5:$D$223,$B15,'Attributable fraction'!AV$5:AV$223),""),"")</f>
        <v/>
      </c>
      <c r="Y15" s="400" t="str">
        <f>IF(Costs!BD$225&lt;=time,IF($B15&lt;&gt;"",SUMIF(Costs!$D$5:$D$223,$B15,'Attributable fraction'!AW$5:AW$223),""),"")</f>
        <v/>
      </c>
      <c r="Z15" s="400" t="str">
        <f>IF(Costs!BE$225&lt;=time,IF($B15&lt;&gt;"",SUMIF(Costs!$D$5:$D$223,$B15,'Attributable fraction'!AX$5:AX$223),""),"")</f>
        <v/>
      </c>
      <c r="AA15" s="400" t="str">
        <f>IF(Costs!BF$225&lt;=time,IF($B15&lt;&gt;"",SUMIF(Costs!$D$5:$D$223,$B15,'Attributable fraction'!AY$5:AY$223),""),"")</f>
        <v/>
      </c>
      <c r="AB15" s="887" t="str">
        <f t="shared" si="1"/>
        <v/>
      </c>
      <c r="AC15" s="888" t="str">
        <f t="shared" si="0"/>
        <v/>
      </c>
      <c r="AD15" s="304"/>
      <c r="AE15" s="113"/>
      <c r="AF15" s="113"/>
      <c r="AG15" s="113"/>
      <c r="AH15" s="310"/>
      <c r="AI15" s="310"/>
      <c r="AJ15" s="310"/>
      <c r="AK15" s="310"/>
      <c r="AL15" s="310"/>
      <c r="AM15" s="310"/>
      <c r="AN15" s="310"/>
      <c r="AO15" s="310"/>
      <c r="AP15" s="310"/>
      <c r="AQ15" s="310"/>
      <c r="AR15" s="310"/>
      <c r="AS15" s="310"/>
      <c r="AT15" s="310"/>
      <c r="AU15" s="310"/>
      <c r="AV15" s="310"/>
      <c r="AW15" s="310"/>
      <c r="AX15" s="310"/>
      <c r="AY15" s="310"/>
      <c r="AZ15" s="310"/>
      <c r="BA15" s="310"/>
      <c r="BB15" s="310"/>
      <c r="BC15" s="310"/>
      <c r="BD15" s="310"/>
      <c r="BE15" s="310"/>
      <c r="BF15" s="310"/>
      <c r="BG15" s="310"/>
    </row>
    <row r="16" spans="1:61">
      <c r="A16" s="398" t="str">
        <f>IF((13-COUNTIF('Bearer list'!$E$4:$E$16,""))&gt;A15,A15+1,"")</f>
        <v/>
      </c>
      <c r="B16" s="403" t="str">
        <f>IF(A16&lt;&gt;"",INDEX('Bearer list'!$E$4:$E$16,A16),"")</f>
        <v/>
      </c>
      <c r="C16" s="400" t="str">
        <f>IF(Costs!AH$225&lt;=time,IF($B16&lt;&gt;"",SUMIF(Costs!$D$5:$D$223,$B16,'Attributable fraction'!AA$5:AA$223),""),"")</f>
        <v/>
      </c>
      <c r="D16" s="400" t="str">
        <f>IF(Costs!AI$225&lt;=time,IF($B16&lt;&gt;"",SUMIF(Costs!$D$5:$D$223,$B16,'Attributable fraction'!AB$5:AB$223),""),"")</f>
        <v/>
      </c>
      <c r="E16" s="400" t="str">
        <f>IF(Costs!AJ$225&lt;=time,IF($B16&lt;&gt;"",SUMIF(Costs!$D$5:$D$223,$B16,'Attributable fraction'!AC$5:AC$223),""),"")</f>
        <v/>
      </c>
      <c r="F16" s="400" t="str">
        <f>IF(Costs!AK$225&lt;=time,IF($B16&lt;&gt;"",SUMIF(Costs!$D$5:$D$223,$B16,'Attributable fraction'!AD$5:AD$223),""),"")</f>
        <v/>
      </c>
      <c r="G16" s="400" t="str">
        <f>IF(Costs!AL$225&lt;=time,IF($B16&lt;&gt;"",SUMIF(Costs!$D$5:$D$223,$B16,'Attributable fraction'!AE$5:AE$223),""),"")</f>
        <v/>
      </c>
      <c r="H16" s="400" t="str">
        <f>IF(Costs!AM$225&lt;=time,IF($B16&lt;&gt;"",SUMIF(Costs!$D$5:$D$223,$B16,'Attributable fraction'!AF$5:AF$223),""),"")</f>
        <v/>
      </c>
      <c r="I16" s="400" t="str">
        <f>IF(Costs!AN$225&lt;=time,IF($B16&lt;&gt;"",SUMIF(Costs!$D$5:$D$223,$B16,'Attributable fraction'!AG$5:AG$223),""),"")</f>
        <v/>
      </c>
      <c r="J16" s="400" t="str">
        <f>IF(Costs!AO$225&lt;=time,IF($B16&lt;&gt;"",SUMIF(Costs!$D$5:$D$223,$B16,'Attributable fraction'!AH$5:AH$223),""),"")</f>
        <v/>
      </c>
      <c r="K16" s="400" t="str">
        <f>IF(Costs!AP$225&lt;=time,IF($B16&lt;&gt;"",SUMIF(Costs!$D$5:$D$223,$B16,'Attributable fraction'!AI$5:AI$223),""),"")</f>
        <v/>
      </c>
      <c r="L16" s="400" t="str">
        <f>IF(Costs!AQ$225&lt;=time,IF($B16&lt;&gt;"",SUMIF(Costs!$D$5:$D$223,$B16,'Attributable fraction'!AJ$5:AJ$223),""),"")</f>
        <v/>
      </c>
      <c r="M16" s="400" t="str">
        <f>IF(Costs!AR$225&lt;=time,IF($B16&lt;&gt;"",SUMIF(Costs!$D$5:$D$223,$B16,'Attributable fraction'!AK$5:AK$223),""),"")</f>
        <v/>
      </c>
      <c r="N16" s="400" t="str">
        <f>IF(Costs!AS$225&lt;=time,IF($B16&lt;&gt;"",SUMIF(Costs!$D$5:$D$223,$B16,'Attributable fraction'!AL$5:AL$223),""),"")</f>
        <v/>
      </c>
      <c r="O16" s="400" t="str">
        <f>IF(Costs!AT$225&lt;=time,IF($B16&lt;&gt;"",SUMIF(Costs!$D$5:$D$223,$B16,'Attributable fraction'!AM$5:AM$223),""),"")</f>
        <v/>
      </c>
      <c r="P16" s="400" t="str">
        <f>IF(Costs!AU$225&lt;=time,IF($B16&lt;&gt;"",SUMIF(Costs!$D$5:$D$223,$B16,'Attributable fraction'!AN$5:AN$223),""),"")</f>
        <v/>
      </c>
      <c r="Q16" s="400" t="str">
        <f>IF(Costs!AV$225&lt;=time,IF($B16&lt;&gt;"",SUMIF(Costs!$D$5:$D$223,$B16,'Attributable fraction'!AO$5:AO$223),""),"")</f>
        <v/>
      </c>
      <c r="R16" s="400" t="str">
        <f>IF(Costs!AW$225&lt;=time,IF($B16&lt;&gt;"",SUMIF(Costs!$D$5:$D$223,$B16,'Attributable fraction'!AP$5:AP$223),""),"")</f>
        <v/>
      </c>
      <c r="S16" s="400" t="str">
        <f>IF(Costs!AX$225&lt;=time,IF($B16&lt;&gt;"",SUMIF(Costs!$D$5:$D$223,$B16,'Attributable fraction'!AQ$5:AQ$223),""),"")</f>
        <v/>
      </c>
      <c r="T16" s="400" t="str">
        <f>IF(Costs!AY$225&lt;=time,IF($B16&lt;&gt;"",SUMIF(Costs!$D$5:$D$223,$B16,'Attributable fraction'!AR$5:AR$223),""),"")</f>
        <v/>
      </c>
      <c r="U16" s="400" t="str">
        <f>IF(Costs!AZ$225&lt;=time,IF($B16&lt;&gt;"",SUMIF(Costs!$D$5:$D$223,$B16,'Attributable fraction'!AS$5:AS$223),""),"")</f>
        <v/>
      </c>
      <c r="V16" s="400" t="str">
        <f>IF(Costs!BA$225&lt;=time,IF($B16&lt;&gt;"",SUMIF(Costs!$D$5:$D$223,$B16,'Attributable fraction'!AT$5:AT$223),""),"")</f>
        <v/>
      </c>
      <c r="W16" s="400" t="str">
        <f>IF(Costs!BB$225&lt;=time,IF($B16&lt;&gt;"",SUMIF(Costs!$D$5:$D$223,$B16,'Attributable fraction'!AU$5:AU$223),""),"")</f>
        <v/>
      </c>
      <c r="X16" s="400" t="str">
        <f>IF(Costs!BC$225&lt;=time,IF($B16&lt;&gt;"",SUMIF(Costs!$D$5:$D$223,$B16,'Attributable fraction'!AV$5:AV$223),""),"")</f>
        <v/>
      </c>
      <c r="Y16" s="400" t="str">
        <f>IF(Costs!BD$225&lt;=time,IF($B16&lt;&gt;"",SUMIF(Costs!$D$5:$D$223,$B16,'Attributable fraction'!AW$5:AW$223),""),"")</f>
        <v/>
      </c>
      <c r="Z16" s="400" t="str">
        <f>IF(Costs!BE$225&lt;=time,IF($B16&lt;&gt;"",SUMIF(Costs!$D$5:$D$223,$B16,'Attributable fraction'!AX$5:AX$223),""),"")</f>
        <v/>
      </c>
      <c r="AA16" s="400" t="str">
        <f>IF(Costs!BF$225&lt;=time,IF($B16&lt;&gt;"",SUMIF(Costs!$D$5:$D$223,$B16,'Attributable fraction'!AY$5:AY$223),""),"")</f>
        <v/>
      </c>
      <c r="AB16" s="887" t="str">
        <f t="shared" si="1"/>
        <v/>
      </c>
      <c r="AC16" s="888" t="str">
        <f t="shared" si="0"/>
        <v/>
      </c>
      <c r="AD16" s="304"/>
      <c r="AE16" s="113"/>
      <c r="AF16" s="113"/>
      <c r="AG16" s="113"/>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c r="BF16" s="310"/>
      <c r="BG16" s="310"/>
    </row>
    <row r="17" spans="1:61" ht="16" thickBot="1">
      <c r="A17" s="404" t="str">
        <f>IF((13-COUNTIF('Bearer list'!$E$4:$E$16,""))&gt;A16,A16+1,"")</f>
        <v/>
      </c>
      <c r="B17" s="405" t="str">
        <f>IF(A17&lt;&gt;"",INDEX('Bearer list'!$E$4:$E$16,A17),"")</f>
        <v/>
      </c>
      <c r="C17" s="406" t="str">
        <f>IF(Costs!AH$225&lt;=time,IF($B17&lt;&gt;"",SUMIF(Costs!$D$5:$D$223,$B17,'Attributable fraction'!AA$5:AA$223),""),"")</f>
        <v/>
      </c>
      <c r="D17" s="406" t="str">
        <f>IF(Costs!AI$225&lt;=time,IF($B17&lt;&gt;"",SUMIF(Costs!$D$5:$D$223,$B17,'Attributable fraction'!AB$5:AB$223),""),"")</f>
        <v/>
      </c>
      <c r="E17" s="406" t="str">
        <f>IF(Costs!AJ$225&lt;=time,IF($B17&lt;&gt;"",SUMIF(Costs!$D$5:$D$223,$B17,'Attributable fraction'!AC$5:AC$223),""),"")</f>
        <v/>
      </c>
      <c r="F17" s="406" t="str">
        <f>IF(Costs!AK$225&lt;=time,IF($B17&lt;&gt;"",SUMIF(Costs!$D$5:$D$223,$B17,'Attributable fraction'!AD$5:AD$223),""),"")</f>
        <v/>
      </c>
      <c r="G17" s="406" t="str">
        <f>IF(Costs!AL$225&lt;=time,IF($B17&lt;&gt;"",SUMIF(Costs!$D$5:$D$223,$B17,'Attributable fraction'!AE$5:AE$223),""),"")</f>
        <v/>
      </c>
      <c r="H17" s="406" t="str">
        <f>IF(Costs!AM$225&lt;=time,IF($B17&lt;&gt;"",SUMIF(Costs!$D$5:$D$223,$B17,'Attributable fraction'!AF$5:AF$223),""),"")</f>
        <v/>
      </c>
      <c r="I17" s="406" t="str">
        <f>IF(Costs!AN$225&lt;=time,IF($B17&lt;&gt;"",SUMIF(Costs!$D$5:$D$223,$B17,'Attributable fraction'!AG$5:AG$223),""),"")</f>
        <v/>
      </c>
      <c r="J17" s="406" t="str">
        <f>IF(Costs!AO$225&lt;=time,IF($B17&lt;&gt;"",SUMIF(Costs!$D$5:$D$223,$B17,'Attributable fraction'!AH$5:AH$223),""),"")</f>
        <v/>
      </c>
      <c r="K17" s="406" t="str">
        <f>IF(Costs!AP$225&lt;=time,IF($B17&lt;&gt;"",SUMIF(Costs!$D$5:$D$223,$B17,'Attributable fraction'!AI$5:AI$223),""),"")</f>
        <v/>
      </c>
      <c r="L17" s="406" t="str">
        <f>IF(Costs!AQ$225&lt;=time,IF($B17&lt;&gt;"",SUMIF(Costs!$D$5:$D$223,$B17,'Attributable fraction'!AJ$5:AJ$223),""),"")</f>
        <v/>
      </c>
      <c r="M17" s="406" t="str">
        <f>IF(Costs!AR$225&lt;=time,IF($B17&lt;&gt;"",SUMIF(Costs!$D$5:$D$223,$B17,'Attributable fraction'!AK$5:AK$223),""),"")</f>
        <v/>
      </c>
      <c r="N17" s="406" t="str">
        <f>IF(Costs!AS$225&lt;=time,IF($B17&lt;&gt;"",SUMIF(Costs!$D$5:$D$223,$B17,'Attributable fraction'!AL$5:AL$223),""),"")</f>
        <v/>
      </c>
      <c r="O17" s="406" t="str">
        <f>IF(Costs!AT$225&lt;=time,IF($B17&lt;&gt;"",SUMIF(Costs!$D$5:$D$223,$B17,'Attributable fraction'!AM$5:AM$223),""),"")</f>
        <v/>
      </c>
      <c r="P17" s="406" t="str">
        <f>IF(Costs!AU$225&lt;=time,IF($B17&lt;&gt;"",SUMIF(Costs!$D$5:$D$223,$B17,'Attributable fraction'!AN$5:AN$223),""),"")</f>
        <v/>
      </c>
      <c r="Q17" s="406" t="str">
        <f>IF(Costs!AV$225&lt;=time,IF($B17&lt;&gt;"",SUMIF(Costs!$D$5:$D$223,$B17,'Attributable fraction'!AO$5:AO$223),""),"")</f>
        <v/>
      </c>
      <c r="R17" s="406" t="str">
        <f>IF(Costs!AW$225&lt;=time,IF($B17&lt;&gt;"",SUMIF(Costs!$D$5:$D$223,$B17,'Attributable fraction'!AP$5:AP$223),""),"")</f>
        <v/>
      </c>
      <c r="S17" s="406" t="str">
        <f>IF(Costs!AX$225&lt;=time,IF($B17&lt;&gt;"",SUMIF(Costs!$D$5:$D$223,$B17,'Attributable fraction'!AQ$5:AQ$223),""),"")</f>
        <v/>
      </c>
      <c r="T17" s="406" t="str">
        <f>IF(Costs!AY$225&lt;=time,IF($B17&lt;&gt;"",SUMIF(Costs!$D$5:$D$223,$B17,'Attributable fraction'!AR$5:AR$223),""),"")</f>
        <v/>
      </c>
      <c r="U17" s="406" t="str">
        <f>IF(Costs!AZ$225&lt;=time,IF($B17&lt;&gt;"",SUMIF(Costs!$D$5:$D$223,$B17,'Attributable fraction'!AS$5:AS$223),""),"")</f>
        <v/>
      </c>
      <c r="V17" s="406" t="str">
        <f>IF(Costs!BA$225&lt;=time,IF($B17&lt;&gt;"",SUMIF(Costs!$D$5:$D$223,$B17,'Attributable fraction'!AT$5:AT$223),""),"")</f>
        <v/>
      </c>
      <c r="W17" s="406" t="str">
        <f>IF(Costs!BB$225&lt;=time,IF($B17&lt;&gt;"",SUMIF(Costs!$D$5:$D$223,$B17,'Attributable fraction'!AU$5:AU$223),""),"")</f>
        <v/>
      </c>
      <c r="X17" s="406" t="str">
        <f>IF(Costs!BC$225&lt;=time,IF($B17&lt;&gt;"",SUMIF(Costs!$D$5:$D$223,$B17,'Attributable fraction'!AV$5:AV$223),""),"")</f>
        <v/>
      </c>
      <c r="Y17" s="406" t="str">
        <f>IF(Costs!BD$225&lt;=time,IF($B17&lt;&gt;"",SUMIF(Costs!$D$5:$D$223,$B17,'Attributable fraction'!AW$5:AW$223),""),"")</f>
        <v/>
      </c>
      <c r="Z17" s="406" t="str">
        <f>IF(Costs!BE$225&lt;=time,IF($B17&lt;&gt;"",SUMIF(Costs!$D$5:$D$223,$B17,'Attributable fraction'!AX$5:AX$223),""),"")</f>
        <v/>
      </c>
      <c r="AA17" s="406" t="str">
        <f>IF(Costs!BF$225&lt;=time,IF($B17&lt;&gt;"",SUMIF(Costs!$D$5:$D$223,$B17,'Attributable fraction'!AY$5:AY$223),""),"")</f>
        <v/>
      </c>
      <c r="AB17" s="889" t="str">
        <f t="shared" si="1"/>
        <v/>
      </c>
      <c r="AC17" s="890" t="str">
        <f t="shared" si="0"/>
        <v/>
      </c>
      <c r="AD17" s="304"/>
      <c r="AE17" s="113"/>
      <c r="AF17" s="113"/>
      <c r="AG17" s="113"/>
      <c r="AH17" s="310"/>
      <c r="AI17" s="310"/>
      <c r="AJ17" s="310"/>
      <c r="AK17" s="310"/>
      <c r="AL17" s="310"/>
      <c r="AM17" s="310"/>
      <c r="AN17" s="310"/>
      <c r="AO17" s="310"/>
      <c r="AP17" s="310"/>
      <c r="AQ17" s="310"/>
      <c r="AR17" s="310"/>
      <c r="AS17" s="310"/>
      <c r="AT17" s="310"/>
      <c r="AU17" s="310"/>
      <c r="AV17" s="310"/>
      <c r="AW17" s="310"/>
      <c r="AX17" s="310"/>
      <c r="AY17" s="310"/>
      <c r="AZ17" s="310"/>
      <c r="BA17" s="310"/>
      <c r="BB17" s="310"/>
      <c r="BC17" s="310"/>
      <c r="BD17" s="310"/>
      <c r="BE17" s="310"/>
      <c r="BF17" s="310"/>
      <c r="BG17" s="310"/>
    </row>
    <row r="18" spans="1:61">
      <c r="A18" s="196"/>
      <c r="B18" s="304"/>
      <c r="C18" s="304"/>
      <c r="D18" s="304"/>
      <c r="E18" s="304"/>
      <c r="F18" s="304"/>
      <c r="G18" s="304"/>
      <c r="H18" s="304"/>
      <c r="I18" s="304"/>
      <c r="J18" s="304"/>
      <c r="K18" s="304"/>
      <c r="L18" s="304"/>
      <c r="M18" s="304"/>
      <c r="N18" s="304"/>
      <c r="O18" s="304"/>
      <c r="P18" s="304"/>
      <c r="Q18" s="304"/>
      <c r="R18" s="304"/>
      <c r="S18" s="304"/>
      <c r="T18" s="304"/>
      <c r="U18" s="304"/>
      <c r="V18" s="304"/>
      <c r="W18" s="304"/>
      <c r="X18" s="304"/>
      <c r="Y18" s="304"/>
      <c r="Z18" s="304"/>
      <c r="AA18" s="304"/>
      <c r="AB18" s="304"/>
      <c r="AC18" s="304"/>
      <c r="AD18" s="304"/>
      <c r="AE18" s="113"/>
      <c r="AF18" s="113"/>
      <c r="AG18" s="113"/>
      <c r="AH18" s="310"/>
      <c r="AI18" s="310"/>
      <c r="AJ18" s="310"/>
      <c r="AK18" s="310"/>
      <c r="AL18" s="310"/>
      <c r="AM18" s="310"/>
      <c r="AN18" s="310"/>
      <c r="AO18" s="310"/>
      <c r="AP18" s="310"/>
      <c r="AQ18" s="310"/>
      <c r="AR18" s="310"/>
      <c r="AS18" s="310"/>
      <c r="AT18" s="310"/>
      <c r="AU18" s="310"/>
      <c r="AV18" s="310"/>
      <c r="AW18" s="310"/>
      <c r="AX18" s="310"/>
      <c r="AY18" s="310"/>
      <c r="AZ18" s="310"/>
      <c r="BA18" s="310"/>
      <c r="BB18" s="310"/>
      <c r="BC18" s="310"/>
      <c r="BD18" s="310"/>
      <c r="BE18" s="310"/>
      <c r="BF18" s="310"/>
      <c r="BG18" s="310"/>
    </row>
    <row r="19" spans="1:61">
      <c r="A19" s="196"/>
      <c r="B19" s="304"/>
      <c r="C19" s="304"/>
      <c r="D19" s="304"/>
      <c r="E19" s="304"/>
      <c r="F19" s="304"/>
      <c r="G19" s="304"/>
      <c r="H19" s="304"/>
      <c r="I19" s="304"/>
      <c r="J19" s="304"/>
      <c r="K19" s="304"/>
      <c r="L19" s="304"/>
      <c r="M19" s="304"/>
      <c r="N19" s="304"/>
      <c r="O19" s="304"/>
      <c r="P19" s="304"/>
      <c r="Q19" s="304"/>
      <c r="R19" s="304"/>
      <c r="S19" s="304"/>
      <c r="T19" s="304"/>
      <c r="U19" s="304"/>
      <c r="V19" s="304"/>
      <c r="W19" s="304"/>
      <c r="X19" s="304"/>
      <c r="Y19" s="304"/>
      <c r="Z19" s="304"/>
      <c r="AA19" s="304"/>
      <c r="AB19" s="304"/>
      <c r="AC19" s="304"/>
      <c r="AD19" s="304"/>
      <c r="AE19" s="113"/>
      <c r="AF19" s="113"/>
      <c r="AG19" s="113"/>
      <c r="AH19" s="310"/>
      <c r="AI19" s="310"/>
      <c r="AJ19" s="310"/>
      <c r="AK19" s="310"/>
      <c r="AL19" s="310"/>
      <c r="AM19" s="310"/>
      <c r="AN19" s="310"/>
      <c r="AO19" s="310"/>
      <c r="AP19" s="310"/>
      <c r="AQ19" s="310"/>
      <c r="AR19" s="310"/>
      <c r="AS19" s="310"/>
      <c r="AT19" s="310"/>
      <c r="AU19" s="310"/>
      <c r="AV19" s="310"/>
      <c r="AW19" s="310"/>
      <c r="AX19" s="310"/>
      <c r="AY19" s="310"/>
      <c r="AZ19" s="310"/>
      <c r="BA19" s="310"/>
      <c r="BB19" s="310"/>
      <c r="BC19" s="310"/>
      <c r="BD19" s="310"/>
      <c r="BE19" s="310"/>
      <c r="BF19" s="310"/>
      <c r="BG19" s="310"/>
    </row>
    <row r="20" spans="1:61">
      <c r="A20" s="196"/>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113"/>
      <c r="AF20" s="113"/>
      <c r="AG20" s="113"/>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row>
    <row r="21" spans="1:61">
      <c r="A21" s="196"/>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113"/>
      <c r="AF21" s="113"/>
      <c r="AG21" s="113"/>
      <c r="AH21" s="310"/>
      <c r="AI21" s="310"/>
      <c r="AJ21" s="310"/>
      <c r="AK21" s="310"/>
      <c r="AL21" s="310"/>
      <c r="AM21" s="310"/>
      <c r="AN21" s="310"/>
      <c r="AO21" s="310"/>
      <c r="AP21" s="310"/>
      <c r="AQ21" s="310"/>
      <c r="AR21" s="310"/>
      <c r="AS21" s="310"/>
      <c r="AT21" s="310"/>
      <c r="AU21" s="310"/>
      <c r="AV21" s="310"/>
      <c r="AW21" s="310"/>
      <c r="AX21" s="310"/>
      <c r="AY21" s="310"/>
      <c r="AZ21" s="310"/>
      <c r="BA21" s="310"/>
      <c r="BB21" s="310"/>
      <c r="BC21" s="310"/>
      <c r="BD21" s="310"/>
      <c r="BE21" s="310"/>
      <c r="BF21" s="310"/>
      <c r="BG21" s="310"/>
    </row>
    <row r="22" spans="1:61" ht="16" hidden="1" thickBot="1">
      <c r="A22" s="196"/>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c r="AE22" s="113"/>
      <c r="AF22" s="113"/>
      <c r="AG22" s="113"/>
      <c r="AH22" s="310"/>
      <c r="AI22" s="310"/>
      <c r="AJ22" s="310"/>
      <c r="AK22" s="310"/>
      <c r="AL22" s="310"/>
      <c r="AM22" s="310"/>
      <c r="AN22" s="310"/>
      <c r="AO22" s="310"/>
      <c r="AP22" s="310"/>
      <c r="AQ22" s="310"/>
      <c r="AR22" s="310"/>
      <c r="AS22" s="310"/>
      <c r="AT22" s="310"/>
      <c r="AU22" s="310"/>
      <c r="AV22" s="310"/>
      <c r="AW22" s="310"/>
      <c r="AX22" s="310"/>
      <c r="AY22" s="310"/>
      <c r="AZ22" s="310"/>
      <c r="BA22" s="310"/>
      <c r="BB22" s="310"/>
      <c r="BC22" s="310"/>
      <c r="BD22" s="310"/>
      <c r="BE22" s="310"/>
      <c r="BF22" s="310"/>
      <c r="BG22" s="310"/>
    </row>
    <row r="23" spans="1:61" ht="68.400000000000006" hidden="1" customHeight="1" thickBot="1">
      <c r="A23" s="1159" t="s">
        <v>248</v>
      </c>
      <c r="B23" s="1160"/>
      <c r="C23" s="240" t="str">
        <f>CONCATENATE("Costs Yr1"," ", "(",'Proposition Summary'!$B$76,")")</f>
        <v>Costs Yr1 (GBP (£))</v>
      </c>
      <c r="D23" s="336" t="str">
        <f>CONCATENATE("Costs Yr2"," ", "(",'Proposition Summary'!$B$76,")")</f>
        <v>Costs Yr2 (GBP (£))</v>
      </c>
      <c r="E23" s="337" t="str">
        <f>CONCATENATE("Costs Yr3"," ", "(",'Proposition Summary'!$B$76,")")</f>
        <v>Costs Yr3 (GBP (£))</v>
      </c>
      <c r="F23" s="337" t="str">
        <f>CONCATENATE("Costs Yr4"," ", "(",'Proposition Summary'!$B$76,")")</f>
        <v>Costs Yr4 (GBP (£))</v>
      </c>
      <c r="G23" s="337" t="str">
        <f>CONCATENATE("Costs Yr5"," ", "(",'Proposition Summary'!$B$76,")")</f>
        <v>Costs Yr5 (GBP (£))</v>
      </c>
      <c r="H23" s="337" t="str">
        <f>CONCATENATE("Costs Yr6"," ", "(",'Proposition Summary'!$B$76,")")</f>
        <v>Costs Yr6 (GBP (£))</v>
      </c>
      <c r="I23" s="337" t="str">
        <f>CONCATENATE("Costs Yr7"," ", "(",'Proposition Summary'!$B$76,")")</f>
        <v>Costs Yr7 (GBP (£))</v>
      </c>
      <c r="J23" s="337" t="str">
        <f>CONCATENATE("Costs Yr8"," ", "(",'Proposition Summary'!$B$76,")")</f>
        <v>Costs Yr8 (GBP (£))</v>
      </c>
      <c r="K23" s="337" t="str">
        <f>CONCATENATE("Costs Yr9"," ", "(",'Proposition Summary'!$B$76,")")</f>
        <v>Costs Yr9 (GBP (£))</v>
      </c>
      <c r="L23" s="337" t="str">
        <f>CONCATENATE("Costs Yr10"," ", "(",'Proposition Summary'!$B$76,")")</f>
        <v>Costs Yr10 (GBP (£))</v>
      </c>
      <c r="M23" s="337" t="str">
        <f>CONCATENATE("Costs Yr11"," ", "(",'Proposition Summary'!$B$76,")")</f>
        <v>Costs Yr11 (GBP (£))</v>
      </c>
      <c r="N23" s="337" t="str">
        <f>CONCATENATE("Costs Yr12"," ", "(",'Proposition Summary'!$B$76,")")</f>
        <v>Costs Yr12 (GBP (£))</v>
      </c>
      <c r="O23" s="337" t="str">
        <f>CONCATENATE("Costs Yr13"," ", "(",'Proposition Summary'!$B$76,")")</f>
        <v>Costs Yr13 (GBP (£))</v>
      </c>
      <c r="P23" s="337" t="str">
        <f>CONCATENATE("Costs Yr14"," ", "(",'Proposition Summary'!$B$76,")")</f>
        <v>Costs Yr14 (GBP (£))</v>
      </c>
      <c r="Q23" s="337" t="str">
        <f>CONCATENATE("Costs Yr15"," ", "(",'Proposition Summary'!$B$76,")")</f>
        <v>Costs Yr15 (GBP (£))</v>
      </c>
      <c r="R23" s="337" t="str">
        <f>CONCATENATE("Costs Yr16"," ", "(",'Proposition Summary'!$B$76,")")</f>
        <v>Costs Yr16 (GBP (£))</v>
      </c>
      <c r="S23" s="337" t="str">
        <f>CONCATENATE("Costs Yr17"," ", "(",'Proposition Summary'!$B$76,")")</f>
        <v>Costs Yr17 (GBP (£))</v>
      </c>
      <c r="T23" s="337" t="str">
        <f>CONCATENATE("Costs Yr18"," ", "(",'Proposition Summary'!$B$76,")")</f>
        <v>Costs Yr18 (GBP (£))</v>
      </c>
      <c r="U23" s="337" t="str">
        <f>CONCATENATE("Costs Yr19"," ", "(",'Proposition Summary'!$B$76,")")</f>
        <v>Costs Yr19 (GBP (£))</v>
      </c>
      <c r="V23" s="337" t="str">
        <f>CONCATENATE("Costs Yr20"," ", "(",'Proposition Summary'!$B$76,")")</f>
        <v>Costs Yr20 (GBP (£))</v>
      </c>
      <c r="W23" s="337" t="str">
        <f>CONCATENATE("Costs Yr21"," ", "(",'Proposition Summary'!$B$76,")")</f>
        <v>Costs Yr21 (GBP (£))</v>
      </c>
      <c r="X23" s="337" t="str">
        <f>CONCATENATE("Costs Yr22"," ", "(",'Proposition Summary'!$B$76,")")</f>
        <v>Costs Yr22 (GBP (£))</v>
      </c>
      <c r="Y23" s="337" t="str">
        <f>CONCATENATE("Costs Yr23"," ", "(",'Proposition Summary'!$B$76,")")</f>
        <v>Costs Yr23 (GBP (£))</v>
      </c>
      <c r="Z23" s="337" t="str">
        <f>CONCATENATE("Costs Yr24"," ", "(",'Proposition Summary'!$B$76,")")</f>
        <v>Costs Yr24 (GBP (£))</v>
      </c>
      <c r="AA23" s="337" t="str">
        <f>CONCATENATE("Costs Yr25"," ", "(",'Proposition Summary'!$B$76,")")</f>
        <v>Costs Yr25 (GBP (£))</v>
      </c>
      <c r="AB23" s="241" t="str">
        <f>CONCATENATE("Total"," ", "(",'Proposition Summary'!$B$76,")")</f>
        <v>Total (GBP (£))</v>
      </c>
      <c r="AC23" s="242" t="str">
        <f>CONCATENATE("Average per year"," ", "(",'Proposition Summary'!$B$76,")")</f>
        <v>Average per year (GBP (£))</v>
      </c>
      <c r="AD23" s="304"/>
      <c r="AE23" s="113"/>
      <c r="AF23" s="113"/>
      <c r="AG23" s="113"/>
      <c r="AH23" s="309"/>
      <c r="AJ23" s="310"/>
      <c r="AK23" s="310"/>
      <c r="AL23" s="310"/>
      <c r="AM23" s="310"/>
      <c r="AN23" s="310"/>
      <c r="AO23" s="310"/>
      <c r="AP23" s="310"/>
      <c r="AQ23" s="310"/>
      <c r="AR23" s="310"/>
      <c r="AS23" s="310"/>
      <c r="AT23" s="310"/>
      <c r="AU23" s="310"/>
      <c r="AV23" s="310"/>
      <c r="AW23" s="310"/>
      <c r="AX23" s="310"/>
      <c r="AY23" s="310"/>
      <c r="AZ23" s="310"/>
      <c r="BA23" s="310"/>
      <c r="BB23" s="310"/>
      <c r="BC23" s="310"/>
      <c r="BD23" s="310"/>
      <c r="BE23" s="310"/>
      <c r="BF23" s="310"/>
      <c r="BG23" s="310"/>
      <c r="BH23" s="310"/>
      <c r="BI23" s="310"/>
    </row>
    <row r="24" spans="1:61" ht="16" hidden="1" thickTop="1">
      <c r="A24" s="398">
        <v>1</v>
      </c>
      <c r="B24" s="399" t="str">
        <f>IF(A5&lt;&gt;"",INDEX('Bearer list'!$D$4:$D$16,A5),"")</f>
        <v>CJS</v>
      </c>
      <c r="C24" s="400">
        <f>IF(C$3&lt;=time,IF($B24&lt;&gt;"", C5*(1+Economics!$B$4)^(C$3-$C$3)/((1+Economics!$B$3)^(C$3-$C$3)),""), "")</f>
        <v>284.73002251534706</v>
      </c>
      <c r="D24" s="400">
        <f>IF(D$3&lt;=time,IF($B24&lt;&gt;"", D5*(1+Economics!$B$4)^(D$3-$C$3)/((1+Economics!$B$3)^(D$3-$C$3)),""), "")</f>
        <v>0</v>
      </c>
      <c r="E24" s="400">
        <f>IF(E$3&lt;=time,IF($B24&lt;&gt;"", E5*(1+Economics!$B$4)^(E$3-$C$3)/((1+Economics!$B$3)^(E$3-$C$3)),""), "")</f>
        <v>0</v>
      </c>
      <c r="F24" s="400">
        <f>IF(F$3&lt;=time,IF($B24&lt;&gt;"", F5*(1+Economics!$B$4)^(F$3-$C$3)/((1+Economics!$B$3)^(F$3-$C$3)),""), "")</f>
        <v>0</v>
      </c>
      <c r="G24" s="400">
        <f>IF(G$3&lt;=time,IF($B24&lt;&gt;"", G5*(1+Economics!$B$4)^(G$3-$C$3)/((1+Economics!$B$3)^(G$3-$C$3)),""), "")</f>
        <v>0</v>
      </c>
      <c r="H24" s="400" t="str">
        <f>IF(H$3&lt;=time,IF($B24&lt;&gt;"", H5*(1+Economics!$B$4)^(H$3-$C$3)/((1+Economics!$B$3)^(H$3-$C$3)),""), "")</f>
        <v/>
      </c>
      <c r="I24" s="400" t="str">
        <f>IF(I$3&lt;=time,IF($B24&lt;&gt;"", I5*(1+Economics!$B$4)^(I$3-$C$3)/((1+Economics!$B$3)^(I$3-$C$3)),""), "")</f>
        <v/>
      </c>
      <c r="J24" s="400" t="str">
        <f>IF(J$3&lt;=time,IF($B24&lt;&gt;"", J5*(1+Economics!$B$4)^(J$3-$C$3)/((1+Economics!$B$3)^(J$3-$C$3)),""), "")</f>
        <v/>
      </c>
      <c r="K24" s="400" t="str">
        <f>IF(K$3&lt;=time,IF($B24&lt;&gt;"", K5*(1+Economics!$B$4)^(K$3-$C$3)/((1+Economics!$B$3)^(K$3-$C$3)),""), "")</f>
        <v/>
      </c>
      <c r="L24" s="400" t="str">
        <f>IF(L$3&lt;=time,IF($B24&lt;&gt;"", L5*(1+Economics!$B$4)^(L$3-$C$3)/((1+Economics!$B$3)^(L$3-$C$3)),""), "")</f>
        <v/>
      </c>
      <c r="M24" s="400" t="str">
        <f>IF(M$3&lt;=time,IF($B24&lt;&gt;"", M5*(1+Economics!$B$4)^(M$3-$C$3)/((1+Economics!$B$3)^(M$3-$C$3)),""), "")</f>
        <v/>
      </c>
      <c r="N24" s="400" t="str">
        <f>IF(N$3&lt;=time,IF($B24&lt;&gt;"", N5*(1+Economics!$B$4)^(N$3-$C$3)/((1+Economics!$B$3)^(N$3-$C$3)),""), "")</f>
        <v/>
      </c>
      <c r="O24" s="400" t="str">
        <f>IF(O$3&lt;=time,IF($B24&lt;&gt;"", O5*(1+Economics!$B$4)^(O$3-$C$3)/((1+Economics!$B$3)^(O$3-$C$3)),""), "")</f>
        <v/>
      </c>
      <c r="P24" s="400" t="str">
        <f>IF(P$3&lt;=time,IF($B24&lt;&gt;"", P5*(1+Economics!$B$4)^(P$3-$C$3)/((1+Economics!$B$3)^(P$3-$C$3)),""), "")</f>
        <v/>
      </c>
      <c r="Q24" s="400" t="str">
        <f>IF(Q$3&lt;=time,IF($B24&lt;&gt;"", Q5*(1+Economics!$B$4)^(Q$3-$C$3)/((1+Economics!$B$3)^(Q$3-$C$3)),""), "")</f>
        <v/>
      </c>
      <c r="R24" s="400" t="str">
        <f>IF(R$3&lt;=time,IF($B24&lt;&gt;"", R5*(1+Economics!$B$4)^(R$3-$C$3)/((1+Economics!$B$3)^(R$3-$C$3)),""), "")</f>
        <v/>
      </c>
      <c r="S24" s="400" t="str">
        <f>IF(S$3&lt;=time,IF($B24&lt;&gt;"", S5*(1+Economics!$B$4)^(S$3-$C$3)/((1+Economics!$B$3)^(S$3-$C$3)),""), "")</f>
        <v/>
      </c>
      <c r="T24" s="400" t="str">
        <f>IF(T$3&lt;=time,IF($B24&lt;&gt;"", T5*(1+Economics!$B$4)^(T$3-$C$3)/((1+Economics!$B$3)^(T$3-$C$3)),""), "")</f>
        <v/>
      </c>
      <c r="U24" s="400" t="str">
        <f>IF(U$3&lt;=time,IF($B24&lt;&gt;"", U5*(1+Economics!$B$4)^(U$3-$C$3)/((1+Economics!$B$3)^(U$3-$C$3)),""), "")</f>
        <v/>
      </c>
      <c r="V24" s="400" t="str">
        <f>IF(V$3&lt;=time,IF($B24&lt;&gt;"", V5*(1+Economics!$B$4)^(V$3-$C$3)/((1+Economics!$B$3)^(V$3-$C$3)),""), "")</f>
        <v/>
      </c>
      <c r="W24" s="400" t="str">
        <f>IF(W$3&lt;=time,IF($B24&lt;&gt;"", W5*(1+Economics!$B$4)^(W$3-$C$3)/((1+Economics!$B$3)^(W$3-$C$3)),""), "")</f>
        <v/>
      </c>
      <c r="X24" s="400" t="str">
        <f>IF(X$3&lt;=time,IF($B24&lt;&gt;"", X5*(1+Economics!$B$4)^(X$3-$C$3)/((1+Economics!$B$3)^(X$3-$C$3)),""), "")</f>
        <v/>
      </c>
      <c r="Y24" s="400" t="str">
        <f>IF(Y$3&lt;=time,IF($B24&lt;&gt;"", Y5*(1+Economics!$B$4)^(Y$3-$C$3)/((1+Economics!$B$3)^(Y$3-$C$3)),""), "")</f>
        <v/>
      </c>
      <c r="Z24" s="400" t="str">
        <f>IF(Z$3&lt;=time,IF($B24&lt;&gt;"", Z5*(1+Economics!$B$4)^(Z$3-$C$3)/((1+Economics!$B$3)^(Z$3-$C$3)),""), "")</f>
        <v/>
      </c>
      <c r="AA24" s="400" t="str">
        <f>IF(AA$3&lt;=time,IF($B24&lt;&gt;"", AA5*(1+Economics!$B$4)^(AA$3-$C$3)/((1+Economics!$B$3)^(AA$3-$C$3)),""), "")</f>
        <v/>
      </c>
      <c r="AB24" s="401">
        <f>IF($B24&lt;&gt;"",SUM(C24:AA24),"")</f>
        <v>284.73002251534706</v>
      </c>
      <c r="AC24" s="402">
        <f t="shared" ref="AC24:AC36" si="2">IF($B24&lt;&gt;"",AB24/time,"")</f>
        <v>56.94600450306941</v>
      </c>
      <c r="AD24" s="304"/>
      <c r="AE24" s="113"/>
      <c r="AF24" s="113"/>
      <c r="AG24" s="113"/>
      <c r="AH24" s="309"/>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row>
    <row r="25" spans="1:61" hidden="1">
      <c r="A25" s="398">
        <f>IF((13-COUNTIF('Bearer list'!$E$4:$E$16,""))&gt;A24,A24+1,"")</f>
        <v>2</v>
      </c>
      <c r="B25" s="403" t="str">
        <f>IF(A6&lt;&gt;"",INDEX('Bearer list'!$D$4:$D$16,A6),"")</f>
        <v>Society</v>
      </c>
      <c r="C25" s="400">
        <f>IF(C$3&lt;=time,IF($B25&lt;&gt;"", C6*(1+Economics!$B$4)^(C$3-$C$3)/((1+Economics!$B$3)^(C$3-$C$3)),""), "")</f>
        <v>0</v>
      </c>
      <c r="D25" s="400">
        <f>IF(D$3&lt;=time,IF($B25&lt;&gt;"", D6*(1+Economics!$B$4)^(D$3-$C$3)/((1+Economics!$B$3)^(D$3-$C$3)),""), "")</f>
        <v>0</v>
      </c>
      <c r="E25" s="400">
        <f>IF(E$3&lt;=time,IF($B25&lt;&gt;"", E6*(1+Economics!$B$4)^(E$3-$C$3)/((1+Economics!$B$3)^(E$3-$C$3)),""), "")</f>
        <v>0</v>
      </c>
      <c r="F25" s="400">
        <f>IF(F$3&lt;=time,IF($B25&lt;&gt;"", F6*(1+Economics!$B$4)^(F$3-$C$3)/((1+Economics!$B$3)^(F$3-$C$3)),""), "")</f>
        <v>0</v>
      </c>
      <c r="G25" s="400">
        <f>IF(G$3&lt;=time,IF($B25&lt;&gt;"", G6*(1+Economics!$B$4)^(G$3-$C$3)/((1+Economics!$B$3)^(G$3-$C$3)),""), "")</f>
        <v>0</v>
      </c>
      <c r="H25" s="400" t="str">
        <f>IF(H$3&lt;=time,IF($B25&lt;&gt;"", H6*(1+Economics!$B$4)^(H$3-$C$3)/((1+Economics!$B$3)^(H$3-$C$3)),""), "")</f>
        <v/>
      </c>
      <c r="I25" s="400" t="str">
        <f>IF(I$3&lt;=time,IF($B25&lt;&gt;"", I6*(1+Economics!$B$4)^(I$3-$C$3)/((1+Economics!$B$3)^(I$3-$C$3)),""), "")</f>
        <v/>
      </c>
      <c r="J25" s="400" t="str">
        <f>IF(J$3&lt;=time,IF($B25&lt;&gt;"", J6*(1+Economics!$B$4)^(J$3-$C$3)/((1+Economics!$B$3)^(J$3-$C$3)),""), "")</f>
        <v/>
      </c>
      <c r="K25" s="400" t="str">
        <f>IF(K$3&lt;=time,IF($B25&lt;&gt;"", K6*(1+Economics!$B$4)^(K$3-$C$3)/((1+Economics!$B$3)^(K$3-$C$3)),""), "")</f>
        <v/>
      </c>
      <c r="L25" s="400" t="str">
        <f>IF(L$3&lt;=time,IF($B25&lt;&gt;"", L6*(1+Economics!$B$4)^(L$3-$C$3)/((1+Economics!$B$3)^(L$3-$C$3)),""), "")</f>
        <v/>
      </c>
      <c r="M25" s="400" t="str">
        <f>IF(M$3&lt;=time,IF($B25&lt;&gt;"", M6*(1+Economics!$B$4)^(M$3-$C$3)/((1+Economics!$B$3)^(M$3-$C$3)),""), "")</f>
        <v/>
      </c>
      <c r="N25" s="400" t="str">
        <f>IF(N$3&lt;=time,IF($B25&lt;&gt;"", N6*(1+Economics!$B$4)^(N$3-$C$3)/((1+Economics!$B$3)^(N$3-$C$3)),""), "")</f>
        <v/>
      </c>
      <c r="O25" s="400" t="str">
        <f>IF(O$3&lt;=time,IF($B25&lt;&gt;"", O6*(1+Economics!$B$4)^(O$3-$C$3)/((1+Economics!$B$3)^(O$3-$C$3)),""), "")</f>
        <v/>
      </c>
      <c r="P25" s="400" t="str">
        <f>IF(P$3&lt;=time,IF($B25&lt;&gt;"", P6*(1+Economics!$B$4)^(P$3-$C$3)/((1+Economics!$B$3)^(P$3-$C$3)),""), "")</f>
        <v/>
      </c>
      <c r="Q25" s="400" t="str">
        <f>IF(Q$3&lt;=time,IF($B25&lt;&gt;"", Q6*(1+Economics!$B$4)^(Q$3-$C$3)/((1+Economics!$B$3)^(Q$3-$C$3)),""), "")</f>
        <v/>
      </c>
      <c r="R25" s="400" t="str">
        <f>IF(R$3&lt;=time,IF($B25&lt;&gt;"", R6*(1+Economics!$B$4)^(R$3-$C$3)/((1+Economics!$B$3)^(R$3-$C$3)),""), "")</f>
        <v/>
      </c>
      <c r="S25" s="400" t="str">
        <f>IF(S$3&lt;=time,IF($B25&lt;&gt;"", S6*(1+Economics!$B$4)^(S$3-$C$3)/((1+Economics!$B$3)^(S$3-$C$3)),""), "")</f>
        <v/>
      </c>
      <c r="T25" s="400" t="str">
        <f>IF(T$3&lt;=time,IF($B25&lt;&gt;"", T6*(1+Economics!$B$4)^(T$3-$C$3)/((1+Economics!$B$3)^(T$3-$C$3)),""), "")</f>
        <v/>
      </c>
      <c r="U25" s="400" t="str">
        <f>IF(U$3&lt;=time,IF($B25&lt;&gt;"", U6*(1+Economics!$B$4)^(U$3-$C$3)/((1+Economics!$B$3)^(U$3-$C$3)),""), "")</f>
        <v/>
      </c>
      <c r="V25" s="400" t="str">
        <f>IF(V$3&lt;=time,IF($B25&lt;&gt;"", V6*(1+Economics!$B$4)^(V$3-$C$3)/((1+Economics!$B$3)^(V$3-$C$3)),""), "")</f>
        <v/>
      </c>
      <c r="W25" s="400" t="str">
        <f>IF(W$3&lt;=time,IF($B25&lt;&gt;"", W6*(1+Economics!$B$4)^(W$3-$C$3)/((1+Economics!$B$3)^(W$3-$C$3)),""), "")</f>
        <v/>
      </c>
      <c r="X25" s="400" t="str">
        <f>IF(X$3&lt;=time,IF($B25&lt;&gt;"", X6*(1+Economics!$B$4)^(X$3-$C$3)/((1+Economics!$B$3)^(X$3-$C$3)),""), "")</f>
        <v/>
      </c>
      <c r="Y25" s="400" t="str">
        <f>IF(Y$3&lt;=time,IF($B25&lt;&gt;"", Y6*(1+Economics!$B$4)^(Y$3-$C$3)/((1+Economics!$B$3)^(Y$3-$C$3)),""), "")</f>
        <v/>
      </c>
      <c r="Z25" s="400" t="str">
        <f>IF(Z$3&lt;=time,IF($B25&lt;&gt;"", Z6*(1+Economics!$B$4)^(Z$3-$C$3)/((1+Economics!$B$3)^(Z$3-$C$3)),""), "")</f>
        <v/>
      </c>
      <c r="AA25" s="400" t="str">
        <f>IF(AA$3&lt;=time,IF($B25&lt;&gt;"", AA6*(1+Economics!$B$4)^(AA$3-$C$3)/((1+Economics!$B$3)^(AA$3-$C$3)),""), "")</f>
        <v/>
      </c>
      <c r="AB25" s="401">
        <f t="shared" ref="AB25:AB36" si="3">IF($B25&lt;&gt;"",SUM(C25:AA25),"")</f>
        <v>0</v>
      </c>
      <c r="AC25" s="402">
        <f t="shared" si="2"/>
        <v>0</v>
      </c>
      <c r="AD25" s="196"/>
    </row>
    <row r="26" spans="1:61" hidden="1">
      <c r="A26" s="398">
        <f>IF((13-COUNTIF('Bearer list'!$E$4:$E$16,""))&gt;A25,A25+1,"")</f>
        <v>3</v>
      </c>
      <c r="B26" s="403" t="str">
        <f>IF(A7&lt;&gt;"",INDEX('Bearer list'!$D$4:$D$16,A7),"")</f>
        <v>HealthSystem</v>
      </c>
      <c r="C26" s="400">
        <f>IF(C$3&lt;=time,IF($B26&lt;&gt;"", C7*(1+Economics!$B$4)^(C$3-$C$3)/((1+Economics!$B$3)^(C$3-$C$3)),""), "")</f>
        <v>0</v>
      </c>
      <c r="D26" s="400">
        <f>IF(D$3&lt;=time,IF($B26&lt;&gt;"", D7*(1+Economics!$B$4)^(D$3-$C$3)/((1+Economics!$B$3)^(D$3-$C$3)),""), "")</f>
        <v>0</v>
      </c>
      <c r="E26" s="400">
        <f>IF(E$3&lt;=time,IF($B26&lt;&gt;"", E7*(1+Economics!$B$4)^(E$3-$C$3)/((1+Economics!$B$3)^(E$3-$C$3)),""), "")</f>
        <v>0</v>
      </c>
      <c r="F26" s="400">
        <f>IF(F$3&lt;=time,IF($B26&lt;&gt;"", F7*(1+Economics!$B$4)^(F$3-$C$3)/((1+Economics!$B$3)^(F$3-$C$3)),""), "")</f>
        <v>0</v>
      </c>
      <c r="G26" s="400">
        <f>IF(G$3&lt;=time,IF($B26&lt;&gt;"", G7*(1+Economics!$B$4)^(G$3-$C$3)/((1+Economics!$B$3)^(G$3-$C$3)),""), "")</f>
        <v>0</v>
      </c>
      <c r="H26" s="400" t="str">
        <f>IF(H$3&lt;=time,IF($B26&lt;&gt;"", H7*(1+Economics!$B$4)^(H$3-$C$3)/((1+Economics!$B$3)^(H$3-$C$3)),""), "")</f>
        <v/>
      </c>
      <c r="I26" s="400" t="str">
        <f>IF(I$3&lt;=time,IF($B26&lt;&gt;"", I7*(1+Economics!$B$4)^(I$3-$C$3)/((1+Economics!$B$3)^(I$3-$C$3)),""), "")</f>
        <v/>
      </c>
      <c r="J26" s="400" t="str">
        <f>IF(J$3&lt;=time,IF($B26&lt;&gt;"", J7*(1+Economics!$B$4)^(J$3-$C$3)/((1+Economics!$B$3)^(J$3-$C$3)),""), "")</f>
        <v/>
      </c>
      <c r="K26" s="400" t="str">
        <f>IF(K$3&lt;=time,IF($B26&lt;&gt;"", K7*(1+Economics!$B$4)^(K$3-$C$3)/((1+Economics!$B$3)^(K$3-$C$3)),""), "")</f>
        <v/>
      </c>
      <c r="L26" s="400" t="str">
        <f>IF(L$3&lt;=time,IF($B26&lt;&gt;"", L7*(1+Economics!$B$4)^(L$3-$C$3)/((1+Economics!$B$3)^(L$3-$C$3)),""), "")</f>
        <v/>
      </c>
      <c r="M26" s="400" t="str">
        <f>IF(M$3&lt;=time,IF($B26&lt;&gt;"", M7*(1+Economics!$B$4)^(M$3-$C$3)/((1+Economics!$B$3)^(M$3-$C$3)),""), "")</f>
        <v/>
      </c>
      <c r="N26" s="400" t="str">
        <f>IF(N$3&lt;=time,IF($B26&lt;&gt;"", N7*(1+Economics!$B$4)^(N$3-$C$3)/((1+Economics!$B$3)^(N$3-$C$3)),""), "")</f>
        <v/>
      </c>
      <c r="O26" s="400" t="str">
        <f>IF(O$3&lt;=time,IF($B26&lt;&gt;"", O7*(1+Economics!$B$4)^(O$3-$C$3)/((1+Economics!$B$3)^(O$3-$C$3)),""), "")</f>
        <v/>
      </c>
      <c r="P26" s="400" t="str">
        <f>IF(P$3&lt;=time,IF($B26&lt;&gt;"", P7*(1+Economics!$B$4)^(P$3-$C$3)/((1+Economics!$B$3)^(P$3-$C$3)),""), "")</f>
        <v/>
      </c>
      <c r="Q26" s="400" t="str">
        <f>IF(Q$3&lt;=time,IF($B26&lt;&gt;"", Q7*(1+Economics!$B$4)^(Q$3-$C$3)/((1+Economics!$B$3)^(Q$3-$C$3)),""), "")</f>
        <v/>
      </c>
      <c r="R26" s="400" t="str">
        <f>IF(R$3&lt;=time,IF($B26&lt;&gt;"", R7*(1+Economics!$B$4)^(R$3-$C$3)/((1+Economics!$B$3)^(R$3-$C$3)),""), "")</f>
        <v/>
      </c>
      <c r="S26" s="400" t="str">
        <f>IF(S$3&lt;=time,IF($B26&lt;&gt;"", S7*(1+Economics!$B$4)^(S$3-$C$3)/((1+Economics!$B$3)^(S$3-$C$3)),""), "")</f>
        <v/>
      </c>
      <c r="T26" s="400" t="str">
        <f>IF(T$3&lt;=time,IF($B26&lt;&gt;"", T7*(1+Economics!$B$4)^(T$3-$C$3)/((1+Economics!$B$3)^(T$3-$C$3)),""), "")</f>
        <v/>
      </c>
      <c r="U26" s="400" t="str">
        <f>IF(U$3&lt;=time,IF($B26&lt;&gt;"", U7*(1+Economics!$B$4)^(U$3-$C$3)/((1+Economics!$B$3)^(U$3-$C$3)),""), "")</f>
        <v/>
      </c>
      <c r="V26" s="400" t="str">
        <f>IF(V$3&lt;=time,IF($B26&lt;&gt;"", V7*(1+Economics!$B$4)^(V$3-$C$3)/((1+Economics!$B$3)^(V$3-$C$3)),""), "")</f>
        <v/>
      </c>
      <c r="W26" s="400" t="str">
        <f>IF(W$3&lt;=time,IF($B26&lt;&gt;"", W7*(1+Economics!$B$4)^(W$3-$C$3)/((1+Economics!$B$3)^(W$3-$C$3)),""), "")</f>
        <v/>
      </c>
      <c r="X26" s="400" t="str">
        <f>IF(X$3&lt;=time,IF($B26&lt;&gt;"", X7*(1+Economics!$B$4)^(X$3-$C$3)/((1+Economics!$B$3)^(X$3-$C$3)),""), "")</f>
        <v/>
      </c>
      <c r="Y26" s="400" t="str">
        <f>IF(Y$3&lt;=time,IF($B26&lt;&gt;"", Y7*(1+Economics!$B$4)^(Y$3-$C$3)/((1+Economics!$B$3)^(Y$3-$C$3)),""), "")</f>
        <v/>
      </c>
      <c r="Z26" s="400" t="str">
        <f>IF(Z$3&lt;=time,IF($B26&lt;&gt;"", Z7*(1+Economics!$B$4)^(Z$3-$C$3)/((1+Economics!$B$3)^(Z$3-$C$3)),""), "")</f>
        <v/>
      </c>
      <c r="AA26" s="400" t="str">
        <f>IF(AA$3&lt;=time,IF($B26&lt;&gt;"", AA7*(1+Economics!$B$4)^(AA$3-$C$3)/((1+Economics!$B$3)^(AA$3-$C$3)),""), "")</f>
        <v/>
      </c>
      <c r="AB26" s="401">
        <f t="shared" si="3"/>
        <v>0</v>
      </c>
      <c r="AC26" s="402">
        <f t="shared" si="2"/>
        <v>0</v>
      </c>
      <c r="AD26" s="196"/>
    </row>
    <row r="27" spans="1:61" hidden="1">
      <c r="A27" s="398">
        <f>IF((13-COUNTIF('Bearer list'!$E$4:$E$16,""))&gt;A26,A26+1,"")</f>
        <v>4</v>
      </c>
      <c r="B27" s="403" t="str">
        <f>IF(A8&lt;&gt;"",INDEX('Bearer list'!$D$4:$D$16,A8),"")</f>
        <v>Victim</v>
      </c>
      <c r="C27" s="400">
        <f>IF(C$3&lt;=time,IF($B27&lt;&gt;"", C8*(1+Economics!$B$4)^(C$3-$C$3)/((1+Economics!$B$3)^(C$3-$C$3)),""), "")</f>
        <v>0</v>
      </c>
      <c r="D27" s="400">
        <f>IF(D$3&lt;=time,IF($B27&lt;&gt;"", D8*(1+Economics!$B$4)^(D$3-$C$3)/((1+Economics!$B$3)^(D$3-$C$3)),""), "")</f>
        <v>0</v>
      </c>
      <c r="E27" s="400">
        <f>IF(E$3&lt;=time,IF($B27&lt;&gt;"", E8*(1+Economics!$B$4)^(E$3-$C$3)/((1+Economics!$B$3)^(E$3-$C$3)),""), "")</f>
        <v>0</v>
      </c>
      <c r="F27" s="400">
        <f>IF(F$3&lt;=time,IF($B27&lt;&gt;"", F8*(1+Economics!$B$4)^(F$3-$C$3)/((1+Economics!$B$3)^(F$3-$C$3)),""), "")</f>
        <v>0</v>
      </c>
      <c r="G27" s="400">
        <f>IF(G$3&lt;=time,IF($B27&lt;&gt;"", G8*(1+Economics!$B$4)^(G$3-$C$3)/((1+Economics!$B$3)^(G$3-$C$3)),""), "")</f>
        <v>0</v>
      </c>
      <c r="H27" s="400" t="str">
        <f>IF(H$3&lt;=time,IF($B27&lt;&gt;"", H8*(1+Economics!$B$4)^(H$3-$C$3)/((1+Economics!$B$3)^(H$3-$C$3)),""), "")</f>
        <v/>
      </c>
      <c r="I27" s="400" t="str">
        <f>IF(I$3&lt;=time,IF($B27&lt;&gt;"", I8*(1+Economics!$B$4)^(I$3-$C$3)/((1+Economics!$B$3)^(I$3-$C$3)),""), "")</f>
        <v/>
      </c>
      <c r="J27" s="400" t="str">
        <f>IF(J$3&lt;=time,IF($B27&lt;&gt;"", J8*(1+Economics!$B$4)^(J$3-$C$3)/((1+Economics!$B$3)^(J$3-$C$3)),""), "")</f>
        <v/>
      </c>
      <c r="K27" s="400" t="str">
        <f>IF(K$3&lt;=time,IF($B27&lt;&gt;"", K8*(1+Economics!$B$4)^(K$3-$C$3)/((1+Economics!$B$3)^(K$3-$C$3)),""), "")</f>
        <v/>
      </c>
      <c r="L27" s="400" t="str">
        <f>IF(L$3&lt;=time,IF($B27&lt;&gt;"", L8*(1+Economics!$B$4)^(L$3-$C$3)/((1+Economics!$B$3)^(L$3-$C$3)),""), "")</f>
        <v/>
      </c>
      <c r="M27" s="400" t="str">
        <f>IF(M$3&lt;=time,IF($B27&lt;&gt;"", M8*(1+Economics!$B$4)^(M$3-$C$3)/((1+Economics!$B$3)^(M$3-$C$3)),""), "")</f>
        <v/>
      </c>
      <c r="N27" s="400" t="str">
        <f>IF(N$3&lt;=time,IF($B27&lt;&gt;"", N8*(1+Economics!$B$4)^(N$3-$C$3)/((1+Economics!$B$3)^(N$3-$C$3)),""), "")</f>
        <v/>
      </c>
      <c r="O27" s="400" t="str">
        <f>IF(O$3&lt;=time,IF($B27&lt;&gt;"", O8*(1+Economics!$B$4)^(O$3-$C$3)/((1+Economics!$B$3)^(O$3-$C$3)),""), "")</f>
        <v/>
      </c>
      <c r="P27" s="400" t="str">
        <f>IF(P$3&lt;=time,IF($B27&lt;&gt;"", P8*(1+Economics!$B$4)^(P$3-$C$3)/((1+Economics!$B$3)^(P$3-$C$3)),""), "")</f>
        <v/>
      </c>
      <c r="Q27" s="400" t="str">
        <f>IF(Q$3&lt;=time,IF($B27&lt;&gt;"", Q8*(1+Economics!$B$4)^(Q$3-$C$3)/((1+Economics!$B$3)^(Q$3-$C$3)),""), "")</f>
        <v/>
      </c>
      <c r="R27" s="400" t="str">
        <f>IF(R$3&lt;=time,IF($B27&lt;&gt;"", R8*(1+Economics!$B$4)^(R$3-$C$3)/((1+Economics!$B$3)^(R$3-$C$3)),""), "")</f>
        <v/>
      </c>
      <c r="S27" s="400" t="str">
        <f>IF(S$3&lt;=time,IF($B27&lt;&gt;"", S8*(1+Economics!$B$4)^(S$3-$C$3)/((1+Economics!$B$3)^(S$3-$C$3)),""), "")</f>
        <v/>
      </c>
      <c r="T27" s="400" t="str">
        <f>IF(T$3&lt;=time,IF($B27&lt;&gt;"", T8*(1+Economics!$B$4)^(T$3-$C$3)/((1+Economics!$B$3)^(T$3-$C$3)),""), "")</f>
        <v/>
      </c>
      <c r="U27" s="400" t="str">
        <f>IF(U$3&lt;=time,IF($B27&lt;&gt;"", U8*(1+Economics!$B$4)^(U$3-$C$3)/((1+Economics!$B$3)^(U$3-$C$3)),""), "")</f>
        <v/>
      </c>
      <c r="V27" s="400" t="str">
        <f>IF(V$3&lt;=time,IF($B27&lt;&gt;"", V8*(1+Economics!$B$4)^(V$3-$C$3)/((1+Economics!$B$3)^(V$3-$C$3)),""), "")</f>
        <v/>
      </c>
      <c r="W27" s="400" t="str">
        <f>IF(W$3&lt;=time,IF($B27&lt;&gt;"", W8*(1+Economics!$B$4)^(W$3-$C$3)/((1+Economics!$B$3)^(W$3-$C$3)),""), "")</f>
        <v/>
      </c>
      <c r="X27" s="400" t="str">
        <f>IF(X$3&lt;=time,IF($B27&lt;&gt;"", X8*(1+Economics!$B$4)^(X$3-$C$3)/((1+Economics!$B$3)^(X$3-$C$3)),""), "")</f>
        <v/>
      </c>
      <c r="Y27" s="400" t="str">
        <f>IF(Y$3&lt;=time,IF($B27&lt;&gt;"", Y8*(1+Economics!$B$4)^(Y$3-$C$3)/((1+Economics!$B$3)^(Y$3-$C$3)),""), "")</f>
        <v/>
      </c>
      <c r="Z27" s="400" t="str">
        <f>IF(Z$3&lt;=time,IF($B27&lt;&gt;"", Z8*(1+Economics!$B$4)^(Z$3-$C$3)/((1+Economics!$B$3)^(Z$3-$C$3)),""), "")</f>
        <v/>
      </c>
      <c r="AA27" s="400" t="str">
        <f>IF(AA$3&lt;=time,IF($B27&lt;&gt;"", AA8*(1+Economics!$B$4)^(AA$3-$C$3)/((1+Economics!$B$3)^(AA$3-$C$3)),""), "")</f>
        <v/>
      </c>
      <c r="AB27" s="401">
        <f t="shared" si="3"/>
        <v>0</v>
      </c>
      <c r="AC27" s="402">
        <f t="shared" si="2"/>
        <v>0</v>
      </c>
      <c r="AD27" s="196"/>
    </row>
    <row r="28" spans="1:61" hidden="1">
      <c r="A28" s="398" t="str">
        <f>IF((13-COUNTIF('Bearer list'!$E$4:$E$16,""))&gt;A27,A27+1,"")</f>
        <v/>
      </c>
      <c r="B28" s="403" t="str">
        <f>IF(A9&lt;&gt;"",INDEX('Bearer list'!$D$4:$D$16,A9),"")</f>
        <v/>
      </c>
      <c r="C28" s="400" t="str">
        <f>IF(C$3&lt;=time,IF($B28&lt;&gt;"", C9*(1+Economics!$B$4)^(C$3-$C$3)/((1+Economics!$B$3)^(C$3-$C$3)),""), "")</f>
        <v/>
      </c>
      <c r="D28" s="400" t="str">
        <f>IF(D$3&lt;=time,IF($B28&lt;&gt;"", D9*(1+Economics!$B$4)^(D$3-$C$3)/((1+Economics!$B$3)^(D$3-$C$3)),""), "")</f>
        <v/>
      </c>
      <c r="E28" s="400" t="str">
        <f>IF(E$3&lt;=time,IF($B28&lt;&gt;"", E9*(1+Economics!$B$4)^(E$3-$C$3)/((1+Economics!$B$3)^(E$3-$C$3)),""), "")</f>
        <v/>
      </c>
      <c r="F28" s="400" t="str">
        <f>IF(F$3&lt;=time,IF($B28&lt;&gt;"", F9*(1+Economics!$B$4)^(F$3-$C$3)/((1+Economics!$B$3)^(F$3-$C$3)),""), "")</f>
        <v/>
      </c>
      <c r="G28" s="400" t="str">
        <f>IF(G$3&lt;=time,IF($B28&lt;&gt;"", G9*(1+Economics!$B$4)^(G$3-$C$3)/((1+Economics!$B$3)^(G$3-$C$3)),""), "")</f>
        <v/>
      </c>
      <c r="H28" s="400" t="str">
        <f>IF(H$3&lt;=time,IF($B28&lt;&gt;"", H9*(1+Economics!$B$4)^(H$3-$C$3)/((1+Economics!$B$3)^(H$3-$C$3)),""), "")</f>
        <v/>
      </c>
      <c r="I28" s="400" t="str">
        <f>IF(I$3&lt;=time,IF($B28&lt;&gt;"", I9*(1+Economics!$B$4)^(I$3-$C$3)/((1+Economics!$B$3)^(I$3-$C$3)),""), "")</f>
        <v/>
      </c>
      <c r="J28" s="400" t="str">
        <f>IF(J$3&lt;=time,IF($B28&lt;&gt;"", J9*(1+Economics!$B$4)^(J$3-$C$3)/((1+Economics!$B$3)^(J$3-$C$3)),""), "")</f>
        <v/>
      </c>
      <c r="K28" s="400" t="str">
        <f>IF(K$3&lt;=time,IF($B28&lt;&gt;"", K9*(1+Economics!$B$4)^(K$3-$C$3)/((1+Economics!$B$3)^(K$3-$C$3)),""), "")</f>
        <v/>
      </c>
      <c r="L28" s="400" t="str">
        <f>IF(L$3&lt;=time,IF($B28&lt;&gt;"", L9*(1+Economics!$B$4)^(L$3-$C$3)/((1+Economics!$B$3)^(L$3-$C$3)),""), "")</f>
        <v/>
      </c>
      <c r="M28" s="400" t="str">
        <f>IF(M$3&lt;=time,IF($B28&lt;&gt;"", M9*(1+Economics!$B$4)^(M$3-$C$3)/((1+Economics!$B$3)^(M$3-$C$3)),""), "")</f>
        <v/>
      </c>
      <c r="N28" s="400" t="str">
        <f>IF(N$3&lt;=time,IF($B28&lt;&gt;"", N9*(1+Economics!$B$4)^(N$3-$C$3)/((1+Economics!$B$3)^(N$3-$C$3)),""), "")</f>
        <v/>
      </c>
      <c r="O28" s="400" t="str">
        <f>IF(O$3&lt;=time,IF($B28&lt;&gt;"", O9*(1+Economics!$B$4)^(O$3-$C$3)/((1+Economics!$B$3)^(O$3-$C$3)),""), "")</f>
        <v/>
      </c>
      <c r="P28" s="400" t="str">
        <f>IF(P$3&lt;=time,IF($B28&lt;&gt;"", P9*(1+Economics!$B$4)^(P$3-$C$3)/((1+Economics!$B$3)^(P$3-$C$3)),""), "")</f>
        <v/>
      </c>
      <c r="Q28" s="400" t="str">
        <f>IF(Q$3&lt;=time,IF($B28&lt;&gt;"", Q9*(1+Economics!$B$4)^(Q$3-$C$3)/((1+Economics!$B$3)^(Q$3-$C$3)),""), "")</f>
        <v/>
      </c>
      <c r="R28" s="400" t="str">
        <f>IF(R$3&lt;=time,IF($B28&lt;&gt;"", R9*(1+Economics!$B$4)^(R$3-$C$3)/((1+Economics!$B$3)^(R$3-$C$3)),""), "")</f>
        <v/>
      </c>
      <c r="S28" s="400" t="str">
        <f>IF(S$3&lt;=time,IF($B28&lt;&gt;"", S9*(1+Economics!$B$4)^(S$3-$C$3)/((1+Economics!$B$3)^(S$3-$C$3)),""), "")</f>
        <v/>
      </c>
      <c r="T28" s="400" t="str">
        <f>IF(T$3&lt;=time,IF($B28&lt;&gt;"", T9*(1+Economics!$B$4)^(T$3-$C$3)/((1+Economics!$B$3)^(T$3-$C$3)),""), "")</f>
        <v/>
      </c>
      <c r="U28" s="400" t="str">
        <f>IF(U$3&lt;=time,IF($B28&lt;&gt;"", U9*(1+Economics!$B$4)^(U$3-$C$3)/((1+Economics!$B$3)^(U$3-$C$3)),""), "")</f>
        <v/>
      </c>
      <c r="V28" s="400" t="str">
        <f>IF(V$3&lt;=time,IF($B28&lt;&gt;"", V9*(1+Economics!$B$4)^(V$3-$C$3)/((1+Economics!$B$3)^(V$3-$C$3)),""), "")</f>
        <v/>
      </c>
      <c r="W28" s="400" t="str">
        <f>IF(W$3&lt;=time,IF($B28&lt;&gt;"", W9*(1+Economics!$B$4)^(W$3-$C$3)/((1+Economics!$B$3)^(W$3-$C$3)),""), "")</f>
        <v/>
      </c>
      <c r="X28" s="400" t="str">
        <f>IF(X$3&lt;=time,IF($B28&lt;&gt;"", X9*(1+Economics!$B$4)^(X$3-$C$3)/((1+Economics!$B$3)^(X$3-$C$3)),""), "")</f>
        <v/>
      </c>
      <c r="Y28" s="400" t="str">
        <f>IF(Y$3&lt;=time,IF($B28&lt;&gt;"", Y9*(1+Economics!$B$4)^(Y$3-$C$3)/((1+Economics!$B$3)^(Y$3-$C$3)),""), "")</f>
        <v/>
      </c>
      <c r="Z28" s="400" t="str">
        <f>IF(Z$3&lt;=time,IF($B28&lt;&gt;"", Z9*(1+Economics!$B$4)^(Z$3-$C$3)/((1+Economics!$B$3)^(Z$3-$C$3)),""), "")</f>
        <v/>
      </c>
      <c r="AA28" s="400" t="str">
        <f>IF(AA$3&lt;=time,IF($B28&lt;&gt;"", AA9*(1+Economics!$B$4)^(AA$3-$C$3)/((1+Economics!$B$3)^(AA$3-$C$3)),""), "")</f>
        <v/>
      </c>
      <c r="AB28" s="401" t="str">
        <f t="shared" si="3"/>
        <v/>
      </c>
      <c r="AC28" s="402" t="str">
        <f t="shared" si="2"/>
        <v/>
      </c>
      <c r="AD28" s="196"/>
    </row>
    <row r="29" spans="1:61" hidden="1">
      <c r="A29" s="398" t="str">
        <f>IF((13-COUNTIF('Bearer list'!$E$4:$E$16,""))&gt;A28,A28+1,"")</f>
        <v/>
      </c>
      <c r="B29" s="403" t="str">
        <f>IF(A10&lt;&gt;"",INDEX('Bearer list'!$D$4:$D$16,A10),"")</f>
        <v/>
      </c>
      <c r="C29" s="400" t="str">
        <f>IF(C$3&lt;=time,IF($B29&lt;&gt;"", C10*(1+Economics!$B$4)^(C$3-$C$3)/((1+Economics!$B$3)^(C$3-$C$3)),""), "")</f>
        <v/>
      </c>
      <c r="D29" s="400" t="str">
        <f>IF(D$3&lt;=time,IF($B29&lt;&gt;"", D10*(1+Economics!$B$4)^(D$3-$C$3)/((1+Economics!$B$3)^(D$3-$C$3)),""), "")</f>
        <v/>
      </c>
      <c r="E29" s="400" t="str">
        <f>IF(E$3&lt;=time,IF($B29&lt;&gt;"", E10*(1+Economics!$B$4)^(E$3-$C$3)/((1+Economics!$B$3)^(E$3-$C$3)),""), "")</f>
        <v/>
      </c>
      <c r="F29" s="400" t="str">
        <f>IF(F$3&lt;=time,IF($B29&lt;&gt;"", F10*(1+Economics!$B$4)^(F$3-$C$3)/((1+Economics!$B$3)^(F$3-$C$3)),""), "")</f>
        <v/>
      </c>
      <c r="G29" s="400" t="str">
        <f>IF(G$3&lt;=time,IF($B29&lt;&gt;"", G10*(1+Economics!$B$4)^(G$3-$C$3)/((1+Economics!$B$3)^(G$3-$C$3)),""), "")</f>
        <v/>
      </c>
      <c r="H29" s="400" t="str">
        <f>IF(H$3&lt;=time,IF($B29&lt;&gt;"", H10*(1+Economics!$B$4)^(H$3-$C$3)/((1+Economics!$B$3)^(H$3-$C$3)),""), "")</f>
        <v/>
      </c>
      <c r="I29" s="400" t="str">
        <f>IF(I$3&lt;=time,IF($B29&lt;&gt;"", I10*(1+Economics!$B$4)^(I$3-$C$3)/((1+Economics!$B$3)^(I$3-$C$3)),""), "")</f>
        <v/>
      </c>
      <c r="J29" s="400" t="str">
        <f>IF(J$3&lt;=time,IF($B29&lt;&gt;"", J10*(1+Economics!$B$4)^(J$3-$C$3)/((1+Economics!$B$3)^(J$3-$C$3)),""), "")</f>
        <v/>
      </c>
      <c r="K29" s="400" t="str">
        <f>IF(K$3&lt;=time,IF($B29&lt;&gt;"", K10*(1+Economics!$B$4)^(K$3-$C$3)/((1+Economics!$B$3)^(K$3-$C$3)),""), "")</f>
        <v/>
      </c>
      <c r="L29" s="400" t="str">
        <f>IF(L$3&lt;=time,IF($B29&lt;&gt;"", L10*(1+Economics!$B$4)^(L$3-$C$3)/((1+Economics!$B$3)^(L$3-$C$3)),""), "")</f>
        <v/>
      </c>
      <c r="M29" s="400" t="str">
        <f>IF(M$3&lt;=time,IF($B29&lt;&gt;"", M10*(1+Economics!$B$4)^(M$3-$C$3)/((1+Economics!$B$3)^(M$3-$C$3)),""), "")</f>
        <v/>
      </c>
      <c r="N29" s="400" t="str">
        <f>IF(N$3&lt;=time,IF($B29&lt;&gt;"", N10*(1+Economics!$B$4)^(N$3-$C$3)/((1+Economics!$B$3)^(N$3-$C$3)),""), "")</f>
        <v/>
      </c>
      <c r="O29" s="400" t="str">
        <f>IF(O$3&lt;=time,IF($B29&lt;&gt;"", O10*(1+Economics!$B$4)^(O$3-$C$3)/((1+Economics!$B$3)^(O$3-$C$3)),""), "")</f>
        <v/>
      </c>
      <c r="P29" s="400" t="str">
        <f>IF(P$3&lt;=time,IF($B29&lt;&gt;"", P10*(1+Economics!$B$4)^(P$3-$C$3)/((1+Economics!$B$3)^(P$3-$C$3)),""), "")</f>
        <v/>
      </c>
      <c r="Q29" s="400" t="str">
        <f>IF(Q$3&lt;=time,IF($B29&lt;&gt;"", Q10*(1+Economics!$B$4)^(Q$3-$C$3)/((1+Economics!$B$3)^(Q$3-$C$3)),""), "")</f>
        <v/>
      </c>
      <c r="R29" s="400" t="str">
        <f>IF(R$3&lt;=time,IF($B29&lt;&gt;"", R10*(1+Economics!$B$4)^(R$3-$C$3)/((1+Economics!$B$3)^(R$3-$C$3)),""), "")</f>
        <v/>
      </c>
      <c r="S29" s="400" t="str">
        <f>IF(S$3&lt;=time,IF($B29&lt;&gt;"", S10*(1+Economics!$B$4)^(S$3-$C$3)/((1+Economics!$B$3)^(S$3-$C$3)),""), "")</f>
        <v/>
      </c>
      <c r="T29" s="400" t="str">
        <f>IF(T$3&lt;=time,IF($B29&lt;&gt;"", T10*(1+Economics!$B$4)^(T$3-$C$3)/((1+Economics!$B$3)^(T$3-$C$3)),""), "")</f>
        <v/>
      </c>
      <c r="U29" s="400" t="str">
        <f>IF(U$3&lt;=time,IF($B29&lt;&gt;"", U10*(1+Economics!$B$4)^(U$3-$C$3)/((1+Economics!$B$3)^(U$3-$C$3)),""), "")</f>
        <v/>
      </c>
      <c r="V29" s="400" t="str">
        <f>IF(V$3&lt;=time,IF($B29&lt;&gt;"", V10*(1+Economics!$B$4)^(V$3-$C$3)/((1+Economics!$B$3)^(V$3-$C$3)),""), "")</f>
        <v/>
      </c>
      <c r="W29" s="400" t="str">
        <f>IF(W$3&lt;=time,IF($B29&lt;&gt;"", W10*(1+Economics!$B$4)^(W$3-$C$3)/((1+Economics!$B$3)^(W$3-$C$3)),""), "")</f>
        <v/>
      </c>
      <c r="X29" s="400" t="str">
        <f>IF(X$3&lt;=time,IF($B29&lt;&gt;"", X10*(1+Economics!$B$4)^(X$3-$C$3)/((1+Economics!$B$3)^(X$3-$C$3)),""), "")</f>
        <v/>
      </c>
      <c r="Y29" s="400" t="str">
        <f>IF(Y$3&lt;=time,IF($B29&lt;&gt;"", Y10*(1+Economics!$B$4)^(Y$3-$C$3)/((1+Economics!$B$3)^(Y$3-$C$3)),""), "")</f>
        <v/>
      </c>
      <c r="Z29" s="400" t="str">
        <f>IF(Z$3&lt;=time,IF($B29&lt;&gt;"", Z10*(1+Economics!$B$4)^(Z$3-$C$3)/((1+Economics!$B$3)^(Z$3-$C$3)),""), "")</f>
        <v/>
      </c>
      <c r="AA29" s="400" t="str">
        <f>IF(AA$3&lt;=time,IF($B29&lt;&gt;"", AA10*(1+Economics!$B$4)^(AA$3-$C$3)/((1+Economics!$B$3)^(AA$3-$C$3)),""), "")</f>
        <v/>
      </c>
      <c r="AB29" s="401" t="str">
        <f t="shared" si="3"/>
        <v/>
      </c>
      <c r="AC29" s="402" t="str">
        <f t="shared" si="2"/>
        <v/>
      </c>
      <c r="AD29" s="196"/>
    </row>
    <row r="30" spans="1:61" hidden="1">
      <c r="A30" s="398" t="str">
        <f>IF((13-COUNTIF('Bearer list'!$E$4:$E$16,""))&gt;A29,A29+1,"")</f>
        <v/>
      </c>
      <c r="B30" s="403" t="str">
        <f>IF(A11&lt;&gt;"",INDEX('Bearer list'!$D$4:$D$16,A11),"")</f>
        <v/>
      </c>
      <c r="C30" s="400" t="str">
        <f>IF(C$3&lt;=time,IF($B30&lt;&gt;"", C11*(1+Economics!$B$4)^(C$3-$C$3)/((1+Economics!$B$3)^(C$3-$C$3)),""), "")</f>
        <v/>
      </c>
      <c r="D30" s="400" t="str">
        <f>IF(D$3&lt;=time,IF($B30&lt;&gt;"", D11*(1+Economics!$B$4)^(D$3-$C$3)/((1+Economics!$B$3)^(D$3-$C$3)),""), "")</f>
        <v/>
      </c>
      <c r="E30" s="400" t="str">
        <f>IF(E$3&lt;=time,IF($B30&lt;&gt;"", E11*(1+Economics!$B$4)^(E$3-$C$3)/((1+Economics!$B$3)^(E$3-$C$3)),""), "")</f>
        <v/>
      </c>
      <c r="F30" s="400" t="str">
        <f>IF(F$3&lt;=time,IF($B30&lt;&gt;"", F11*(1+Economics!$B$4)^(F$3-$C$3)/((1+Economics!$B$3)^(F$3-$C$3)),""), "")</f>
        <v/>
      </c>
      <c r="G30" s="400" t="str">
        <f>IF(G$3&lt;=time,IF($B30&lt;&gt;"", G11*(1+Economics!$B$4)^(G$3-$C$3)/((1+Economics!$B$3)^(G$3-$C$3)),""), "")</f>
        <v/>
      </c>
      <c r="H30" s="400" t="str">
        <f>IF(H$3&lt;=time,IF($B30&lt;&gt;"", H11*(1+Economics!$B$4)^(H$3-$C$3)/((1+Economics!$B$3)^(H$3-$C$3)),""), "")</f>
        <v/>
      </c>
      <c r="I30" s="400" t="str">
        <f>IF(I$3&lt;=time,IF($B30&lt;&gt;"", I11*(1+Economics!$B$4)^(I$3-$C$3)/((1+Economics!$B$3)^(I$3-$C$3)),""), "")</f>
        <v/>
      </c>
      <c r="J30" s="400" t="str">
        <f>IF(J$3&lt;=time,IF($B30&lt;&gt;"", J11*(1+Economics!$B$4)^(J$3-$C$3)/((1+Economics!$B$3)^(J$3-$C$3)),""), "")</f>
        <v/>
      </c>
      <c r="K30" s="400" t="str">
        <f>IF(K$3&lt;=time,IF($B30&lt;&gt;"", K11*(1+Economics!$B$4)^(K$3-$C$3)/((1+Economics!$B$3)^(K$3-$C$3)),""), "")</f>
        <v/>
      </c>
      <c r="L30" s="400" t="str">
        <f>IF(L$3&lt;=time,IF($B30&lt;&gt;"", L11*(1+Economics!$B$4)^(L$3-$C$3)/((1+Economics!$B$3)^(L$3-$C$3)),""), "")</f>
        <v/>
      </c>
      <c r="M30" s="400" t="str">
        <f>IF(M$3&lt;=time,IF($B30&lt;&gt;"", M11*(1+Economics!$B$4)^(M$3-$C$3)/((1+Economics!$B$3)^(M$3-$C$3)),""), "")</f>
        <v/>
      </c>
      <c r="N30" s="400" t="str">
        <f>IF(N$3&lt;=time,IF($B30&lt;&gt;"", N11*(1+Economics!$B$4)^(N$3-$C$3)/((1+Economics!$B$3)^(N$3-$C$3)),""), "")</f>
        <v/>
      </c>
      <c r="O30" s="400" t="str">
        <f>IF(O$3&lt;=time,IF($B30&lt;&gt;"", O11*(1+Economics!$B$4)^(O$3-$C$3)/((1+Economics!$B$3)^(O$3-$C$3)),""), "")</f>
        <v/>
      </c>
      <c r="P30" s="400" t="str">
        <f>IF(P$3&lt;=time,IF($B30&lt;&gt;"", P11*(1+Economics!$B$4)^(P$3-$C$3)/((1+Economics!$B$3)^(P$3-$C$3)),""), "")</f>
        <v/>
      </c>
      <c r="Q30" s="400" t="str">
        <f>IF(Q$3&lt;=time,IF($B30&lt;&gt;"", Q11*(1+Economics!$B$4)^(Q$3-$C$3)/((1+Economics!$B$3)^(Q$3-$C$3)),""), "")</f>
        <v/>
      </c>
      <c r="R30" s="400" t="str">
        <f>IF(R$3&lt;=time,IF($B30&lt;&gt;"", R11*(1+Economics!$B$4)^(R$3-$C$3)/((1+Economics!$B$3)^(R$3-$C$3)),""), "")</f>
        <v/>
      </c>
      <c r="S30" s="400" t="str">
        <f>IF(S$3&lt;=time,IF($B30&lt;&gt;"", S11*(1+Economics!$B$4)^(S$3-$C$3)/((1+Economics!$B$3)^(S$3-$C$3)),""), "")</f>
        <v/>
      </c>
      <c r="T30" s="400" t="str">
        <f>IF(T$3&lt;=time,IF($B30&lt;&gt;"", T11*(1+Economics!$B$4)^(T$3-$C$3)/((1+Economics!$B$3)^(T$3-$C$3)),""), "")</f>
        <v/>
      </c>
      <c r="U30" s="400" t="str">
        <f>IF(U$3&lt;=time,IF($B30&lt;&gt;"", U11*(1+Economics!$B$4)^(U$3-$C$3)/((1+Economics!$B$3)^(U$3-$C$3)),""), "")</f>
        <v/>
      </c>
      <c r="V30" s="400" t="str">
        <f>IF(V$3&lt;=time,IF($B30&lt;&gt;"", V11*(1+Economics!$B$4)^(V$3-$C$3)/((1+Economics!$B$3)^(V$3-$C$3)),""), "")</f>
        <v/>
      </c>
      <c r="W30" s="400" t="str">
        <f>IF(W$3&lt;=time,IF($B30&lt;&gt;"", W11*(1+Economics!$B$4)^(W$3-$C$3)/((1+Economics!$B$3)^(W$3-$C$3)),""), "")</f>
        <v/>
      </c>
      <c r="X30" s="400" t="str">
        <f>IF(X$3&lt;=time,IF($B30&lt;&gt;"", X11*(1+Economics!$B$4)^(X$3-$C$3)/((1+Economics!$B$3)^(X$3-$C$3)),""), "")</f>
        <v/>
      </c>
      <c r="Y30" s="400" t="str">
        <f>IF(Y$3&lt;=time,IF($B30&lt;&gt;"", Y11*(1+Economics!$B$4)^(Y$3-$C$3)/((1+Economics!$B$3)^(Y$3-$C$3)),""), "")</f>
        <v/>
      </c>
      <c r="Z30" s="400" t="str">
        <f>IF(Z$3&lt;=time,IF($B30&lt;&gt;"", Z11*(1+Economics!$B$4)^(Z$3-$C$3)/((1+Economics!$B$3)^(Z$3-$C$3)),""), "")</f>
        <v/>
      </c>
      <c r="AA30" s="400" t="str">
        <f>IF(AA$3&lt;=time,IF($B30&lt;&gt;"", AA11*(1+Economics!$B$4)^(AA$3-$C$3)/((1+Economics!$B$3)^(AA$3-$C$3)),""), "")</f>
        <v/>
      </c>
      <c r="AB30" s="401" t="str">
        <f t="shared" si="3"/>
        <v/>
      </c>
      <c r="AC30" s="402" t="str">
        <f t="shared" si="2"/>
        <v/>
      </c>
      <c r="AD30" s="196"/>
    </row>
    <row r="31" spans="1:61" hidden="1">
      <c r="A31" s="398" t="str">
        <f>IF((13-COUNTIF('Bearer list'!$E$4:$E$16,""))&gt;A30,A30+1,"")</f>
        <v/>
      </c>
      <c r="B31" s="403" t="str">
        <f>IF(A12&lt;&gt;"",INDEX('Bearer list'!$D$4:$D$16,A12),"")</f>
        <v/>
      </c>
      <c r="C31" s="400" t="str">
        <f>IF(C$3&lt;=time,IF($B31&lt;&gt;"", C12*(1+Economics!$B$4)^(C$3-$C$3)/((1+Economics!$B$3)^(C$3-$C$3)),""), "")</f>
        <v/>
      </c>
      <c r="D31" s="400" t="str">
        <f>IF(D$3&lt;=time,IF($B31&lt;&gt;"", D12*(1+Economics!$B$4)^(D$3-$C$3)/((1+Economics!$B$3)^(D$3-$C$3)),""), "")</f>
        <v/>
      </c>
      <c r="E31" s="400" t="str">
        <f>IF(E$3&lt;=time,IF($B31&lt;&gt;"", E12*(1+Economics!$B$4)^(E$3-$C$3)/((1+Economics!$B$3)^(E$3-$C$3)),""), "")</f>
        <v/>
      </c>
      <c r="F31" s="400" t="str">
        <f>IF(F$3&lt;=time,IF($B31&lt;&gt;"", F12*(1+Economics!$B$4)^(F$3-$C$3)/((1+Economics!$B$3)^(F$3-$C$3)),""), "")</f>
        <v/>
      </c>
      <c r="G31" s="400" t="str">
        <f>IF(G$3&lt;=time,IF($B31&lt;&gt;"", G12*(1+Economics!$B$4)^(G$3-$C$3)/((1+Economics!$B$3)^(G$3-$C$3)),""), "")</f>
        <v/>
      </c>
      <c r="H31" s="400" t="str">
        <f>IF(H$3&lt;=time,IF($B31&lt;&gt;"", H12*(1+Economics!$B$4)^(H$3-$C$3)/((1+Economics!$B$3)^(H$3-$C$3)),""), "")</f>
        <v/>
      </c>
      <c r="I31" s="400" t="str">
        <f>IF(I$3&lt;=time,IF($B31&lt;&gt;"", I12*(1+Economics!$B$4)^(I$3-$C$3)/((1+Economics!$B$3)^(I$3-$C$3)),""), "")</f>
        <v/>
      </c>
      <c r="J31" s="400" t="str">
        <f>IF(J$3&lt;=time,IF($B31&lt;&gt;"", J12*(1+Economics!$B$4)^(J$3-$C$3)/((1+Economics!$B$3)^(J$3-$C$3)),""), "")</f>
        <v/>
      </c>
      <c r="K31" s="400" t="str">
        <f>IF(K$3&lt;=time,IF($B31&lt;&gt;"", K12*(1+Economics!$B$4)^(K$3-$C$3)/((1+Economics!$B$3)^(K$3-$C$3)),""), "")</f>
        <v/>
      </c>
      <c r="L31" s="400" t="str">
        <f>IF(L$3&lt;=time,IF($B31&lt;&gt;"", L12*(1+Economics!$B$4)^(L$3-$C$3)/((1+Economics!$B$3)^(L$3-$C$3)),""), "")</f>
        <v/>
      </c>
      <c r="M31" s="400" t="str">
        <f>IF(M$3&lt;=time,IF($B31&lt;&gt;"", M12*(1+Economics!$B$4)^(M$3-$C$3)/((1+Economics!$B$3)^(M$3-$C$3)),""), "")</f>
        <v/>
      </c>
      <c r="N31" s="400" t="str">
        <f>IF(N$3&lt;=time,IF($B31&lt;&gt;"", N12*(1+Economics!$B$4)^(N$3-$C$3)/((1+Economics!$B$3)^(N$3-$C$3)),""), "")</f>
        <v/>
      </c>
      <c r="O31" s="400" t="str">
        <f>IF(O$3&lt;=time,IF($B31&lt;&gt;"", O12*(1+Economics!$B$4)^(O$3-$C$3)/((1+Economics!$B$3)^(O$3-$C$3)),""), "")</f>
        <v/>
      </c>
      <c r="P31" s="400" t="str">
        <f>IF(P$3&lt;=time,IF($B31&lt;&gt;"", P12*(1+Economics!$B$4)^(P$3-$C$3)/((1+Economics!$B$3)^(P$3-$C$3)),""), "")</f>
        <v/>
      </c>
      <c r="Q31" s="400" t="str">
        <f>IF(Q$3&lt;=time,IF($B31&lt;&gt;"", Q12*(1+Economics!$B$4)^(Q$3-$C$3)/((1+Economics!$B$3)^(Q$3-$C$3)),""), "")</f>
        <v/>
      </c>
      <c r="R31" s="400" t="str">
        <f>IF(R$3&lt;=time,IF($B31&lt;&gt;"", R12*(1+Economics!$B$4)^(R$3-$C$3)/((1+Economics!$B$3)^(R$3-$C$3)),""), "")</f>
        <v/>
      </c>
      <c r="S31" s="400" t="str">
        <f>IF(S$3&lt;=time,IF($B31&lt;&gt;"", S12*(1+Economics!$B$4)^(S$3-$C$3)/((1+Economics!$B$3)^(S$3-$C$3)),""), "")</f>
        <v/>
      </c>
      <c r="T31" s="400" t="str">
        <f>IF(T$3&lt;=time,IF($B31&lt;&gt;"", T12*(1+Economics!$B$4)^(T$3-$C$3)/((1+Economics!$B$3)^(T$3-$C$3)),""), "")</f>
        <v/>
      </c>
      <c r="U31" s="400" t="str">
        <f>IF(U$3&lt;=time,IF($B31&lt;&gt;"", U12*(1+Economics!$B$4)^(U$3-$C$3)/((1+Economics!$B$3)^(U$3-$C$3)),""), "")</f>
        <v/>
      </c>
      <c r="V31" s="400" t="str">
        <f>IF(V$3&lt;=time,IF($B31&lt;&gt;"", V12*(1+Economics!$B$4)^(V$3-$C$3)/((1+Economics!$B$3)^(V$3-$C$3)),""), "")</f>
        <v/>
      </c>
      <c r="W31" s="400" t="str">
        <f>IF(W$3&lt;=time,IF($B31&lt;&gt;"", W12*(1+Economics!$B$4)^(W$3-$C$3)/((1+Economics!$B$3)^(W$3-$C$3)),""), "")</f>
        <v/>
      </c>
      <c r="X31" s="400" t="str">
        <f>IF(X$3&lt;=time,IF($B31&lt;&gt;"", X12*(1+Economics!$B$4)^(X$3-$C$3)/((1+Economics!$B$3)^(X$3-$C$3)),""), "")</f>
        <v/>
      </c>
      <c r="Y31" s="400" t="str">
        <f>IF(Y$3&lt;=time,IF($B31&lt;&gt;"", Y12*(1+Economics!$B$4)^(Y$3-$C$3)/((1+Economics!$B$3)^(Y$3-$C$3)),""), "")</f>
        <v/>
      </c>
      <c r="Z31" s="400" t="str">
        <f>IF(Z$3&lt;=time,IF($B31&lt;&gt;"", Z12*(1+Economics!$B$4)^(Z$3-$C$3)/((1+Economics!$B$3)^(Z$3-$C$3)),""), "")</f>
        <v/>
      </c>
      <c r="AA31" s="400" t="str">
        <f>IF(AA$3&lt;=time,IF($B31&lt;&gt;"", AA12*(1+Economics!$B$4)^(AA$3-$C$3)/((1+Economics!$B$3)^(AA$3-$C$3)),""), "")</f>
        <v/>
      </c>
      <c r="AB31" s="401" t="str">
        <f t="shared" si="3"/>
        <v/>
      </c>
      <c r="AC31" s="402" t="str">
        <f t="shared" si="2"/>
        <v/>
      </c>
      <c r="AD31" s="196"/>
    </row>
    <row r="32" spans="1:61" hidden="1">
      <c r="A32" s="398" t="str">
        <f>IF((13-COUNTIF('Bearer list'!$E$4:$E$16,""))&gt;A31,A31+1,"")</f>
        <v/>
      </c>
      <c r="B32" s="403" t="str">
        <f>IF(A13&lt;&gt;"",INDEX('Bearer list'!$D$4:$D$16,A13),"")</f>
        <v/>
      </c>
      <c r="C32" s="400" t="str">
        <f>IF(C$3&lt;=time,IF($B32&lt;&gt;"", C13*(1+Economics!$B$4)^(C$3-$C$3)/((1+Economics!$B$3)^(C$3-$C$3)),""), "")</f>
        <v/>
      </c>
      <c r="D32" s="400" t="str">
        <f>IF(D$3&lt;=time,IF($B32&lt;&gt;"", D13*(1+Economics!$B$4)^(D$3-$C$3)/((1+Economics!$B$3)^(D$3-$C$3)),""), "")</f>
        <v/>
      </c>
      <c r="E32" s="400" t="str">
        <f>IF(E$3&lt;=time,IF($B32&lt;&gt;"", E13*(1+Economics!$B$4)^(E$3-$C$3)/((1+Economics!$B$3)^(E$3-$C$3)),""), "")</f>
        <v/>
      </c>
      <c r="F32" s="400" t="str">
        <f>IF(F$3&lt;=time,IF($B32&lt;&gt;"", F13*(1+Economics!$B$4)^(F$3-$C$3)/((1+Economics!$B$3)^(F$3-$C$3)),""), "")</f>
        <v/>
      </c>
      <c r="G32" s="400" t="str">
        <f>IF(G$3&lt;=time,IF($B32&lt;&gt;"", G13*(1+Economics!$B$4)^(G$3-$C$3)/((1+Economics!$B$3)^(G$3-$C$3)),""), "")</f>
        <v/>
      </c>
      <c r="H32" s="400" t="str">
        <f>IF(H$3&lt;=time,IF($B32&lt;&gt;"", H13*(1+Economics!$B$4)^(H$3-$C$3)/((1+Economics!$B$3)^(H$3-$C$3)),""), "")</f>
        <v/>
      </c>
      <c r="I32" s="400" t="str">
        <f>IF(I$3&lt;=time,IF($B32&lt;&gt;"", I13*(1+Economics!$B$4)^(I$3-$C$3)/((1+Economics!$B$3)^(I$3-$C$3)),""), "")</f>
        <v/>
      </c>
      <c r="J32" s="400" t="str">
        <f>IF(J$3&lt;=time,IF($B32&lt;&gt;"", J13*(1+Economics!$B$4)^(J$3-$C$3)/((1+Economics!$B$3)^(J$3-$C$3)),""), "")</f>
        <v/>
      </c>
      <c r="K32" s="400" t="str">
        <f>IF(K$3&lt;=time,IF($B32&lt;&gt;"", K13*(1+Economics!$B$4)^(K$3-$C$3)/((1+Economics!$B$3)^(K$3-$C$3)),""), "")</f>
        <v/>
      </c>
      <c r="L32" s="400" t="str">
        <f>IF(L$3&lt;=time,IF($B32&lt;&gt;"", L13*(1+Economics!$B$4)^(L$3-$C$3)/((1+Economics!$B$3)^(L$3-$C$3)),""), "")</f>
        <v/>
      </c>
      <c r="M32" s="400" t="str">
        <f>IF(M$3&lt;=time,IF($B32&lt;&gt;"", M13*(1+Economics!$B$4)^(M$3-$C$3)/((1+Economics!$B$3)^(M$3-$C$3)),""), "")</f>
        <v/>
      </c>
      <c r="N32" s="400" t="str">
        <f>IF(N$3&lt;=time,IF($B32&lt;&gt;"", N13*(1+Economics!$B$4)^(N$3-$C$3)/((1+Economics!$B$3)^(N$3-$C$3)),""), "")</f>
        <v/>
      </c>
      <c r="O32" s="400" t="str">
        <f>IF(O$3&lt;=time,IF($B32&lt;&gt;"", O13*(1+Economics!$B$4)^(O$3-$C$3)/((1+Economics!$B$3)^(O$3-$C$3)),""), "")</f>
        <v/>
      </c>
      <c r="P32" s="400" t="str">
        <f>IF(P$3&lt;=time,IF($B32&lt;&gt;"", P13*(1+Economics!$B$4)^(P$3-$C$3)/((1+Economics!$B$3)^(P$3-$C$3)),""), "")</f>
        <v/>
      </c>
      <c r="Q32" s="400" t="str">
        <f>IF(Q$3&lt;=time,IF($B32&lt;&gt;"", Q13*(1+Economics!$B$4)^(Q$3-$C$3)/((1+Economics!$B$3)^(Q$3-$C$3)),""), "")</f>
        <v/>
      </c>
      <c r="R32" s="400" t="str">
        <f>IF(R$3&lt;=time,IF($B32&lt;&gt;"", R13*(1+Economics!$B$4)^(R$3-$C$3)/((1+Economics!$B$3)^(R$3-$C$3)),""), "")</f>
        <v/>
      </c>
      <c r="S32" s="400" t="str">
        <f>IF(S$3&lt;=time,IF($B32&lt;&gt;"", S13*(1+Economics!$B$4)^(S$3-$C$3)/((1+Economics!$B$3)^(S$3-$C$3)),""), "")</f>
        <v/>
      </c>
      <c r="T32" s="400" t="str">
        <f>IF(T$3&lt;=time,IF($B32&lt;&gt;"", T13*(1+Economics!$B$4)^(T$3-$C$3)/((1+Economics!$B$3)^(T$3-$C$3)),""), "")</f>
        <v/>
      </c>
      <c r="U32" s="400" t="str">
        <f>IF(U$3&lt;=time,IF($B32&lt;&gt;"", U13*(1+Economics!$B$4)^(U$3-$C$3)/((1+Economics!$B$3)^(U$3-$C$3)),""), "")</f>
        <v/>
      </c>
      <c r="V32" s="400" t="str">
        <f>IF(V$3&lt;=time,IF($B32&lt;&gt;"", V13*(1+Economics!$B$4)^(V$3-$C$3)/((1+Economics!$B$3)^(V$3-$C$3)),""), "")</f>
        <v/>
      </c>
      <c r="W32" s="400" t="str">
        <f>IF(W$3&lt;=time,IF($B32&lt;&gt;"", W13*(1+Economics!$B$4)^(W$3-$C$3)/((1+Economics!$B$3)^(W$3-$C$3)),""), "")</f>
        <v/>
      </c>
      <c r="X32" s="400" t="str">
        <f>IF(X$3&lt;=time,IF($B32&lt;&gt;"", X13*(1+Economics!$B$4)^(X$3-$C$3)/((1+Economics!$B$3)^(X$3-$C$3)),""), "")</f>
        <v/>
      </c>
      <c r="Y32" s="400" t="str">
        <f>IF(Y$3&lt;=time,IF($B32&lt;&gt;"", Y13*(1+Economics!$B$4)^(Y$3-$C$3)/((1+Economics!$B$3)^(Y$3-$C$3)),""), "")</f>
        <v/>
      </c>
      <c r="Z32" s="400" t="str">
        <f>IF(Z$3&lt;=time,IF($B32&lt;&gt;"", Z13*(1+Economics!$B$4)^(Z$3-$C$3)/((1+Economics!$B$3)^(Z$3-$C$3)),""), "")</f>
        <v/>
      </c>
      <c r="AA32" s="400" t="str">
        <f>IF(AA$3&lt;=time,IF($B32&lt;&gt;"", AA13*(1+Economics!$B$4)^(AA$3-$C$3)/((1+Economics!$B$3)^(AA$3-$C$3)),""), "")</f>
        <v/>
      </c>
      <c r="AB32" s="401" t="str">
        <f t="shared" si="3"/>
        <v/>
      </c>
      <c r="AC32" s="402" t="str">
        <f t="shared" si="2"/>
        <v/>
      </c>
      <c r="AD32" s="196"/>
    </row>
    <row r="33" spans="1:30" hidden="1">
      <c r="A33" s="398" t="str">
        <f>IF((13-COUNTIF('Bearer list'!$E$4:$E$16,""))&gt;A32,A32+1,"")</f>
        <v/>
      </c>
      <c r="B33" s="403" t="str">
        <f>IF(A14&lt;&gt;"",INDEX('Bearer list'!$D$4:$D$16,A14),"")</f>
        <v/>
      </c>
      <c r="C33" s="400" t="str">
        <f>IF(C$3&lt;=time,IF($B33&lt;&gt;"", C14*(1+Economics!$B$4)^(C$3-$C$3)/((1+Economics!$B$3)^(C$3-$C$3)),""), "")</f>
        <v/>
      </c>
      <c r="D33" s="400" t="str">
        <f>IF(D$3&lt;=time,IF($B33&lt;&gt;"", D14*(1+Economics!$B$4)^(D$3-$C$3)/((1+Economics!$B$3)^(D$3-$C$3)),""), "")</f>
        <v/>
      </c>
      <c r="E33" s="400" t="str">
        <f>IF(E$3&lt;=time,IF($B33&lt;&gt;"", E14*(1+Economics!$B$4)^(E$3-$C$3)/((1+Economics!$B$3)^(E$3-$C$3)),""), "")</f>
        <v/>
      </c>
      <c r="F33" s="400" t="str">
        <f>IF(F$3&lt;=time,IF($B33&lt;&gt;"", F14*(1+Economics!$B$4)^(F$3-$C$3)/((1+Economics!$B$3)^(F$3-$C$3)),""), "")</f>
        <v/>
      </c>
      <c r="G33" s="400" t="str">
        <f>IF(G$3&lt;=time,IF($B33&lt;&gt;"", G14*(1+Economics!$B$4)^(G$3-$C$3)/((1+Economics!$B$3)^(G$3-$C$3)),""), "")</f>
        <v/>
      </c>
      <c r="H33" s="400" t="str">
        <f>IF(H$3&lt;=time,IF($B33&lt;&gt;"", H14*(1+Economics!$B$4)^(H$3-$C$3)/((1+Economics!$B$3)^(H$3-$C$3)),""), "")</f>
        <v/>
      </c>
      <c r="I33" s="400" t="str">
        <f>IF(I$3&lt;=time,IF($B33&lt;&gt;"", I14*(1+Economics!$B$4)^(I$3-$C$3)/((1+Economics!$B$3)^(I$3-$C$3)),""), "")</f>
        <v/>
      </c>
      <c r="J33" s="400" t="str">
        <f>IF(J$3&lt;=time,IF($B33&lt;&gt;"", J14*(1+Economics!$B$4)^(J$3-$C$3)/((1+Economics!$B$3)^(J$3-$C$3)),""), "")</f>
        <v/>
      </c>
      <c r="K33" s="400" t="str">
        <f>IF(K$3&lt;=time,IF($B33&lt;&gt;"", K14*(1+Economics!$B$4)^(K$3-$C$3)/((1+Economics!$B$3)^(K$3-$C$3)),""), "")</f>
        <v/>
      </c>
      <c r="L33" s="400" t="str">
        <f>IF(L$3&lt;=time,IF($B33&lt;&gt;"", L14*(1+Economics!$B$4)^(L$3-$C$3)/((1+Economics!$B$3)^(L$3-$C$3)),""), "")</f>
        <v/>
      </c>
      <c r="M33" s="400" t="str">
        <f>IF(M$3&lt;=time,IF($B33&lt;&gt;"", M14*(1+Economics!$B$4)^(M$3-$C$3)/((1+Economics!$B$3)^(M$3-$C$3)),""), "")</f>
        <v/>
      </c>
      <c r="N33" s="400" t="str">
        <f>IF(N$3&lt;=time,IF($B33&lt;&gt;"", N14*(1+Economics!$B$4)^(N$3-$C$3)/((1+Economics!$B$3)^(N$3-$C$3)),""), "")</f>
        <v/>
      </c>
      <c r="O33" s="400" t="str">
        <f>IF(O$3&lt;=time,IF($B33&lt;&gt;"", O14*(1+Economics!$B$4)^(O$3-$C$3)/((1+Economics!$B$3)^(O$3-$C$3)),""), "")</f>
        <v/>
      </c>
      <c r="P33" s="400" t="str">
        <f>IF(P$3&lt;=time,IF($B33&lt;&gt;"", P14*(1+Economics!$B$4)^(P$3-$C$3)/((1+Economics!$B$3)^(P$3-$C$3)),""), "")</f>
        <v/>
      </c>
      <c r="Q33" s="400" t="str">
        <f>IF(Q$3&lt;=time,IF($B33&lt;&gt;"", Q14*(1+Economics!$B$4)^(Q$3-$C$3)/((1+Economics!$B$3)^(Q$3-$C$3)),""), "")</f>
        <v/>
      </c>
      <c r="R33" s="400" t="str">
        <f>IF(R$3&lt;=time,IF($B33&lt;&gt;"", R14*(1+Economics!$B$4)^(R$3-$C$3)/((1+Economics!$B$3)^(R$3-$C$3)),""), "")</f>
        <v/>
      </c>
      <c r="S33" s="400" t="str">
        <f>IF(S$3&lt;=time,IF($B33&lt;&gt;"", S14*(1+Economics!$B$4)^(S$3-$C$3)/((1+Economics!$B$3)^(S$3-$C$3)),""), "")</f>
        <v/>
      </c>
      <c r="T33" s="400" t="str">
        <f>IF(T$3&lt;=time,IF($B33&lt;&gt;"", T14*(1+Economics!$B$4)^(T$3-$C$3)/((1+Economics!$B$3)^(T$3-$C$3)),""), "")</f>
        <v/>
      </c>
      <c r="U33" s="400" t="str">
        <f>IF(U$3&lt;=time,IF($B33&lt;&gt;"", U14*(1+Economics!$B$4)^(U$3-$C$3)/((1+Economics!$B$3)^(U$3-$C$3)),""), "")</f>
        <v/>
      </c>
      <c r="V33" s="400" t="str">
        <f>IF(V$3&lt;=time,IF($B33&lt;&gt;"", V14*(1+Economics!$B$4)^(V$3-$C$3)/((1+Economics!$B$3)^(V$3-$C$3)),""), "")</f>
        <v/>
      </c>
      <c r="W33" s="400" t="str">
        <f>IF(W$3&lt;=time,IF($B33&lt;&gt;"", W14*(1+Economics!$B$4)^(W$3-$C$3)/((1+Economics!$B$3)^(W$3-$C$3)),""), "")</f>
        <v/>
      </c>
      <c r="X33" s="400" t="str">
        <f>IF(X$3&lt;=time,IF($B33&lt;&gt;"", X14*(1+Economics!$B$4)^(X$3-$C$3)/((1+Economics!$B$3)^(X$3-$C$3)),""), "")</f>
        <v/>
      </c>
      <c r="Y33" s="400" t="str">
        <f>IF(Y$3&lt;=time,IF($B33&lt;&gt;"", Y14*(1+Economics!$B$4)^(Y$3-$C$3)/((1+Economics!$B$3)^(Y$3-$C$3)),""), "")</f>
        <v/>
      </c>
      <c r="Z33" s="400" t="str">
        <f>IF(Z$3&lt;=time,IF($B33&lt;&gt;"", Z14*(1+Economics!$B$4)^(Z$3-$C$3)/((1+Economics!$B$3)^(Z$3-$C$3)),""), "")</f>
        <v/>
      </c>
      <c r="AA33" s="400" t="str">
        <f>IF(AA$3&lt;=time,IF($B33&lt;&gt;"", AA14*(1+Economics!$B$4)^(AA$3-$C$3)/((1+Economics!$B$3)^(AA$3-$C$3)),""), "")</f>
        <v/>
      </c>
      <c r="AB33" s="401" t="str">
        <f t="shared" si="3"/>
        <v/>
      </c>
      <c r="AC33" s="402" t="str">
        <f t="shared" si="2"/>
        <v/>
      </c>
      <c r="AD33" s="196"/>
    </row>
    <row r="34" spans="1:30" hidden="1">
      <c r="A34" s="398" t="str">
        <f>IF((13-COUNTIF('Bearer list'!$E$4:$E$16,""))&gt;A33,A33+1,"")</f>
        <v/>
      </c>
      <c r="B34" s="403" t="str">
        <f>IF(A15&lt;&gt;"",INDEX('Bearer list'!$D$4:$D$16,A15),"")</f>
        <v/>
      </c>
      <c r="C34" s="400" t="str">
        <f>IF(C$3&lt;=time,IF($B34&lt;&gt;"", C15*(1+Economics!$B$4)^(C$3-$C$3)/((1+Economics!$B$3)^(C$3-$C$3)),""), "")</f>
        <v/>
      </c>
      <c r="D34" s="400" t="str">
        <f>IF(D$3&lt;=time,IF($B34&lt;&gt;"", D15*(1+Economics!$B$4)^(D$3-$C$3)/((1+Economics!$B$3)^(D$3-$C$3)),""), "")</f>
        <v/>
      </c>
      <c r="E34" s="400" t="str">
        <f>IF(E$3&lt;=time,IF($B34&lt;&gt;"", E15*(1+Economics!$B$4)^(E$3-$C$3)/((1+Economics!$B$3)^(E$3-$C$3)),""), "")</f>
        <v/>
      </c>
      <c r="F34" s="400" t="str">
        <f>IF(F$3&lt;=time,IF($B34&lt;&gt;"", F15*(1+Economics!$B$4)^(F$3-$C$3)/((1+Economics!$B$3)^(F$3-$C$3)),""), "")</f>
        <v/>
      </c>
      <c r="G34" s="400" t="str">
        <f>IF(G$3&lt;=time,IF($B34&lt;&gt;"", G15*(1+Economics!$B$4)^(G$3-$C$3)/((1+Economics!$B$3)^(G$3-$C$3)),""), "")</f>
        <v/>
      </c>
      <c r="H34" s="400" t="str">
        <f>IF(H$3&lt;=time,IF($B34&lt;&gt;"", H15*(1+Economics!$B$4)^(H$3-$C$3)/((1+Economics!$B$3)^(H$3-$C$3)),""), "")</f>
        <v/>
      </c>
      <c r="I34" s="400" t="str">
        <f>IF(I$3&lt;=time,IF($B34&lt;&gt;"", I15*(1+Economics!$B$4)^(I$3-$C$3)/((1+Economics!$B$3)^(I$3-$C$3)),""), "")</f>
        <v/>
      </c>
      <c r="J34" s="400" t="str">
        <f>IF(J$3&lt;=time,IF($B34&lt;&gt;"", J15*(1+Economics!$B$4)^(J$3-$C$3)/((1+Economics!$B$3)^(J$3-$C$3)),""), "")</f>
        <v/>
      </c>
      <c r="K34" s="400" t="str">
        <f>IF(K$3&lt;=time,IF($B34&lt;&gt;"", K15*(1+Economics!$B$4)^(K$3-$C$3)/((1+Economics!$B$3)^(K$3-$C$3)),""), "")</f>
        <v/>
      </c>
      <c r="L34" s="400" t="str">
        <f>IF(L$3&lt;=time,IF($B34&lt;&gt;"", L15*(1+Economics!$B$4)^(L$3-$C$3)/((1+Economics!$B$3)^(L$3-$C$3)),""), "")</f>
        <v/>
      </c>
      <c r="M34" s="400" t="str">
        <f>IF(M$3&lt;=time,IF($B34&lt;&gt;"", M15*(1+Economics!$B$4)^(M$3-$C$3)/((1+Economics!$B$3)^(M$3-$C$3)),""), "")</f>
        <v/>
      </c>
      <c r="N34" s="400" t="str">
        <f>IF(N$3&lt;=time,IF($B34&lt;&gt;"", N15*(1+Economics!$B$4)^(N$3-$C$3)/((1+Economics!$B$3)^(N$3-$C$3)),""), "")</f>
        <v/>
      </c>
      <c r="O34" s="400" t="str">
        <f>IF(O$3&lt;=time,IF($B34&lt;&gt;"", O15*(1+Economics!$B$4)^(O$3-$C$3)/((1+Economics!$B$3)^(O$3-$C$3)),""), "")</f>
        <v/>
      </c>
      <c r="P34" s="400" t="str">
        <f>IF(P$3&lt;=time,IF($B34&lt;&gt;"", P15*(1+Economics!$B$4)^(P$3-$C$3)/((1+Economics!$B$3)^(P$3-$C$3)),""), "")</f>
        <v/>
      </c>
      <c r="Q34" s="400" t="str">
        <f>IF(Q$3&lt;=time,IF($B34&lt;&gt;"", Q15*(1+Economics!$B$4)^(Q$3-$C$3)/((1+Economics!$B$3)^(Q$3-$C$3)),""), "")</f>
        <v/>
      </c>
      <c r="R34" s="400" t="str">
        <f>IF(R$3&lt;=time,IF($B34&lt;&gt;"", R15*(1+Economics!$B$4)^(R$3-$C$3)/((1+Economics!$B$3)^(R$3-$C$3)),""), "")</f>
        <v/>
      </c>
      <c r="S34" s="400" t="str">
        <f>IF(S$3&lt;=time,IF($B34&lt;&gt;"", S15*(1+Economics!$B$4)^(S$3-$C$3)/((1+Economics!$B$3)^(S$3-$C$3)),""), "")</f>
        <v/>
      </c>
      <c r="T34" s="400" t="str">
        <f>IF(T$3&lt;=time,IF($B34&lt;&gt;"", T15*(1+Economics!$B$4)^(T$3-$C$3)/((1+Economics!$B$3)^(T$3-$C$3)),""), "")</f>
        <v/>
      </c>
      <c r="U34" s="400" t="str">
        <f>IF(U$3&lt;=time,IF($B34&lt;&gt;"", U15*(1+Economics!$B$4)^(U$3-$C$3)/((1+Economics!$B$3)^(U$3-$C$3)),""), "")</f>
        <v/>
      </c>
      <c r="V34" s="400" t="str">
        <f>IF(V$3&lt;=time,IF($B34&lt;&gt;"", V15*(1+Economics!$B$4)^(V$3-$C$3)/((1+Economics!$B$3)^(V$3-$C$3)),""), "")</f>
        <v/>
      </c>
      <c r="W34" s="400" t="str">
        <f>IF(W$3&lt;=time,IF($B34&lt;&gt;"", W15*(1+Economics!$B$4)^(W$3-$C$3)/((1+Economics!$B$3)^(W$3-$C$3)),""), "")</f>
        <v/>
      </c>
      <c r="X34" s="400" t="str">
        <f>IF(X$3&lt;=time,IF($B34&lt;&gt;"", X15*(1+Economics!$B$4)^(X$3-$C$3)/((1+Economics!$B$3)^(X$3-$C$3)),""), "")</f>
        <v/>
      </c>
      <c r="Y34" s="400" t="str">
        <f>IF(Y$3&lt;=time,IF($B34&lt;&gt;"", Y15*(1+Economics!$B$4)^(Y$3-$C$3)/((1+Economics!$B$3)^(Y$3-$C$3)),""), "")</f>
        <v/>
      </c>
      <c r="Z34" s="400" t="str">
        <f>IF(Z$3&lt;=time,IF($B34&lt;&gt;"", Z15*(1+Economics!$B$4)^(Z$3-$C$3)/((1+Economics!$B$3)^(Z$3-$C$3)),""), "")</f>
        <v/>
      </c>
      <c r="AA34" s="400" t="str">
        <f>IF(AA$3&lt;=time,IF($B34&lt;&gt;"", AA15*(1+Economics!$B$4)^(AA$3-$C$3)/((1+Economics!$B$3)^(AA$3-$C$3)),""), "")</f>
        <v/>
      </c>
      <c r="AB34" s="401" t="str">
        <f t="shared" si="3"/>
        <v/>
      </c>
      <c r="AC34" s="402" t="str">
        <f t="shared" si="2"/>
        <v/>
      </c>
      <c r="AD34" s="196"/>
    </row>
    <row r="35" spans="1:30" hidden="1">
      <c r="A35" s="398" t="str">
        <f>IF((13-COUNTIF('Bearer list'!$E$4:$E$16,""))&gt;A34,A34+1,"")</f>
        <v/>
      </c>
      <c r="B35" s="403" t="str">
        <f>IF(A16&lt;&gt;"",INDEX('Bearer list'!$D$4:$D$16,A16),"")</f>
        <v/>
      </c>
      <c r="C35" s="400" t="str">
        <f>IF(C$3&lt;=time,IF($B35&lt;&gt;"", C16*(1+Economics!$B$4)^(C$3-$C$3)/((1+Economics!$B$3)^(C$3-$C$3)),""), "")</f>
        <v/>
      </c>
      <c r="D35" s="400" t="str">
        <f>IF(D$3&lt;=time,IF($B35&lt;&gt;"", D16*(1+Economics!$B$4)^(D$3-$C$3)/((1+Economics!$B$3)^(D$3-$C$3)),""), "")</f>
        <v/>
      </c>
      <c r="E35" s="400" t="str">
        <f>IF(E$3&lt;=time,IF($B35&lt;&gt;"", E16*(1+Economics!$B$4)^(E$3-$C$3)/((1+Economics!$B$3)^(E$3-$C$3)),""), "")</f>
        <v/>
      </c>
      <c r="F35" s="400" t="str">
        <f>IF(F$3&lt;=time,IF($B35&lt;&gt;"", F16*(1+Economics!$B$4)^(F$3-$C$3)/((1+Economics!$B$3)^(F$3-$C$3)),""), "")</f>
        <v/>
      </c>
      <c r="G35" s="400" t="str">
        <f>IF(G$3&lt;=time,IF($B35&lt;&gt;"", G16*(1+Economics!$B$4)^(G$3-$C$3)/((1+Economics!$B$3)^(G$3-$C$3)),""), "")</f>
        <v/>
      </c>
      <c r="H35" s="400" t="str">
        <f>IF(H$3&lt;=time,IF($B35&lt;&gt;"", H16*(1+Economics!$B$4)^(H$3-$C$3)/((1+Economics!$B$3)^(H$3-$C$3)),""), "")</f>
        <v/>
      </c>
      <c r="I35" s="400" t="str">
        <f>IF(I$3&lt;=time,IF($B35&lt;&gt;"", I16*(1+Economics!$B$4)^(I$3-$C$3)/((1+Economics!$B$3)^(I$3-$C$3)),""), "")</f>
        <v/>
      </c>
      <c r="J35" s="400" t="str">
        <f>IF(J$3&lt;=time,IF($B35&lt;&gt;"", J16*(1+Economics!$B$4)^(J$3-$C$3)/((1+Economics!$B$3)^(J$3-$C$3)),""), "")</f>
        <v/>
      </c>
      <c r="K35" s="400" t="str">
        <f>IF(K$3&lt;=time,IF($B35&lt;&gt;"", K16*(1+Economics!$B$4)^(K$3-$C$3)/((1+Economics!$B$3)^(K$3-$C$3)),""), "")</f>
        <v/>
      </c>
      <c r="L35" s="400" t="str">
        <f>IF(L$3&lt;=time,IF($B35&lt;&gt;"", L16*(1+Economics!$B$4)^(L$3-$C$3)/((1+Economics!$B$3)^(L$3-$C$3)),""), "")</f>
        <v/>
      </c>
      <c r="M35" s="400" t="str">
        <f>IF(M$3&lt;=time,IF($B35&lt;&gt;"", M16*(1+Economics!$B$4)^(M$3-$C$3)/((1+Economics!$B$3)^(M$3-$C$3)),""), "")</f>
        <v/>
      </c>
      <c r="N35" s="400" t="str">
        <f>IF(N$3&lt;=time,IF($B35&lt;&gt;"", N16*(1+Economics!$B$4)^(N$3-$C$3)/((1+Economics!$B$3)^(N$3-$C$3)),""), "")</f>
        <v/>
      </c>
      <c r="O35" s="400" t="str">
        <f>IF(O$3&lt;=time,IF($B35&lt;&gt;"", O16*(1+Economics!$B$4)^(O$3-$C$3)/((1+Economics!$B$3)^(O$3-$C$3)),""), "")</f>
        <v/>
      </c>
      <c r="P35" s="400" t="str">
        <f>IF(P$3&lt;=time,IF($B35&lt;&gt;"", P16*(1+Economics!$B$4)^(P$3-$C$3)/((1+Economics!$B$3)^(P$3-$C$3)),""), "")</f>
        <v/>
      </c>
      <c r="Q35" s="400" t="str">
        <f>IF(Q$3&lt;=time,IF($B35&lt;&gt;"", Q16*(1+Economics!$B$4)^(Q$3-$C$3)/((1+Economics!$B$3)^(Q$3-$C$3)),""), "")</f>
        <v/>
      </c>
      <c r="R35" s="400" t="str">
        <f>IF(R$3&lt;=time,IF($B35&lt;&gt;"", R16*(1+Economics!$B$4)^(R$3-$C$3)/((1+Economics!$B$3)^(R$3-$C$3)),""), "")</f>
        <v/>
      </c>
      <c r="S35" s="400" t="str">
        <f>IF(S$3&lt;=time,IF($B35&lt;&gt;"", S16*(1+Economics!$B$4)^(S$3-$C$3)/((1+Economics!$B$3)^(S$3-$C$3)),""), "")</f>
        <v/>
      </c>
      <c r="T35" s="400" t="str">
        <f>IF(T$3&lt;=time,IF($B35&lt;&gt;"", T16*(1+Economics!$B$4)^(T$3-$C$3)/((1+Economics!$B$3)^(T$3-$C$3)),""), "")</f>
        <v/>
      </c>
      <c r="U35" s="400" t="str">
        <f>IF(U$3&lt;=time,IF($B35&lt;&gt;"", U16*(1+Economics!$B$4)^(U$3-$C$3)/((1+Economics!$B$3)^(U$3-$C$3)),""), "")</f>
        <v/>
      </c>
      <c r="V35" s="400" t="str">
        <f>IF(V$3&lt;=time,IF($B35&lt;&gt;"", V16*(1+Economics!$B$4)^(V$3-$C$3)/((1+Economics!$B$3)^(V$3-$C$3)),""), "")</f>
        <v/>
      </c>
      <c r="W35" s="400" t="str">
        <f>IF(W$3&lt;=time,IF($B35&lt;&gt;"", W16*(1+Economics!$B$4)^(W$3-$C$3)/((1+Economics!$B$3)^(W$3-$C$3)),""), "")</f>
        <v/>
      </c>
      <c r="X35" s="400" t="str">
        <f>IF(X$3&lt;=time,IF($B35&lt;&gt;"", X16*(1+Economics!$B$4)^(X$3-$C$3)/((1+Economics!$B$3)^(X$3-$C$3)),""), "")</f>
        <v/>
      </c>
      <c r="Y35" s="400" t="str">
        <f>IF(Y$3&lt;=time,IF($B35&lt;&gt;"", Y16*(1+Economics!$B$4)^(Y$3-$C$3)/((1+Economics!$B$3)^(Y$3-$C$3)),""), "")</f>
        <v/>
      </c>
      <c r="Z35" s="400" t="str">
        <f>IF(Z$3&lt;=time,IF($B35&lt;&gt;"", Z16*(1+Economics!$B$4)^(Z$3-$C$3)/((1+Economics!$B$3)^(Z$3-$C$3)),""), "")</f>
        <v/>
      </c>
      <c r="AA35" s="400" t="str">
        <f>IF(AA$3&lt;=time,IF($B35&lt;&gt;"", AA16*(1+Economics!$B$4)^(AA$3-$C$3)/((1+Economics!$B$3)^(AA$3-$C$3)),""), "")</f>
        <v/>
      </c>
      <c r="AB35" s="401" t="str">
        <f t="shared" si="3"/>
        <v/>
      </c>
      <c r="AC35" s="402" t="str">
        <f t="shared" si="2"/>
        <v/>
      </c>
      <c r="AD35" s="196"/>
    </row>
    <row r="36" spans="1:30" ht="16" hidden="1" thickBot="1">
      <c r="A36" s="407" t="str">
        <f>IF((13-COUNTIF('Bearer list'!$E$4:$E$16,""))&gt;A35,A35+1,"")</f>
        <v/>
      </c>
      <c r="B36" s="408" t="str">
        <f>IF(A17&lt;&gt;"",INDEX('Bearer list'!$D$4:$D$16,A17),"")</f>
        <v/>
      </c>
      <c r="C36" s="409" t="str">
        <f>IF(C$3&lt;=time,IF($B36&lt;&gt;"", C17*(1+Economics!$B$4)^(C$3-$C$3)/((1+Economics!$B$3)^(C$3-$C$3)),""), "")</f>
        <v/>
      </c>
      <c r="D36" s="409" t="str">
        <f>IF(D$3&lt;=time,IF($B36&lt;&gt;"", D17*(1+Economics!$B$4)^(D$3-$C$3)/((1+Economics!$B$3)^(D$3-$C$3)),""), "")</f>
        <v/>
      </c>
      <c r="E36" s="409" t="str">
        <f>IF(E$3&lt;=time,IF($B36&lt;&gt;"", E17*(1+Economics!$B$4)^(E$3-$C$3)/((1+Economics!$B$3)^(E$3-$C$3)),""), "")</f>
        <v/>
      </c>
      <c r="F36" s="409" t="str">
        <f>IF(F$3&lt;=time,IF($B36&lt;&gt;"", F17*(1+Economics!$B$4)^(F$3-$C$3)/((1+Economics!$B$3)^(F$3-$C$3)),""), "")</f>
        <v/>
      </c>
      <c r="G36" s="409" t="str">
        <f>IF(G$3&lt;=time,IF($B36&lt;&gt;"", G17*(1+Economics!$B$4)^(G$3-$C$3)/((1+Economics!$B$3)^(G$3-$C$3)),""), "")</f>
        <v/>
      </c>
      <c r="H36" s="409" t="str">
        <f>IF(H$3&lt;=time,IF($B36&lt;&gt;"", H17*(1+Economics!$B$4)^(H$3-$C$3)/((1+Economics!$B$3)^(H$3-$C$3)),""), "")</f>
        <v/>
      </c>
      <c r="I36" s="409" t="str">
        <f>IF(I$3&lt;=time,IF($B36&lt;&gt;"", I17*(1+Economics!$B$4)^(I$3-$C$3)/((1+Economics!$B$3)^(I$3-$C$3)),""), "")</f>
        <v/>
      </c>
      <c r="J36" s="409" t="str">
        <f>IF(J$3&lt;=time,IF($B36&lt;&gt;"", J17*(1+Economics!$B$4)^(J$3-$C$3)/((1+Economics!$B$3)^(J$3-$C$3)),""), "")</f>
        <v/>
      </c>
      <c r="K36" s="409" t="str">
        <f>IF(K$3&lt;=time,IF($B36&lt;&gt;"", K17*(1+Economics!$B$4)^(K$3-$C$3)/((1+Economics!$B$3)^(K$3-$C$3)),""), "")</f>
        <v/>
      </c>
      <c r="L36" s="409" t="str">
        <f>IF(L$3&lt;=time,IF($B36&lt;&gt;"", L17*(1+Economics!$B$4)^(L$3-$C$3)/((1+Economics!$B$3)^(L$3-$C$3)),""), "")</f>
        <v/>
      </c>
      <c r="M36" s="409" t="str">
        <f>IF(M$3&lt;=time,IF($B36&lt;&gt;"", M17*(1+Economics!$B$4)^(M$3-$C$3)/((1+Economics!$B$3)^(M$3-$C$3)),""), "")</f>
        <v/>
      </c>
      <c r="N36" s="409" t="str">
        <f>IF(N$3&lt;=time,IF($B36&lt;&gt;"", N17*(1+Economics!$B$4)^(N$3-$C$3)/((1+Economics!$B$3)^(N$3-$C$3)),""), "")</f>
        <v/>
      </c>
      <c r="O36" s="409" t="str">
        <f>IF(O$3&lt;=time,IF($B36&lt;&gt;"", O17*(1+Economics!$B$4)^(O$3-$C$3)/((1+Economics!$B$3)^(O$3-$C$3)),""), "")</f>
        <v/>
      </c>
      <c r="P36" s="409" t="str">
        <f>IF(P$3&lt;=time,IF($B36&lt;&gt;"", P17*(1+Economics!$B$4)^(P$3-$C$3)/((1+Economics!$B$3)^(P$3-$C$3)),""), "")</f>
        <v/>
      </c>
      <c r="Q36" s="409" t="str">
        <f>IF(Q$3&lt;=time,IF($B36&lt;&gt;"", Q17*(1+Economics!$B$4)^(Q$3-$C$3)/((1+Economics!$B$3)^(Q$3-$C$3)),""), "")</f>
        <v/>
      </c>
      <c r="R36" s="409" t="str">
        <f>IF(R$3&lt;=time,IF($B36&lt;&gt;"", R17*(1+Economics!$B$4)^(R$3-$C$3)/((1+Economics!$B$3)^(R$3-$C$3)),""), "")</f>
        <v/>
      </c>
      <c r="S36" s="409" t="str">
        <f>IF(S$3&lt;=time,IF($B36&lt;&gt;"", S17*(1+Economics!$B$4)^(S$3-$C$3)/((1+Economics!$B$3)^(S$3-$C$3)),""), "")</f>
        <v/>
      </c>
      <c r="T36" s="409" t="str">
        <f>IF(T$3&lt;=time,IF($B36&lt;&gt;"", T17*(1+Economics!$B$4)^(T$3-$C$3)/((1+Economics!$B$3)^(T$3-$C$3)),""), "")</f>
        <v/>
      </c>
      <c r="U36" s="409" t="str">
        <f>IF(U$3&lt;=time,IF($B36&lt;&gt;"", U17*(1+Economics!$B$4)^(U$3-$C$3)/((1+Economics!$B$3)^(U$3-$C$3)),""), "")</f>
        <v/>
      </c>
      <c r="V36" s="409" t="str">
        <f>IF(V$3&lt;=time,IF($B36&lt;&gt;"", V17*(1+Economics!$B$4)^(V$3-$C$3)/((1+Economics!$B$3)^(V$3-$C$3)),""), "")</f>
        <v/>
      </c>
      <c r="W36" s="409" t="str">
        <f>IF(W$3&lt;=time,IF($B36&lt;&gt;"", W17*(1+Economics!$B$4)^(W$3-$C$3)/((1+Economics!$B$3)^(W$3-$C$3)),""), "")</f>
        <v/>
      </c>
      <c r="X36" s="409" t="str">
        <f>IF(X$3&lt;=time,IF($B36&lt;&gt;"", X17*(1+Economics!$B$4)^(X$3-$C$3)/((1+Economics!$B$3)^(X$3-$C$3)),""), "")</f>
        <v/>
      </c>
      <c r="Y36" s="409" t="str">
        <f>IF(Y$3&lt;=time,IF($B36&lt;&gt;"", Y17*(1+Economics!$B$4)^(Y$3-$C$3)/((1+Economics!$B$3)^(Y$3-$C$3)),""), "")</f>
        <v/>
      </c>
      <c r="Z36" s="409" t="str">
        <f>IF(Z$3&lt;=time,IF($B36&lt;&gt;"", Z17*(1+Economics!$B$4)^(Z$3-$C$3)/((1+Economics!$B$3)^(Z$3-$C$3)),""), "")</f>
        <v/>
      </c>
      <c r="AA36" s="409" t="str">
        <f>IF(AA$3&lt;=time,IF($B36&lt;&gt;"", AA17*(1+Economics!$B$4)^(AA$3-$C$3)/((1+Economics!$B$3)^(AA$3-$C$3)),""), "")</f>
        <v/>
      </c>
      <c r="AB36" s="410" t="str">
        <f t="shared" si="3"/>
        <v/>
      </c>
      <c r="AC36" s="411" t="str">
        <f t="shared" si="2"/>
        <v/>
      </c>
      <c r="AD36" s="196"/>
    </row>
    <row r="37" spans="1:30" hidden="1">
      <c r="A37" s="196"/>
      <c r="B37" s="196"/>
      <c r="C37" s="196"/>
      <c r="D37" s="196"/>
      <c r="E37" s="196"/>
      <c r="F37" s="196"/>
      <c r="G37" s="196"/>
      <c r="H37" s="196"/>
      <c r="I37" s="196"/>
      <c r="J37" s="196"/>
      <c r="K37" s="196"/>
      <c r="L37" s="196"/>
      <c r="M37" s="196"/>
      <c r="N37" s="196"/>
      <c r="O37" s="196"/>
      <c r="P37" s="196"/>
      <c r="Q37" s="196"/>
      <c r="R37" s="196"/>
      <c r="S37" s="196"/>
      <c r="T37" s="196"/>
      <c r="U37" s="196"/>
      <c r="V37" s="196"/>
      <c r="W37" s="196"/>
      <c r="X37" s="196"/>
      <c r="Y37" s="196"/>
      <c r="Z37" s="196"/>
      <c r="AA37" s="196"/>
      <c r="AB37" s="196"/>
      <c r="AC37" s="196"/>
      <c r="AD37" s="196"/>
    </row>
    <row r="38" spans="1:30" hidden="1">
      <c r="A38" s="196"/>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c r="AC38" s="196"/>
      <c r="AD38" s="196"/>
    </row>
    <row r="39" spans="1:30">
      <c r="A39" s="196"/>
      <c r="B39" s="196"/>
      <c r="C39" s="196"/>
      <c r="D39" s="196"/>
      <c r="E39" s="196"/>
      <c r="F39" s="196"/>
      <c r="G39" s="196"/>
      <c r="H39" s="196"/>
      <c r="I39" s="196"/>
      <c r="J39" s="196"/>
      <c r="K39" s="196"/>
      <c r="L39" s="196"/>
      <c r="M39" s="196"/>
      <c r="N39" s="196"/>
      <c r="O39" s="196"/>
      <c r="P39" s="196"/>
      <c r="Q39" s="196"/>
      <c r="R39" s="196"/>
      <c r="S39" s="196"/>
      <c r="T39" s="196"/>
      <c r="U39" s="196"/>
      <c r="V39" s="196"/>
      <c r="W39" s="196"/>
      <c r="X39" s="196"/>
      <c r="Y39" s="196"/>
      <c r="Z39" s="196"/>
      <c r="AA39" s="196"/>
      <c r="AB39" s="196"/>
      <c r="AC39" s="196"/>
      <c r="AD39" s="196"/>
    </row>
  </sheetData>
  <sheetProtection formatColumns="0" formatRows="0"/>
  <mergeCells count="1">
    <mergeCell ref="A23:B23"/>
  </mergeCells>
  <phoneticPr fontId="41" type="noConversion"/>
  <pageMargins left="0.75" right="0.75" top="1" bottom="1" header="0.5" footer="0.5"/>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theme="2" tint="-0.249977111117893"/>
  </sheetPr>
  <dimension ref="A1:EC249"/>
  <sheetViews>
    <sheetView workbookViewId="0"/>
  </sheetViews>
  <sheetFormatPr defaultColWidth="8.69140625" defaultRowHeight="15.5"/>
  <cols>
    <col min="1" max="1" width="33.15234375" style="114" customWidth="1"/>
    <col min="2" max="2" width="14.921875" style="114" customWidth="1"/>
    <col min="3" max="3" width="14.15234375" style="114" customWidth="1"/>
    <col min="4" max="4" width="12.4609375" style="114" customWidth="1"/>
    <col min="5" max="5" width="16.4609375" style="114" customWidth="1"/>
    <col min="6" max="6" width="16.61328125" style="114" customWidth="1"/>
    <col min="7" max="7" width="11.61328125" style="114" customWidth="1"/>
    <col min="8" max="8" width="9.23046875" style="114" customWidth="1"/>
    <col min="9" max="9" width="13.921875" style="114" customWidth="1"/>
    <col min="10" max="10" width="13.4609375" style="114" customWidth="1"/>
    <col min="11" max="11" width="12.15234375" style="114" customWidth="1"/>
    <col min="12" max="12" width="13.15234375" style="114" customWidth="1"/>
    <col min="13" max="13" width="10.4609375" style="114" customWidth="1"/>
    <col min="14" max="14" width="13.61328125" style="114" customWidth="1"/>
    <col min="15" max="15" width="12.61328125" style="114" customWidth="1"/>
    <col min="16" max="16" width="9.23046875" style="114" customWidth="1"/>
    <col min="17" max="17" width="10.4609375" style="114" customWidth="1"/>
    <col min="18" max="18" width="13.61328125" style="114" customWidth="1"/>
    <col min="19" max="19" width="11.69140625" style="114" customWidth="1"/>
    <col min="20" max="20" width="9.23046875" style="114" customWidth="1"/>
    <col min="21" max="21" width="10.4609375" style="114" customWidth="1"/>
    <col min="22" max="22" width="15.61328125" style="114" customWidth="1"/>
    <col min="23" max="23" width="11.61328125" style="114" customWidth="1"/>
    <col min="24" max="24" width="9.23046875" style="114" customWidth="1"/>
    <col min="25" max="25" width="12.4609375" style="114" customWidth="1"/>
    <col min="26" max="26" width="13.61328125" style="114" customWidth="1"/>
    <col min="27" max="27" width="11.921875" style="114" customWidth="1"/>
    <col min="28" max="28" width="9.61328125" style="114" customWidth="1"/>
    <col min="29" max="29" width="10.4609375" style="114" customWidth="1"/>
    <col min="30" max="30" width="14.15234375" style="114" customWidth="1"/>
    <col min="31" max="31" width="8.61328125" style="114" customWidth="1"/>
    <col min="32" max="32" width="9.69140625" style="114" customWidth="1"/>
    <col min="33" max="33" width="10.4609375" style="114" customWidth="1"/>
    <col min="34" max="34" width="13.61328125" style="114" customWidth="1"/>
    <col min="35" max="35" width="8.61328125" style="114" customWidth="1"/>
    <col min="36" max="36" width="9.69140625" style="114" customWidth="1"/>
    <col min="37" max="37" width="12.4609375" style="114" customWidth="1"/>
    <col min="38" max="38" width="13.61328125" style="114" customWidth="1"/>
    <col min="39" max="39" width="8.4609375" style="114" customWidth="1"/>
    <col min="40" max="41" width="12.61328125" style="114" customWidth="1"/>
    <col min="42" max="42" width="13.61328125" style="114" customWidth="1"/>
    <col min="43" max="43" width="12.23046875" style="114" customWidth="1"/>
    <col min="44" max="44" width="9.61328125" style="114" customWidth="1"/>
    <col min="45" max="45" width="10.4609375" style="114" customWidth="1"/>
    <col min="46" max="46" width="13.61328125" style="114" customWidth="1"/>
    <col min="47" max="47" width="8.69140625" style="114"/>
    <col min="48" max="48" width="9.61328125" style="114" customWidth="1"/>
    <col min="49" max="49" width="9.4609375" style="114" customWidth="1"/>
    <col min="50" max="50" width="14.69140625" style="114" customWidth="1"/>
    <col min="51" max="16384" width="8.69140625" style="114"/>
  </cols>
  <sheetData>
    <row r="1" spans="1:49" ht="30" customHeight="1" thickBot="1">
      <c r="A1" s="816" t="s">
        <v>485</v>
      </c>
      <c r="B1" s="802"/>
      <c r="C1" s="412"/>
      <c r="D1" s="412"/>
      <c r="E1" s="412"/>
      <c r="F1" s="412"/>
      <c r="G1" s="412"/>
      <c r="H1" s="412"/>
      <c r="I1" s="412"/>
      <c r="J1" s="412"/>
      <c r="K1" s="412"/>
      <c r="L1" s="412"/>
      <c r="M1" s="412"/>
      <c r="N1" s="412"/>
      <c r="O1" s="412"/>
      <c r="P1" s="412"/>
      <c r="Q1" s="412"/>
      <c r="R1" s="412"/>
      <c r="S1" s="412"/>
      <c r="T1" s="412"/>
      <c r="U1" s="412"/>
      <c r="V1" s="412"/>
    </row>
    <row r="2" spans="1:49" ht="85.4" customHeight="1" thickBot="1">
      <c r="B2" s="413"/>
      <c r="C2" s="413"/>
      <c r="D2" s="413"/>
      <c r="E2" s="413"/>
      <c r="F2" s="413"/>
      <c r="G2" s="413"/>
      <c r="H2" s="413"/>
      <c r="I2" s="413"/>
      <c r="J2" s="413"/>
      <c r="K2" s="413"/>
      <c r="L2" s="413"/>
      <c r="M2" s="1161" t="s">
        <v>592</v>
      </c>
      <c r="N2" s="1162"/>
      <c r="O2" s="1162"/>
      <c r="P2" s="1162"/>
      <c r="Q2" s="1162"/>
      <c r="R2" s="1162"/>
      <c r="S2" s="1162"/>
      <c r="T2" s="1162"/>
      <c r="U2" s="1162"/>
      <c r="V2" s="1162"/>
      <c r="W2" s="1162"/>
      <c r="X2" s="1162"/>
      <c r="Y2" s="1163"/>
      <c r="Z2" s="414"/>
      <c r="AA2" s="414"/>
      <c r="AB2" s="414"/>
      <c r="AC2" s="414"/>
      <c r="AD2" s="414"/>
      <c r="AE2" s="414"/>
      <c r="AF2" s="414"/>
      <c r="AG2" s="414"/>
    </row>
    <row r="3" spans="1:49" s="113" customFormat="1" ht="30.9" customHeight="1" thickBot="1">
      <c r="A3" s="896" t="s">
        <v>308</v>
      </c>
      <c r="B3" s="1166" t="s">
        <v>578</v>
      </c>
      <c r="C3" s="1167"/>
      <c r="D3" s="1167"/>
      <c r="E3" s="1167"/>
      <c r="F3" s="1167"/>
      <c r="G3" s="1168"/>
      <c r="H3" s="897"/>
      <c r="I3" s="898"/>
      <c r="J3" s="898"/>
      <c r="K3" s="415"/>
      <c r="L3" s="415"/>
      <c r="M3" s="1169" t="s">
        <v>855</v>
      </c>
      <c r="N3" s="1170"/>
      <c r="O3" s="1170"/>
      <c r="P3" s="1170"/>
      <c r="Q3" s="1170"/>
      <c r="R3" s="1170"/>
      <c r="S3" s="1170"/>
      <c r="T3" s="1170"/>
      <c r="U3" s="1170"/>
      <c r="V3" s="1170"/>
      <c r="W3" s="1170"/>
      <c r="X3" s="1170"/>
      <c r="Y3" s="1171"/>
      <c r="Z3" s="416"/>
      <c r="AA3" s="416"/>
      <c r="AB3" s="416"/>
      <c r="AC3" s="416"/>
      <c r="AD3" s="416"/>
      <c r="AE3" s="416"/>
      <c r="AF3" s="416"/>
      <c r="AG3" s="416"/>
      <c r="AH3" s="415"/>
      <c r="AI3" s="415"/>
      <c r="AJ3" s="415"/>
      <c r="AK3" s="415"/>
      <c r="AL3" s="415"/>
      <c r="AM3" s="415"/>
      <c r="AN3" s="415"/>
      <c r="AO3" s="415"/>
      <c r="AP3" s="415"/>
      <c r="AQ3" s="415"/>
      <c r="AR3" s="415"/>
      <c r="AS3" s="415"/>
      <c r="AT3" s="415"/>
      <c r="AU3" s="415"/>
      <c r="AV3" s="415"/>
      <c r="AW3" s="415"/>
    </row>
    <row r="4" spans="1:49" s="113" customFormat="1" ht="81.650000000000006" customHeight="1" thickBot="1">
      <c r="A4" s="417" t="s">
        <v>568</v>
      </c>
      <c r="B4" s="418" t="str">
        <f>CONCATENATE("Defensive Expenditure (DE)"," ", "(",'Proposition Summary'!$B$76,")")</f>
        <v>Defensive Expenditure (DE) (GBP (£))</v>
      </c>
      <c r="C4" s="419" t="s">
        <v>373</v>
      </c>
      <c r="D4" s="420" t="s">
        <v>296</v>
      </c>
      <c r="E4" s="421" t="str">
        <f>CONCATENATE("Corrected costs"," ", "(",'Proposition Summary'!$B$76,")")</f>
        <v>Corrected costs (GBP (£))</v>
      </c>
      <c r="F4" s="418" t="str">
        <f>CONCATENATE("Insurance Administration (IA)"," ", "(",'Proposition Summary'!$B$76,")")</f>
        <v>Insurance Administration (IA) (GBP (£))</v>
      </c>
      <c r="G4" s="422" t="s">
        <v>375</v>
      </c>
      <c r="H4" s="420" t="s">
        <v>296</v>
      </c>
      <c r="I4" s="421" t="str">
        <f>CONCATENATE("Corrected costs"," ", "(",'Proposition Summary'!$B$76,")")</f>
        <v>Corrected costs (GBP (£))</v>
      </c>
      <c r="J4" s="899" t="str">
        <f>CONCATENATE("Total costs in anticipation of crime"," ", "(",'Proposition Summary'!$B$76,")")</f>
        <v>Total costs in anticipation of crime (GBP (£))</v>
      </c>
      <c r="K4" s="415"/>
      <c r="L4" s="415"/>
      <c r="M4" s="1172"/>
      <c r="N4" s="1173"/>
      <c r="O4" s="1173"/>
      <c r="P4" s="1173"/>
      <c r="Q4" s="1173"/>
      <c r="R4" s="1173"/>
      <c r="S4" s="1173"/>
      <c r="T4" s="1173"/>
      <c r="U4" s="1173"/>
      <c r="V4" s="1173"/>
      <c r="W4" s="1173"/>
      <c r="X4" s="1173"/>
      <c r="Y4" s="1174"/>
      <c r="Z4" s="416"/>
      <c r="AA4" s="416"/>
      <c r="AB4" s="416"/>
      <c r="AC4" s="416"/>
      <c r="AD4" s="416"/>
      <c r="AE4" s="416"/>
      <c r="AF4" s="416"/>
      <c r="AG4" s="416"/>
      <c r="AH4" s="415"/>
      <c r="AI4" s="415"/>
      <c r="AJ4" s="415"/>
      <c r="AK4" s="415"/>
      <c r="AL4" s="415"/>
      <c r="AM4" s="415"/>
      <c r="AN4" s="415"/>
      <c r="AO4" s="415"/>
      <c r="AP4" s="415"/>
      <c r="AQ4" s="415"/>
      <c r="AR4" s="415"/>
      <c r="AS4" s="415"/>
      <c r="AT4" s="415"/>
      <c r="AU4" s="415"/>
      <c r="AV4" s="415"/>
      <c r="AW4" s="415"/>
    </row>
    <row r="5" spans="1:49" s="113" customFormat="1" ht="27.65" hidden="1" customHeight="1">
      <c r="A5" s="417"/>
      <c r="B5" s="418"/>
      <c r="C5" s="419"/>
      <c r="D5" s="423"/>
      <c r="E5" s="424"/>
      <c r="F5" s="418"/>
      <c r="G5" s="422"/>
      <c r="H5" s="423"/>
      <c r="I5" s="424"/>
      <c r="J5" s="900"/>
      <c r="K5" s="415"/>
      <c r="L5" s="415"/>
      <c r="M5" s="177"/>
      <c r="N5" s="177"/>
      <c r="O5" s="177"/>
      <c r="P5" s="177"/>
      <c r="Q5" s="177"/>
      <c r="R5" s="177"/>
      <c r="S5" s="177"/>
      <c r="T5" s="177"/>
      <c r="U5" s="177"/>
      <c r="V5" s="177"/>
      <c r="W5" s="177"/>
      <c r="X5" s="177"/>
      <c r="Y5" s="177"/>
      <c r="Z5" s="177"/>
      <c r="AA5" s="177"/>
      <c r="AB5" s="177"/>
      <c r="AC5" s="177"/>
      <c r="AD5" s="177"/>
      <c r="AE5" s="177"/>
      <c r="AF5" s="177"/>
      <c r="AG5" s="177"/>
      <c r="AH5" s="415"/>
      <c r="AI5" s="415"/>
      <c r="AJ5" s="415"/>
      <c r="AK5" s="415"/>
      <c r="AL5" s="415"/>
      <c r="AM5" s="415"/>
      <c r="AN5" s="415"/>
      <c r="AO5" s="415"/>
      <c r="AP5" s="415"/>
      <c r="AQ5" s="415"/>
      <c r="AR5" s="415"/>
      <c r="AS5" s="415"/>
      <c r="AT5" s="415"/>
      <c r="AU5" s="415"/>
      <c r="AV5" s="415"/>
      <c r="AW5" s="415"/>
    </row>
    <row r="6" spans="1:49" ht="31">
      <c r="A6" s="425" t="s">
        <v>561</v>
      </c>
      <c r="B6" s="426"/>
      <c r="C6" s="427"/>
      <c r="D6" s="428"/>
      <c r="E6" s="429"/>
      <c r="F6" s="430"/>
      <c r="G6" s="427"/>
      <c r="H6" s="428"/>
      <c r="I6" s="429"/>
      <c r="J6" s="901"/>
      <c r="K6" s="432"/>
      <c r="L6" s="432"/>
      <c r="M6" s="432"/>
      <c r="N6" s="432"/>
      <c r="O6" s="432"/>
      <c r="P6" s="432"/>
      <c r="Q6" s="432"/>
      <c r="R6" s="432"/>
      <c r="S6" s="432"/>
      <c r="T6" s="432"/>
      <c r="U6" s="432"/>
      <c r="V6" s="432"/>
      <c r="W6" s="432"/>
      <c r="X6" s="432"/>
      <c r="Y6" s="432"/>
      <c r="Z6" s="432"/>
      <c r="AA6" s="432"/>
      <c r="AB6" s="432"/>
      <c r="AC6" s="432"/>
      <c r="AD6" s="432"/>
      <c r="AE6" s="432"/>
      <c r="AF6" s="432"/>
      <c r="AG6" s="432"/>
      <c r="AH6" s="432"/>
      <c r="AI6" s="432"/>
      <c r="AJ6" s="432"/>
      <c r="AK6" s="432"/>
      <c r="AL6" s="432"/>
      <c r="AM6" s="432"/>
      <c r="AN6" s="432"/>
      <c r="AO6" s="432"/>
      <c r="AP6" s="432"/>
      <c r="AQ6" s="432"/>
      <c r="AR6" s="432"/>
      <c r="AS6" s="432"/>
      <c r="AT6" s="432"/>
      <c r="AU6" s="432"/>
      <c r="AV6" s="432"/>
      <c r="AW6" s="432"/>
    </row>
    <row r="7" spans="1:49" ht="19.649999999999999" customHeight="1">
      <c r="A7" s="113" t="s">
        <v>290</v>
      </c>
      <c r="B7" s="911">
        <v>69479.924671290326</v>
      </c>
      <c r="C7" s="908" t="s">
        <v>33</v>
      </c>
      <c r="D7" s="909">
        <v>0</v>
      </c>
      <c r="E7" s="912">
        <f>IF(B7="not estimated","0", B7*(1-D7))</f>
        <v>69479.924671290326</v>
      </c>
      <c r="F7" s="911">
        <v>11.378959166605028</v>
      </c>
      <c r="G7" s="908" t="s">
        <v>33</v>
      </c>
      <c r="H7" s="909">
        <v>0</v>
      </c>
      <c r="I7" s="433">
        <f>IF(F7="not estimated","0", F7*(1-H7))</f>
        <v>11.378959166605028</v>
      </c>
      <c r="J7" s="1056">
        <f>IF(ISERROR(I7+E7),"", I7+E7)</f>
        <v>69491.303630456925</v>
      </c>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432"/>
      <c r="AL7" s="432"/>
      <c r="AM7" s="432"/>
      <c r="AN7" s="432"/>
      <c r="AO7" s="432"/>
      <c r="AP7" s="432"/>
      <c r="AQ7" s="432"/>
      <c r="AR7" s="432"/>
      <c r="AS7" s="432"/>
      <c r="AT7" s="432"/>
      <c r="AU7" s="432"/>
      <c r="AV7" s="432"/>
      <c r="AW7" s="432"/>
    </row>
    <row r="8" spans="1:49" ht="19.649999999999999" customHeight="1">
      <c r="A8" s="113" t="s">
        <v>542</v>
      </c>
      <c r="B8" s="911">
        <v>375.50565249796603</v>
      </c>
      <c r="C8" s="908" t="s">
        <v>33</v>
      </c>
      <c r="D8" s="909">
        <v>0</v>
      </c>
      <c r="E8" s="912">
        <f t="shared" ref="E8:E19" si="0">IF(B8="not estimated","0", B8*(1-D8))</f>
        <v>375.50565249796603</v>
      </c>
      <c r="F8" s="911">
        <v>11.378959166605028</v>
      </c>
      <c r="G8" s="908" t="s">
        <v>33</v>
      </c>
      <c r="H8" s="909">
        <v>0</v>
      </c>
      <c r="I8" s="433">
        <f t="shared" ref="I8:I19" si="1">IF(F8="not estimated","0", F8*(1-H8))</f>
        <v>11.378959166605028</v>
      </c>
      <c r="J8" s="1056">
        <f>IF(ISERROR(I8+E8),"", I8+E8)</f>
        <v>386.88461166457103</v>
      </c>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row>
    <row r="9" spans="1:49" ht="19.649999999999999" customHeight="1">
      <c r="A9" s="113" t="s">
        <v>543</v>
      </c>
      <c r="B9" s="911">
        <v>125.16855083265533</v>
      </c>
      <c r="C9" s="908" t="s">
        <v>33</v>
      </c>
      <c r="D9" s="909">
        <v>0</v>
      </c>
      <c r="E9" s="912">
        <f t="shared" si="0"/>
        <v>125.16855083265533</v>
      </c>
      <c r="F9" s="911">
        <v>11.378959166605028</v>
      </c>
      <c r="G9" s="908" t="s">
        <v>33</v>
      </c>
      <c r="H9" s="909">
        <v>0</v>
      </c>
      <c r="I9" s="433">
        <f t="shared" si="1"/>
        <v>11.378959166605028</v>
      </c>
      <c r="J9" s="1056">
        <f>IF(ISERROR(I9+E9),"", I9+E9)</f>
        <v>136.54750999926034</v>
      </c>
      <c r="K9" s="432"/>
      <c r="L9" s="432"/>
      <c r="M9" s="432"/>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2"/>
      <c r="AM9" s="432"/>
      <c r="AN9" s="432"/>
      <c r="AO9" s="432"/>
      <c r="AP9" s="432"/>
      <c r="AQ9" s="432"/>
      <c r="AR9" s="432"/>
      <c r="AS9" s="432"/>
      <c r="AT9" s="432"/>
      <c r="AU9" s="432"/>
      <c r="AV9" s="432"/>
      <c r="AW9" s="432"/>
    </row>
    <row r="10" spans="1:49" ht="19.649999999999999" customHeight="1">
      <c r="A10" s="113" t="s">
        <v>544</v>
      </c>
      <c r="B10" s="911">
        <v>1103.7590391606877</v>
      </c>
      <c r="C10" s="908" t="s">
        <v>33</v>
      </c>
      <c r="D10" s="909">
        <v>0</v>
      </c>
      <c r="E10" s="912">
        <f t="shared" si="0"/>
        <v>1103.7590391606877</v>
      </c>
      <c r="F10" s="911">
        <v>11.378959166605028</v>
      </c>
      <c r="G10" s="908" t="s">
        <v>33</v>
      </c>
      <c r="H10" s="909">
        <v>0</v>
      </c>
      <c r="I10" s="433">
        <f t="shared" si="1"/>
        <v>11.378959166605028</v>
      </c>
      <c r="J10" s="1056">
        <f t="shared" ref="J10:J14" si="2">IF(ISERROR(I10+E10),"", I10+E10)</f>
        <v>1115.1379983272927</v>
      </c>
      <c r="K10" s="432"/>
      <c r="L10" s="432"/>
      <c r="M10" s="432"/>
      <c r="N10" s="432"/>
      <c r="O10" s="432"/>
      <c r="P10" s="432"/>
      <c r="Q10" s="432"/>
      <c r="R10" s="432"/>
      <c r="S10" s="432"/>
      <c r="T10" s="432"/>
      <c r="U10" s="432"/>
      <c r="V10" s="432"/>
      <c r="W10" s="432"/>
      <c r="X10" s="432"/>
      <c r="Y10" s="432"/>
      <c r="Z10" s="432"/>
      <c r="AA10" s="432"/>
      <c r="AB10" s="432"/>
      <c r="AC10" s="432"/>
      <c r="AD10" s="432"/>
      <c r="AE10" s="432"/>
      <c r="AF10" s="432"/>
      <c r="AG10" s="432"/>
      <c r="AH10" s="432"/>
      <c r="AI10" s="432"/>
      <c r="AJ10" s="432"/>
      <c r="AK10" s="432"/>
      <c r="AL10" s="432"/>
      <c r="AM10" s="432"/>
      <c r="AN10" s="432"/>
      <c r="AO10" s="432"/>
      <c r="AP10" s="432"/>
      <c r="AQ10" s="432"/>
      <c r="AR10" s="432"/>
      <c r="AS10" s="432"/>
      <c r="AT10" s="432"/>
      <c r="AU10" s="432"/>
      <c r="AV10" s="432"/>
      <c r="AW10" s="432"/>
    </row>
    <row r="11" spans="1:49" ht="20.75" customHeight="1">
      <c r="A11" s="113" t="s">
        <v>545</v>
      </c>
      <c r="B11" s="911">
        <v>170.68438749907546</v>
      </c>
      <c r="C11" s="908" t="s">
        <v>33</v>
      </c>
      <c r="D11" s="909">
        <v>0</v>
      </c>
      <c r="E11" s="912">
        <f t="shared" si="0"/>
        <v>170.68438749907546</v>
      </c>
      <c r="F11" s="911">
        <v>11.378959166605028</v>
      </c>
      <c r="G11" s="908" t="s">
        <v>33</v>
      </c>
      <c r="H11" s="909">
        <v>0</v>
      </c>
      <c r="I11" s="433">
        <f t="shared" si="1"/>
        <v>11.378959166605028</v>
      </c>
      <c r="J11" s="1056">
        <f t="shared" si="2"/>
        <v>182.06334666568048</v>
      </c>
      <c r="K11" s="432"/>
      <c r="L11" s="432"/>
      <c r="M11" s="432"/>
      <c r="N11" s="432"/>
      <c r="O11" s="432"/>
      <c r="P11" s="432"/>
      <c r="Q11" s="432"/>
      <c r="R11" s="432"/>
      <c r="S11" s="432"/>
      <c r="T11" s="432"/>
      <c r="U11" s="432"/>
      <c r="V11" s="432"/>
      <c r="W11" s="432"/>
      <c r="X11" s="432"/>
      <c r="Y11" s="432"/>
      <c r="Z11" s="432"/>
      <c r="AA11" s="432"/>
      <c r="AB11" s="432"/>
      <c r="AC11" s="432"/>
      <c r="AD11" s="432"/>
      <c r="AE11" s="432"/>
      <c r="AF11" s="432"/>
      <c r="AG11" s="432"/>
      <c r="AH11" s="432"/>
      <c r="AI11" s="432"/>
      <c r="AJ11" s="432"/>
      <c r="AK11" s="432"/>
      <c r="AL11" s="432"/>
      <c r="AM11" s="432"/>
      <c r="AN11" s="432"/>
      <c r="AO11" s="432"/>
      <c r="AP11" s="432"/>
      <c r="AQ11" s="432"/>
      <c r="AR11" s="432"/>
      <c r="AS11" s="432"/>
      <c r="AT11" s="432"/>
      <c r="AU11" s="432"/>
      <c r="AV11" s="432"/>
      <c r="AW11" s="432"/>
    </row>
    <row r="12" spans="1:49" ht="19.649999999999999" customHeight="1">
      <c r="A12" s="113" t="s">
        <v>292</v>
      </c>
      <c r="B12" s="911">
        <v>216.20022416549557</v>
      </c>
      <c r="C12" s="908" t="s">
        <v>33</v>
      </c>
      <c r="D12" s="909">
        <v>0</v>
      </c>
      <c r="E12" s="912">
        <f t="shared" si="0"/>
        <v>216.20022416549557</v>
      </c>
      <c r="F12" s="911">
        <v>159.30542833247043</v>
      </c>
      <c r="G12" s="908" t="s">
        <v>33</v>
      </c>
      <c r="H12" s="909">
        <v>0</v>
      </c>
      <c r="I12" s="433">
        <f t="shared" si="1"/>
        <v>159.30542833247043</v>
      </c>
      <c r="J12" s="1056">
        <f t="shared" si="2"/>
        <v>375.50565249796603</v>
      </c>
      <c r="K12" s="432"/>
      <c r="L12" s="432"/>
      <c r="M12" s="432"/>
      <c r="N12" s="432"/>
      <c r="O12" s="432"/>
      <c r="P12" s="432"/>
      <c r="Q12" s="432"/>
      <c r="R12" s="432"/>
      <c r="S12" s="432"/>
      <c r="T12" s="432"/>
      <c r="U12" s="432"/>
      <c r="V12" s="432"/>
      <c r="W12" s="432"/>
      <c r="X12" s="432"/>
      <c r="Y12" s="432"/>
      <c r="Z12" s="432"/>
      <c r="AA12" s="432"/>
      <c r="AB12" s="432"/>
      <c r="AC12" s="432"/>
      <c r="AD12" s="432"/>
      <c r="AE12" s="432"/>
      <c r="AF12" s="432"/>
      <c r="AG12" s="432"/>
      <c r="AH12" s="432"/>
      <c r="AI12" s="432"/>
      <c r="AJ12" s="432"/>
      <c r="AK12" s="432"/>
      <c r="AL12" s="432"/>
      <c r="AM12" s="432"/>
      <c r="AN12" s="432"/>
      <c r="AO12" s="432"/>
      <c r="AP12" s="432"/>
      <c r="AQ12" s="432"/>
      <c r="AR12" s="432"/>
      <c r="AS12" s="432"/>
      <c r="AT12" s="432"/>
      <c r="AU12" s="432"/>
      <c r="AV12" s="432"/>
      <c r="AW12" s="432"/>
    </row>
    <row r="13" spans="1:49" ht="19.649999999999999" customHeight="1">
      <c r="A13" s="113" t="s">
        <v>546</v>
      </c>
      <c r="B13" s="911">
        <v>364.12669333136091</v>
      </c>
      <c r="C13" s="908" t="s">
        <v>33</v>
      </c>
      <c r="D13" s="909">
        <v>0</v>
      </c>
      <c r="E13" s="912">
        <f t="shared" si="0"/>
        <v>364.12669333136091</v>
      </c>
      <c r="F13" s="911">
        <v>443.77940749759614</v>
      </c>
      <c r="G13" s="908" t="s">
        <v>33</v>
      </c>
      <c r="H13" s="909">
        <v>0</v>
      </c>
      <c r="I13" s="433">
        <f t="shared" si="1"/>
        <v>443.77940749759614</v>
      </c>
      <c r="J13" s="1056">
        <f t="shared" si="2"/>
        <v>807.90610082895705</v>
      </c>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row>
    <row r="14" spans="1:49" ht="19.649999999999999" customHeight="1">
      <c r="A14" s="113" t="s">
        <v>547</v>
      </c>
      <c r="B14" s="911">
        <v>1149.2748758271077</v>
      </c>
      <c r="C14" s="908" t="s">
        <v>33</v>
      </c>
      <c r="D14" s="909">
        <v>0</v>
      </c>
      <c r="E14" s="912">
        <f t="shared" si="0"/>
        <v>1149.2748758271077</v>
      </c>
      <c r="F14" s="911">
        <v>819.28505999556216</v>
      </c>
      <c r="G14" s="908" t="s">
        <v>33</v>
      </c>
      <c r="H14" s="909">
        <v>0</v>
      </c>
      <c r="I14" s="433">
        <f t="shared" si="1"/>
        <v>819.28505999556216</v>
      </c>
      <c r="J14" s="1056">
        <f t="shared" si="2"/>
        <v>1968.55993582267</v>
      </c>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row>
    <row r="15" spans="1:49" ht="19.649999999999999" customHeight="1">
      <c r="A15" s="113" t="s">
        <v>548</v>
      </c>
      <c r="B15" s="911">
        <v>125.16855083265533</v>
      </c>
      <c r="C15" s="908" t="s">
        <v>33</v>
      </c>
      <c r="D15" s="909">
        <v>0</v>
      </c>
      <c r="E15" s="912">
        <f t="shared" si="0"/>
        <v>125.16855083265533</v>
      </c>
      <c r="F15" s="911">
        <v>0</v>
      </c>
      <c r="G15" s="908" t="s">
        <v>33</v>
      </c>
      <c r="H15" s="909">
        <v>0</v>
      </c>
      <c r="I15" s="433">
        <f t="shared" si="1"/>
        <v>0</v>
      </c>
      <c r="J15" s="1056">
        <f>IF(ISERROR(I15+E15),"", I15+E15)</f>
        <v>125.16855083265533</v>
      </c>
      <c r="K15" s="432"/>
      <c r="L15" s="432"/>
      <c r="M15" s="432"/>
      <c r="N15" s="432"/>
      <c r="O15" s="432"/>
      <c r="P15" s="432"/>
      <c r="Q15" s="432"/>
      <c r="R15" s="432"/>
      <c r="S15" s="432"/>
      <c r="T15" s="432"/>
      <c r="U15" s="432"/>
      <c r="V15" s="432"/>
      <c r="W15" s="432"/>
      <c r="X15" s="432"/>
      <c r="Y15" s="432"/>
      <c r="Z15" s="432"/>
      <c r="AA15" s="432"/>
      <c r="AB15" s="432"/>
      <c r="AC15" s="432"/>
      <c r="AD15" s="432"/>
      <c r="AE15" s="432"/>
      <c r="AF15" s="432"/>
      <c r="AG15" s="432"/>
      <c r="AH15" s="432"/>
      <c r="AI15" s="432"/>
      <c r="AJ15" s="432"/>
      <c r="AK15" s="432"/>
      <c r="AL15" s="432"/>
      <c r="AM15" s="432"/>
      <c r="AN15" s="432"/>
      <c r="AO15" s="432"/>
      <c r="AP15" s="432"/>
      <c r="AQ15" s="432"/>
      <c r="AR15" s="432"/>
      <c r="AS15" s="432"/>
      <c r="AT15" s="432"/>
      <c r="AU15" s="432"/>
      <c r="AV15" s="432"/>
      <c r="AW15" s="432"/>
    </row>
    <row r="16" spans="1:49" ht="19.649999999999999" customHeight="1">
      <c r="A16" s="113" t="s">
        <v>549</v>
      </c>
      <c r="B16" s="911">
        <v>125.16855083265533</v>
      </c>
      <c r="C16" s="908" t="s">
        <v>33</v>
      </c>
      <c r="D16" s="909">
        <v>0</v>
      </c>
      <c r="E16" s="912">
        <f t="shared" si="0"/>
        <v>125.16855083265533</v>
      </c>
      <c r="F16" s="911">
        <v>0</v>
      </c>
      <c r="G16" s="908" t="s">
        <v>33</v>
      </c>
      <c r="H16" s="909">
        <v>0</v>
      </c>
      <c r="I16" s="433">
        <f t="shared" si="1"/>
        <v>0</v>
      </c>
      <c r="J16" s="1056">
        <f>IF(ISERROR(I16+E16),"", I16+E16)</f>
        <v>125.16855083265533</v>
      </c>
      <c r="K16" s="432"/>
      <c r="L16" s="432"/>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row>
    <row r="17" spans="1:133" ht="19.649999999999999" customHeight="1">
      <c r="A17" s="113" t="s">
        <v>550</v>
      </c>
      <c r="B17" s="911">
        <v>125.16855083265533</v>
      </c>
      <c r="C17" s="908" t="s">
        <v>33</v>
      </c>
      <c r="D17" s="909">
        <v>0</v>
      </c>
      <c r="E17" s="912">
        <f t="shared" si="0"/>
        <v>125.16855083265533</v>
      </c>
      <c r="F17" s="911">
        <v>250.33710166531066</v>
      </c>
      <c r="G17" s="908" t="s">
        <v>33</v>
      </c>
      <c r="H17" s="909">
        <v>0</v>
      </c>
      <c r="I17" s="433">
        <f t="shared" si="1"/>
        <v>250.33710166531066</v>
      </c>
      <c r="J17" s="1056">
        <f t="shared" ref="J17:J20" si="3">IF(ISERROR(I17+E17),"", I17+E17)</f>
        <v>375.50565249796597</v>
      </c>
      <c r="K17" s="432"/>
      <c r="L17" s="432"/>
      <c r="M17" s="432"/>
      <c r="N17" s="432"/>
      <c r="O17" s="432"/>
      <c r="P17" s="432"/>
      <c r="Q17" s="432"/>
      <c r="R17" s="432"/>
      <c r="S17" s="432"/>
      <c r="T17" s="432"/>
      <c r="U17" s="432"/>
      <c r="V17" s="432"/>
      <c r="W17" s="432"/>
      <c r="X17" s="432"/>
      <c r="Y17" s="432"/>
      <c r="Z17" s="432"/>
      <c r="AA17" s="432"/>
      <c r="AB17" s="432"/>
      <c r="AC17" s="432"/>
      <c r="AD17" s="432"/>
      <c r="AE17" s="432"/>
      <c r="AF17" s="432"/>
      <c r="AG17" s="432"/>
      <c r="AH17" s="432"/>
      <c r="AI17" s="432"/>
      <c r="AJ17" s="432"/>
      <c r="AK17" s="432"/>
      <c r="AL17" s="432"/>
      <c r="AM17" s="432"/>
      <c r="AN17" s="432"/>
      <c r="AO17" s="432"/>
      <c r="AP17" s="432"/>
      <c r="AQ17" s="432"/>
      <c r="AR17" s="432"/>
      <c r="AS17" s="432"/>
      <c r="AT17" s="432"/>
      <c r="AU17" s="432"/>
      <c r="AV17" s="432"/>
      <c r="AW17" s="432"/>
    </row>
    <row r="18" spans="1:133" ht="19.649999999999999" customHeight="1">
      <c r="A18" s="113" t="s">
        <v>551</v>
      </c>
      <c r="B18" s="911">
        <v>22.757918333210057</v>
      </c>
      <c r="C18" s="908" t="s">
        <v>33</v>
      </c>
      <c r="D18" s="909">
        <v>0</v>
      </c>
      <c r="E18" s="912">
        <f t="shared" si="0"/>
        <v>22.757918333210057</v>
      </c>
      <c r="F18" s="911">
        <v>45.515836666420114</v>
      </c>
      <c r="G18" s="908" t="s">
        <v>33</v>
      </c>
      <c r="H18" s="909">
        <v>0</v>
      </c>
      <c r="I18" s="433">
        <f t="shared" si="1"/>
        <v>45.515836666420114</v>
      </c>
      <c r="J18" s="1056">
        <f t="shared" si="3"/>
        <v>68.273754999630171</v>
      </c>
      <c r="K18" s="432"/>
      <c r="L18" s="432"/>
      <c r="M18" s="432"/>
      <c r="N18" s="432"/>
      <c r="O18" s="432"/>
      <c r="P18" s="432"/>
      <c r="Q18" s="432"/>
      <c r="R18" s="432"/>
      <c r="S18" s="432"/>
      <c r="T18" s="432"/>
      <c r="U18" s="432"/>
      <c r="V18" s="432"/>
      <c r="W18" s="432"/>
      <c r="X18" s="432"/>
      <c r="Y18" s="432"/>
      <c r="Z18" s="432"/>
      <c r="AA18" s="432"/>
      <c r="AB18" s="432"/>
      <c r="AC18" s="432"/>
      <c r="AD18" s="432"/>
      <c r="AE18" s="432"/>
      <c r="AF18" s="432"/>
      <c r="AG18" s="432"/>
      <c r="AH18" s="432"/>
      <c r="AI18" s="432"/>
      <c r="AJ18" s="432"/>
      <c r="AK18" s="432"/>
      <c r="AL18" s="432"/>
      <c r="AM18" s="432"/>
      <c r="AN18" s="432"/>
      <c r="AO18" s="432"/>
      <c r="AP18" s="432"/>
      <c r="AQ18" s="432"/>
      <c r="AR18" s="432"/>
      <c r="AS18" s="432"/>
      <c r="AT18" s="432"/>
      <c r="AU18" s="432"/>
      <c r="AV18" s="432"/>
      <c r="AW18" s="432"/>
    </row>
    <row r="19" spans="1:133" ht="19.649999999999999" customHeight="1">
      <c r="A19" s="113" t="s">
        <v>424</v>
      </c>
      <c r="B19" s="911">
        <v>193.44230583228551</v>
      </c>
      <c r="C19" s="908" t="s">
        <v>33</v>
      </c>
      <c r="D19" s="909">
        <v>0</v>
      </c>
      <c r="E19" s="912">
        <f t="shared" si="0"/>
        <v>193.44230583228551</v>
      </c>
      <c r="F19" s="911">
        <v>56.89479583302515</v>
      </c>
      <c r="G19" s="908" t="s">
        <v>33</v>
      </c>
      <c r="H19" s="909">
        <v>0</v>
      </c>
      <c r="I19" s="433">
        <f t="shared" si="1"/>
        <v>56.89479583302515</v>
      </c>
      <c r="J19" s="1056">
        <f t="shared" si="3"/>
        <v>250.33710166531066</v>
      </c>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2"/>
      <c r="AK19" s="432"/>
      <c r="AL19" s="432"/>
      <c r="AM19" s="432"/>
      <c r="AN19" s="432"/>
      <c r="AO19" s="432"/>
      <c r="AP19" s="432"/>
      <c r="AQ19" s="432"/>
      <c r="AR19" s="432"/>
      <c r="AS19" s="432"/>
      <c r="AT19" s="432"/>
      <c r="AU19" s="432"/>
      <c r="AV19" s="432"/>
      <c r="AW19" s="432"/>
    </row>
    <row r="20" spans="1:133" ht="20.75" customHeight="1" thickBot="1">
      <c r="A20" s="113" t="s">
        <v>552</v>
      </c>
      <c r="B20" s="911">
        <v>329.98981583154591</v>
      </c>
      <c r="C20" s="908" t="s">
        <v>33</v>
      </c>
      <c r="D20" s="909">
        <v>0</v>
      </c>
      <c r="E20" s="912">
        <f>IF(B20="not estimated","0", B20*(1-D20))</f>
        <v>329.98981583154591</v>
      </c>
      <c r="F20" s="911">
        <v>0</v>
      </c>
      <c r="G20" s="908" t="s">
        <v>33</v>
      </c>
      <c r="H20" s="909">
        <v>0</v>
      </c>
      <c r="I20" s="433">
        <f>IF(F20="not estimated","0", F20*(1-H20))</f>
        <v>0</v>
      </c>
      <c r="J20" s="1056">
        <f t="shared" si="3"/>
        <v>329.98981583154591</v>
      </c>
      <c r="K20" s="432"/>
      <c r="L20" s="432"/>
      <c r="M20" s="432"/>
      <c r="N20" s="432"/>
      <c r="O20" s="432"/>
      <c r="P20" s="432"/>
      <c r="Q20" s="432"/>
      <c r="R20" s="432"/>
      <c r="S20" s="432"/>
      <c r="T20" s="432"/>
      <c r="U20" s="432"/>
      <c r="V20" s="432"/>
      <c r="W20" s="432"/>
      <c r="X20" s="432"/>
      <c r="Y20" s="432"/>
      <c r="Z20" s="432"/>
      <c r="AA20" s="432"/>
      <c r="AB20" s="432"/>
      <c r="AC20" s="432"/>
      <c r="AD20" s="432"/>
      <c r="AE20" s="432"/>
      <c r="AF20" s="432"/>
      <c r="AG20" s="432"/>
      <c r="AH20" s="432"/>
      <c r="AI20" s="432"/>
      <c r="AJ20" s="432"/>
      <c r="AK20" s="432"/>
      <c r="AL20" s="432"/>
      <c r="AM20" s="432"/>
      <c r="AN20" s="432"/>
      <c r="AO20" s="432"/>
      <c r="AP20" s="432"/>
      <c r="AQ20" s="432"/>
      <c r="AR20" s="432"/>
      <c r="AS20" s="432"/>
      <c r="AT20" s="432"/>
      <c r="AU20" s="432"/>
      <c r="AV20" s="432"/>
      <c r="AW20" s="432"/>
    </row>
    <row r="21" spans="1:133" ht="20.75" customHeight="1" thickBot="1">
      <c r="A21" s="902" t="s">
        <v>554</v>
      </c>
      <c r="B21" s="914">
        <f>SUM(B7:B20)</f>
        <v>73906.339787099656</v>
      </c>
      <c r="C21" s="904"/>
      <c r="D21" s="905"/>
      <c r="E21" s="914">
        <f>SUM(E7:E20)</f>
        <v>73906.339787099656</v>
      </c>
      <c r="F21" s="914">
        <f>SUM(F8:F20)</f>
        <v>1820.6334666568048</v>
      </c>
      <c r="G21" s="903"/>
      <c r="H21" s="905"/>
      <c r="I21" s="914">
        <f>SUM(I7:I20)</f>
        <v>1832.0124258234098</v>
      </c>
      <c r="J21" s="1056">
        <f>I21+E21</f>
        <v>75738.35221292307</v>
      </c>
      <c r="K21" s="432"/>
      <c r="L21" s="432"/>
      <c r="M21" s="432"/>
      <c r="N21" s="432"/>
      <c r="O21" s="432"/>
      <c r="P21" s="432"/>
      <c r="Q21" s="432"/>
      <c r="R21" s="432"/>
      <c r="S21" s="432"/>
      <c r="T21" s="432"/>
      <c r="U21" s="432"/>
      <c r="V21" s="432"/>
      <c r="W21" s="432"/>
      <c r="X21" s="432"/>
      <c r="Y21" s="432"/>
      <c r="Z21" s="432"/>
      <c r="AA21" s="432"/>
      <c r="AB21" s="432"/>
      <c r="AC21" s="432"/>
      <c r="AD21" s="432"/>
      <c r="AE21" s="432"/>
      <c r="AF21" s="432"/>
      <c r="AG21" s="432"/>
      <c r="AH21" s="432"/>
      <c r="AI21" s="432"/>
      <c r="AJ21" s="432"/>
      <c r="AK21" s="432"/>
      <c r="AL21" s="432"/>
      <c r="AM21" s="432"/>
      <c r="AN21" s="432"/>
      <c r="AO21" s="432"/>
      <c r="AP21" s="432"/>
      <c r="AQ21" s="432"/>
      <c r="AR21" s="432"/>
      <c r="AS21" s="432"/>
      <c r="AT21" s="432"/>
      <c r="AU21" s="432"/>
      <c r="AV21" s="432"/>
      <c r="AW21" s="432"/>
    </row>
    <row r="22" spans="1:133" s="196" customFormat="1" ht="62">
      <c r="A22" s="434" t="s">
        <v>563</v>
      </c>
      <c r="B22" s="418" t="str">
        <f>CONCATENATE("Defensive Expenditure (DE)"," ", "(",'Proposition Summary'!$B$76,")")</f>
        <v>Defensive Expenditure (DE) (GBP (£))</v>
      </c>
      <c r="C22" s="435" t="s">
        <v>373</v>
      </c>
      <c r="D22" s="436" t="s">
        <v>296</v>
      </c>
      <c r="E22" s="421" t="str">
        <f>CONCATENATE("Corrected costs"," ", "(",'Proposition Summary'!$B$76,")")</f>
        <v>Corrected costs (GBP (£))</v>
      </c>
      <c r="F22" s="437" t="str">
        <f>CONCATENATE("Insurance Administration (IA)"," ", "(",'Proposition Summary'!$B$76,")")</f>
        <v>Insurance Administration (IA) (GBP (£))</v>
      </c>
      <c r="G22" s="438" t="s">
        <v>375</v>
      </c>
      <c r="H22" s="436" t="s">
        <v>296</v>
      </c>
      <c r="I22" s="421" t="str">
        <f>CONCATENATE("Corrected costs"," ", "(",'Proposition Summary'!$B$76,")")</f>
        <v>Corrected costs (GBP (£))</v>
      </c>
      <c r="J22" s="899" t="str">
        <f>CONCATENATE("Total costs in anticipation of crime"," ", "(",'Proposition Summary'!$B$76,")")</f>
        <v>Total costs in anticipation of crime (GBP (£))</v>
      </c>
      <c r="K22" s="432"/>
      <c r="L22" s="432"/>
      <c r="M22" s="432"/>
      <c r="N22" s="432"/>
      <c r="O22" s="432"/>
      <c r="P22" s="432"/>
      <c r="Q22" s="432"/>
      <c r="R22" s="432"/>
      <c r="S22" s="432"/>
      <c r="T22" s="432"/>
      <c r="U22" s="432"/>
      <c r="V22" s="432"/>
      <c r="W22" s="432"/>
      <c r="X22" s="432"/>
      <c r="Y22" s="432"/>
      <c r="Z22" s="432"/>
      <c r="AA22" s="432"/>
      <c r="AB22" s="432"/>
      <c r="AC22" s="432"/>
      <c r="AD22" s="432"/>
      <c r="AE22" s="432"/>
      <c r="AF22" s="432"/>
      <c r="AG22" s="432"/>
      <c r="AH22" s="432"/>
      <c r="AI22" s="432"/>
      <c r="AJ22" s="432"/>
      <c r="AK22" s="432"/>
      <c r="AL22" s="432"/>
      <c r="AM22" s="432"/>
      <c r="AN22" s="432"/>
      <c r="AO22" s="432"/>
      <c r="AP22" s="432"/>
      <c r="AQ22" s="432"/>
      <c r="AR22" s="432"/>
      <c r="AS22" s="432"/>
      <c r="AT22" s="432"/>
      <c r="AU22" s="432"/>
      <c r="AV22" s="432"/>
      <c r="AW22" s="432"/>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14"/>
      <c r="CN22" s="114"/>
      <c r="CO22" s="114"/>
      <c r="CP22" s="114"/>
      <c r="CQ22" s="114"/>
      <c r="CR22" s="114"/>
      <c r="CS22" s="114"/>
      <c r="CT22" s="114"/>
      <c r="CU22" s="114"/>
      <c r="CV22" s="114"/>
      <c r="CW22" s="114"/>
      <c r="CX22" s="114"/>
      <c r="CY22" s="114"/>
      <c r="CZ22" s="114"/>
      <c r="DA22" s="114"/>
      <c r="DB22" s="114"/>
      <c r="DC22" s="114"/>
      <c r="DD22" s="114"/>
      <c r="DE22" s="114"/>
      <c r="DF22" s="114"/>
      <c r="DG22" s="114"/>
      <c r="DH22" s="114"/>
      <c r="DI22" s="114"/>
      <c r="DJ22" s="114"/>
      <c r="DK22" s="114"/>
      <c r="DL22" s="114"/>
      <c r="DM22" s="114"/>
      <c r="DN22" s="114"/>
      <c r="DO22" s="114"/>
      <c r="DP22" s="114"/>
      <c r="DQ22" s="114"/>
      <c r="DR22" s="114"/>
      <c r="DS22" s="114"/>
      <c r="DT22" s="114"/>
      <c r="DU22" s="114"/>
      <c r="DV22" s="114"/>
      <c r="DW22" s="114"/>
      <c r="DX22" s="114"/>
      <c r="DY22" s="114"/>
      <c r="DZ22" s="114"/>
      <c r="EA22" s="114"/>
      <c r="EB22" s="114"/>
      <c r="EC22" s="114"/>
    </row>
    <row r="23" spans="1:133" s="196" customFormat="1">
      <c r="A23" s="113" t="s">
        <v>555</v>
      </c>
      <c r="B23" s="911">
        <v>2344.0655883206368</v>
      </c>
      <c r="C23" s="908" t="s">
        <v>33</v>
      </c>
      <c r="D23" s="909">
        <v>0</v>
      </c>
      <c r="E23" s="912">
        <f>IF(B23="not estimated","0", B23*(1-D23))</f>
        <v>2344.0655883206368</v>
      </c>
      <c r="F23" s="911">
        <v>273.0950199985208</v>
      </c>
      <c r="G23" s="908" t="s">
        <v>33</v>
      </c>
      <c r="H23" s="909">
        <v>0</v>
      </c>
      <c r="I23" s="912">
        <f t="shared" ref="I23:I29" si="4">IF(F23="not estimated","0", F23*(1-H23))</f>
        <v>273.0950199985208</v>
      </c>
      <c r="J23" s="1056">
        <f t="shared" ref="J23:J37" si="5">I23+E23</f>
        <v>2617.1606083191577</v>
      </c>
      <c r="K23" s="432"/>
      <c r="L23" s="432"/>
      <c r="M23" s="432"/>
      <c r="N23" s="432"/>
      <c r="O23" s="432"/>
      <c r="P23" s="432"/>
      <c r="Q23" s="432"/>
      <c r="R23" s="432"/>
      <c r="S23" s="432"/>
      <c r="T23" s="432"/>
      <c r="U23" s="432"/>
      <c r="V23" s="432"/>
      <c r="W23" s="432"/>
      <c r="X23" s="432"/>
      <c r="Y23" s="432"/>
      <c r="Z23" s="432"/>
      <c r="AA23" s="432"/>
      <c r="AB23" s="432"/>
      <c r="AC23" s="432"/>
      <c r="AD23" s="432"/>
      <c r="AE23" s="432"/>
      <c r="AF23" s="432"/>
      <c r="AG23" s="432"/>
      <c r="AH23" s="432"/>
      <c r="AI23" s="432"/>
      <c r="AJ23" s="432"/>
      <c r="AK23" s="432"/>
      <c r="AL23" s="432"/>
      <c r="AM23" s="432"/>
      <c r="AN23" s="432"/>
      <c r="AO23" s="432"/>
      <c r="AP23" s="432"/>
      <c r="AQ23" s="432"/>
      <c r="AR23" s="432"/>
      <c r="AS23" s="432"/>
      <c r="AT23" s="432"/>
      <c r="AU23" s="432"/>
      <c r="AV23" s="432"/>
      <c r="AW23" s="432"/>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c r="CK23" s="114"/>
      <c r="CL23" s="114"/>
      <c r="CM23" s="114"/>
      <c r="CN23" s="114"/>
      <c r="CO23" s="114"/>
      <c r="CP23" s="114"/>
      <c r="CQ23" s="114"/>
      <c r="CR23" s="114"/>
      <c r="CS23" s="114"/>
      <c r="CT23" s="114"/>
      <c r="CU23" s="114"/>
      <c r="CV23" s="114"/>
      <c r="CW23" s="114"/>
      <c r="CX23" s="114"/>
      <c r="CY23" s="114"/>
      <c r="CZ23" s="114"/>
      <c r="DA23" s="114"/>
      <c r="DB23" s="114"/>
      <c r="DC23" s="114"/>
      <c r="DD23" s="114"/>
      <c r="DE23" s="114"/>
      <c r="DF23" s="114"/>
      <c r="DG23" s="114"/>
      <c r="DH23" s="114"/>
      <c r="DI23" s="114"/>
      <c r="DJ23" s="114"/>
      <c r="DK23" s="114"/>
      <c r="DL23" s="114"/>
      <c r="DM23" s="114"/>
      <c r="DN23" s="114"/>
      <c r="DO23" s="114"/>
      <c r="DP23" s="114"/>
      <c r="DQ23" s="114"/>
      <c r="DR23" s="114"/>
      <c r="DS23" s="114"/>
      <c r="DT23" s="114"/>
      <c r="DU23" s="114"/>
      <c r="DV23" s="114"/>
      <c r="DW23" s="114"/>
      <c r="DX23" s="114"/>
      <c r="DY23" s="114"/>
      <c r="DZ23" s="114"/>
      <c r="EA23" s="114"/>
      <c r="EB23" s="114"/>
      <c r="EC23" s="114"/>
    </row>
    <row r="24" spans="1:133" s="196" customFormat="1" ht="19.649999999999999" customHeight="1">
      <c r="A24" s="113" t="s">
        <v>556</v>
      </c>
      <c r="B24" s="911">
        <v>8158.7137224558064</v>
      </c>
      <c r="C24" s="908" t="s">
        <v>33</v>
      </c>
      <c r="D24" s="909">
        <v>0</v>
      </c>
      <c r="E24" s="912">
        <f>IF(B24="not estimated","0", B24*(1-D24))</f>
        <v>8158.7137224558064</v>
      </c>
      <c r="F24" s="911">
        <v>978.59048832803262</v>
      </c>
      <c r="G24" s="908" t="s">
        <v>33</v>
      </c>
      <c r="H24" s="909">
        <v>0</v>
      </c>
      <c r="I24" s="912">
        <f t="shared" si="4"/>
        <v>978.59048832803262</v>
      </c>
      <c r="J24" s="1056">
        <f t="shared" si="5"/>
        <v>9137.3042107838392</v>
      </c>
      <c r="K24" s="432"/>
      <c r="L24" s="432"/>
      <c r="M24" s="432"/>
      <c r="N24" s="432"/>
      <c r="O24" s="432"/>
      <c r="P24" s="432"/>
      <c r="Q24" s="432"/>
      <c r="R24" s="432"/>
      <c r="S24" s="432"/>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c r="AT24" s="432"/>
      <c r="AU24" s="432"/>
      <c r="AV24" s="432"/>
      <c r="AW24" s="432"/>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c r="CK24" s="114"/>
      <c r="CL24" s="114"/>
      <c r="CM24" s="114"/>
      <c r="CN24" s="114"/>
      <c r="CO24" s="114"/>
      <c r="CP24" s="114"/>
      <c r="CQ24" s="114"/>
      <c r="CR24" s="114"/>
      <c r="CS24" s="114"/>
      <c r="CT24" s="114"/>
      <c r="CU24" s="114"/>
      <c r="CV24" s="114"/>
      <c r="CW24" s="114"/>
      <c r="CX24" s="114"/>
      <c r="CY24" s="114"/>
      <c r="CZ24" s="114"/>
      <c r="DA24" s="114"/>
      <c r="DB24" s="114"/>
      <c r="DC24" s="114"/>
      <c r="DD24" s="114"/>
      <c r="DE24" s="114"/>
      <c r="DF24" s="114"/>
      <c r="DG24" s="114"/>
      <c r="DH24" s="114"/>
      <c r="DI24" s="114"/>
      <c r="DJ24" s="114"/>
      <c r="DK24" s="114"/>
      <c r="DL24" s="114"/>
      <c r="DM24" s="114"/>
      <c r="DN24" s="114"/>
      <c r="DO24" s="114"/>
      <c r="DP24" s="114"/>
      <c r="DQ24" s="114"/>
      <c r="DR24" s="114"/>
      <c r="DS24" s="114"/>
      <c r="DT24" s="114"/>
      <c r="DU24" s="114"/>
      <c r="DV24" s="114"/>
      <c r="DW24" s="114"/>
      <c r="DX24" s="114"/>
      <c r="DY24" s="114"/>
      <c r="DZ24" s="114"/>
      <c r="EA24" s="114"/>
      <c r="EB24" s="114"/>
      <c r="EC24" s="114"/>
    </row>
    <row r="25" spans="1:133" s="196" customFormat="1" ht="19.649999999999999" customHeight="1">
      <c r="A25" s="113" t="s">
        <v>557</v>
      </c>
      <c r="B25" s="911">
        <v>238.95814249870563</v>
      </c>
      <c r="C25" s="908" t="s">
        <v>33</v>
      </c>
      <c r="D25" s="909">
        <v>0</v>
      </c>
      <c r="E25" s="912">
        <f>IF(B25="not estimated","0", B25*(1-D25))</f>
        <v>238.95814249870563</v>
      </c>
      <c r="F25" s="911">
        <v>11.378959166605028</v>
      </c>
      <c r="G25" s="908" t="s">
        <v>33</v>
      </c>
      <c r="H25" s="909">
        <v>0</v>
      </c>
      <c r="I25" s="912">
        <f t="shared" si="4"/>
        <v>11.378959166605028</v>
      </c>
      <c r="J25" s="1056">
        <f t="shared" si="5"/>
        <v>250.33710166531066</v>
      </c>
      <c r="K25" s="432"/>
      <c r="L25" s="432"/>
      <c r="M25" s="432"/>
      <c r="N25" s="432"/>
      <c r="O25" s="432"/>
      <c r="P25" s="432"/>
      <c r="Q25" s="432"/>
      <c r="R25" s="432"/>
      <c r="S25" s="432"/>
      <c r="T25" s="432"/>
      <c r="U25" s="432"/>
      <c r="V25" s="432"/>
      <c r="W25" s="432"/>
      <c r="X25" s="432"/>
      <c r="Y25" s="432"/>
      <c r="Z25" s="432"/>
      <c r="AA25" s="432"/>
      <c r="AB25" s="432"/>
      <c r="AC25" s="432"/>
      <c r="AD25" s="432"/>
      <c r="AE25" s="432"/>
      <c r="AF25" s="432"/>
      <c r="AG25" s="432"/>
      <c r="AH25" s="432"/>
      <c r="AI25" s="432"/>
      <c r="AJ25" s="432"/>
      <c r="AK25" s="432"/>
      <c r="AL25" s="432"/>
      <c r="AM25" s="432"/>
      <c r="AN25" s="432"/>
      <c r="AO25" s="432"/>
      <c r="AP25" s="432"/>
      <c r="AQ25" s="432"/>
      <c r="AR25" s="432"/>
      <c r="AS25" s="432"/>
      <c r="AT25" s="432"/>
      <c r="AU25" s="432"/>
      <c r="AV25" s="432"/>
      <c r="AW25" s="432"/>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14"/>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row>
    <row r="26" spans="1:133" s="196" customFormat="1" ht="19.649999999999999" customHeight="1">
      <c r="A26" s="113" t="s">
        <v>408</v>
      </c>
      <c r="B26" s="911">
        <v>4597.0995033084309</v>
      </c>
      <c r="C26" s="908" t="s">
        <v>33</v>
      </c>
      <c r="D26" s="909">
        <v>0</v>
      </c>
      <c r="E26" s="912">
        <f>IF(B26="not estimated","0", B26*(1-D26))</f>
        <v>4597.0995033084309</v>
      </c>
      <c r="F26" s="911">
        <v>2139.2443233217459</v>
      </c>
      <c r="G26" s="908" t="s">
        <v>33</v>
      </c>
      <c r="H26" s="909">
        <v>0</v>
      </c>
      <c r="I26" s="912">
        <f t="shared" si="4"/>
        <v>2139.2443233217459</v>
      </c>
      <c r="J26" s="1056">
        <f t="shared" si="5"/>
        <v>6736.3438266301764</v>
      </c>
      <c r="K26" s="432"/>
      <c r="L26" s="432"/>
      <c r="M26" s="432"/>
      <c r="N26" s="432"/>
      <c r="O26" s="432"/>
      <c r="P26" s="432"/>
      <c r="Q26" s="432"/>
      <c r="R26" s="432"/>
      <c r="S26" s="432"/>
      <c r="T26" s="432"/>
      <c r="U26" s="432"/>
      <c r="V26" s="432"/>
      <c r="W26" s="432"/>
      <c r="X26" s="432"/>
      <c r="Y26" s="432"/>
      <c r="Z26" s="432"/>
      <c r="AA26" s="432"/>
      <c r="AB26" s="432"/>
      <c r="AC26" s="432"/>
      <c r="AD26" s="432"/>
      <c r="AE26" s="432"/>
      <c r="AF26" s="432"/>
      <c r="AG26" s="432"/>
      <c r="AH26" s="432"/>
      <c r="AI26" s="432"/>
      <c r="AJ26" s="432"/>
      <c r="AK26" s="432"/>
      <c r="AL26" s="432"/>
      <c r="AM26" s="432"/>
      <c r="AN26" s="432"/>
      <c r="AO26" s="432"/>
      <c r="AP26" s="432"/>
      <c r="AQ26" s="432"/>
      <c r="AR26" s="432"/>
      <c r="AS26" s="432"/>
      <c r="AT26" s="432"/>
      <c r="AU26" s="432"/>
      <c r="AV26" s="432"/>
      <c r="AW26" s="432"/>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row>
    <row r="27" spans="1:133" s="196" customFormat="1" ht="19.649999999999999" customHeight="1">
      <c r="A27" s="113" t="s">
        <v>409</v>
      </c>
      <c r="B27" s="911">
        <v>250.33710166531066</v>
      </c>
      <c r="C27" s="908" t="s">
        <v>33</v>
      </c>
      <c r="D27" s="909">
        <v>0</v>
      </c>
      <c r="E27" s="912">
        <f>IF(B27="not estimated","0", B27*(1-D27))</f>
        <v>250.33710166531066</v>
      </c>
      <c r="F27" s="911">
        <v>22.757918333210057</v>
      </c>
      <c r="G27" s="908" t="s">
        <v>33</v>
      </c>
      <c r="H27" s="909">
        <v>0</v>
      </c>
      <c r="I27" s="912">
        <f t="shared" si="4"/>
        <v>22.757918333210057</v>
      </c>
      <c r="J27" s="1056">
        <f t="shared" si="5"/>
        <v>273.09501999852068</v>
      </c>
      <c r="K27" s="432"/>
      <c r="L27" s="432"/>
      <c r="M27" s="432"/>
      <c r="N27" s="432"/>
      <c r="O27" s="432"/>
      <c r="P27" s="432"/>
      <c r="Q27" s="432"/>
      <c r="R27" s="432"/>
      <c r="S27" s="432"/>
      <c r="T27" s="432"/>
      <c r="U27" s="432"/>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row>
    <row r="28" spans="1:133" s="196" customFormat="1" ht="19.649999999999999" customHeight="1">
      <c r="A28" s="113" t="s">
        <v>558</v>
      </c>
      <c r="B28" s="911">
        <v>1479.2646916586536</v>
      </c>
      <c r="C28" s="908" t="s">
        <v>33</v>
      </c>
      <c r="D28" s="909">
        <v>0</v>
      </c>
      <c r="E28" s="912">
        <f t="shared" ref="E28" si="6">IF(B28="not estimated","0", B28*(1-D28))</f>
        <v>1479.2646916586536</v>
      </c>
      <c r="F28" s="911">
        <v>603.0848358300666</v>
      </c>
      <c r="G28" s="908" t="s">
        <v>33</v>
      </c>
      <c r="H28" s="909">
        <v>0</v>
      </c>
      <c r="I28" s="912">
        <f t="shared" si="4"/>
        <v>603.0848358300666</v>
      </c>
      <c r="J28" s="1056">
        <f t="shared" si="5"/>
        <v>2082.34952748872</v>
      </c>
      <c r="K28" s="432"/>
      <c r="L28" s="432"/>
      <c r="M28" s="432"/>
      <c r="N28" s="432"/>
      <c r="O28" s="432"/>
      <c r="P28" s="432"/>
      <c r="Q28" s="432"/>
      <c r="R28" s="432"/>
      <c r="S28" s="432"/>
      <c r="T28" s="432"/>
      <c r="U28" s="432"/>
      <c r="V28" s="432"/>
      <c r="W28" s="432"/>
      <c r="X28" s="432"/>
      <c r="Y28" s="432"/>
      <c r="Z28" s="432"/>
      <c r="AA28" s="432"/>
      <c r="AB28" s="432"/>
      <c r="AC28" s="432"/>
      <c r="AD28" s="432"/>
      <c r="AE28" s="432"/>
      <c r="AF28" s="432"/>
      <c r="AG28" s="432"/>
      <c r="AH28" s="432"/>
      <c r="AI28" s="432"/>
      <c r="AJ28" s="432"/>
      <c r="AK28" s="432"/>
      <c r="AL28" s="432"/>
      <c r="AM28" s="432"/>
      <c r="AN28" s="432"/>
      <c r="AO28" s="432"/>
      <c r="AP28" s="432"/>
      <c r="AQ28" s="432"/>
      <c r="AR28" s="432"/>
      <c r="AS28" s="432"/>
      <c r="AT28" s="432"/>
      <c r="AU28" s="432"/>
      <c r="AV28" s="432"/>
      <c r="AW28" s="432"/>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14"/>
      <c r="DY28" s="114"/>
      <c r="DZ28" s="114"/>
      <c r="EA28" s="114"/>
      <c r="EB28" s="114"/>
      <c r="EC28" s="114"/>
    </row>
    <row r="29" spans="1:133" s="196" customFormat="1" ht="20.75" customHeight="1" thickBot="1">
      <c r="A29" s="113" t="s">
        <v>559</v>
      </c>
      <c r="B29" s="913">
        <v>238.95814249870563</v>
      </c>
      <c r="C29" s="908" t="s">
        <v>33</v>
      </c>
      <c r="D29" s="909">
        <v>0</v>
      </c>
      <c r="E29" s="912">
        <f t="shared" ref="E29" si="7">IF(B29="not estimated","0", B29*(1-D29))</f>
        <v>238.95814249870563</v>
      </c>
      <c r="F29" s="913">
        <v>125.16855083265533</v>
      </c>
      <c r="G29" s="908" t="s">
        <v>33</v>
      </c>
      <c r="H29" s="909">
        <v>0</v>
      </c>
      <c r="I29" s="912">
        <f t="shared" si="4"/>
        <v>125.16855083265533</v>
      </c>
      <c r="J29" s="1056">
        <f t="shared" si="5"/>
        <v>364.12669333136097</v>
      </c>
      <c r="K29" s="432"/>
      <c r="L29" s="432"/>
      <c r="M29" s="432"/>
      <c r="N29" s="432"/>
      <c r="O29" s="432"/>
      <c r="P29" s="432"/>
      <c r="Q29" s="432"/>
      <c r="R29" s="432"/>
      <c r="S29" s="432"/>
      <c r="T29" s="432"/>
      <c r="U29" s="432"/>
      <c r="V29" s="432"/>
      <c r="W29" s="432"/>
      <c r="X29" s="432"/>
      <c r="Y29" s="432"/>
      <c r="Z29" s="432"/>
      <c r="AA29" s="432"/>
      <c r="AB29" s="432"/>
      <c r="AC29" s="432"/>
      <c r="AD29" s="432"/>
      <c r="AE29" s="432"/>
      <c r="AF29" s="432"/>
      <c r="AG29" s="432"/>
      <c r="AH29" s="432"/>
      <c r="AI29" s="432"/>
      <c r="AJ29" s="432"/>
      <c r="AK29" s="432"/>
      <c r="AL29" s="432"/>
      <c r="AM29" s="432"/>
      <c r="AN29" s="432"/>
      <c r="AO29" s="432"/>
      <c r="AP29" s="432"/>
      <c r="AQ29" s="432"/>
      <c r="AR29" s="432"/>
      <c r="AS29" s="432"/>
      <c r="AT29" s="432"/>
      <c r="AU29" s="432"/>
      <c r="AV29" s="432"/>
      <c r="AW29" s="432"/>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14"/>
      <c r="CP29" s="114"/>
      <c r="CQ29" s="114"/>
      <c r="CR29" s="114"/>
      <c r="CS29" s="114"/>
      <c r="CT29" s="114"/>
      <c r="CU29" s="114"/>
      <c r="CV29" s="114"/>
      <c r="CW29" s="114"/>
      <c r="CX29" s="114"/>
      <c r="CY29" s="114"/>
      <c r="CZ29" s="114"/>
      <c r="DA29" s="114"/>
      <c r="DB29" s="114"/>
      <c r="DC29" s="114"/>
      <c r="DD29" s="114"/>
      <c r="DE29" s="114"/>
      <c r="DF29" s="114"/>
      <c r="DG29" s="114"/>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row>
    <row r="30" spans="1:133" s="196" customFormat="1" ht="20.75" customHeight="1" thickBot="1">
      <c r="A30" s="902" t="s">
        <v>560</v>
      </c>
      <c r="B30" s="914">
        <f>SUM(B23:B29)</f>
        <v>17307.39689240625</v>
      </c>
      <c r="C30" s="903"/>
      <c r="D30" s="905"/>
      <c r="E30" s="914">
        <f>SUM(E23:E29)</f>
        <v>17307.39689240625</v>
      </c>
      <c r="F30" s="914">
        <f>SUM(F23:F29)</f>
        <v>4153.3200958108364</v>
      </c>
      <c r="G30" s="903"/>
      <c r="H30" s="905"/>
      <c r="I30" s="914">
        <f>SUM(I23:I29)</f>
        <v>4153.3200958108364</v>
      </c>
      <c r="J30" s="1056">
        <f>I30+E30</f>
        <v>21460.716988217086</v>
      </c>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2"/>
      <c r="AK30" s="432"/>
      <c r="AL30" s="432"/>
      <c r="AM30" s="432"/>
      <c r="AN30" s="432"/>
      <c r="AO30" s="432"/>
      <c r="AP30" s="432"/>
      <c r="AQ30" s="432"/>
      <c r="AR30" s="432"/>
      <c r="AS30" s="432"/>
      <c r="AT30" s="432"/>
      <c r="AU30" s="432"/>
      <c r="AV30" s="432"/>
      <c r="AW30" s="432"/>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14"/>
      <c r="CP30" s="114"/>
      <c r="CQ30" s="114"/>
      <c r="CR30" s="114"/>
      <c r="CS30" s="114"/>
      <c r="CT30" s="114"/>
      <c r="CU30" s="114"/>
      <c r="CV30" s="114"/>
      <c r="CW30" s="114"/>
      <c r="CX30" s="114"/>
      <c r="CY30" s="114"/>
      <c r="CZ30" s="114"/>
      <c r="DA30" s="114"/>
      <c r="DB30" s="114"/>
      <c r="DC30" s="114"/>
      <c r="DD30" s="114"/>
      <c r="DE30" s="114"/>
      <c r="DF30" s="114"/>
      <c r="DG30" s="114"/>
      <c r="DH30" s="114"/>
      <c r="DI30" s="114"/>
      <c r="DJ30" s="114"/>
      <c r="DK30" s="114"/>
      <c r="DL30" s="114"/>
      <c r="DM30" s="114"/>
      <c r="DN30" s="114"/>
      <c r="DO30" s="114"/>
      <c r="DP30" s="114"/>
      <c r="DQ30" s="114"/>
      <c r="DR30" s="114"/>
      <c r="DS30" s="114"/>
      <c r="DT30" s="114"/>
      <c r="DU30" s="114"/>
      <c r="DV30" s="114"/>
      <c r="DW30" s="114"/>
      <c r="DX30" s="114"/>
      <c r="DY30" s="114"/>
      <c r="DZ30" s="114"/>
      <c r="EA30" s="114"/>
      <c r="EB30" s="114"/>
      <c r="EC30" s="114"/>
    </row>
    <row r="31" spans="1:133" s="196" customFormat="1" ht="78.75" customHeight="1">
      <c r="A31" s="439" t="s">
        <v>513</v>
      </c>
      <c r="B31" s="418" t="str">
        <f>CONCATENATE("Defensive Expenditure (DE)"," ", "(",'Proposition Summary'!$B$76,")")</f>
        <v>Defensive Expenditure (DE) (GBP (£))</v>
      </c>
      <c r="C31" s="435" t="s">
        <v>373</v>
      </c>
      <c r="D31" s="436" t="s">
        <v>296</v>
      </c>
      <c r="E31" s="421" t="str">
        <f>CONCATENATE("Corrected costs"," ", "(",'Proposition Summary'!$B$76,")")</f>
        <v>Corrected costs (GBP (£))</v>
      </c>
      <c r="F31" s="437" t="str">
        <f>CONCATENATE("Insurance Administration (IA)"," ", "(",'Proposition Summary'!$B$76,")")</f>
        <v>Insurance Administration (IA) (GBP (£))</v>
      </c>
      <c r="G31" s="438" t="s">
        <v>375</v>
      </c>
      <c r="H31" s="436" t="s">
        <v>296</v>
      </c>
      <c r="I31" s="421" t="str">
        <f>CONCATENATE("Corrected costs"," ", "(",'Proposition Summary'!$B$76,")")</f>
        <v>Corrected costs (GBP (£))</v>
      </c>
      <c r="J31" s="899" t="str">
        <f>CONCATENATE("Total costs in anticipation of crime"," ", "(",'Proposition Summary'!$B$76,")")</f>
        <v>Total costs in anticipation of crime (GBP (£))</v>
      </c>
      <c r="K31" s="432"/>
      <c r="L31" s="432"/>
      <c r="M31" s="432"/>
      <c r="N31" s="432"/>
      <c r="O31" s="432"/>
      <c r="P31" s="432"/>
      <c r="Q31" s="432"/>
      <c r="R31" s="432"/>
      <c r="S31" s="432"/>
      <c r="T31" s="432"/>
      <c r="U31" s="432"/>
      <c r="V31" s="432"/>
      <c r="W31" s="432"/>
      <c r="X31" s="432"/>
      <c r="Y31" s="432"/>
      <c r="Z31" s="432"/>
      <c r="AA31" s="432"/>
      <c r="AB31" s="432"/>
      <c r="AC31" s="432"/>
      <c r="AD31" s="432"/>
      <c r="AE31" s="432"/>
      <c r="AF31" s="432"/>
      <c r="AG31" s="432"/>
      <c r="AH31" s="432"/>
      <c r="AI31" s="432"/>
      <c r="AJ31" s="432"/>
      <c r="AK31" s="432"/>
      <c r="AL31" s="432"/>
      <c r="AM31" s="432"/>
      <c r="AN31" s="432"/>
      <c r="AO31" s="432"/>
      <c r="AP31" s="432"/>
      <c r="AQ31" s="432"/>
      <c r="AR31" s="432"/>
      <c r="AS31" s="432"/>
      <c r="AT31" s="432"/>
      <c r="AU31" s="432"/>
      <c r="AV31" s="432"/>
      <c r="AW31" s="432"/>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14"/>
      <c r="CP31" s="114"/>
      <c r="CQ31" s="114"/>
      <c r="CR31" s="114"/>
      <c r="CS31" s="114"/>
      <c r="CT31" s="114"/>
      <c r="CU31" s="114"/>
      <c r="CV31" s="114"/>
      <c r="CW31" s="114"/>
      <c r="CX31" s="114"/>
      <c r="CY31" s="114"/>
      <c r="CZ31" s="114"/>
      <c r="DA31" s="114"/>
      <c r="DB31" s="114"/>
      <c r="DC31" s="114"/>
      <c r="DD31" s="114"/>
      <c r="DE31" s="114"/>
      <c r="DF31" s="114"/>
      <c r="DG31" s="114"/>
      <c r="DH31" s="114"/>
      <c r="DI31" s="114"/>
      <c r="DJ31" s="114"/>
      <c r="DK31" s="114"/>
      <c r="DL31" s="114"/>
      <c r="DM31" s="114"/>
      <c r="DN31" s="114"/>
      <c r="DO31" s="114"/>
      <c r="DP31" s="114"/>
      <c r="DQ31" s="114"/>
      <c r="DR31" s="114"/>
      <c r="DS31" s="114"/>
      <c r="DT31" s="114"/>
      <c r="DU31" s="114"/>
      <c r="DV31" s="114"/>
      <c r="DW31" s="114"/>
      <c r="DX31" s="114"/>
      <c r="DY31" s="114"/>
      <c r="DZ31" s="114"/>
      <c r="EA31" s="114"/>
      <c r="EB31" s="114"/>
      <c r="EC31" s="114"/>
    </row>
    <row r="32" spans="1:133" s="196" customFormat="1" ht="39.5" customHeight="1">
      <c r="A32" s="440" t="s">
        <v>421</v>
      </c>
      <c r="B32" s="907" t="s">
        <v>429</v>
      </c>
      <c r="C32" s="908" t="s">
        <v>33</v>
      </c>
      <c r="D32" s="909">
        <v>0</v>
      </c>
      <c r="E32" s="433" t="str">
        <f>IF(B32="not estimated","0", B32*(1-D32))</f>
        <v>0</v>
      </c>
      <c r="F32" s="907" t="s">
        <v>429</v>
      </c>
      <c r="G32" s="908" t="s">
        <v>33</v>
      </c>
      <c r="H32" s="909">
        <v>0</v>
      </c>
      <c r="I32" s="433" t="str">
        <f t="shared" ref="I32:I37" si="8">IF(F32="not estimated","0", F32*(1-H32))</f>
        <v>0</v>
      </c>
      <c r="J32" s="901">
        <f t="shared" si="5"/>
        <v>0</v>
      </c>
      <c r="K32" s="432"/>
      <c r="L32" s="432"/>
      <c r="M32" s="432"/>
      <c r="N32" s="432"/>
      <c r="O32" s="432"/>
      <c r="P32" s="432"/>
      <c r="Q32" s="432"/>
      <c r="R32" s="432"/>
      <c r="S32" s="432"/>
      <c r="T32" s="432"/>
      <c r="U32" s="432"/>
      <c r="V32" s="432"/>
      <c r="W32" s="432"/>
      <c r="X32" s="432"/>
      <c r="Y32" s="432"/>
      <c r="Z32" s="432"/>
      <c r="AA32" s="432"/>
      <c r="AB32" s="432"/>
      <c r="AC32" s="432"/>
      <c r="AD32" s="432"/>
      <c r="AE32" s="432"/>
      <c r="AF32" s="432"/>
      <c r="AG32" s="432"/>
      <c r="AH32" s="432"/>
      <c r="AI32" s="432"/>
      <c r="AJ32" s="432"/>
      <c r="AK32" s="432"/>
      <c r="AL32" s="432"/>
      <c r="AM32" s="432"/>
      <c r="AN32" s="432"/>
      <c r="AO32" s="432"/>
      <c r="AP32" s="432"/>
      <c r="AQ32" s="432"/>
      <c r="AR32" s="432"/>
      <c r="AS32" s="432"/>
      <c r="AT32" s="432"/>
      <c r="AU32" s="432"/>
      <c r="AV32" s="432"/>
      <c r="AW32" s="432"/>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14"/>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c r="DL32" s="114"/>
      <c r="DM32" s="114"/>
      <c r="DN32" s="114"/>
      <c r="DO32" s="114"/>
      <c r="DP32" s="114"/>
      <c r="DQ32" s="114"/>
      <c r="DR32" s="114"/>
      <c r="DS32" s="114"/>
      <c r="DT32" s="114"/>
      <c r="DU32" s="114"/>
      <c r="DV32" s="114"/>
      <c r="DW32" s="114"/>
      <c r="DX32" s="114"/>
      <c r="DY32" s="114"/>
      <c r="DZ32" s="114"/>
      <c r="EA32" s="114"/>
      <c r="EB32" s="114"/>
      <c r="EC32" s="114"/>
    </row>
    <row r="33" spans="1:133" s="196" customFormat="1" ht="39.5" customHeight="1">
      <c r="A33" s="440" t="s">
        <v>422</v>
      </c>
      <c r="B33" s="907" t="s">
        <v>429</v>
      </c>
      <c r="C33" s="908" t="s">
        <v>33</v>
      </c>
      <c r="D33" s="909">
        <v>0</v>
      </c>
      <c r="E33" s="433" t="str">
        <f>IF(B33="not estimated","0", B33*(1-D33))</f>
        <v>0</v>
      </c>
      <c r="F33" s="907" t="s">
        <v>429</v>
      </c>
      <c r="G33" s="908" t="s">
        <v>33</v>
      </c>
      <c r="H33" s="909">
        <v>0</v>
      </c>
      <c r="I33" s="433" t="str">
        <f t="shared" si="8"/>
        <v>0</v>
      </c>
      <c r="J33" s="901">
        <f t="shared" si="5"/>
        <v>0</v>
      </c>
      <c r="K33" s="432"/>
      <c r="L33" s="432"/>
      <c r="M33" s="432"/>
      <c r="N33" s="432"/>
      <c r="O33" s="432"/>
      <c r="P33" s="432"/>
      <c r="Q33" s="432"/>
      <c r="R33" s="432"/>
      <c r="S33" s="432"/>
      <c r="T33" s="432"/>
      <c r="U33" s="432"/>
      <c r="V33" s="432"/>
      <c r="W33" s="432"/>
      <c r="X33" s="432"/>
      <c r="Y33" s="432"/>
      <c r="Z33" s="432"/>
      <c r="AA33" s="432"/>
      <c r="AB33" s="432"/>
      <c r="AC33" s="432"/>
      <c r="AD33" s="432"/>
      <c r="AE33" s="432"/>
      <c r="AF33" s="432"/>
      <c r="AG33" s="432"/>
      <c r="AH33" s="432"/>
      <c r="AI33" s="432"/>
      <c r="AJ33" s="432"/>
      <c r="AK33" s="432"/>
      <c r="AL33" s="432"/>
      <c r="AM33" s="432"/>
      <c r="AN33" s="432"/>
      <c r="AO33" s="432"/>
      <c r="AP33" s="432"/>
      <c r="AQ33" s="432"/>
      <c r="AR33" s="432"/>
      <c r="AS33" s="432"/>
      <c r="AT33" s="432"/>
      <c r="AU33" s="432"/>
      <c r="AV33" s="432"/>
      <c r="AW33" s="432"/>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14"/>
      <c r="DY33" s="114"/>
      <c r="DZ33" s="114"/>
      <c r="EA33" s="114"/>
      <c r="EB33" s="114"/>
      <c r="EC33" s="114"/>
    </row>
    <row r="34" spans="1:133" s="196" customFormat="1" ht="19.649999999999999" customHeight="1">
      <c r="A34" s="440" t="s">
        <v>514</v>
      </c>
      <c r="B34" s="907" t="s">
        <v>429</v>
      </c>
      <c r="C34" s="908" t="s">
        <v>33</v>
      </c>
      <c r="D34" s="909">
        <v>0</v>
      </c>
      <c r="E34" s="433" t="str">
        <f>IF(B34="not estimated","0", B34*(1-D34))</f>
        <v>0</v>
      </c>
      <c r="F34" s="907" t="s">
        <v>429</v>
      </c>
      <c r="G34" s="908" t="s">
        <v>33</v>
      </c>
      <c r="H34" s="909">
        <v>0</v>
      </c>
      <c r="I34" s="433" t="str">
        <f t="shared" si="8"/>
        <v>0</v>
      </c>
      <c r="J34" s="901">
        <f t="shared" si="5"/>
        <v>0</v>
      </c>
      <c r="K34" s="432"/>
      <c r="L34" s="432"/>
      <c r="M34" s="432"/>
      <c r="N34" s="432"/>
      <c r="O34" s="432"/>
      <c r="P34" s="432"/>
      <c r="Q34" s="432"/>
      <c r="R34" s="432"/>
      <c r="S34" s="432"/>
      <c r="T34" s="432"/>
      <c r="U34" s="432"/>
      <c r="V34" s="432"/>
      <c r="W34" s="432"/>
      <c r="X34" s="432"/>
      <c r="Y34" s="432"/>
      <c r="Z34" s="432"/>
      <c r="AA34" s="432"/>
      <c r="AB34" s="432"/>
      <c r="AC34" s="432"/>
      <c r="AD34" s="432"/>
      <c r="AE34" s="432"/>
      <c r="AF34" s="432"/>
      <c r="AG34" s="432"/>
      <c r="AH34" s="432"/>
      <c r="AI34" s="432"/>
      <c r="AJ34" s="432"/>
      <c r="AK34" s="432"/>
      <c r="AL34" s="432"/>
      <c r="AM34" s="432"/>
      <c r="AN34" s="432"/>
      <c r="AO34" s="432"/>
      <c r="AP34" s="432"/>
      <c r="AQ34" s="432"/>
      <c r="AR34" s="432"/>
      <c r="AS34" s="432"/>
      <c r="AT34" s="432"/>
      <c r="AU34" s="432"/>
      <c r="AV34" s="432"/>
      <c r="AW34" s="432"/>
      <c r="AX34" s="114"/>
      <c r="AY34" s="114"/>
      <c r="AZ34" s="114"/>
      <c r="BA34" s="114"/>
      <c r="BB34" s="114"/>
      <c r="BC34" s="114"/>
      <c r="BD34" s="114"/>
      <c r="BE34" s="114"/>
      <c r="BF34" s="114"/>
      <c r="BG34" s="114"/>
      <c r="BH34" s="114"/>
      <c r="BI34" s="114"/>
      <c r="BJ34" s="114"/>
      <c r="BK34" s="114"/>
      <c r="BL34" s="114"/>
      <c r="BM34" s="114"/>
      <c r="BN34" s="114"/>
      <c r="BO34" s="114"/>
      <c r="BP34" s="114"/>
      <c r="BQ34" s="114"/>
      <c r="BR34" s="114"/>
      <c r="BS34" s="114"/>
      <c r="BT34" s="114"/>
      <c r="BU34" s="114"/>
      <c r="BV34" s="114"/>
      <c r="BW34" s="114"/>
      <c r="BX34" s="114"/>
      <c r="BY34" s="114"/>
      <c r="BZ34" s="114"/>
      <c r="CA34" s="114"/>
      <c r="CB34" s="114"/>
      <c r="CC34" s="114"/>
      <c r="CD34" s="114"/>
      <c r="CE34" s="114"/>
      <c r="CF34" s="114"/>
      <c r="CG34" s="114"/>
      <c r="CH34" s="114"/>
      <c r="CI34" s="114"/>
      <c r="CJ34" s="114"/>
      <c r="CK34" s="114"/>
      <c r="CL34" s="114"/>
      <c r="CM34" s="114"/>
      <c r="CN34" s="114"/>
      <c r="CO34" s="114"/>
      <c r="CP34" s="114"/>
      <c r="CQ34" s="114"/>
      <c r="CR34" s="114"/>
      <c r="CS34" s="114"/>
      <c r="CT34" s="114"/>
      <c r="CU34" s="114"/>
      <c r="CV34" s="114"/>
      <c r="CW34" s="114"/>
      <c r="CX34" s="114"/>
      <c r="CY34" s="114"/>
      <c r="CZ34" s="114"/>
      <c r="DA34" s="114"/>
      <c r="DB34" s="114"/>
      <c r="DC34" s="114"/>
      <c r="DD34" s="114"/>
      <c r="DE34" s="114"/>
      <c r="DF34" s="114"/>
      <c r="DG34" s="114"/>
      <c r="DH34" s="114"/>
      <c r="DI34" s="114"/>
      <c r="DJ34" s="114"/>
      <c r="DK34" s="114"/>
      <c r="DL34" s="114"/>
      <c r="DM34" s="114"/>
      <c r="DN34" s="114"/>
      <c r="DO34" s="114"/>
      <c r="DP34" s="114"/>
      <c r="DQ34" s="114"/>
      <c r="DR34" s="114"/>
      <c r="DS34" s="114"/>
      <c r="DT34" s="114"/>
      <c r="DU34" s="114"/>
      <c r="DV34" s="114"/>
      <c r="DW34" s="114"/>
      <c r="DX34" s="114"/>
      <c r="DY34" s="114"/>
      <c r="DZ34" s="114"/>
      <c r="EA34" s="114"/>
      <c r="EB34" s="114"/>
      <c r="EC34" s="114"/>
    </row>
    <row r="35" spans="1:133" s="196" customFormat="1" ht="19.649999999999999" customHeight="1">
      <c r="A35" s="440" t="s">
        <v>416</v>
      </c>
      <c r="B35" s="907" t="s">
        <v>429</v>
      </c>
      <c r="C35" s="908" t="s">
        <v>33</v>
      </c>
      <c r="D35" s="909">
        <v>0</v>
      </c>
      <c r="E35" s="433" t="str">
        <f t="shared" ref="E35:E37" si="9">IF(B35="not estimated","0", B35*(1-D35))</f>
        <v>0</v>
      </c>
      <c r="F35" s="907" t="s">
        <v>429</v>
      </c>
      <c r="G35" s="908" t="s">
        <v>33</v>
      </c>
      <c r="H35" s="909">
        <v>0</v>
      </c>
      <c r="I35" s="433" t="str">
        <f t="shared" si="8"/>
        <v>0</v>
      </c>
      <c r="J35" s="901">
        <f t="shared" si="5"/>
        <v>0</v>
      </c>
      <c r="K35" s="432"/>
      <c r="L35" s="432"/>
      <c r="M35" s="432"/>
      <c r="N35" s="432"/>
      <c r="O35" s="432"/>
      <c r="P35" s="432"/>
      <c r="Q35" s="432"/>
      <c r="R35" s="432"/>
      <c r="S35" s="432"/>
      <c r="T35" s="432"/>
      <c r="U35" s="432"/>
      <c r="V35" s="432"/>
      <c r="W35" s="432"/>
      <c r="X35" s="432"/>
      <c r="Y35" s="432"/>
      <c r="Z35" s="432"/>
      <c r="AA35" s="432"/>
      <c r="AB35" s="432"/>
      <c r="AC35" s="432"/>
      <c r="AD35" s="432"/>
      <c r="AE35" s="432"/>
      <c r="AF35" s="432"/>
      <c r="AG35" s="432"/>
      <c r="AH35" s="432"/>
      <c r="AI35" s="432"/>
      <c r="AJ35" s="432"/>
      <c r="AK35" s="432"/>
      <c r="AL35" s="432"/>
      <c r="AM35" s="432"/>
      <c r="AN35" s="432"/>
      <c r="AO35" s="432"/>
      <c r="AP35" s="432"/>
      <c r="AQ35" s="432"/>
      <c r="AR35" s="432"/>
      <c r="AS35" s="432"/>
      <c r="AT35" s="432"/>
      <c r="AU35" s="432"/>
      <c r="AV35" s="432"/>
      <c r="AW35" s="432"/>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c r="CO35" s="114"/>
      <c r="CP35" s="114"/>
      <c r="CQ35" s="114"/>
      <c r="CR35" s="114"/>
      <c r="CS35" s="114"/>
      <c r="CT35" s="114"/>
      <c r="CU35" s="114"/>
      <c r="CV35" s="114"/>
      <c r="CW35" s="114"/>
      <c r="CX35" s="114"/>
      <c r="CY35" s="114"/>
      <c r="CZ35" s="114"/>
      <c r="DA35" s="114"/>
      <c r="DB35" s="114"/>
      <c r="DC35" s="114"/>
      <c r="DD35" s="114"/>
      <c r="DE35" s="114"/>
      <c r="DF35" s="114"/>
      <c r="DG35" s="114"/>
      <c r="DH35" s="114"/>
      <c r="DI35" s="114"/>
      <c r="DJ35" s="114"/>
      <c r="DK35" s="114"/>
      <c r="DL35" s="114"/>
      <c r="DM35" s="114"/>
      <c r="DN35" s="114"/>
      <c r="DO35" s="114"/>
      <c r="DP35" s="114"/>
      <c r="DQ35" s="114"/>
      <c r="DR35" s="114"/>
      <c r="DS35" s="114"/>
      <c r="DT35" s="114"/>
      <c r="DU35" s="114"/>
      <c r="DV35" s="114"/>
      <c r="DW35" s="114"/>
      <c r="DX35" s="114"/>
      <c r="DY35" s="114"/>
      <c r="DZ35" s="114"/>
      <c r="EA35" s="114"/>
      <c r="EB35" s="114"/>
      <c r="EC35" s="114"/>
    </row>
    <row r="36" spans="1:133" s="196" customFormat="1" ht="19.649999999999999" customHeight="1">
      <c r="A36" s="440" t="s">
        <v>417</v>
      </c>
      <c r="B36" s="907" t="s">
        <v>429</v>
      </c>
      <c r="C36" s="908" t="s">
        <v>33</v>
      </c>
      <c r="D36" s="909">
        <v>0</v>
      </c>
      <c r="E36" s="433" t="str">
        <f t="shared" si="9"/>
        <v>0</v>
      </c>
      <c r="F36" s="907" t="s">
        <v>429</v>
      </c>
      <c r="G36" s="908" t="s">
        <v>33</v>
      </c>
      <c r="H36" s="909">
        <v>0</v>
      </c>
      <c r="I36" s="433" t="str">
        <f t="shared" si="8"/>
        <v>0</v>
      </c>
      <c r="J36" s="901">
        <f t="shared" si="5"/>
        <v>0</v>
      </c>
      <c r="K36" s="432"/>
      <c r="L36" s="432"/>
      <c r="M36" s="432"/>
      <c r="N36" s="432"/>
      <c r="O36" s="432"/>
      <c r="P36" s="432"/>
      <c r="Q36" s="432"/>
      <c r="R36" s="432"/>
      <c r="S36" s="432"/>
      <c r="T36" s="432"/>
      <c r="U36" s="432"/>
      <c r="V36" s="432"/>
      <c r="W36" s="432"/>
      <c r="X36" s="432"/>
      <c r="Y36" s="432"/>
      <c r="Z36" s="432"/>
      <c r="AA36" s="432"/>
      <c r="AB36" s="432"/>
      <c r="AC36" s="432"/>
      <c r="AD36" s="432"/>
      <c r="AE36" s="432"/>
      <c r="AF36" s="432"/>
      <c r="AG36" s="432"/>
      <c r="AH36" s="432"/>
      <c r="AI36" s="432"/>
      <c r="AJ36" s="432"/>
      <c r="AK36" s="432"/>
      <c r="AL36" s="432"/>
      <c r="AM36" s="432"/>
      <c r="AN36" s="432"/>
      <c r="AO36" s="432"/>
      <c r="AP36" s="432"/>
      <c r="AQ36" s="432"/>
      <c r="AR36" s="432"/>
      <c r="AS36" s="432"/>
      <c r="AT36" s="432"/>
      <c r="AU36" s="432"/>
      <c r="AV36" s="432"/>
      <c r="AW36" s="432"/>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c r="CK36" s="114"/>
      <c r="CL36" s="114"/>
      <c r="CM36" s="114"/>
      <c r="CN36" s="114"/>
      <c r="CO36" s="114"/>
      <c r="CP36" s="114"/>
      <c r="CQ36" s="114"/>
      <c r="CR36" s="114"/>
      <c r="CS36" s="114"/>
      <c r="CT36" s="114"/>
      <c r="CU36" s="114"/>
      <c r="CV36" s="114"/>
      <c r="CW36" s="114"/>
      <c r="CX36" s="114"/>
      <c r="CY36" s="114"/>
      <c r="CZ36" s="114"/>
      <c r="DA36" s="114"/>
      <c r="DB36" s="114"/>
      <c r="DC36" s="114"/>
      <c r="DD36" s="114"/>
      <c r="DE36" s="114"/>
      <c r="DF36" s="114"/>
      <c r="DG36" s="114"/>
      <c r="DH36" s="114"/>
      <c r="DI36" s="114"/>
      <c r="DJ36" s="114"/>
      <c r="DK36" s="114"/>
      <c r="DL36" s="114"/>
      <c r="DM36" s="114"/>
      <c r="DN36" s="114"/>
      <c r="DO36" s="114"/>
      <c r="DP36" s="114"/>
      <c r="DQ36" s="114"/>
      <c r="DR36" s="114"/>
      <c r="DS36" s="114"/>
      <c r="DT36" s="114"/>
      <c r="DU36" s="114"/>
      <c r="DV36" s="114"/>
      <c r="DW36" s="114"/>
      <c r="DX36" s="114"/>
      <c r="DY36" s="114"/>
      <c r="DZ36" s="114"/>
      <c r="EA36" s="114"/>
      <c r="EB36" s="114"/>
      <c r="EC36" s="114"/>
    </row>
    <row r="37" spans="1:133" s="196" customFormat="1" ht="20.75" customHeight="1" thickBot="1">
      <c r="A37" s="441" t="s">
        <v>418</v>
      </c>
      <c r="B37" s="910" t="s">
        <v>429</v>
      </c>
      <c r="C37" s="908" t="s">
        <v>33</v>
      </c>
      <c r="D37" s="909">
        <v>0</v>
      </c>
      <c r="E37" s="433" t="str">
        <f t="shared" si="9"/>
        <v>0</v>
      </c>
      <c r="F37" s="910" t="s">
        <v>429</v>
      </c>
      <c r="G37" s="908" t="s">
        <v>33</v>
      </c>
      <c r="H37" s="909">
        <v>0</v>
      </c>
      <c r="I37" s="433" t="str">
        <f t="shared" si="8"/>
        <v>0</v>
      </c>
      <c r="J37" s="901">
        <f t="shared" si="5"/>
        <v>0</v>
      </c>
      <c r="K37" s="432"/>
      <c r="L37" s="432"/>
      <c r="M37" s="432"/>
      <c r="N37" s="432"/>
      <c r="O37" s="432"/>
      <c r="P37" s="432"/>
      <c r="Q37" s="432"/>
      <c r="R37" s="432"/>
      <c r="S37" s="432"/>
      <c r="T37" s="432"/>
      <c r="U37" s="432"/>
      <c r="V37" s="432"/>
      <c r="W37" s="432"/>
      <c r="X37" s="432"/>
      <c r="Y37" s="432"/>
      <c r="Z37" s="432"/>
      <c r="AA37" s="432"/>
      <c r="AB37" s="432"/>
      <c r="AC37" s="432"/>
      <c r="AD37" s="432"/>
      <c r="AE37" s="432"/>
      <c r="AF37" s="432"/>
      <c r="AG37" s="432"/>
      <c r="AH37" s="432"/>
      <c r="AI37" s="432"/>
      <c r="AJ37" s="432"/>
      <c r="AK37" s="432"/>
      <c r="AL37" s="432"/>
      <c r="AM37" s="432"/>
      <c r="AN37" s="432"/>
      <c r="AO37" s="432"/>
      <c r="AP37" s="432"/>
      <c r="AQ37" s="432"/>
      <c r="AR37" s="432"/>
      <c r="AS37" s="432"/>
      <c r="AT37" s="432"/>
      <c r="AU37" s="432"/>
      <c r="AV37" s="432"/>
      <c r="AW37" s="432"/>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c r="CL37" s="114"/>
      <c r="CM37" s="114"/>
      <c r="CN37" s="114"/>
      <c r="CO37" s="114"/>
      <c r="CP37" s="114"/>
      <c r="CQ37" s="114"/>
      <c r="CR37" s="114"/>
      <c r="CS37" s="114"/>
      <c r="CT37" s="114"/>
      <c r="CU37" s="114"/>
      <c r="CV37" s="114"/>
      <c r="CW37" s="114"/>
      <c r="CX37" s="114"/>
      <c r="CY37" s="114"/>
      <c r="CZ37" s="114"/>
      <c r="DA37" s="114"/>
      <c r="DB37" s="114"/>
      <c r="DC37" s="114"/>
      <c r="DD37" s="114"/>
      <c r="DE37" s="114"/>
      <c r="DF37" s="114"/>
      <c r="DG37" s="114"/>
      <c r="DH37" s="114"/>
      <c r="DI37" s="114"/>
      <c r="DJ37" s="114"/>
      <c r="DK37" s="114"/>
      <c r="DL37" s="114"/>
      <c r="DM37" s="114"/>
      <c r="DN37" s="114"/>
      <c r="DO37" s="114"/>
      <c r="DP37" s="114"/>
      <c r="DQ37" s="114"/>
      <c r="DR37" s="114"/>
      <c r="DS37" s="114"/>
      <c r="DT37" s="114"/>
      <c r="DU37" s="114"/>
      <c r="DV37" s="114"/>
      <c r="DW37" s="114"/>
      <c r="DX37" s="114"/>
      <c r="DY37" s="114"/>
      <c r="DZ37" s="114"/>
      <c r="EA37" s="114"/>
      <c r="EB37" s="114"/>
      <c r="EC37" s="114"/>
    </row>
    <row r="38" spans="1:133" s="196" customFormat="1" ht="20.75" customHeight="1" thickBot="1">
      <c r="A38" s="902" t="s">
        <v>419</v>
      </c>
      <c r="B38" s="903">
        <f>SUM(B32:B37)</f>
        <v>0</v>
      </c>
      <c r="C38" s="903"/>
      <c r="D38" s="905"/>
      <c r="E38" s="903">
        <f>SUM(E32:E37)</f>
        <v>0</v>
      </c>
      <c r="F38" s="903">
        <f>SUM(F32:F37)</f>
        <v>0</v>
      </c>
      <c r="G38" s="903"/>
      <c r="H38" s="905"/>
      <c r="I38" s="903">
        <f>SUM(I32:I37)</f>
        <v>0</v>
      </c>
      <c r="J38" s="906">
        <f>I38+E38</f>
        <v>0</v>
      </c>
      <c r="K38" s="432"/>
      <c r="L38" s="432"/>
      <c r="M38" s="432"/>
      <c r="N38" s="432"/>
      <c r="O38" s="432"/>
      <c r="P38" s="432"/>
      <c r="Q38" s="432"/>
      <c r="R38" s="432"/>
      <c r="S38" s="432"/>
      <c r="T38" s="432"/>
      <c r="U38" s="432"/>
      <c r="V38" s="432"/>
      <c r="W38" s="432"/>
      <c r="X38" s="432"/>
      <c r="Y38" s="432"/>
      <c r="Z38" s="432"/>
      <c r="AA38" s="432"/>
      <c r="AB38" s="432"/>
      <c r="AC38" s="432"/>
      <c r="AD38" s="432"/>
      <c r="AE38" s="432"/>
      <c r="AF38" s="432"/>
      <c r="AG38" s="432"/>
      <c r="AH38" s="432"/>
      <c r="AI38" s="432"/>
      <c r="AJ38" s="432"/>
      <c r="AK38" s="432"/>
      <c r="AL38" s="432"/>
      <c r="AM38" s="432"/>
      <c r="AN38" s="432"/>
      <c r="AO38" s="432"/>
      <c r="AP38" s="432"/>
      <c r="AQ38" s="432"/>
      <c r="AR38" s="432"/>
      <c r="AS38" s="432"/>
      <c r="AT38" s="432"/>
      <c r="AU38" s="432"/>
      <c r="AV38" s="432"/>
      <c r="AW38" s="432"/>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c r="CK38" s="114"/>
      <c r="CL38" s="114"/>
      <c r="CM38" s="114"/>
      <c r="CN38" s="114"/>
      <c r="CO38" s="114"/>
      <c r="CP38" s="114"/>
      <c r="CQ38" s="114"/>
      <c r="CR38" s="114"/>
      <c r="CS38" s="114"/>
      <c r="CT38" s="114"/>
      <c r="CU38" s="114"/>
      <c r="CV38" s="114"/>
      <c r="CW38" s="114"/>
      <c r="CX38" s="114"/>
      <c r="CY38" s="114"/>
      <c r="CZ38" s="114"/>
      <c r="DA38" s="114"/>
      <c r="DB38" s="114"/>
      <c r="DC38" s="114"/>
      <c r="DD38" s="114"/>
      <c r="DE38" s="114"/>
      <c r="DF38" s="114"/>
      <c r="DG38" s="114"/>
      <c r="DH38" s="114"/>
      <c r="DI38" s="114"/>
      <c r="DJ38" s="114"/>
      <c r="DK38" s="114"/>
      <c r="DL38" s="114"/>
      <c r="DM38" s="114"/>
      <c r="DN38" s="114"/>
      <c r="DO38" s="114"/>
      <c r="DP38" s="114"/>
      <c r="DQ38" s="114"/>
      <c r="DR38" s="114"/>
      <c r="DS38" s="114"/>
      <c r="DT38" s="114"/>
      <c r="DU38" s="114"/>
      <c r="DV38" s="114"/>
      <c r="DW38" s="114"/>
      <c r="DX38" s="114"/>
      <c r="DY38" s="114"/>
      <c r="DZ38" s="114"/>
      <c r="EA38" s="114"/>
      <c r="EB38" s="114"/>
      <c r="EC38" s="114"/>
    </row>
    <row r="39" spans="1:133">
      <c r="D39" s="442"/>
      <c r="H39" s="442"/>
      <c r="AA39" s="432"/>
      <c r="AB39" s="432"/>
      <c r="AC39" s="432"/>
      <c r="AD39" s="432"/>
      <c r="AE39" s="432"/>
    </row>
    <row r="40" spans="1:133" ht="16" thickBot="1">
      <c r="A40" s="177"/>
      <c r="B40" s="432"/>
      <c r="C40" s="432"/>
      <c r="D40" s="443"/>
      <c r="E40" s="432"/>
      <c r="F40" s="432"/>
      <c r="G40" s="432"/>
      <c r="H40" s="443"/>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c r="AG40" s="432"/>
      <c r="AH40" s="432"/>
      <c r="AI40" s="432"/>
      <c r="AJ40" s="432"/>
      <c r="AK40" s="432"/>
      <c r="AL40" s="432"/>
      <c r="AM40" s="432"/>
      <c r="AN40" s="432"/>
      <c r="AO40" s="432"/>
      <c r="AP40" s="432"/>
      <c r="AQ40" s="432"/>
      <c r="AR40" s="432"/>
      <c r="AS40" s="432"/>
      <c r="AT40" s="432"/>
      <c r="AU40" s="432"/>
      <c r="AV40" s="432"/>
      <c r="AW40" s="432"/>
    </row>
    <row r="41" spans="1:133" ht="16" thickBot="1">
      <c r="A41" s="929" t="s">
        <v>308</v>
      </c>
      <c r="B41" s="930" t="s">
        <v>577</v>
      </c>
      <c r="C41" s="931"/>
      <c r="D41" s="932"/>
      <c r="E41" s="931"/>
      <c r="F41" s="931"/>
      <c r="G41" s="931"/>
      <c r="H41" s="932"/>
      <c r="I41" s="931"/>
      <c r="J41" s="931"/>
      <c r="K41" s="931"/>
      <c r="L41" s="931"/>
      <c r="M41" s="931"/>
      <c r="N41" s="931"/>
      <c r="O41" s="931"/>
      <c r="P41" s="931"/>
      <c r="Q41" s="931"/>
      <c r="R41" s="931"/>
      <c r="S41" s="931"/>
      <c r="T41" s="931"/>
      <c r="U41" s="931"/>
      <c r="V41" s="924"/>
      <c r="W41" s="432"/>
      <c r="X41" s="432"/>
      <c r="Y41" s="432"/>
      <c r="Z41" s="432"/>
      <c r="AA41" s="432"/>
      <c r="AB41" s="432"/>
      <c r="AC41" s="432"/>
      <c r="AD41" s="432"/>
      <c r="AE41" s="432"/>
      <c r="AF41" s="432"/>
      <c r="AG41" s="432"/>
      <c r="AH41" s="432"/>
      <c r="AI41" s="432"/>
      <c r="AJ41" s="432"/>
      <c r="AK41" s="432"/>
      <c r="AL41" s="432"/>
      <c r="AM41" s="432"/>
      <c r="AN41" s="432"/>
      <c r="AO41" s="432"/>
      <c r="AP41" s="432"/>
      <c r="AQ41" s="432"/>
      <c r="AR41" s="432"/>
    </row>
    <row r="42" spans="1:133" ht="62">
      <c r="A42" s="444" t="s">
        <v>561</v>
      </c>
      <c r="B42" s="304" t="str">
        <f>CONCATENATE("Value of Property Stolen/ Damaged (VPS)"," ", "(",'Proposition Summary'!$B$76,")")</f>
        <v>Value of Property Stolen/ Damaged (VPS) (GBP (£))</v>
      </c>
      <c r="C42" s="445" t="s">
        <v>494</v>
      </c>
      <c r="D42" s="420" t="s">
        <v>296</v>
      </c>
      <c r="E42" s="421" t="str">
        <f>CONCATENATE("Corrected costs"," ", "(",'Proposition Summary'!$B$76,")")</f>
        <v>Corrected costs (GBP (£))</v>
      </c>
      <c r="F42" s="446" t="str">
        <f>CONCATENATE("Physical and Emotional Harm (PEH)"," ", "(",'Proposition Summary'!$B$76,")")</f>
        <v>Physical and Emotional Harm (PEH) (GBP (£))</v>
      </c>
      <c r="G42" s="447" t="s">
        <v>570</v>
      </c>
      <c r="H42" s="420" t="s">
        <v>296</v>
      </c>
      <c r="I42" s="421" t="str">
        <f>CONCATENATE("Corrected costs"," ", "(",'Proposition Summary'!$B$76,")")</f>
        <v>Corrected costs (GBP (£))</v>
      </c>
      <c r="J42" s="446" t="str">
        <f>CONCATENATE("Lost Output (LO)"," ", "(",'Proposition Summary'!$B$76,")")</f>
        <v>Lost Output (LO) (GBP (£))</v>
      </c>
      <c r="K42" s="447" t="s">
        <v>496</v>
      </c>
      <c r="L42" s="420" t="s">
        <v>296</v>
      </c>
      <c r="M42" s="421" t="str">
        <f>CONCATENATE("Corrected costs"," ", "(",'Proposition Summary'!$B$76,")")</f>
        <v>Corrected costs (GBP (£))</v>
      </c>
      <c r="N42" s="446" t="str">
        <f>CONCATENATE("Health Services (HS)"," ", "(",'Proposition Summary'!$B$76,")")</f>
        <v>Health Services (HS) (GBP (£))</v>
      </c>
      <c r="O42" s="447" t="s">
        <v>497</v>
      </c>
      <c r="P42" s="420" t="s">
        <v>296</v>
      </c>
      <c r="Q42" s="421" t="str">
        <f>CONCATENATE("Corrected costs"," ", "(",'Proposition Summary'!$B$76,")")</f>
        <v>Corrected costs (GBP (£))</v>
      </c>
      <c r="R42" s="446" t="str">
        <f>CONCATENATE("Victim Services (VS)"," ", "(",'Proposition Summary'!$B$76,")")</f>
        <v>Victim Services (VS) (GBP (£))</v>
      </c>
      <c r="S42" s="447" t="s">
        <v>495</v>
      </c>
      <c r="T42" s="420" t="s">
        <v>296</v>
      </c>
      <c r="U42" s="421" t="str">
        <f>CONCATENATE("Corrected costs"," ", "(",'Proposition Summary'!$B$76,")")</f>
        <v>Corrected costs (GBP (£))</v>
      </c>
      <c r="V42" s="925" t="str">
        <f>CONCATENATE("Total cost as a consequence of crime"," ", "(",'Proposition Summary'!$B$76,")")</f>
        <v>Total cost as a consequence of crime (GBP (£))</v>
      </c>
      <c r="W42" s="432"/>
      <c r="X42" s="432"/>
      <c r="Y42" s="432"/>
      <c r="Z42" s="432"/>
      <c r="AA42" s="432"/>
      <c r="AB42" s="432"/>
      <c r="AC42" s="432"/>
      <c r="AD42" s="432"/>
      <c r="AE42" s="432"/>
      <c r="AF42" s="432"/>
      <c r="AG42" s="432"/>
      <c r="AH42" s="432"/>
      <c r="AI42" s="432"/>
      <c r="AJ42" s="432"/>
      <c r="AK42" s="432"/>
      <c r="AL42" s="432"/>
      <c r="AM42" s="432"/>
      <c r="AN42" s="432"/>
    </row>
    <row r="43" spans="1:133">
      <c r="A43" s="448"/>
      <c r="B43" s="449"/>
      <c r="C43" s="449"/>
      <c r="D43" s="450"/>
      <c r="E43" s="451"/>
      <c r="F43" s="446"/>
      <c r="G43" s="447"/>
      <c r="H43" s="420"/>
      <c r="I43" s="451"/>
      <c r="J43" s="446"/>
      <c r="K43" s="447"/>
      <c r="L43" s="420"/>
      <c r="M43" s="451"/>
      <c r="N43" s="446"/>
      <c r="O43" s="447"/>
      <c r="P43" s="420"/>
      <c r="Q43" s="451"/>
      <c r="R43" s="446"/>
      <c r="S43" s="447"/>
      <c r="T43" s="420"/>
      <c r="U43" s="451"/>
      <c r="V43" s="926"/>
      <c r="W43" s="432"/>
      <c r="X43" s="432"/>
      <c r="Y43" s="432"/>
      <c r="Z43" s="432"/>
      <c r="AA43" s="432"/>
      <c r="AB43" s="432"/>
      <c r="AC43" s="432"/>
      <c r="AD43" s="432"/>
      <c r="AE43" s="432"/>
      <c r="AF43" s="432"/>
      <c r="AG43" s="432"/>
      <c r="AH43" s="432"/>
      <c r="AI43" s="432"/>
      <c r="AJ43" s="432"/>
      <c r="AK43" s="432"/>
      <c r="AL43" s="432"/>
      <c r="AM43" s="432"/>
      <c r="AN43" s="432"/>
    </row>
    <row r="44" spans="1:133">
      <c r="B44" s="452"/>
      <c r="C44" s="453"/>
      <c r="D44" s="454"/>
      <c r="E44" s="455"/>
      <c r="F44" s="456"/>
      <c r="G44" s="457"/>
      <c r="H44" s="454"/>
      <c r="I44" s="455"/>
      <c r="J44" s="456"/>
      <c r="K44" s="457"/>
      <c r="L44" s="454"/>
      <c r="M44" s="455"/>
      <c r="N44" s="456"/>
      <c r="O44" s="457"/>
      <c r="P44" s="454"/>
      <c r="Q44" s="455"/>
      <c r="R44" s="456"/>
      <c r="S44" s="457"/>
      <c r="T44" s="454"/>
      <c r="U44" s="455"/>
      <c r="V44" s="926"/>
      <c r="W44" s="432"/>
      <c r="X44" s="432"/>
      <c r="Y44" s="432"/>
      <c r="Z44" s="432"/>
      <c r="AA44" s="432"/>
      <c r="AB44" s="432"/>
      <c r="AC44" s="432"/>
      <c r="AD44" s="432"/>
      <c r="AE44" s="432"/>
      <c r="AF44" s="432"/>
      <c r="AG44" s="432"/>
      <c r="AH44" s="432"/>
      <c r="AI44" s="432"/>
      <c r="AJ44" s="432"/>
      <c r="AK44" s="432"/>
      <c r="AL44" s="432"/>
      <c r="AM44" s="432"/>
      <c r="AN44" s="432"/>
    </row>
    <row r="45" spans="1:133">
      <c r="A45" s="132" t="s">
        <v>290</v>
      </c>
      <c r="B45" s="918" t="s">
        <v>429</v>
      </c>
      <c r="C45" s="908" t="s">
        <v>33</v>
      </c>
      <c r="D45" s="909">
        <v>0</v>
      </c>
      <c r="E45" s="458" t="str">
        <f>IF(B45="not estimated","0", B45*(1-D45))</f>
        <v>0</v>
      </c>
      <c r="F45" s="1057">
        <v>2369588.5937313312</v>
      </c>
      <c r="G45" s="908" t="s">
        <v>33</v>
      </c>
      <c r="H45" s="909">
        <v>0</v>
      </c>
      <c r="I45" s="912">
        <f>IF(F45="N/A","0", F45*(1-H45))</f>
        <v>2369588.5937313312</v>
      </c>
      <c r="J45" s="919">
        <v>289833.46893259668</v>
      </c>
      <c r="K45" s="921" t="s">
        <v>33</v>
      </c>
      <c r="L45" s="909">
        <v>0</v>
      </c>
      <c r="M45" s="912">
        <f>IF(J45="N/A","0", J45*(1-L45))</f>
        <v>289833.46893259668</v>
      </c>
      <c r="N45" s="919">
        <v>1263.0644674931584</v>
      </c>
      <c r="O45" s="921" t="s">
        <v>688</v>
      </c>
      <c r="P45" s="909">
        <v>0</v>
      </c>
      <c r="Q45" s="912">
        <f>IF(N45="N/A","0", N45*(1-P45))</f>
        <v>1263.0644674931584</v>
      </c>
      <c r="R45" s="919">
        <v>6235.6696232995573</v>
      </c>
      <c r="S45" s="921" t="s">
        <v>493</v>
      </c>
      <c r="T45" s="909">
        <v>0</v>
      </c>
      <c r="U45" s="912">
        <f>IF(R45="not estimated","0", R45*(1-T45))</f>
        <v>6235.6696232995573</v>
      </c>
      <c r="V45" s="1056">
        <f>U45+Q45+M45+I45+E45</f>
        <v>2666920.7967547206</v>
      </c>
      <c r="W45" s="177"/>
      <c r="X45" s="177"/>
      <c r="Y45" s="432"/>
      <c r="Z45" s="432"/>
      <c r="AA45" s="432"/>
      <c r="AB45" s="432"/>
      <c r="AC45" s="432"/>
      <c r="AD45" s="432"/>
      <c r="AE45" s="432"/>
      <c r="AF45" s="432"/>
      <c r="AG45" s="432"/>
      <c r="AH45" s="432"/>
      <c r="AI45" s="432"/>
      <c r="AJ45" s="432"/>
      <c r="AK45" s="432"/>
      <c r="AL45" s="432"/>
      <c r="AM45" s="432"/>
      <c r="AN45" s="432"/>
    </row>
    <row r="46" spans="1:133">
      <c r="A46" s="132" t="s">
        <v>542</v>
      </c>
      <c r="B46" s="918" t="s">
        <v>429</v>
      </c>
      <c r="C46" s="908" t="s">
        <v>33</v>
      </c>
      <c r="D46" s="909">
        <v>0</v>
      </c>
      <c r="E46" s="458" t="str">
        <f>IF(B46="not estimated","0", B46*(1-D46))</f>
        <v>0</v>
      </c>
      <c r="F46" s="1057">
        <v>9376.2623532825473</v>
      </c>
      <c r="G46" s="908" t="s">
        <v>33</v>
      </c>
      <c r="H46" s="909">
        <v>0</v>
      </c>
      <c r="I46" s="912">
        <f t="shared" ref="I46:I52" si="10">IF(F46="N/A","0", F46*(1-H46))</f>
        <v>9376.2623532825473</v>
      </c>
      <c r="J46" s="919">
        <v>2344.0655883206368</v>
      </c>
      <c r="K46" s="921" t="s">
        <v>33</v>
      </c>
      <c r="L46" s="909">
        <v>0</v>
      </c>
      <c r="M46" s="912">
        <f t="shared" ref="M46:M54" si="11">IF(J46="N/A","0", J46*(1-L46))</f>
        <v>2344.0655883206368</v>
      </c>
      <c r="N46" s="919">
        <v>1046.864243327663</v>
      </c>
      <c r="O46" s="921" t="s">
        <v>688</v>
      </c>
      <c r="P46" s="909">
        <v>0</v>
      </c>
      <c r="Q46" s="912">
        <f t="shared" ref="Q46:Q54" si="12">IF(N46="N/A","0", N46*(1-P46))</f>
        <v>1046.864243327663</v>
      </c>
      <c r="R46" s="919">
        <v>0</v>
      </c>
      <c r="S46" s="921" t="s">
        <v>493</v>
      </c>
      <c r="T46" s="909">
        <v>0</v>
      </c>
      <c r="U46" s="912">
        <f t="shared" ref="U46:U55" si="13">IF(R46="not estimated","0", R46*(1-T46))</f>
        <v>0</v>
      </c>
      <c r="V46" s="1056">
        <f t="shared" ref="V46:V58" si="14">U46+Q46+M46+I46+E46</f>
        <v>12767.192184930847</v>
      </c>
      <c r="W46" s="177"/>
      <c r="X46" s="177"/>
      <c r="Y46" s="432"/>
      <c r="Z46" s="432"/>
      <c r="AA46" s="432"/>
      <c r="AB46" s="432"/>
      <c r="AC46" s="432"/>
      <c r="AD46" s="432"/>
      <c r="AE46" s="432"/>
      <c r="AF46" s="432"/>
      <c r="AG46" s="432"/>
      <c r="AH46" s="432"/>
      <c r="AI46" s="432"/>
      <c r="AJ46" s="432"/>
      <c r="AK46" s="432"/>
      <c r="AL46" s="432"/>
      <c r="AM46" s="432"/>
      <c r="AN46" s="432"/>
    </row>
    <row r="47" spans="1:133">
      <c r="A47" s="132" t="s">
        <v>543</v>
      </c>
      <c r="B47" s="918" t="s">
        <v>429</v>
      </c>
      <c r="C47" s="908" t="s">
        <v>33</v>
      </c>
      <c r="D47" s="909">
        <v>0</v>
      </c>
      <c r="E47" s="458" t="str">
        <f>IF(B47="not estimated","0", B47*(1-D47))</f>
        <v>0</v>
      </c>
      <c r="F47" s="1057">
        <v>3197.4875258160132</v>
      </c>
      <c r="G47" s="908" t="s">
        <v>33</v>
      </c>
      <c r="H47" s="909">
        <v>0</v>
      </c>
      <c r="I47" s="912">
        <f t="shared" si="10"/>
        <v>3197.4875258160132</v>
      </c>
      <c r="J47" s="919">
        <v>762.39026416253705</v>
      </c>
      <c r="K47" s="921" t="s">
        <v>33</v>
      </c>
      <c r="L47" s="909">
        <v>0</v>
      </c>
      <c r="M47" s="912">
        <f t="shared" si="11"/>
        <v>762.39026416253705</v>
      </c>
      <c r="N47" s="919">
        <v>307.23189749833585</v>
      </c>
      <c r="O47" s="921" t="s">
        <v>688</v>
      </c>
      <c r="P47" s="909">
        <v>0</v>
      </c>
      <c r="Q47" s="912">
        <f t="shared" si="12"/>
        <v>307.23189749833585</v>
      </c>
      <c r="R47" s="919">
        <v>11.378959166605028</v>
      </c>
      <c r="S47" s="921" t="s">
        <v>493</v>
      </c>
      <c r="T47" s="909">
        <v>0</v>
      </c>
      <c r="U47" s="912">
        <f t="shared" si="13"/>
        <v>11.378959166605028</v>
      </c>
      <c r="V47" s="1056">
        <f t="shared" si="14"/>
        <v>4278.4886466434909</v>
      </c>
      <c r="W47" s="177"/>
      <c r="X47" s="177"/>
      <c r="Y47" s="432"/>
      <c r="Z47" s="432"/>
      <c r="AA47" s="432"/>
      <c r="AB47" s="432"/>
      <c r="AC47" s="432"/>
      <c r="AD47" s="432"/>
      <c r="AE47" s="432"/>
      <c r="AF47" s="432"/>
      <c r="AG47" s="432"/>
      <c r="AH47" s="432"/>
      <c r="AI47" s="432"/>
      <c r="AJ47" s="432"/>
      <c r="AK47" s="432"/>
      <c r="AL47" s="432"/>
      <c r="AM47" s="432"/>
      <c r="AN47" s="432"/>
    </row>
    <row r="48" spans="1:133">
      <c r="A48" s="132" t="s">
        <v>544</v>
      </c>
      <c r="B48" s="918" t="s">
        <v>429</v>
      </c>
      <c r="C48" s="908" t="s">
        <v>33</v>
      </c>
      <c r="D48" s="909">
        <v>0</v>
      </c>
      <c r="E48" s="458" t="str">
        <f t="shared" ref="E48:E53" si="15">IF(B48="not estimated","0", B48*(1-D48))</f>
        <v>0</v>
      </c>
      <c r="F48" s="1057">
        <v>27753.281407349667</v>
      </c>
      <c r="G48" s="908" t="s">
        <v>33</v>
      </c>
      <c r="H48" s="909">
        <v>0</v>
      </c>
      <c r="I48" s="912">
        <f t="shared" si="10"/>
        <v>27753.281407349667</v>
      </c>
      <c r="J48" s="919">
        <v>6713.5859082969673</v>
      </c>
      <c r="K48" s="921" t="s">
        <v>33</v>
      </c>
      <c r="L48" s="909">
        <v>0</v>
      </c>
      <c r="M48" s="912">
        <f t="shared" si="11"/>
        <v>6713.5859082969673</v>
      </c>
      <c r="N48" s="919">
        <v>1263.0644674931584</v>
      </c>
      <c r="O48" s="921" t="s">
        <v>688</v>
      </c>
      <c r="P48" s="909">
        <v>0</v>
      </c>
      <c r="Q48" s="912">
        <f t="shared" si="12"/>
        <v>1263.0644674931584</v>
      </c>
      <c r="R48" s="919">
        <v>45.515836666420114</v>
      </c>
      <c r="S48" s="921" t="s">
        <v>493</v>
      </c>
      <c r="T48" s="909">
        <v>0</v>
      </c>
      <c r="U48" s="912">
        <f t="shared" si="13"/>
        <v>45.515836666420114</v>
      </c>
      <c r="V48" s="1056">
        <f t="shared" si="14"/>
        <v>35775.447619806211</v>
      </c>
      <c r="W48" s="177"/>
      <c r="X48" s="177"/>
      <c r="Y48" s="432"/>
      <c r="Z48" s="432"/>
      <c r="AA48" s="432"/>
      <c r="AB48" s="432"/>
      <c r="AC48" s="432"/>
      <c r="AD48" s="432"/>
      <c r="AE48" s="432"/>
      <c r="AF48" s="432"/>
      <c r="AG48" s="432"/>
      <c r="AH48" s="432"/>
      <c r="AI48" s="432"/>
      <c r="AJ48" s="432"/>
      <c r="AK48" s="432"/>
      <c r="AL48" s="432"/>
      <c r="AM48" s="432"/>
      <c r="AN48" s="432"/>
    </row>
    <row r="49" spans="1:40">
      <c r="A49" s="132" t="s">
        <v>545</v>
      </c>
      <c r="B49" s="918" t="s">
        <v>429</v>
      </c>
      <c r="C49" s="908" t="s">
        <v>33</v>
      </c>
      <c r="D49" s="909">
        <v>0</v>
      </c>
      <c r="E49" s="458" t="str">
        <f>IF(B49="not estimated","0", B49*(1-D49))</f>
        <v>0</v>
      </c>
      <c r="F49" s="1057">
        <v>4210.2148916438618</v>
      </c>
      <c r="G49" s="908" t="s">
        <v>33</v>
      </c>
      <c r="H49" s="909">
        <v>0</v>
      </c>
      <c r="I49" s="912">
        <f t="shared" si="10"/>
        <v>4210.2148916438618</v>
      </c>
      <c r="J49" s="919">
        <v>1274.4434266597634</v>
      </c>
      <c r="K49" s="921" t="s">
        <v>33</v>
      </c>
      <c r="L49" s="909">
        <v>0</v>
      </c>
      <c r="M49" s="912">
        <f t="shared" si="11"/>
        <v>1274.4434266597634</v>
      </c>
      <c r="N49" s="919">
        <v>443.77940749759614</v>
      </c>
      <c r="O49" s="921" t="s">
        <v>688</v>
      </c>
      <c r="P49" s="909">
        <v>0</v>
      </c>
      <c r="Q49" s="912">
        <f t="shared" si="12"/>
        <v>443.77940749759614</v>
      </c>
      <c r="R49" s="919">
        <v>11.378959166605028</v>
      </c>
      <c r="S49" s="921" t="s">
        <v>493</v>
      </c>
      <c r="T49" s="909">
        <v>0</v>
      </c>
      <c r="U49" s="912">
        <f t="shared" si="13"/>
        <v>11.378959166605028</v>
      </c>
      <c r="V49" s="1056">
        <f t="shared" si="14"/>
        <v>5939.8166849678264</v>
      </c>
      <c r="W49" s="177"/>
      <c r="X49" s="177"/>
      <c r="Y49" s="432"/>
      <c r="Z49" s="432"/>
      <c r="AA49" s="432"/>
      <c r="AB49" s="432"/>
      <c r="AC49" s="432"/>
      <c r="AD49" s="432"/>
      <c r="AE49" s="432"/>
      <c r="AF49" s="432"/>
      <c r="AG49" s="432"/>
      <c r="AH49" s="432"/>
      <c r="AI49" s="432"/>
      <c r="AJ49" s="432"/>
      <c r="AK49" s="432"/>
      <c r="AL49" s="432"/>
      <c r="AM49" s="432"/>
      <c r="AN49" s="432"/>
    </row>
    <row r="50" spans="1:40">
      <c r="A50" s="132" t="s">
        <v>292</v>
      </c>
      <c r="B50" s="919">
        <v>1172.0327941603184</v>
      </c>
      <c r="C50" s="908" t="s">
        <v>33</v>
      </c>
      <c r="D50" s="909">
        <v>0</v>
      </c>
      <c r="E50" s="915">
        <f t="shared" si="15"/>
        <v>1172.0327941603184</v>
      </c>
      <c r="F50" s="1057">
        <v>4085.0463408112055</v>
      </c>
      <c r="G50" s="908" t="s">
        <v>33</v>
      </c>
      <c r="H50" s="909">
        <v>0</v>
      </c>
      <c r="I50" s="912">
        <f t="shared" si="10"/>
        <v>4085.0463408112055</v>
      </c>
      <c r="J50" s="919">
        <v>1046.864243327663</v>
      </c>
      <c r="K50" s="921" t="s">
        <v>33</v>
      </c>
      <c r="L50" s="909">
        <v>0</v>
      </c>
      <c r="M50" s="912">
        <f t="shared" si="11"/>
        <v>1046.864243327663</v>
      </c>
      <c r="N50" s="919">
        <v>864.80089666198228</v>
      </c>
      <c r="O50" s="921" t="s">
        <v>688</v>
      </c>
      <c r="P50" s="909">
        <v>0</v>
      </c>
      <c r="Q50" s="912">
        <f t="shared" si="12"/>
        <v>864.80089666198228</v>
      </c>
      <c r="R50" s="919">
        <v>11.378959166605028</v>
      </c>
      <c r="S50" s="921" t="s">
        <v>493</v>
      </c>
      <c r="T50" s="909">
        <v>0</v>
      </c>
      <c r="U50" s="912">
        <f t="shared" si="13"/>
        <v>11.378959166605028</v>
      </c>
      <c r="V50" s="1056">
        <f t="shared" si="14"/>
        <v>7180.1232341277737</v>
      </c>
      <c r="W50" s="177"/>
      <c r="X50" s="177"/>
      <c r="Y50" s="432"/>
      <c r="Z50" s="432"/>
      <c r="AA50" s="432"/>
      <c r="AB50" s="432"/>
      <c r="AC50" s="432"/>
      <c r="AD50" s="432"/>
      <c r="AE50" s="432"/>
      <c r="AF50" s="432"/>
      <c r="AG50" s="432"/>
      <c r="AH50" s="432"/>
      <c r="AI50" s="432"/>
      <c r="AJ50" s="432"/>
      <c r="AK50" s="432"/>
      <c r="AL50" s="432"/>
      <c r="AM50" s="432"/>
      <c r="AN50" s="432"/>
    </row>
    <row r="51" spans="1:40">
      <c r="A51" s="132" t="s">
        <v>546</v>
      </c>
      <c r="B51" s="919">
        <v>1593.0542833247043</v>
      </c>
      <c r="C51" s="908" t="s">
        <v>33</v>
      </c>
      <c r="D51" s="909">
        <v>0</v>
      </c>
      <c r="E51" s="915">
        <f t="shared" si="15"/>
        <v>1593.0542833247043</v>
      </c>
      <c r="F51" s="1057">
        <v>1354.0961408259989</v>
      </c>
      <c r="G51" s="908" t="s">
        <v>33</v>
      </c>
      <c r="H51" s="909">
        <v>0</v>
      </c>
      <c r="I51" s="912">
        <f t="shared" si="10"/>
        <v>1354.0961408259989</v>
      </c>
      <c r="J51" s="919">
        <v>500.67420333062131</v>
      </c>
      <c r="K51" s="921" t="s">
        <v>33</v>
      </c>
      <c r="L51" s="909">
        <v>0</v>
      </c>
      <c r="M51" s="912">
        <f t="shared" si="11"/>
        <v>500.67420333062131</v>
      </c>
      <c r="N51" s="919">
        <v>432.40044833099114</v>
      </c>
      <c r="O51" s="921" t="s">
        <v>688</v>
      </c>
      <c r="P51" s="909">
        <v>0</v>
      </c>
      <c r="Q51" s="912">
        <f t="shared" si="12"/>
        <v>432.40044833099114</v>
      </c>
      <c r="R51" s="919">
        <v>0</v>
      </c>
      <c r="S51" s="921" t="s">
        <v>493</v>
      </c>
      <c r="T51" s="909">
        <v>0</v>
      </c>
      <c r="U51" s="912">
        <f t="shared" si="13"/>
        <v>0</v>
      </c>
      <c r="V51" s="1056">
        <f t="shared" si="14"/>
        <v>3880.2250758123155</v>
      </c>
      <c r="W51" s="177"/>
      <c r="X51" s="177"/>
      <c r="Y51" s="432"/>
      <c r="Z51" s="432"/>
      <c r="AA51" s="432"/>
      <c r="AB51" s="432"/>
      <c r="AC51" s="432"/>
      <c r="AD51" s="432"/>
      <c r="AE51" s="432"/>
      <c r="AF51" s="432"/>
      <c r="AG51" s="432"/>
      <c r="AH51" s="432"/>
      <c r="AI51" s="432"/>
      <c r="AJ51" s="432"/>
      <c r="AK51" s="432"/>
      <c r="AL51" s="432"/>
      <c r="AM51" s="432"/>
      <c r="AN51" s="432"/>
    </row>
    <row r="52" spans="1:40">
      <c r="A52" s="132" t="s">
        <v>547</v>
      </c>
      <c r="B52" s="919">
        <v>4710.8890949744828</v>
      </c>
      <c r="C52" s="908" t="s">
        <v>33</v>
      </c>
      <c r="D52" s="909">
        <v>0</v>
      </c>
      <c r="E52" s="915">
        <f t="shared" si="15"/>
        <v>4710.8890949744828</v>
      </c>
      <c r="F52" s="1057">
        <v>307.23189749833585</v>
      </c>
      <c r="G52" s="908" t="s">
        <v>33</v>
      </c>
      <c r="H52" s="909">
        <v>0</v>
      </c>
      <c r="I52" s="912">
        <f t="shared" si="10"/>
        <v>307.23189749833585</v>
      </c>
      <c r="J52" s="919">
        <v>170.68438749907546</v>
      </c>
      <c r="K52" s="921" t="s">
        <v>33</v>
      </c>
      <c r="L52" s="909">
        <v>0</v>
      </c>
      <c r="M52" s="912">
        <f t="shared" si="11"/>
        <v>170.68438749907546</v>
      </c>
      <c r="N52" s="919">
        <v>113.7895916660503</v>
      </c>
      <c r="O52" s="921" t="s">
        <v>688</v>
      </c>
      <c r="P52" s="909">
        <v>0</v>
      </c>
      <c r="Q52" s="912">
        <f t="shared" si="12"/>
        <v>113.7895916660503</v>
      </c>
      <c r="R52" s="919">
        <v>0</v>
      </c>
      <c r="S52" s="921" t="s">
        <v>493</v>
      </c>
      <c r="T52" s="909">
        <v>0</v>
      </c>
      <c r="U52" s="912">
        <f t="shared" si="13"/>
        <v>0</v>
      </c>
      <c r="V52" s="1056">
        <f t="shared" si="14"/>
        <v>5302.5949716379446</v>
      </c>
      <c r="W52" s="177"/>
      <c r="X52" s="177"/>
      <c r="Y52" s="432"/>
      <c r="Z52" s="432"/>
      <c r="AA52" s="432"/>
      <c r="AB52" s="432"/>
      <c r="AC52" s="432"/>
      <c r="AD52" s="432"/>
      <c r="AE52" s="432"/>
      <c r="AF52" s="432"/>
      <c r="AG52" s="432"/>
      <c r="AH52" s="432"/>
      <c r="AI52" s="432"/>
      <c r="AJ52" s="432"/>
      <c r="AK52" s="432"/>
      <c r="AL52" s="432"/>
      <c r="AM52" s="432"/>
      <c r="AN52" s="432"/>
    </row>
    <row r="53" spans="1:40">
      <c r="A53" s="132" t="s">
        <v>548</v>
      </c>
      <c r="B53" s="920">
        <v>398.26357083117608</v>
      </c>
      <c r="C53" s="908" t="s">
        <v>33</v>
      </c>
      <c r="D53" s="909">
        <v>0</v>
      </c>
      <c r="E53" s="915">
        <f t="shared" si="15"/>
        <v>398.26357083117608</v>
      </c>
      <c r="F53" s="1057">
        <v>159.30542833247043</v>
      </c>
      <c r="G53" s="908" t="s">
        <v>33</v>
      </c>
      <c r="H53" s="909">
        <v>0</v>
      </c>
      <c r="I53" s="912">
        <f>IF(F53="N/A","0", F53*(1-H53))</f>
        <v>159.30542833247043</v>
      </c>
      <c r="J53" s="919">
        <v>68.273754999630199</v>
      </c>
      <c r="K53" s="921" t="s">
        <v>33</v>
      </c>
      <c r="L53" s="909">
        <v>0</v>
      </c>
      <c r="M53" s="912">
        <f t="shared" si="11"/>
        <v>68.273754999630199</v>
      </c>
      <c r="N53" s="919">
        <v>45.515836666420114</v>
      </c>
      <c r="O53" s="921" t="s">
        <v>688</v>
      </c>
      <c r="P53" s="909">
        <v>0</v>
      </c>
      <c r="Q53" s="912">
        <f t="shared" si="12"/>
        <v>45.515836666420114</v>
      </c>
      <c r="R53" s="919">
        <v>0</v>
      </c>
      <c r="S53" s="921" t="s">
        <v>493</v>
      </c>
      <c r="T53" s="909">
        <v>0</v>
      </c>
      <c r="U53" s="912">
        <f t="shared" si="13"/>
        <v>0</v>
      </c>
      <c r="V53" s="1056">
        <f t="shared" si="14"/>
        <v>671.35859082969682</v>
      </c>
      <c r="W53" s="177"/>
      <c r="X53" s="177"/>
      <c r="Y53" s="432"/>
      <c r="Z53" s="432"/>
      <c r="AA53" s="432"/>
      <c r="AB53" s="432"/>
      <c r="AC53" s="432"/>
      <c r="AD53" s="432"/>
      <c r="AE53" s="432"/>
      <c r="AF53" s="432"/>
      <c r="AG53" s="432"/>
      <c r="AH53" s="432"/>
      <c r="AI53" s="432"/>
      <c r="AJ53" s="432"/>
      <c r="AK53" s="432"/>
      <c r="AL53" s="432"/>
      <c r="AM53" s="432"/>
      <c r="AN53" s="432"/>
    </row>
    <row r="54" spans="1:40">
      <c r="A54" s="132" t="s">
        <v>549</v>
      </c>
      <c r="B54" s="919">
        <v>204.82126499889054</v>
      </c>
      <c r="C54" s="908" t="s">
        <v>33</v>
      </c>
      <c r="D54" s="909">
        <v>0</v>
      </c>
      <c r="E54" s="915">
        <f t="shared" ref="E54:E58" si="16">IF(B54="not estimated","0", B54*(1-D54))</f>
        <v>204.82126499889054</v>
      </c>
      <c r="F54" s="1057">
        <v>466.5373258308062</v>
      </c>
      <c r="G54" s="908" t="s">
        <v>33</v>
      </c>
      <c r="H54" s="909">
        <v>0</v>
      </c>
      <c r="I54" s="912">
        <f t="shared" ref="I54:I57" si="17">IF(F54="not estimated","0", F54*(1-H54))</f>
        <v>466.5373258308062</v>
      </c>
      <c r="J54" s="919">
        <v>136.5475099992604</v>
      </c>
      <c r="K54" s="921" t="s">
        <v>33</v>
      </c>
      <c r="L54" s="909">
        <v>0</v>
      </c>
      <c r="M54" s="912">
        <f t="shared" si="11"/>
        <v>136.5475099992604</v>
      </c>
      <c r="N54" s="919">
        <v>238.95814249870563</v>
      </c>
      <c r="O54" s="921" t="s">
        <v>688</v>
      </c>
      <c r="P54" s="909">
        <v>0</v>
      </c>
      <c r="Q54" s="912">
        <f t="shared" si="12"/>
        <v>238.95814249870563</v>
      </c>
      <c r="R54" s="919">
        <v>0</v>
      </c>
      <c r="S54" s="921" t="s">
        <v>493</v>
      </c>
      <c r="T54" s="909">
        <v>0</v>
      </c>
      <c r="U54" s="912">
        <f t="shared" si="13"/>
        <v>0</v>
      </c>
      <c r="V54" s="1056">
        <f t="shared" si="14"/>
        <v>1046.8642433276627</v>
      </c>
      <c r="W54" s="177"/>
      <c r="X54" s="177"/>
      <c r="Y54" s="432"/>
      <c r="Z54" s="432"/>
      <c r="AA54" s="432"/>
      <c r="AB54" s="432"/>
      <c r="AC54" s="432"/>
      <c r="AD54" s="432"/>
      <c r="AE54" s="432"/>
      <c r="AF54" s="432"/>
      <c r="AG54" s="432"/>
      <c r="AH54" s="432"/>
      <c r="AI54" s="432"/>
      <c r="AJ54" s="432"/>
      <c r="AK54" s="432"/>
      <c r="AL54" s="432"/>
      <c r="AM54" s="432"/>
      <c r="AN54" s="432"/>
    </row>
    <row r="55" spans="1:40">
      <c r="A55" s="132" t="s">
        <v>550</v>
      </c>
      <c r="B55" s="919">
        <v>1820.6334666568048</v>
      </c>
      <c r="C55" s="908" t="s">
        <v>33</v>
      </c>
      <c r="D55" s="909">
        <v>0</v>
      </c>
      <c r="E55" s="915">
        <f>IF(B55="not estimated","0", B55*(1-D55))</f>
        <v>1820.6334666568048</v>
      </c>
      <c r="F55" s="1057">
        <v>1115.1379983272927</v>
      </c>
      <c r="G55" s="908" t="s">
        <v>33</v>
      </c>
      <c r="H55" s="909">
        <v>0</v>
      </c>
      <c r="I55" s="912">
        <f t="shared" si="17"/>
        <v>1115.1379983272927</v>
      </c>
      <c r="J55" s="919">
        <v>386.88461166457103</v>
      </c>
      <c r="K55" s="921" t="s">
        <v>33</v>
      </c>
      <c r="L55" s="909">
        <v>0</v>
      </c>
      <c r="M55" s="912">
        <f t="shared" ref="M55:M58" si="18">IF(J55="not estimated","0", J55*(1-L55))</f>
        <v>386.88461166457103</v>
      </c>
      <c r="N55" s="919">
        <v>204.82126499889054</v>
      </c>
      <c r="O55" s="921" t="s">
        <v>688</v>
      </c>
      <c r="P55" s="909">
        <v>0</v>
      </c>
      <c r="Q55" s="912">
        <f t="shared" ref="Q55:Q58" si="19">IF(N55="not estimated","0", N55*(1-P55))</f>
        <v>204.82126499889054</v>
      </c>
      <c r="R55" s="919">
        <v>11.378959166605028</v>
      </c>
      <c r="S55" s="921" t="s">
        <v>493</v>
      </c>
      <c r="T55" s="909">
        <v>0</v>
      </c>
      <c r="U55" s="912">
        <f t="shared" si="13"/>
        <v>11.378959166605028</v>
      </c>
      <c r="V55" s="1056">
        <f t="shared" si="14"/>
        <v>3538.8563008141641</v>
      </c>
      <c r="W55" s="177"/>
      <c r="X55" s="177"/>
      <c r="Y55" s="432"/>
      <c r="Z55" s="432"/>
      <c r="AA55" s="432"/>
      <c r="AB55" s="432"/>
      <c r="AC55" s="432"/>
      <c r="AD55" s="432"/>
      <c r="AE55" s="432"/>
      <c r="AF55" s="432"/>
      <c r="AG55" s="432"/>
      <c r="AH55" s="432"/>
      <c r="AI55" s="432"/>
      <c r="AJ55" s="432"/>
      <c r="AK55" s="432"/>
      <c r="AL55" s="432"/>
      <c r="AM55" s="432"/>
      <c r="AN55" s="432"/>
    </row>
    <row r="56" spans="1:40">
      <c r="A56" s="132" t="s">
        <v>551</v>
      </c>
      <c r="B56" s="919">
        <v>375.50565249796603</v>
      </c>
      <c r="C56" s="908" t="s">
        <v>33</v>
      </c>
      <c r="D56" s="909">
        <v>0</v>
      </c>
      <c r="E56" s="915">
        <f t="shared" si="16"/>
        <v>375.50565249796603</v>
      </c>
      <c r="F56" s="1057">
        <v>307.23189749833585</v>
      </c>
      <c r="G56" s="908" t="s">
        <v>33</v>
      </c>
      <c r="H56" s="909">
        <v>0</v>
      </c>
      <c r="I56" s="912">
        <f t="shared" si="17"/>
        <v>307.23189749833585</v>
      </c>
      <c r="J56" s="919">
        <v>91.031673332840228</v>
      </c>
      <c r="K56" s="921" t="s">
        <v>33</v>
      </c>
      <c r="L56" s="909">
        <v>0</v>
      </c>
      <c r="M56" s="912">
        <f t="shared" si="18"/>
        <v>91.031673332840228</v>
      </c>
      <c r="N56" s="919">
        <v>102.41063249944527</v>
      </c>
      <c r="O56" s="921" t="s">
        <v>688</v>
      </c>
      <c r="P56" s="909">
        <v>0</v>
      </c>
      <c r="Q56" s="912">
        <f t="shared" si="19"/>
        <v>102.41063249944527</v>
      </c>
      <c r="R56" s="919">
        <v>0</v>
      </c>
      <c r="S56" s="921" t="s">
        <v>493</v>
      </c>
      <c r="T56" s="909">
        <v>0</v>
      </c>
      <c r="U56" s="912">
        <f t="shared" ref="U56:U58" si="20">IF(R56="not estimated","0", R56*(1-T56))</f>
        <v>0</v>
      </c>
      <c r="V56" s="1056">
        <f t="shared" si="14"/>
        <v>876.17985582858739</v>
      </c>
      <c r="W56" s="177"/>
      <c r="X56" s="177"/>
      <c r="Y56" s="432"/>
      <c r="Z56" s="432"/>
      <c r="AA56" s="432"/>
      <c r="AB56" s="432"/>
      <c r="AC56" s="432"/>
      <c r="AD56" s="432"/>
      <c r="AE56" s="432"/>
      <c r="AF56" s="432"/>
      <c r="AG56" s="432"/>
      <c r="AH56" s="432"/>
      <c r="AI56" s="432"/>
      <c r="AJ56" s="432"/>
      <c r="AK56" s="432"/>
      <c r="AL56" s="432"/>
      <c r="AM56" s="432"/>
      <c r="AN56" s="432"/>
    </row>
    <row r="57" spans="1:40">
      <c r="A57" s="132" t="s">
        <v>424</v>
      </c>
      <c r="B57" s="919">
        <v>568.94795833025159</v>
      </c>
      <c r="C57" s="908" t="s">
        <v>33</v>
      </c>
      <c r="D57" s="909">
        <v>0</v>
      </c>
      <c r="E57" s="915">
        <f t="shared" si="16"/>
        <v>568.94795833025159</v>
      </c>
      <c r="F57" s="1057">
        <v>227.5791833321006</v>
      </c>
      <c r="G57" s="908" t="s">
        <v>33</v>
      </c>
      <c r="H57" s="909">
        <v>0</v>
      </c>
      <c r="I57" s="912">
        <f t="shared" si="17"/>
        <v>227.5791833321006</v>
      </c>
      <c r="J57" s="919">
        <v>68.273754999630199</v>
      </c>
      <c r="K57" s="921" t="s">
        <v>33</v>
      </c>
      <c r="L57" s="909">
        <v>0</v>
      </c>
      <c r="M57" s="912">
        <f t="shared" si="18"/>
        <v>68.273754999630199</v>
      </c>
      <c r="N57" s="919">
        <v>79.652714166235214</v>
      </c>
      <c r="O57" s="921" t="s">
        <v>688</v>
      </c>
      <c r="P57" s="909">
        <v>0</v>
      </c>
      <c r="Q57" s="912">
        <f t="shared" si="19"/>
        <v>79.652714166235214</v>
      </c>
      <c r="R57" s="919">
        <v>0</v>
      </c>
      <c r="S57" s="921" t="s">
        <v>493</v>
      </c>
      <c r="T57" s="909">
        <v>0</v>
      </c>
      <c r="U57" s="912">
        <f t="shared" si="20"/>
        <v>0</v>
      </c>
      <c r="V57" s="1056">
        <f t="shared" si="14"/>
        <v>944.45361082821762</v>
      </c>
      <c r="W57" s="177"/>
      <c r="X57" s="177"/>
      <c r="Y57" s="432"/>
      <c r="Z57" s="432"/>
      <c r="AA57" s="432"/>
      <c r="AB57" s="432"/>
      <c r="AC57" s="432"/>
      <c r="AD57" s="432"/>
      <c r="AE57" s="432"/>
      <c r="AF57" s="432"/>
      <c r="AG57" s="432"/>
      <c r="AH57" s="432"/>
      <c r="AI57" s="432"/>
      <c r="AJ57" s="432"/>
      <c r="AK57" s="432"/>
      <c r="AL57" s="432"/>
      <c r="AM57" s="432"/>
      <c r="AN57" s="432"/>
    </row>
    <row r="58" spans="1:40" ht="16" thickBot="1">
      <c r="A58" s="132" t="s">
        <v>552</v>
      </c>
      <c r="B58" s="913">
        <v>11.378959166605028</v>
      </c>
      <c r="C58" s="908" t="s">
        <v>33</v>
      </c>
      <c r="D58" s="909">
        <v>0</v>
      </c>
      <c r="E58" s="916">
        <f t="shared" si="16"/>
        <v>11.378959166605028</v>
      </c>
      <c r="F58" s="1058">
        <v>170.68438749907546</v>
      </c>
      <c r="G58" s="908" t="s">
        <v>33</v>
      </c>
      <c r="H58" s="909">
        <v>0</v>
      </c>
      <c r="I58" s="917">
        <f>IF(F58="not estimated","0", F58*(1-H58))</f>
        <v>170.68438749907546</v>
      </c>
      <c r="J58" s="913">
        <v>56.89479583302515</v>
      </c>
      <c r="K58" s="921" t="s">
        <v>33</v>
      </c>
      <c r="L58" s="909">
        <v>0</v>
      </c>
      <c r="M58" s="917">
        <f t="shared" si="18"/>
        <v>56.89479583302515</v>
      </c>
      <c r="N58" s="913">
        <v>56.89479583302515</v>
      </c>
      <c r="O58" s="921" t="s">
        <v>688</v>
      </c>
      <c r="P58" s="909">
        <v>0</v>
      </c>
      <c r="Q58" s="917">
        <f t="shared" si="19"/>
        <v>56.89479583302515</v>
      </c>
      <c r="R58" s="913" t="s">
        <v>429</v>
      </c>
      <c r="S58" s="921" t="s">
        <v>493</v>
      </c>
      <c r="T58" s="909">
        <v>0</v>
      </c>
      <c r="U58" s="917" t="str">
        <f t="shared" si="20"/>
        <v>0</v>
      </c>
      <c r="V58" s="1056">
        <f t="shared" si="14"/>
        <v>295.8529383317308</v>
      </c>
      <c r="W58" s="177"/>
      <c r="X58" s="177"/>
      <c r="Y58" s="432"/>
      <c r="Z58" s="432"/>
      <c r="AA58" s="432"/>
      <c r="AB58" s="432"/>
      <c r="AC58" s="432"/>
      <c r="AD58" s="432"/>
      <c r="AE58" s="432"/>
      <c r="AF58" s="432"/>
      <c r="AG58" s="432"/>
      <c r="AH58" s="432"/>
      <c r="AI58" s="432"/>
      <c r="AJ58" s="432"/>
      <c r="AK58" s="432"/>
      <c r="AL58" s="432"/>
      <c r="AM58" s="432"/>
      <c r="AN58" s="432"/>
    </row>
    <row r="59" spans="1:40" ht="16" thickBot="1">
      <c r="A59" s="902" t="s">
        <v>554</v>
      </c>
      <c r="B59" s="914">
        <f>SUM(B45:B58)</f>
        <v>10855.5270449412</v>
      </c>
      <c r="C59" s="903"/>
      <c r="D59" s="905"/>
      <c r="E59" s="914">
        <f>SUM(E45:E58)</f>
        <v>10855.5270449412</v>
      </c>
      <c r="F59" s="1059">
        <f>SUM(F45:F58)</f>
        <v>2422318.6905093789</v>
      </c>
      <c r="G59" s="903"/>
      <c r="H59" s="905"/>
      <c r="I59" s="903">
        <f>SUM(I45:I58)</f>
        <v>2422318.6905093789</v>
      </c>
      <c r="J59" s="914">
        <f>SUM(J45:J58)</f>
        <v>303454.08305502287</v>
      </c>
      <c r="K59" s="903"/>
      <c r="L59" s="905"/>
      <c r="M59" s="914">
        <f>SUM(M45:M58)</f>
        <v>303454.08305502287</v>
      </c>
      <c r="N59" s="914">
        <f>SUM(N45:N58)</f>
        <v>6463.2488066316582</v>
      </c>
      <c r="O59" s="903"/>
      <c r="P59" s="905"/>
      <c r="Q59" s="914">
        <f>SUM(Q45:Q58)</f>
        <v>6463.2488066316582</v>
      </c>
      <c r="R59" s="914">
        <f>SUM(R45:R58)</f>
        <v>6326.7012966323991</v>
      </c>
      <c r="S59" s="903"/>
      <c r="T59" s="905"/>
      <c r="U59" s="914">
        <f>SUM(U45:U58)</f>
        <v>6326.7012966323991</v>
      </c>
      <c r="V59" s="1056">
        <f>U59+Q59+M59+I59+E59</f>
        <v>2749418.2507126071</v>
      </c>
      <c r="W59" s="177"/>
      <c r="X59" s="177"/>
      <c r="Y59" s="432"/>
      <c r="Z59" s="432"/>
      <c r="AA59" s="432"/>
      <c r="AB59" s="432"/>
      <c r="AC59" s="432"/>
      <c r="AD59" s="432"/>
      <c r="AE59" s="432"/>
      <c r="AF59" s="432"/>
      <c r="AG59" s="432"/>
      <c r="AH59" s="432"/>
      <c r="AI59" s="432"/>
      <c r="AJ59" s="432"/>
      <c r="AK59" s="432"/>
      <c r="AL59" s="432"/>
      <c r="AM59" s="432"/>
      <c r="AN59" s="432"/>
    </row>
    <row r="60" spans="1:40" ht="62">
      <c r="A60" s="444" t="s">
        <v>563</v>
      </c>
      <c r="B60" s="113" t="str">
        <f>CONCATENATE("Value of Property Stolen/ Damaged (VPS)"," ", "(",'Proposition Summary'!$B$76,")")</f>
        <v>Value of Property Stolen/ Damaged (VPS) (GBP (£))</v>
      </c>
      <c r="C60" s="419" t="s">
        <v>494</v>
      </c>
      <c r="D60" s="420" t="s">
        <v>296</v>
      </c>
      <c r="E60" s="421" t="str">
        <f>CONCATENATE("Corrected costs"," ", "(",'Proposition Summary'!$B$76,")")</f>
        <v>Corrected costs (GBP (£))</v>
      </c>
      <c r="F60" s="437" t="str">
        <f>CONCATENATE("Physical and Emotional Harm (PEH)"," ", "(",'Proposition Summary'!$B$76,")")</f>
        <v>Physical and Emotional Harm (PEH) (GBP (£))</v>
      </c>
      <c r="G60" s="461" t="s">
        <v>570</v>
      </c>
      <c r="H60" s="420" t="s">
        <v>296</v>
      </c>
      <c r="I60" s="421" t="str">
        <f>CONCATENATE("Corrected costs"," ", "(",'Proposition Summary'!$B$76,")")</f>
        <v>Corrected costs (GBP (£))</v>
      </c>
      <c r="J60" s="446" t="str">
        <f>CONCATENATE("Lost Output (LO)"," ", "(",'Proposition Summary'!$B$76,")")</f>
        <v>Lost Output (LO) (GBP (£))</v>
      </c>
      <c r="K60" s="461" t="s">
        <v>496</v>
      </c>
      <c r="L60" s="420" t="s">
        <v>296</v>
      </c>
      <c r="M60" s="421" t="str">
        <f>CONCATENATE("Corrected costs"," ", "(",'Proposition Summary'!$B$76,")")</f>
        <v>Corrected costs (GBP (£))</v>
      </c>
      <c r="N60" s="446" t="str">
        <f>CONCATENATE("Health Services (HS)"," ", "(",'Proposition Summary'!$B$76,")")</f>
        <v>Health Services (HS) (GBP (£))</v>
      </c>
      <c r="O60" s="461" t="s">
        <v>497</v>
      </c>
      <c r="P60" s="420" t="s">
        <v>296</v>
      </c>
      <c r="Q60" s="421" t="str">
        <f>CONCATENATE("Corrected costs"," ", "(",'Proposition Summary'!$B$76,")")</f>
        <v>Corrected costs (GBP (£))</v>
      </c>
      <c r="R60" s="446" t="str">
        <f>CONCATENATE("Victim Services (VS)"," ", "(",'Proposition Summary'!$B$76,")")</f>
        <v>Victim Services (VS) (GBP (£))</v>
      </c>
      <c r="S60" s="461" t="s">
        <v>495</v>
      </c>
      <c r="T60" s="420" t="s">
        <v>296</v>
      </c>
      <c r="U60" s="421" t="str">
        <f>CONCATENATE("Corrected costs"," ", "(",'Proposition Summary'!$B$76,")")</f>
        <v>Corrected costs (GBP (£))</v>
      </c>
      <c r="V60" s="925" t="str">
        <f>CONCATENATE("Total cost as a consequence of crime"," ", "(",'Proposition Summary'!$B$76,")")</f>
        <v>Total cost as a consequence of crime (GBP (£))</v>
      </c>
      <c r="W60" s="177"/>
      <c r="X60" s="177"/>
      <c r="Y60" s="432"/>
      <c r="Z60" s="432"/>
      <c r="AA60" s="432"/>
      <c r="AB60" s="432"/>
      <c r="AC60" s="432"/>
      <c r="AD60" s="432"/>
      <c r="AE60" s="432"/>
      <c r="AF60" s="432"/>
      <c r="AG60" s="432"/>
      <c r="AH60" s="432"/>
      <c r="AI60" s="432"/>
      <c r="AJ60" s="432"/>
      <c r="AK60" s="432"/>
      <c r="AL60" s="432"/>
      <c r="AM60" s="432"/>
      <c r="AN60" s="432"/>
    </row>
    <row r="61" spans="1:40">
      <c r="A61" s="132" t="s">
        <v>555</v>
      </c>
      <c r="B61" s="919">
        <v>1115.1379983272927</v>
      </c>
      <c r="C61" s="908" t="s">
        <v>33</v>
      </c>
      <c r="D61" s="909">
        <v>0</v>
      </c>
      <c r="E61" s="912">
        <f t="shared" ref="E61:E67" si="21">IF(B61="not estimated","0", B61*(1-D61))</f>
        <v>1115.1379983272927</v>
      </c>
      <c r="F61" s="1060">
        <v>4745.0259724742973</v>
      </c>
      <c r="G61" s="908" t="s">
        <v>33</v>
      </c>
      <c r="H61" s="909">
        <v>0</v>
      </c>
      <c r="I61" s="912">
        <f t="shared" ref="I61:I67" si="22">IF(F61="not estimated","0", F61*(1-H61))</f>
        <v>4745.0259724742973</v>
      </c>
      <c r="J61" s="919">
        <v>2560.2658124861314</v>
      </c>
      <c r="K61" s="921" t="s">
        <v>33</v>
      </c>
      <c r="L61" s="909">
        <v>0</v>
      </c>
      <c r="M61" s="912">
        <f t="shared" ref="M61:M67" si="23">IF(J61="not estimated","0", J61*(1-L61))</f>
        <v>2560.2658124861314</v>
      </c>
      <c r="N61" s="919">
        <v>682.73754999630182</v>
      </c>
      <c r="O61" s="921" t="s">
        <v>688</v>
      </c>
      <c r="P61" s="909">
        <v>0</v>
      </c>
      <c r="Q61" s="912">
        <f t="shared" ref="Q61:Q67" si="24">IF(N61="not estimated","0", N61*(1-P61))</f>
        <v>682.73754999630182</v>
      </c>
      <c r="R61" s="919">
        <v>23.189477545357036</v>
      </c>
      <c r="S61" s="921" t="s">
        <v>493</v>
      </c>
      <c r="T61" s="909">
        <v>0</v>
      </c>
      <c r="U61" s="912">
        <f t="shared" ref="U61:U67" si="25">IF(R61="not estimated","0", R61*(1-T61))</f>
        <v>23.189477545357036</v>
      </c>
      <c r="V61" s="1056">
        <f t="shared" ref="V61:V76" si="26">U61+Q61+M61+I61+E61</f>
        <v>9126.3568108293803</v>
      </c>
      <c r="W61" s="177"/>
      <c r="X61" s="177"/>
      <c r="Y61" s="432"/>
      <c r="Z61" s="432"/>
      <c r="AA61" s="432"/>
      <c r="AB61" s="432"/>
      <c r="AC61" s="432"/>
      <c r="AD61" s="432"/>
      <c r="AE61" s="432"/>
      <c r="AF61" s="432"/>
      <c r="AG61" s="432"/>
      <c r="AH61" s="432"/>
      <c r="AI61" s="432"/>
      <c r="AJ61" s="432"/>
      <c r="AK61" s="432"/>
      <c r="AL61" s="432"/>
      <c r="AM61" s="432"/>
      <c r="AN61" s="432"/>
    </row>
    <row r="62" spans="1:40">
      <c r="A62" s="132" t="s">
        <v>556</v>
      </c>
      <c r="B62" s="919">
        <v>4096.4252999778109</v>
      </c>
      <c r="C62" s="908" t="s">
        <v>33</v>
      </c>
      <c r="D62" s="909">
        <v>0</v>
      </c>
      <c r="E62" s="912">
        <f t="shared" si="21"/>
        <v>4096.4252999778109</v>
      </c>
      <c r="F62" s="1060">
        <v>580.32691749685648</v>
      </c>
      <c r="G62" s="908" t="s">
        <v>33</v>
      </c>
      <c r="H62" s="909">
        <v>0</v>
      </c>
      <c r="I62" s="912">
        <f t="shared" si="22"/>
        <v>580.32691749685648</v>
      </c>
      <c r="J62" s="919">
        <v>432.40044833099114</v>
      </c>
      <c r="K62" s="921" t="s">
        <v>33</v>
      </c>
      <c r="L62" s="909">
        <v>0</v>
      </c>
      <c r="M62" s="912">
        <f t="shared" si="23"/>
        <v>432.40044833099114</v>
      </c>
      <c r="N62" s="919">
        <v>182.06334666568046</v>
      </c>
      <c r="O62" s="921" t="s">
        <v>688</v>
      </c>
      <c r="P62" s="909">
        <v>0</v>
      </c>
      <c r="Q62" s="912">
        <f t="shared" si="24"/>
        <v>182.06334666568046</v>
      </c>
      <c r="R62" s="919">
        <v>0</v>
      </c>
      <c r="S62" s="921" t="s">
        <v>493</v>
      </c>
      <c r="T62" s="909">
        <v>0</v>
      </c>
      <c r="U62" s="912">
        <f t="shared" si="25"/>
        <v>0</v>
      </c>
      <c r="V62" s="1056">
        <f t="shared" si="26"/>
        <v>5291.2160124713391</v>
      </c>
      <c r="W62" s="177"/>
      <c r="X62" s="177"/>
      <c r="Y62" s="432"/>
      <c r="Z62" s="432"/>
      <c r="AA62" s="432"/>
      <c r="AB62" s="432"/>
      <c r="AC62" s="432"/>
      <c r="AD62" s="432"/>
      <c r="AE62" s="432"/>
      <c r="AF62" s="432"/>
      <c r="AG62" s="432"/>
      <c r="AH62" s="432"/>
      <c r="AI62" s="432"/>
      <c r="AJ62" s="432"/>
      <c r="AK62" s="432"/>
      <c r="AL62" s="432"/>
      <c r="AM62" s="432"/>
      <c r="AN62" s="432"/>
    </row>
    <row r="63" spans="1:40">
      <c r="A63" s="132" t="s">
        <v>557</v>
      </c>
      <c r="B63" s="919">
        <v>580.32691749685648</v>
      </c>
      <c r="C63" s="908" t="s">
        <v>33</v>
      </c>
      <c r="D63" s="909">
        <v>0</v>
      </c>
      <c r="E63" s="912">
        <f t="shared" si="21"/>
        <v>580.32691749685648</v>
      </c>
      <c r="F63" s="1060">
        <v>0</v>
      </c>
      <c r="G63" s="908" t="s">
        <v>33</v>
      </c>
      <c r="H63" s="909">
        <v>0</v>
      </c>
      <c r="I63" s="912">
        <f t="shared" si="22"/>
        <v>0</v>
      </c>
      <c r="J63" s="919">
        <v>0</v>
      </c>
      <c r="K63" s="921" t="s">
        <v>33</v>
      </c>
      <c r="L63" s="909">
        <v>0</v>
      </c>
      <c r="M63" s="912">
        <f t="shared" si="23"/>
        <v>0</v>
      </c>
      <c r="N63" s="919">
        <v>0</v>
      </c>
      <c r="O63" s="921" t="s">
        <v>688</v>
      </c>
      <c r="P63" s="909">
        <v>0</v>
      </c>
      <c r="Q63" s="912">
        <f t="shared" si="24"/>
        <v>0</v>
      </c>
      <c r="R63" s="919">
        <v>0</v>
      </c>
      <c r="S63" s="921" t="s">
        <v>493</v>
      </c>
      <c r="T63" s="909">
        <v>0</v>
      </c>
      <c r="U63" s="912">
        <f t="shared" si="25"/>
        <v>0</v>
      </c>
      <c r="V63" s="1056">
        <f t="shared" si="26"/>
        <v>580.32691749685648</v>
      </c>
      <c r="W63" s="177"/>
      <c r="X63" s="177"/>
      <c r="Y63" s="432"/>
      <c r="Z63" s="432"/>
      <c r="AA63" s="432"/>
      <c r="AB63" s="432"/>
      <c r="AC63" s="432"/>
      <c r="AD63" s="432"/>
      <c r="AE63" s="432"/>
      <c r="AF63" s="432"/>
      <c r="AG63" s="432"/>
      <c r="AH63" s="432"/>
      <c r="AI63" s="432"/>
      <c r="AJ63" s="432"/>
      <c r="AK63" s="432"/>
      <c r="AL63" s="432"/>
      <c r="AM63" s="432"/>
      <c r="AN63" s="432"/>
    </row>
    <row r="64" spans="1:40">
      <c r="A64" s="132" t="s">
        <v>408</v>
      </c>
      <c r="B64" s="919">
        <v>28219.818733180473</v>
      </c>
      <c r="C64" s="908" t="s">
        <v>33</v>
      </c>
      <c r="D64" s="909">
        <v>0</v>
      </c>
      <c r="E64" s="912">
        <f t="shared" si="21"/>
        <v>28219.818733180473</v>
      </c>
      <c r="F64" s="1060">
        <v>409.64252999778108</v>
      </c>
      <c r="G64" s="908" t="s">
        <v>33</v>
      </c>
      <c r="H64" s="909">
        <v>0</v>
      </c>
      <c r="I64" s="912">
        <f t="shared" si="22"/>
        <v>409.64252999778108</v>
      </c>
      <c r="J64" s="919">
        <v>216.20022416549557</v>
      </c>
      <c r="K64" s="921" t="s">
        <v>33</v>
      </c>
      <c r="L64" s="909">
        <v>0</v>
      </c>
      <c r="M64" s="912">
        <f t="shared" si="23"/>
        <v>216.20022416549557</v>
      </c>
      <c r="N64" s="919">
        <v>11.378959166605028</v>
      </c>
      <c r="O64" s="921" t="s">
        <v>688</v>
      </c>
      <c r="P64" s="909">
        <v>0</v>
      </c>
      <c r="Q64" s="912">
        <f t="shared" si="24"/>
        <v>11.378959166605028</v>
      </c>
      <c r="R64" s="919">
        <v>0</v>
      </c>
      <c r="S64" s="921" t="s">
        <v>493</v>
      </c>
      <c r="T64" s="909">
        <v>0</v>
      </c>
      <c r="U64" s="912">
        <f t="shared" si="25"/>
        <v>0</v>
      </c>
      <c r="V64" s="1056">
        <f t="shared" si="26"/>
        <v>28857.040446510353</v>
      </c>
      <c r="W64" s="177"/>
      <c r="X64" s="177"/>
      <c r="Y64" s="432"/>
      <c r="Z64" s="432"/>
      <c r="AA64" s="432"/>
      <c r="AB64" s="432"/>
      <c r="AC64" s="432"/>
      <c r="AD64" s="432"/>
      <c r="AE64" s="432"/>
      <c r="AF64" s="432"/>
      <c r="AG64" s="432"/>
      <c r="AH64" s="432"/>
      <c r="AI64" s="432"/>
      <c r="AJ64" s="432"/>
      <c r="AK64" s="432"/>
      <c r="AL64" s="432"/>
      <c r="AM64" s="432"/>
      <c r="AN64" s="432"/>
    </row>
    <row r="65" spans="1:111">
      <c r="A65" s="132" t="s">
        <v>409</v>
      </c>
      <c r="B65" s="919">
        <v>1456.5067733254436</v>
      </c>
      <c r="C65" s="908" t="s">
        <v>33</v>
      </c>
      <c r="D65" s="909">
        <v>0</v>
      </c>
      <c r="E65" s="912">
        <f t="shared" si="21"/>
        <v>1456.5067733254436</v>
      </c>
      <c r="F65" s="1060">
        <v>113.7895916660503</v>
      </c>
      <c r="G65" s="908" t="s">
        <v>33</v>
      </c>
      <c r="H65" s="909">
        <v>0</v>
      </c>
      <c r="I65" s="912">
        <f t="shared" si="22"/>
        <v>113.7895916660503</v>
      </c>
      <c r="J65" s="919">
        <v>91.031673332840228</v>
      </c>
      <c r="K65" s="921" t="s">
        <v>33</v>
      </c>
      <c r="L65" s="909">
        <v>0</v>
      </c>
      <c r="M65" s="912">
        <f t="shared" si="23"/>
        <v>91.031673332840228</v>
      </c>
      <c r="N65" s="919">
        <v>0</v>
      </c>
      <c r="O65" s="921" t="s">
        <v>688</v>
      </c>
      <c r="P65" s="909">
        <v>0</v>
      </c>
      <c r="Q65" s="912">
        <f t="shared" si="24"/>
        <v>0</v>
      </c>
      <c r="R65" s="919">
        <v>0</v>
      </c>
      <c r="S65" s="921" t="s">
        <v>493</v>
      </c>
      <c r="T65" s="909">
        <v>0</v>
      </c>
      <c r="U65" s="912">
        <f t="shared" si="25"/>
        <v>0</v>
      </c>
      <c r="V65" s="1056">
        <f t="shared" si="26"/>
        <v>1661.3280383243341</v>
      </c>
      <c r="W65" s="177"/>
      <c r="X65" s="177"/>
      <c r="Y65" s="432"/>
      <c r="Z65" s="432"/>
      <c r="AA65" s="432"/>
      <c r="AB65" s="432"/>
      <c r="AC65" s="432"/>
      <c r="AD65" s="432"/>
      <c r="AE65" s="432"/>
      <c r="AF65" s="432"/>
      <c r="AG65" s="432"/>
      <c r="AH65" s="432"/>
      <c r="AI65" s="432"/>
      <c r="AJ65" s="432"/>
      <c r="AK65" s="432"/>
      <c r="AL65" s="432"/>
      <c r="AM65" s="432"/>
      <c r="AN65" s="432"/>
    </row>
    <row r="66" spans="1:111">
      <c r="A66" s="132" t="s">
        <v>558</v>
      </c>
      <c r="B66" s="919">
        <v>2537.5078941529218</v>
      </c>
      <c r="C66" s="908" t="s">
        <v>33</v>
      </c>
      <c r="D66" s="909">
        <v>0</v>
      </c>
      <c r="E66" s="912">
        <f t="shared" si="21"/>
        <v>2537.5078941529218</v>
      </c>
      <c r="F66" s="1060">
        <v>1149.2748758271077</v>
      </c>
      <c r="G66" s="908" t="s">
        <v>33</v>
      </c>
      <c r="H66" s="909">
        <v>0</v>
      </c>
      <c r="I66" s="912">
        <f t="shared" si="22"/>
        <v>1149.2748758271077</v>
      </c>
      <c r="J66" s="919">
        <v>580.32691749685648</v>
      </c>
      <c r="K66" s="921" t="s">
        <v>33</v>
      </c>
      <c r="L66" s="909">
        <v>0</v>
      </c>
      <c r="M66" s="912">
        <f t="shared" si="23"/>
        <v>580.32691749685648</v>
      </c>
      <c r="N66" s="919">
        <v>386.88461166457103</v>
      </c>
      <c r="O66" s="921" t="s">
        <v>688</v>
      </c>
      <c r="P66" s="909">
        <v>0</v>
      </c>
      <c r="Q66" s="912">
        <f t="shared" si="24"/>
        <v>386.88461166457103</v>
      </c>
      <c r="R66" s="919">
        <v>11.594738772678518</v>
      </c>
      <c r="S66" s="921" t="s">
        <v>493</v>
      </c>
      <c r="T66" s="909">
        <v>0</v>
      </c>
      <c r="U66" s="912">
        <f t="shared" si="25"/>
        <v>11.594738772678518</v>
      </c>
      <c r="V66" s="1056">
        <f t="shared" si="26"/>
        <v>4665.5890379141356</v>
      </c>
      <c r="W66" s="177"/>
      <c r="X66" s="177"/>
      <c r="Y66" s="432"/>
      <c r="Z66" s="432"/>
      <c r="AA66" s="432"/>
      <c r="AB66" s="432"/>
      <c r="AC66" s="432"/>
      <c r="AD66" s="432"/>
      <c r="AE66" s="432"/>
      <c r="AF66" s="432"/>
      <c r="AG66" s="432"/>
      <c r="AH66" s="432"/>
      <c r="AI66" s="432"/>
      <c r="AJ66" s="432"/>
      <c r="AK66" s="432"/>
      <c r="AL66" s="432"/>
      <c r="AM66" s="432"/>
      <c r="AN66" s="432"/>
    </row>
    <row r="67" spans="1:111" ht="16" thickBot="1">
      <c r="A67" s="132" t="s">
        <v>559</v>
      </c>
      <c r="B67" s="919">
        <v>523.43212166383148</v>
      </c>
      <c r="C67" s="908" t="s">
        <v>33</v>
      </c>
      <c r="D67" s="909">
        <v>0</v>
      </c>
      <c r="E67" s="912">
        <f t="shared" si="21"/>
        <v>523.43212166383148</v>
      </c>
      <c r="F67" s="1060">
        <v>68.273754999630199</v>
      </c>
      <c r="G67" s="908" t="s">
        <v>33</v>
      </c>
      <c r="H67" s="909">
        <v>0</v>
      </c>
      <c r="I67" s="912">
        <f t="shared" si="22"/>
        <v>68.273754999630199</v>
      </c>
      <c r="J67" s="919">
        <v>34.1368774998151</v>
      </c>
      <c r="K67" s="921" t="s">
        <v>33</v>
      </c>
      <c r="L67" s="909">
        <v>0</v>
      </c>
      <c r="M67" s="912">
        <f t="shared" si="23"/>
        <v>34.1368774998151</v>
      </c>
      <c r="N67" s="919">
        <v>45.515836666420114</v>
      </c>
      <c r="O67" s="921" t="s">
        <v>688</v>
      </c>
      <c r="P67" s="909">
        <v>0</v>
      </c>
      <c r="Q67" s="912">
        <f t="shared" si="24"/>
        <v>45.515836666420114</v>
      </c>
      <c r="R67" s="919">
        <v>0</v>
      </c>
      <c r="S67" s="921" t="s">
        <v>493</v>
      </c>
      <c r="T67" s="909">
        <v>0</v>
      </c>
      <c r="U67" s="912">
        <f t="shared" si="25"/>
        <v>0</v>
      </c>
      <c r="V67" s="1056">
        <f t="shared" si="26"/>
        <v>671.35859082969682</v>
      </c>
      <c r="W67" s="177"/>
      <c r="X67" s="177"/>
      <c r="Y67" s="432"/>
      <c r="Z67" s="432"/>
      <c r="AA67" s="432"/>
      <c r="AB67" s="432"/>
      <c r="AC67" s="432"/>
      <c r="AD67" s="432"/>
      <c r="AE67" s="432"/>
      <c r="AF67" s="432"/>
      <c r="AG67" s="432"/>
      <c r="AH67" s="432"/>
      <c r="AI67" s="432"/>
      <c r="AJ67" s="432"/>
      <c r="AK67" s="432"/>
      <c r="AL67" s="432"/>
      <c r="AM67" s="432"/>
      <c r="AN67" s="432"/>
    </row>
    <row r="68" spans="1:111" ht="16" thickBot="1">
      <c r="A68" s="902" t="s">
        <v>560</v>
      </c>
      <c r="B68" s="914">
        <f>SUM(B61:B67)</f>
        <v>38529.155738124638</v>
      </c>
      <c r="C68" s="903"/>
      <c r="D68" s="905"/>
      <c r="E68" s="914">
        <f>SUM(E61:E67)</f>
        <v>38529.155738124638</v>
      </c>
      <c r="F68" s="1059">
        <f>SUM(F61:F67)</f>
        <v>7066.3336424617219</v>
      </c>
      <c r="G68" s="903"/>
      <c r="H68" s="905"/>
      <c r="I68" s="914">
        <f>SUM(I61:I67)</f>
        <v>7066.3336424617219</v>
      </c>
      <c r="J68" s="914">
        <f>SUM(J61:J67)</f>
        <v>3914.3619533121296</v>
      </c>
      <c r="K68" s="903"/>
      <c r="L68" s="905"/>
      <c r="M68" s="914">
        <f>SUM(M61:M67)</f>
        <v>3914.3619533121296</v>
      </c>
      <c r="N68" s="914">
        <f>SUM(N61:N67)</f>
        <v>1308.5803041595782</v>
      </c>
      <c r="O68" s="903"/>
      <c r="P68" s="905"/>
      <c r="Q68" s="914">
        <f>SUM(Q61:Q67)</f>
        <v>1308.5803041595782</v>
      </c>
      <c r="R68" s="914">
        <f>SUM(R61:R67)</f>
        <v>34.784216318035554</v>
      </c>
      <c r="S68" s="903"/>
      <c r="T68" s="905"/>
      <c r="U68" s="914">
        <f>SUM(U61:U67)</f>
        <v>34.784216318035554</v>
      </c>
      <c r="V68" s="1056">
        <f t="shared" si="26"/>
        <v>50853.215854376103</v>
      </c>
      <c r="W68" s="177"/>
      <c r="X68" s="177"/>
      <c r="Y68" s="432"/>
      <c r="Z68" s="432"/>
      <c r="AA68" s="432"/>
      <c r="AB68" s="432"/>
      <c r="AC68" s="432"/>
      <c r="AD68" s="432"/>
      <c r="AE68" s="432"/>
      <c r="AF68" s="432"/>
      <c r="AG68" s="432"/>
      <c r="AH68" s="432"/>
      <c r="AI68" s="432"/>
      <c r="AJ68" s="432"/>
      <c r="AK68" s="432"/>
      <c r="AL68" s="432"/>
      <c r="AM68" s="432"/>
      <c r="AN68" s="432"/>
    </row>
    <row r="69" spans="1:111" ht="62">
      <c r="A69" s="462" t="s">
        <v>513</v>
      </c>
      <c r="B69" s="113" t="str">
        <f>CONCATENATE("Value of Property Stolen/ Damaged (VPS)"," ", "(",'Proposition Summary'!$B$76,")")</f>
        <v>Value of Property Stolen/ Damaged (VPS) (GBP (£))</v>
      </c>
      <c r="C69" s="435" t="s">
        <v>494</v>
      </c>
      <c r="D69" s="436" t="s">
        <v>296</v>
      </c>
      <c r="E69" s="421" t="str">
        <f>CONCATENATE("Corrected costs"," ", "(",'Proposition Summary'!$B$76,")")</f>
        <v>Corrected costs (GBP (£))</v>
      </c>
      <c r="F69" s="463" t="str">
        <f>CONCATENATE("Physical and Emotional Harm (PEH)"," ", "(",'Proposition Summary'!$B$76,")")</f>
        <v>Physical and Emotional Harm (PEH) (GBP (£))</v>
      </c>
      <c r="G69" s="464" t="s">
        <v>570</v>
      </c>
      <c r="H69" s="436" t="s">
        <v>296</v>
      </c>
      <c r="I69" s="421" t="str">
        <f>CONCATENATE("Corrected costs"," ", "(",'Proposition Summary'!$B$76,")")</f>
        <v>Corrected costs (GBP (£))</v>
      </c>
      <c r="J69" s="465" t="str">
        <f>CONCATENATE("Lost Output (LO)"," ", "(",'Proposition Summary'!$B$76,")")</f>
        <v>Lost Output (LO) (GBP (£))</v>
      </c>
      <c r="K69" s="464" t="s">
        <v>496</v>
      </c>
      <c r="L69" s="436" t="s">
        <v>296</v>
      </c>
      <c r="M69" s="421" t="str">
        <f>CONCATENATE("Corrected costs"," ", "(",'Proposition Summary'!$B$76,")")</f>
        <v>Corrected costs (GBP (£))</v>
      </c>
      <c r="N69" s="465" t="str">
        <f>CONCATENATE("Health Services (HS)"," ", "(",'Proposition Summary'!$B$76,")")</f>
        <v>Health Services (HS) (GBP (£))</v>
      </c>
      <c r="O69" s="464" t="s">
        <v>497</v>
      </c>
      <c r="P69" s="436" t="s">
        <v>296</v>
      </c>
      <c r="Q69" s="421" t="str">
        <f>CONCATENATE("Corrected costs"," ", "(",'Proposition Summary'!$B$76,")")</f>
        <v>Corrected costs (GBP (£))</v>
      </c>
      <c r="R69" s="465" t="str">
        <f>CONCATENATE("Victim Services (VS)"," ", "(",'Proposition Summary'!$B$76,")")</f>
        <v>Victim Services (VS) (GBP (£))</v>
      </c>
      <c r="S69" s="464" t="s">
        <v>495</v>
      </c>
      <c r="T69" s="436" t="s">
        <v>296</v>
      </c>
      <c r="U69" s="421" t="str">
        <f>CONCATENATE("Corrected costs"," ", "(",'Proposition Summary'!$B$76,")")</f>
        <v>Corrected costs (GBP (£))</v>
      </c>
      <c r="V69" s="927" t="str">
        <f>CONCATENATE("Total cost as a consequence of crime"," ", "(",'Proposition Summary'!$B$76,")")</f>
        <v>Total cost as a consequence of crime (GBP (£))</v>
      </c>
      <c r="W69" s="177"/>
      <c r="X69" s="177"/>
      <c r="Y69" s="432"/>
      <c r="Z69" s="432"/>
      <c r="AA69" s="432"/>
      <c r="AB69" s="432"/>
      <c r="AC69" s="432"/>
      <c r="AD69" s="432"/>
      <c r="AE69" s="432"/>
      <c r="AF69" s="432"/>
      <c r="AG69" s="432"/>
      <c r="AH69" s="432"/>
      <c r="AI69" s="432"/>
      <c r="AJ69" s="432"/>
      <c r="AK69" s="432"/>
      <c r="AL69" s="432"/>
      <c r="AM69" s="432"/>
      <c r="AN69" s="432"/>
    </row>
    <row r="70" spans="1:111" ht="31">
      <c r="A70" s="440" t="s">
        <v>421</v>
      </c>
      <c r="B70" s="918" t="s">
        <v>429</v>
      </c>
      <c r="C70" s="908" t="s">
        <v>33</v>
      </c>
      <c r="D70" s="909">
        <v>0</v>
      </c>
      <c r="E70" s="433" t="str">
        <f t="shared" ref="E70:E75" si="27">IF(B70="not estimated","0", B70*(1-D70))</f>
        <v>0</v>
      </c>
      <c r="F70" s="918" t="s">
        <v>429</v>
      </c>
      <c r="G70" s="908" t="s">
        <v>33</v>
      </c>
      <c r="H70" s="909">
        <v>0</v>
      </c>
      <c r="I70" s="433" t="str">
        <f t="shared" ref="I70:I75" si="28">IF(F70="not estimated","0", F70*(1-H70))</f>
        <v>0</v>
      </c>
      <c r="J70" s="918" t="s">
        <v>429</v>
      </c>
      <c r="K70" s="921"/>
      <c r="L70" s="909">
        <v>0</v>
      </c>
      <c r="M70" s="433" t="str">
        <f t="shared" ref="M70:M75" si="29">IF(J70="not estimated","0", J70*(1-L70))</f>
        <v>0</v>
      </c>
      <c r="N70" s="918" t="s">
        <v>429</v>
      </c>
      <c r="O70" s="921" t="s">
        <v>688</v>
      </c>
      <c r="P70" s="909">
        <v>0</v>
      </c>
      <c r="Q70" s="433" t="str">
        <f t="shared" ref="Q70:Q75" si="30">IF(N70="not estimated","0", N70*(1-P70))</f>
        <v>0</v>
      </c>
      <c r="R70" s="918" t="s">
        <v>429</v>
      </c>
      <c r="S70" s="921" t="s">
        <v>493</v>
      </c>
      <c r="T70" s="909">
        <v>0</v>
      </c>
      <c r="U70" s="433" t="str">
        <f t="shared" ref="U70:U75" si="31">IF(R70="not estimated","0", R70*(1-T70))</f>
        <v>0</v>
      </c>
      <c r="V70" s="901">
        <f t="shared" si="26"/>
        <v>0</v>
      </c>
      <c r="W70" s="177"/>
      <c r="X70" s="177"/>
      <c r="Y70" s="432"/>
      <c r="Z70" s="432"/>
      <c r="AA70" s="432"/>
      <c r="AB70" s="432"/>
      <c r="AC70" s="432"/>
      <c r="AD70" s="432"/>
      <c r="AE70" s="432"/>
      <c r="AF70" s="432"/>
      <c r="AG70" s="432"/>
      <c r="AH70" s="432"/>
      <c r="AI70" s="432"/>
      <c r="AJ70" s="432"/>
      <c r="AK70" s="432"/>
      <c r="AL70" s="432"/>
      <c r="AM70" s="432"/>
      <c r="AN70" s="432"/>
    </row>
    <row r="71" spans="1:111" ht="31">
      <c r="A71" s="440" t="s">
        <v>422</v>
      </c>
      <c r="B71" s="918" t="s">
        <v>429</v>
      </c>
      <c r="C71" s="908" t="s">
        <v>33</v>
      </c>
      <c r="D71" s="909">
        <v>0</v>
      </c>
      <c r="E71" s="433" t="str">
        <f t="shared" si="27"/>
        <v>0</v>
      </c>
      <c r="F71" s="918" t="s">
        <v>429</v>
      </c>
      <c r="G71" s="908" t="s">
        <v>33</v>
      </c>
      <c r="H71" s="909">
        <v>0</v>
      </c>
      <c r="I71" s="433" t="str">
        <f t="shared" si="28"/>
        <v>0</v>
      </c>
      <c r="J71" s="918" t="s">
        <v>429</v>
      </c>
      <c r="K71" s="921"/>
      <c r="L71" s="909">
        <v>0</v>
      </c>
      <c r="M71" s="433" t="str">
        <f t="shared" si="29"/>
        <v>0</v>
      </c>
      <c r="N71" s="918" t="s">
        <v>429</v>
      </c>
      <c r="O71" s="921" t="s">
        <v>688</v>
      </c>
      <c r="P71" s="909">
        <v>0</v>
      </c>
      <c r="Q71" s="433" t="str">
        <f t="shared" si="30"/>
        <v>0</v>
      </c>
      <c r="R71" s="918" t="s">
        <v>429</v>
      </c>
      <c r="S71" s="921" t="s">
        <v>493</v>
      </c>
      <c r="T71" s="909">
        <v>0</v>
      </c>
      <c r="U71" s="433" t="str">
        <f t="shared" si="31"/>
        <v>0</v>
      </c>
      <c r="V71" s="901">
        <f t="shared" si="26"/>
        <v>0</v>
      </c>
      <c r="W71" s="177"/>
      <c r="X71" s="177"/>
      <c r="Y71" s="432"/>
      <c r="Z71" s="432"/>
      <c r="AA71" s="432"/>
      <c r="AB71" s="432"/>
      <c r="AC71" s="432"/>
      <c r="AD71" s="432"/>
      <c r="AE71" s="432"/>
      <c r="AF71" s="432"/>
      <c r="AG71" s="432"/>
      <c r="AH71" s="432"/>
      <c r="AI71" s="432"/>
      <c r="AJ71" s="432"/>
      <c r="AK71" s="432"/>
      <c r="AL71" s="432"/>
      <c r="AM71" s="432"/>
      <c r="AN71" s="432"/>
    </row>
    <row r="72" spans="1:111" ht="31">
      <c r="A72" s="440" t="s">
        <v>473</v>
      </c>
      <c r="B72" s="918" t="s">
        <v>429</v>
      </c>
      <c r="C72" s="908" t="s">
        <v>33</v>
      </c>
      <c r="D72" s="909">
        <v>0</v>
      </c>
      <c r="E72" s="433" t="str">
        <f t="shared" si="27"/>
        <v>0</v>
      </c>
      <c r="F72" s="918" t="s">
        <v>429</v>
      </c>
      <c r="G72" s="908" t="s">
        <v>33</v>
      </c>
      <c r="H72" s="909">
        <v>0</v>
      </c>
      <c r="I72" s="433" t="str">
        <f t="shared" si="28"/>
        <v>0</v>
      </c>
      <c r="J72" s="918" t="s">
        <v>429</v>
      </c>
      <c r="K72" s="921"/>
      <c r="L72" s="909">
        <v>0</v>
      </c>
      <c r="M72" s="433" t="str">
        <f t="shared" si="29"/>
        <v>0</v>
      </c>
      <c r="N72" s="918" t="s">
        <v>429</v>
      </c>
      <c r="O72" s="921" t="s">
        <v>688</v>
      </c>
      <c r="P72" s="909">
        <v>0</v>
      </c>
      <c r="Q72" s="433" t="str">
        <f t="shared" si="30"/>
        <v>0</v>
      </c>
      <c r="R72" s="918" t="s">
        <v>429</v>
      </c>
      <c r="S72" s="921" t="s">
        <v>493</v>
      </c>
      <c r="T72" s="909">
        <v>0</v>
      </c>
      <c r="U72" s="433" t="str">
        <f t="shared" si="31"/>
        <v>0</v>
      </c>
      <c r="V72" s="901">
        <f t="shared" si="26"/>
        <v>0</v>
      </c>
      <c r="W72" s="177"/>
      <c r="X72" s="177"/>
      <c r="Y72" s="432"/>
      <c r="Z72" s="432"/>
      <c r="AA72" s="432"/>
      <c r="AB72" s="432"/>
      <c r="AC72" s="432"/>
      <c r="AD72" s="432"/>
      <c r="AE72" s="432"/>
      <c r="AF72" s="432"/>
      <c r="AG72" s="432"/>
      <c r="AH72" s="432"/>
      <c r="AI72" s="432"/>
      <c r="AJ72" s="432"/>
      <c r="AK72" s="432"/>
      <c r="AL72" s="432"/>
      <c r="AM72" s="432"/>
      <c r="AN72" s="432"/>
    </row>
    <row r="73" spans="1:111">
      <c r="A73" s="440" t="s">
        <v>416</v>
      </c>
      <c r="B73" s="918" t="s">
        <v>429</v>
      </c>
      <c r="C73" s="908" t="s">
        <v>33</v>
      </c>
      <c r="D73" s="909">
        <v>0</v>
      </c>
      <c r="E73" s="433" t="str">
        <f t="shared" si="27"/>
        <v>0</v>
      </c>
      <c r="F73" s="918" t="s">
        <v>429</v>
      </c>
      <c r="G73" s="908" t="s">
        <v>33</v>
      </c>
      <c r="H73" s="909">
        <v>0</v>
      </c>
      <c r="I73" s="433" t="str">
        <f t="shared" si="28"/>
        <v>0</v>
      </c>
      <c r="J73" s="918" t="s">
        <v>429</v>
      </c>
      <c r="K73" s="921"/>
      <c r="L73" s="909">
        <v>0</v>
      </c>
      <c r="M73" s="433" t="str">
        <f t="shared" si="29"/>
        <v>0</v>
      </c>
      <c r="N73" s="918" t="s">
        <v>429</v>
      </c>
      <c r="O73" s="921" t="s">
        <v>688</v>
      </c>
      <c r="P73" s="909">
        <v>0</v>
      </c>
      <c r="Q73" s="433" t="str">
        <f t="shared" si="30"/>
        <v>0</v>
      </c>
      <c r="R73" s="918" t="s">
        <v>429</v>
      </c>
      <c r="S73" s="921" t="s">
        <v>493</v>
      </c>
      <c r="T73" s="909">
        <v>0</v>
      </c>
      <c r="U73" s="433" t="str">
        <f t="shared" si="31"/>
        <v>0</v>
      </c>
      <c r="V73" s="901">
        <f t="shared" si="26"/>
        <v>0</v>
      </c>
      <c r="W73" s="177"/>
      <c r="X73" s="177"/>
      <c r="Y73" s="432"/>
      <c r="Z73" s="432"/>
      <c r="AA73" s="432"/>
      <c r="AB73" s="432"/>
      <c r="AC73" s="432"/>
      <c r="AD73" s="432"/>
      <c r="AE73" s="432"/>
      <c r="AF73" s="432"/>
      <c r="AG73" s="432"/>
      <c r="AH73" s="432"/>
      <c r="AI73" s="432"/>
      <c r="AJ73" s="432"/>
      <c r="AK73" s="432"/>
      <c r="AL73" s="432"/>
      <c r="AM73" s="432"/>
      <c r="AN73" s="432"/>
    </row>
    <row r="74" spans="1:111">
      <c r="A74" s="440" t="s">
        <v>417</v>
      </c>
      <c r="B74" s="918" t="s">
        <v>429</v>
      </c>
      <c r="C74" s="908" t="s">
        <v>33</v>
      </c>
      <c r="D74" s="909">
        <v>0</v>
      </c>
      <c r="E74" s="433" t="str">
        <f t="shared" si="27"/>
        <v>0</v>
      </c>
      <c r="F74" s="918" t="s">
        <v>429</v>
      </c>
      <c r="G74" s="908" t="s">
        <v>33</v>
      </c>
      <c r="H74" s="909">
        <v>0</v>
      </c>
      <c r="I74" s="433" t="str">
        <f t="shared" si="28"/>
        <v>0</v>
      </c>
      <c r="J74" s="918" t="s">
        <v>429</v>
      </c>
      <c r="K74" s="921"/>
      <c r="L74" s="909">
        <v>0</v>
      </c>
      <c r="M74" s="433" t="str">
        <f t="shared" si="29"/>
        <v>0</v>
      </c>
      <c r="N74" s="918" t="s">
        <v>429</v>
      </c>
      <c r="O74" s="921" t="s">
        <v>688</v>
      </c>
      <c r="P74" s="909">
        <v>0</v>
      </c>
      <c r="Q74" s="433" t="str">
        <f t="shared" si="30"/>
        <v>0</v>
      </c>
      <c r="R74" s="918" t="s">
        <v>429</v>
      </c>
      <c r="S74" s="921" t="s">
        <v>493</v>
      </c>
      <c r="T74" s="909">
        <v>0</v>
      </c>
      <c r="U74" s="433" t="str">
        <f t="shared" si="31"/>
        <v>0</v>
      </c>
      <c r="V74" s="901">
        <f t="shared" si="26"/>
        <v>0</v>
      </c>
      <c r="W74" s="177"/>
      <c r="X74" s="177"/>
      <c r="Y74" s="432"/>
      <c r="Z74" s="432"/>
      <c r="AA74" s="432"/>
      <c r="AB74" s="432"/>
      <c r="AC74" s="432"/>
      <c r="AD74" s="432"/>
      <c r="AE74" s="432"/>
      <c r="AF74" s="432"/>
      <c r="AG74" s="432"/>
      <c r="AH74" s="432"/>
      <c r="AI74" s="432"/>
      <c r="AJ74" s="432"/>
      <c r="AK74" s="432"/>
      <c r="AL74" s="432"/>
      <c r="AM74" s="432"/>
      <c r="AN74" s="432"/>
    </row>
    <row r="75" spans="1:111" ht="16" thickBot="1">
      <c r="A75" s="441" t="s">
        <v>418</v>
      </c>
      <c r="B75" s="918" t="s">
        <v>429</v>
      </c>
      <c r="C75" s="908" t="s">
        <v>33</v>
      </c>
      <c r="D75" s="909">
        <v>0</v>
      </c>
      <c r="E75" s="433" t="str">
        <f t="shared" si="27"/>
        <v>0</v>
      </c>
      <c r="F75" s="918" t="s">
        <v>429</v>
      </c>
      <c r="G75" s="908" t="s">
        <v>33</v>
      </c>
      <c r="H75" s="909">
        <v>0</v>
      </c>
      <c r="I75" s="433" t="str">
        <f t="shared" si="28"/>
        <v>0</v>
      </c>
      <c r="J75" s="918" t="s">
        <v>429</v>
      </c>
      <c r="K75" s="922"/>
      <c r="L75" s="909">
        <v>0</v>
      </c>
      <c r="M75" s="433" t="str">
        <f t="shared" si="29"/>
        <v>0</v>
      </c>
      <c r="N75" s="918" t="s">
        <v>429</v>
      </c>
      <c r="O75" s="921" t="s">
        <v>688</v>
      </c>
      <c r="P75" s="909">
        <v>0</v>
      </c>
      <c r="Q75" s="433" t="str">
        <f t="shared" si="30"/>
        <v>0</v>
      </c>
      <c r="R75" s="918" t="s">
        <v>429</v>
      </c>
      <c r="S75" s="921" t="s">
        <v>493</v>
      </c>
      <c r="T75" s="909">
        <v>0</v>
      </c>
      <c r="U75" s="433" t="str">
        <f t="shared" si="31"/>
        <v>0</v>
      </c>
      <c r="V75" s="901">
        <f t="shared" si="26"/>
        <v>0</v>
      </c>
      <c r="W75" s="177"/>
      <c r="X75" s="177"/>
      <c r="Y75" s="432"/>
      <c r="Z75" s="432"/>
      <c r="AA75" s="432"/>
      <c r="AB75" s="432"/>
      <c r="AC75" s="432"/>
      <c r="AD75" s="432"/>
      <c r="AE75" s="432"/>
      <c r="AF75" s="432"/>
      <c r="AG75" s="432"/>
      <c r="AH75" s="432"/>
      <c r="AI75" s="432"/>
      <c r="AJ75" s="432"/>
      <c r="AK75" s="432"/>
      <c r="AL75" s="432"/>
      <c r="AM75" s="432"/>
      <c r="AN75" s="432"/>
    </row>
    <row r="76" spans="1:111" ht="16" thickBot="1">
      <c r="A76" s="902" t="s">
        <v>419</v>
      </c>
      <c r="B76" s="903">
        <f>SUM(B70:B75)</f>
        <v>0</v>
      </c>
      <c r="C76" s="903"/>
      <c r="D76" s="905"/>
      <c r="E76" s="903">
        <f>SUM(E70:E75)</f>
        <v>0</v>
      </c>
      <c r="F76" s="903">
        <f>SUM(F70:F75)</f>
        <v>0</v>
      </c>
      <c r="G76" s="903"/>
      <c r="H76" s="903"/>
      <c r="I76" s="903">
        <f>SUM(I70:I75)</f>
        <v>0</v>
      </c>
      <c r="J76" s="903">
        <f>SUM(J70:J75)</f>
        <v>0</v>
      </c>
      <c r="K76" s="903"/>
      <c r="L76" s="903"/>
      <c r="M76" s="903">
        <f>SUM(M70:M75)</f>
        <v>0</v>
      </c>
      <c r="N76" s="903">
        <f>SUM(N70:N75)</f>
        <v>0</v>
      </c>
      <c r="O76" s="903"/>
      <c r="P76" s="903"/>
      <c r="Q76" s="903">
        <f>SUM(Q70:Q75)</f>
        <v>0</v>
      </c>
      <c r="R76" s="903">
        <f>SUM(R70:R75)</f>
        <v>0</v>
      </c>
      <c r="S76" s="903"/>
      <c r="T76" s="903"/>
      <c r="U76" s="903">
        <f>SUM(U70:U75)</f>
        <v>0</v>
      </c>
      <c r="V76" s="928">
        <f t="shared" si="26"/>
        <v>0</v>
      </c>
      <c r="W76" s="177"/>
      <c r="X76" s="177"/>
      <c r="Y76" s="432"/>
      <c r="Z76" s="432"/>
      <c r="AA76" s="432"/>
      <c r="AB76" s="432"/>
      <c r="AC76" s="432"/>
      <c r="AD76" s="432"/>
      <c r="AE76" s="432"/>
      <c r="AF76" s="432"/>
      <c r="AG76" s="432"/>
      <c r="AH76" s="432"/>
      <c r="AI76" s="432"/>
      <c r="AJ76" s="432"/>
      <c r="AK76" s="432"/>
      <c r="AL76" s="432"/>
      <c r="AM76" s="432"/>
      <c r="AN76" s="432"/>
    </row>
    <row r="78" spans="1:111">
      <c r="A78" s="177"/>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432"/>
      <c r="Z78" s="432"/>
      <c r="AA78" s="432"/>
      <c r="AB78" s="432"/>
      <c r="AC78" s="432"/>
      <c r="AD78" s="432"/>
      <c r="AE78" s="432"/>
      <c r="AF78" s="432"/>
      <c r="AG78" s="432"/>
      <c r="AH78" s="432"/>
      <c r="AI78" s="432"/>
      <c r="AJ78" s="432"/>
      <c r="AK78" s="432"/>
      <c r="AL78" s="432"/>
      <c r="AM78" s="432"/>
      <c r="AN78" s="432"/>
      <c r="AO78" s="432"/>
      <c r="AP78" s="432"/>
      <c r="AQ78" s="432"/>
      <c r="AR78" s="432"/>
      <c r="AS78" s="432"/>
      <c r="AT78" s="432"/>
      <c r="AU78" s="432"/>
      <c r="AV78" s="432"/>
      <c r="AW78" s="432"/>
    </row>
    <row r="79" spans="1:111" ht="16" thickBot="1">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432"/>
      <c r="Z79" s="432"/>
      <c r="AA79" s="432"/>
      <c r="AB79" s="432"/>
      <c r="AC79" s="432"/>
      <c r="AD79" s="432"/>
      <c r="AE79" s="432"/>
      <c r="AF79" s="432"/>
      <c r="AG79" s="432"/>
      <c r="AH79" s="432"/>
      <c r="AI79" s="432"/>
      <c r="AJ79" s="432"/>
      <c r="AK79" s="432"/>
      <c r="AL79" s="432"/>
      <c r="AM79" s="432"/>
      <c r="AN79" s="432"/>
      <c r="AO79" s="432"/>
      <c r="AP79" s="432"/>
      <c r="AQ79" s="432"/>
      <c r="AR79" s="432"/>
      <c r="AS79" s="432"/>
      <c r="AT79" s="432"/>
      <c r="AU79" s="432"/>
      <c r="AV79" s="432"/>
      <c r="AW79" s="432"/>
    </row>
    <row r="80" spans="1:111" ht="78.75" customHeight="1" thickBot="1">
      <c r="A80" s="929" t="s">
        <v>308</v>
      </c>
      <c r="B80" s="1178" t="s">
        <v>579</v>
      </c>
      <c r="C80" s="1178"/>
      <c r="D80" s="1178"/>
      <c r="E80" s="1178"/>
      <c r="F80" s="1178"/>
      <c r="G80" s="1178"/>
      <c r="H80" s="1178"/>
      <c r="I80" s="1178"/>
      <c r="J80" s="1179"/>
      <c r="L80" s="113"/>
      <c r="M80" s="113"/>
      <c r="N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113"/>
      <c r="AV80" s="113"/>
      <c r="AW80" s="113"/>
      <c r="AX80" s="113"/>
      <c r="AY80" s="113"/>
      <c r="AZ80" s="113"/>
      <c r="BA80" s="113"/>
      <c r="BB80" s="113"/>
      <c r="BC80" s="113"/>
      <c r="BD80" s="113"/>
      <c r="BE80" s="113"/>
      <c r="BF80" s="113"/>
      <c r="BG80" s="113"/>
      <c r="BH80" s="113"/>
      <c r="BI80" s="113"/>
      <c r="BJ80" s="113"/>
      <c r="BK80" s="113"/>
      <c r="BL80" s="113"/>
      <c r="BM80" s="113"/>
      <c r="BN80" s="113"/>
      <c r="BO80" s="113"/>
      <c r="BP80" s="113"/>
      <c r="BQ80" s="113"/>
      <c r="BR80" s="113"/>
      <c r="BS80" s="113"/>
      <c r="BT80" s="113"/>
      <c r="BU80" s="113"/>
      <c r="BV80" s="113"/>
      <c r="BW80" s="113"/>
      <c r="BX80" s="113"/>
      <c r="BY80" s="113"/>
      <c r="BZ80" s="113"/>
      <c r="CA80" s="113"/>
      <c r="CB80" s="113"/>
      <c r="CC80" s="113"/>
      <c r="CD80" s="113"/>
      <c r="CE80" s="113"/>
      <c r="CF80" s="113"/>
      <c r="CG80" s="113"/>
      <c r="CH80" s="113"/>
      <c r="CI80" s="113"/>
      <c r="CJ80" s="113"/>
      <c r="CK80" s="113"/>
      <c r="CL80" s="113"/>
      <c r="CM80" s="113"/>
      <c r="CN80" s="113"/>
      <c r="CO80" s="113"/>
      <c r="CP80" s="113"/>
      <c r="CQ80" s="113"/>
      <c r="CR80" s="113"/>
      <c r="CS80" s="113"/>
      <c r="CT80" s="113"/>
      <c r="CU80" s="113"/>
      <c r="CV80" s="113"/>
      <c r="CW80" s="113"/>
      <c r="CX80" s="113"/>
      <c r="CY80" s="113"/>
      <c r="CZ80" s="113"/>
      <c r="DA80" s="113"/>
      <c r="DB80" s="113"/>
      <c r="DC80" s="113"/>
      <c r="DD80" s="113"/>
      <c r="DE80" s="113"/>
      <c r="DF80" s="113"/>
      <c r="DG80" s="113"/>
    </row>
    <row r="81" spans="1:10" s="113" customFormat="1" ht="47" thickBot="1">
      <c r="A81" s="466" t="s">
        <v>561</v>
      </c>
      <c r="B81" s="467" t="s">
        <v>565</v>
      </c>
      <c r="C81" s="468" t="s">
        <v>571</v>
      </c>
      <c r="D81" s="468" t="s">
        <v>296</v>
      </c>
      <c r="E81" s="469" t="str">
        <f>CONCATENATE("Corrected costs"," ", "(",'Proposition Summary'!$B$76,")")</f>
        <v>Corrected costs (GBP (£))</v>
      </c>
      <c r="F81" s="467" t="s">
        <v>566</v>
      </c>
      <c r="G81" s="468" t="s">
        <v>572</v>
      </c>
      <c r="H81" s="468" t="s">
        <v>296</v>
      </c>
      <c r="I81" s="469" t="str">
        <f>CONCATENATE("Corrected costs"," ", "(",'Proposition Summary'!$B$76,")")</f>
        <v>Corrected costs (GBP (£))</v>
      </c>
      <c r="J81" s="933" t="str">
        <f>CONCATENATE("Total CJS cost"," ", "(",'Proposition Summary'!$B$76,")")</f>
        <v>Total CJS cost (GBP (£))</v>
      </c>
    </row>
    <row r="82" spans="1:10" s="113" customFormat="1">
      <c r="A82" s="470"/>
      <c r="B82" s="437"/>
      <c r="C82" s="461"/>
      <c r="D82" s="461"/>
      <c r="E82" s="471"/>
      <c r="F82" s="437"/>
      <c r="G82" s="461"/>
      <c r="H82" s="461"/>
      <c r="I82" s="471"/>
      <c r="J82" s="934"/>
    </row>
    <row r="83" spans="1:10">
      <c r="A83" s="472"/>
      <c r="B83" s="473"/>
      <c r="C83" s="474"/>
      <c r="D83" s="475"/>
      <c r="E83" s="476"/>
      <c r="F83" s="473"/>
      <c r="G83" s="474"/>
      <c r="H83" s="475"/>
      <c r="I83" s="476"/>
      <c r="J83" s="935"/>
    </row>
    <row r="84" spans="1:10">
      <c r="A84" s="132" t="s">
        <v>290</v>
      </c>
      <c r="B84" s="919">
        <v>13609.235163259613</v>
      </c>
      <c r="C84" s="921" t="s">
        <v>493</v>
      </c>
      <c r="D84" s="909">
        <v>0</v>
      </c>
      <c r="E84" s="912">
        <f>IF(B84="not estimated","0", B84*(1-D84))</f>
        <v>13609.235163259613</v>
      </c>
      <c r="F84" s="919">
        <v>911431.87132672966</v>
      </c>
      <c r="G84" s="921" t="s">
        <v>493</v>
      </c>
      <c r="H84" s="909">
        <v>0</v>
      </c>
      <c r="I84" s="912">
        <f>IF(F84="not estimated","0", F84*(1-H84))</f>
        <v>911431.87132672966</v>
      </c>
      <c r="J84" s="1056">
        <f>I84+E84</f>
        <v>925041.10648998932</v>
      </c>
    </row>
    <row r="85" spans="1:10">
      <c r="A85" s="132" t="s">
        <v>542</v>
      </c>
      <c r="B85" s="919">
        <v>1285.8223858263689</v>
      </c>
      <c r="C85" s="921" t="s">
        <v>493</v>
      </c>
      <c r="D85" s="909">
        <v>0</v>
      </c>
      <c r="E85" s="912">
        <f>IF(ISERROR(B85*(1-D85)), "", B85*(1-D85))</f>
        <v>1285.8223858263689</v>
      </c>
      <c r="F85" s="919">
        <v>1558.9174058248893</v>
      </c>
      <c r="G85" s="921" t="s">
        <v>493</v>
      </c>
      <c r="H85" s="909">
        <v>0</v>
      </c>
      <c r="I85" s="912">
        <f>IF(ISERROR(F85*(1-H85)), "", F85*(1-H85))</f>
        <v>1558.9174058248893</v>
      </c>
      <c r="J85" s="1056">
        <f t="shared" ref="J85:J97" si="32">I85+E85</f>
        <v>2844.7397916512582</v>
      </c>
    </row>
    <row r="86" spans="1:10">
      <c r="A86" s="132" t="s">
        <v>543</v>
      </c>
      <c r="B86" s="919">
        <v>921.69569249500751</v>
      </c>
      <c r="C86" s="921" t="s">
        <v>493</v>
      </c>
      <c r="D86" s="909">
        <v>0</v>
      </c>
      <c r="E86" s="912">
        <f>IF(B86="not estimated","0", B86*(1-D86))</f>
        <v>921.69569249500751</v>
      </c>
      <c r="F86" s="919">
        <v>1422.3698958256286</v>
      </c>
      <c r="G86" s="921" t="s">
        <v>493</v>
      </c>
      <c r="H86" s="909">
        <v>0</v>
      </c>
      <c r="I86" s="912">
        <f>IF(F86="not estimated","0", F86*(1-H86))</f>
        <v>1422.3698958256286</v>
      </c>
      <c r="J86" s="1056">
        <f t="shared" si="32"/>
        <v>2344.0655883206364</v>
      </c>
    </row>
    <row r="87" spans="1:10">
      <c r="A87" s="132" t="s">
        <v>544</v>
      </c>
      <c r="B87" s="919">
        <v>7237.0180299607991</v>
      </c>
      <c r="C87" s="921" t="s">
        <v>493</v>
      </c>
      <c r="D87" s="909">
        <v>0</v>
      </c>
      <c r="E87" s="912">
        <f t="shared" ref="E87:E91" si="33">IF(B87="not estimated","0", B87*(1-D87))</f>
        <v>7237.0180299607991</v>
      </c>
      <c r="F87" s="919">
        <v>659.97963166309182</v>
      </c>
      <c r="G87" s="921" t="s">
        <v>493</v>
      </c>
      <c r="H87" s="909">
        <v>0</v>
      </c>
      <c r="I87" s="912">
        <f t="shared" ref="I87:I91" si="34">IF(F87="not estimated","0", F87*(1-H87))</f>
        <v>659.97963166309182</v>
      </c>
      <c r="J87" s="1056">
        <f t="shared" si="32"/>
        <v>7896.997661623891</v>
      </c>
    </row>
    <row r="88" spans="1:10">
      <c r="A88" s="132" t="s">
        <v>545</v>
      </c>
      <c r="B88" s="919">
        <v>648.60067249648671</v>
      </c>
      <c r="C88" s="921" t="s">
        <v>493</v>
      </c>
      <c r="D88" s="909">
        <v>0</v>
      </c>
      <c r="E88" s="912">
        <f t="shared" si="33"/>
        <v>648.60067249648671</v>
      </c>
      <c r="F88" s="919">
        <v>659.97963166309182</v>
      </c>
      <c r="G88" s="921" t="s">
        <v>493</v>
      </c>
      <c r="H88" s="909">
        <v>0</v>
      </c>
      <c r="I88" s="912">
        <f t="shared" si="34"/>
        <v>659.97963166309182</v>
      </c>
      <c r="J88" s="1056">
        <f t="shared" si="32"/>
        <v>1308.5803041595786</v>
      </c>
    </row>
    <row r="89" spans="1:10">
      <c r="A89" s="132" t="s">
        <v>292</v>
      </c>
      <c r="B89" s="919">
        <v>1149.2748758271077</v>
      </c>
      <c r="C89" s="921" t="s">
        <v>493</v>
      </c>
      <c r="D89" s="909">
        <v>0</v>
      </c>
      <c r="E89" s="912">
        <f t="shared" si="33"/>
        <v>1149.2748758271077</v>
      </c>
      <c r="F89" s="919">
        <v>4176.0780141440464</v>
      </c>
      <c r="G89" s="921" t="s">
        <v>493</v>
      </c>
      <c r="H89" s="909">
        <v>0</v>
      </c>
      <c r="I89" s="912">
        <f t="shared" si="34"/>
        <v>4176.0780141440464</v>
      </c>
      <c r="J89" s="1056">
        <f t="shared" si="32"/>
        <v>5325.3528899711546</v>
      </c>
    </row>
    <row r="90" spans="1:10">
      <c r="A90" s="132" t="s">
        <v>546</v>
      </c>
      <c r="B90" s="919">
        <v>603.0848358300666</v>
      </c>
      <c r="C90" s="921" t="s">
        <v>493</v>
      </c>
      <c r="D90" s="909">
        <v>0</v>
      </c>
      <c r="E90" s="912">
        <f t="shared" si="33"/>
        <v>603.0848358300666</v>
      </c>
      <c r="F90" s="919">
        <v>1445.1278141588389</v>
      </c>
      <c r="G90" s="921" t="s">
        <v>493</v>
      </c>
      <c r="H90" s="909">
        <v>0</v>
      </c>
      <c r="I90" s="912">
        <f t="shared" si="34"/>
        <v>1445.1278141588389</v>
      </c>
      <c r="J90" s="1056">
        <f t="shared" si="32"/>
        <v>2048.2126499889055</v>
      </c>
    </row>
    <row r="91" spans="1:10">
      <c r="A91" s="132" t="s">
        <v>547</v>
      </c>
      <c r="B91" s="919">
        <v>2309.9287108208214</v>
      </c>
      <c r="C91" s="921" t="s">
        <v>493</v>
      </c>
      <c r="D91" s="909">
        <v>0</v>
      </c>
      <c r="E91" s="912">
        <f t="shared" si="33"/>
        <v>2309.9287108208214</v>
      </c>
      <c r="F91" s="919">
        <v>2127.8653641551409</v>
      </c>
      <c r="G91" s="921" t="s">
        <v>493</v>
      </c>
      <c r="H91" s="909">
        <v>0</v>
      </c>
      <c r="I91" s="912">
        <f t="shared" si="34"/>
        <v>2127.8653641551409</v>
      </c>
      <c r="J91" s="1056">
        <f t="shared" si="32"/>
        <v>4437.7940749759618</v>
      </c>
    </row>
    <row r="92" spans="1:10">
      <c r="A92" s="132" t="s">
        <v>548</v>
      </c>
      <c r="B92" s="919">
        <v>91.031673332840228</v>
      </c>
      <c r="C92" s="921" t="s">
        <v>493</v>
      </c>
      <c r="D92" s="909">
        <v>0</v>
      </c>
      <c r="E92" s="912">
        <f>IF(ISERROR(B92*(1-D92)), "", B92*(1-D92))</f>
        <v>91.031673332840228</v>
      </c>
      <c r="F92" s="919">
        <v>113.7895916660503</v>
      </c>
      <c r="G92" s="921" t="s">
        <v>493</v>
      </c>
      <c r="H92" s="909">
        <v>0</v>
      </c>
      <c r="I92" s="912">
        <f>IF(ISERROR(F92*(1-H92)), "", F92*(1-H92))</f>
        <v>113.7895916660503</v>
      </c>
      <c r="J92" s="1056">
        <f t="shared" si="32"/>
        <v>204.82126499889051</v>
      </c>
    </row>
    <row r="93" spans="1:10">
      <c r="A93" s="132" t="s">
        <v>549</v>
      </c>
      <c r="B93" s="919">
        <v>45.515836666420114</v>
      </c>
      <c r="C93" s="921" t="s">
        <v>493</v>
      </c>
      <c r="D93" s="909">
        <v>0</v>
      </c>
      <c r="E93" s="912">
        <f t="shared" ref="E93:E97" si="35">IF(B93="not estimated","0", B93*(1-D93))</f>
        <v>45.515836666420114</v>
      </c>
      <c r="F93" s="919">
        <v>443.77940749759614</v>
      </c>
      <c r="G93" s="921" t="s">
        <v>493</v>
      </c>
      <c r="H93" s="909">
        <v>0</v>
      </c>
      <c r="I93" s="912">
        <f t="shared" ref="I93:I97" si="36">IF(F93="not estimated","0", F93*(1-H93))</f>
        <v>443.77940749759614</v>
      </c>
      <c r="J93" s="1056">
        <f t="shared" si="32"/>
        <v>489.29524416401625</v>
      </c>
    </row>
    <row r="94" spans="1:10">
      <c r="A94" s="132" t="s">
        <v>550</v>
      </c>
      <c r="B94" s="919">
        <v>1228.9275899933434</v>
      </c>
      <c r="C94" s="921" t="s">
        <v>493</v>
      </c>
      <c r="D94" s="909">
        <v>0</v>
      </c>
      <c r="E94" s="912">
        <f t="shared" si="35"/>
        <v>1228.9275899933434</v>
      </c>
      <c r="F94" s="919">
        <v>4437.7940749759609</v>
      </c>
      <c r="G94" s="921" t="s">
        <v>493</v>
      </c>
      <c r="H94" s="909">
        <v>0</v>
      </c>
      <c r="I94" s="912">
        <f t="shared" si="36"/>
        <v>4437.7940749759609</v>
      </c>
      <c r="J94" s="1056">
        <f t="shared" si="32"/>
        <v>5666.7216649693046</v>
      </c>
    </row>
    <row r="95" spans="1:10">
      <c r="A95" s="132" t="s">
        <v>551</v>
      </c>
      <c r="B95" s="919">
        <v>170.68438749907546</v>
      </c>
      <c r="C95" s="921" t="s">
        <v>493</v>
      </c>
      <c r="D95" s="909">
        <v>0</v>
      </c>
      <c r="E95" s="912">
        <f t="shared" si="35"/>
        <v>170.68438749907546</v>
      </c>
      <c r="F95" s="919">
        <v>398.26357083117608</v>
      </c>
      <c r="G95" s="921" t="s">
        <v>493</v>
      </c>
      <c r="H95" s="909">
        <v>0</v>
      </c>
      <c r="I95" s="912">
        <f t="shared" si="36"/>
        <v>398.26357083117608</v>
      </c>
      <c r="J95" s="1056">
        <f t="shared" si="32"/>
        <v>568.94795833025159</v>
      </c>
    </row>
    <row r="96" spans="1:10">
      <c r="A96" s="132" t="s">
        <v>424</v>
      </c>
      <c r="B96" s="919">
        <v>68.273754999630199</v>
      </c>
      <c r="C96" s="921" t="s">
        <v>493</v>
      </c>
      <c r="D96" s="909">
        <v>0</v>
      </c>
      <c r="E96" s="912">
        <f t="shared" si="35"/>
        <v>68.273754999630199</v>
      </c>
      <c r="F96" s="919">
        <v>193.44230583228551</v>
      </c>
      <c r="G96" s="921" t="s">
        <v>493</v>
      </c>
      <c r="H96" s="909">
        <v>0</v>
      </c>
      <c r="I96" s="912">
        <f t="shared" si="36"/>
        <v>193.44230583228551</v>
      </c>
      <c r="J96" s="1056">
        <f t="shared" si="32"/>
        <v>261.71606083191568</v>
      </c>
    </row>
    <row r="97" spans="1:10" ht="16" thickBot="1">
      <c r="A97" s="132" t="s">
        <v>552</v>
      </c>
      <c r="B97" s="913" t="s">
        <v>429</v>
      </c>
      <c r="C97" s="921" t="s">
        <v>493</v>
      </c>
      <c r="D97" s="909">
        <v>0</v>
      </c>
      <c r="E97" s="917" t="str">
        <f t="shared" si="35"/>
        <v>0</v>
      </c>
      <c r="F97" s="913">
        <v>0</v>
      </c>
      <c r="G97" s="921" t="s">
        <v>493</v>
      </c>
      <c r="H97" s="909">
        <v>0</v>
      </c>
      <c r="I97" s="917">
        <f t="shared" si="36"/>
        <v>0</v>
      </c>
      <c r="J97" s="1056">
        <f t="shared" si="32"/>
        <v>0</v>
      </c>
    </row>
    <row r="98" spans="1:10" ht="16" thickBot="1">
      <c r="A98" s="902" t="s">
        <v>554</v>
      </c>
      <c r="B98" s="914">
        <f>SUM(B84:B97)</f>
        <v>29369.093609007585</v>
      </c>
      <c r="C98" s="903"/>
      <c r="D98" s="905"/>
      <c r="E98" s="914">
        <f>SUM(E84:E97)</f>
        <v>29369.093609007585</v>
      </c>
      <c r="F98" s="914">
        <f>SUM(F84:F97)</f>
        <v>929069.25803496747</v>
      </c>
      <c r="G98" s="903"/>
      <c r="H98" s="905"/>
      <c r="I98" s="914">
        <f>SUM(I84:I97)</f>
        <v>929069.25803496747</v>
      </c>
      <c r="J98" s="1056">
        <f>SUM(I98,E98)</f>
        <v>958438.35164397501</v>
      </c>
    </row>
    <row r="99" spans="1:10" ht="46.5">
      <c r="A99" s="434" t="s">
        <v>563</v>
      </c>
      <c r="B99" s="477" t="s">
        <v>565</v>
      </c>
      <c r="C99" s="435" t="s">
        <v>571</v>
      </c>
      <c r="D99" s="436" t="s">
        <v>296</v>
      </c>
      <c r="E99" s="421" t="str">
        <f>CONCATENATE("Corrected costs"," ", "(",'Proposition Summary'!$B$76,")")</f>
        <v>Corrected costs (GBP (£))</v>
      </c>
      <c r="F99" s="463" t="s">
        <v>566</v>
      </c>
      <c r="G99" s="464" t="s">
        <v>572</v>
      </c>
      <c r="H99" s="436" t="s">
        <v>296</v>
      </c>
      <c r="I99" s="421" t="str">
        <f>CONCATENATE("Corrected costs"," ", "(",'Proposition Summary'!$B$76,")")</f>
        <v>Corrected costs (GBP (£))</v>
      </c>
      <c r="J99" s="936" t="str">
        <f>CONCATENATE("Total CJS cost"," ", "(",'Proposition Summary'!$B$76,")")</f>
        <v>Total CJS cost (GBP (£))</v>
      </c>
    </row>
    <row r="100" spans="1:10">
      <c r="A100" s="113" t="s">
        <v>555</v>
      </c>
      <c r="B100" s="911">
        <v>1149.2748758271077</v>
      </c>
      <c r="C100" s="921" t="s">
        <v>493</v>
      </c>
      <c r="D100" s="909">
        <v>0</v>
      </c>
      <c r="E100" s="912">
        <f t="shared" ref="E100:E106" si="37">IF(B100="not estimated","0", B100*(1-D100))</f>
        <v>1149.2748758271077</v>
      </c>
      <c r="F100" s="911">
        <v>4176.0780141440464</v>
      </c>
      <c r="G100" s="921" t="s">
        <v>493</v>
      </c>
      <c r="H100" s="909">
        <v>0</v>
      </c>
      <c r="I100" s="912">
        <f t="shared" ref="I100:I106" si="38">IF(F100="not estimated","0", F100*(1-H100))</f>
        <v>4176.0780141440464</v>
      </c>
      <c r="J100" s="1056">
        <f t="shared" ref="J100:J114" si="39">I100+E100</f>
        <v>5325.3528899711546</v>
      </c>
    </row>
    <row r="101" spans="1:10">
      <c r="A101" s="113" t="s">
        <v>556</v>
      </c>
      <c r="B101" s="911">
        <v>603.0848358300666</v>
      </c>
      <c r="C101" s="921" t="s">
        <v>493</v>
      </c>
      <c r="D101" s="909">
        <v>0</v>
      </c>
      <c r="E101" s="912">
        <f t="shared" si="37"/>
        <v>603.0848358300666</v>
      </c>
      <c r="F101" s="911">
        <v>2548.8868533195268</v>
      </c>
      <c r="G101" s="921" t="s">
        <v>493</v>
      </c>
      <c r="H101" s="909">
        <v>0</v>
      </c>
      <c r="I101" s="912">
        <f t="shared" si="38"/>
        <v>2548.8868533195268</v>
      </c>
      <c r="J101" s="1056">
        <f t="shared" si="39"/>
        <v>3151.9716891495937</v>
      </c>
    </row>
    <row r="102" spans="1:10">
      <c r="A102" s="113" t="s">
        <v>557</v>
      </c>
      <c r="B102" s="911">
        <v>45.515836666420114</v>
      </c>
      <c r="C102" s="921" t="s">
        <v>493</v>
      </c>
      <c r="D102" s="909">
        <v>0</v>
      </c>
      <c r="E102" s="912">
        <f t="shared" si="37"/>
        <v>45.515836666420114</v>
      </c>
      <c r="F102" s="911">
        <v>227.5791833321006</v>
      </c>
      <c r="G102" s="921" t="s">
        <v>493</v>
      </c>
      <c r="H102" s="909">
        <v>0</v>
      </c>
      <c r="I102" s="912">
        <f t="shared" si="38"/>
        <v>227.5791833321006</v>
      </c>
      <c r="J102" s="1056">
        <f t="shared" si="39"/>
        <v>273.09501999852068</v>
      </c>
    </row>
    <row r="103" spans="1:10">
      <c r="A103" s="113" t="s">
        <v>408</v>
      </c>
      <c r="B103" s="911">
        <v>2309.9287108208214</v>
      </c>
      <c r="C103" s="921" t="s">
        <v>493</v>
      </c>
      <c r="D103" s="909">
        <v>0</v>
      </c>
      <c r="E103" s="912">
        <f t="shared" si="37"/>
        <v>2309.9287108208214</v>
      </c>
      <c r="F103" s="911">
        <v>2127.8653641551409</v>
      </c>
      <c r="G103" s="921" t="s">
        <v>493</v>
      </c>
      <c r="H103" s="909">
        <v>0</v>
      </c>
      <c r="I103" s="912">
        <f t="shared" si="38"/>
        <v>2127.8653641551409</v>
      </c>
      <c r="J103" s="1056">
        <f t="shared" si="39"/>
        <v>4437.7940749759618</v>
      </c>
    </row>
    <row r="104" spans="1:10">
      <c r="A104" s="113" t="s">
        <v>409</v>
      </c>
      <c r="B104" s="911">
        <v>91.031673332840228</v>
      </c>
      <c r="C104" s="921" t="s">
        <v>493</v>
      </c>
      <c r="D104" s="909">
        <v>0</v>
      </c>
      <c r="E104" s="912">
        <f t="shared" si="37"/>
        <v>91.031673332840228</v>
      </c>
      <c r="F104" s="911">
        <v>113.7895916660503</v>
      </c>
      <c r="G104" s="921" t="s">
        <v>493</v>
      </c>
      <c r="H104" s="909">
        <v>0</v>
      </c>
      <c r="I104" s="912">
        <f t="shared" si="38"/>
        <v>113.7895916660503</v>
      </c>
      <c r="J104" s="1056">
        <f t="shared" si="39"/>
        <v>204.82126499889051</v>
      </c>
    </row>
    <row r="105" spans="1:10">
      <c r="A105" s="113" t="s">
        <v>558</v>
      </c>
      <c r="B105" s="911">
        <v>1228.9275899933434</v>
      </c>
      <c r="C105" s="921" t="s">
        <v>493</v>
      </c>
      <c r="D105" s="909">
        <v>0</v>
      </c>
      <c r="E105" s="912">
        <f t="shared" si="37"/>
        <v>1228.9275899933434</v>
      </c>
      <c r="F105" s="911">
        <v>4437.7940749759609</v>
      </c>
      <c r="G105" s="921" t="s">
        <v>493</v>
      </c>
      <c r="H105" s="909">
        <v>0</v>
      </c>
      <c r="I105" s="912">
        <f t="shared" si="38"/>
        <v>4437.7940749759609</v>
      </c>
      <c r="J105" s="1056">
        <f t="shared" si="39"/>
        <v>5666.7216649693046</v>
      </c>
    </row>
    <row r="106" spans="1:10" ht="16" thickBot="1">
      <c r="A106" s="113" t="s">
        <v>559</v>
      </c>
      <c r="B106" s="913">
        <v>170.68438749907546</v>
      </c>
      <c r="C106" s="921" t="s">
        <v>493</v>
      </c>
      <c r="D106" s="909">
        <v>0</v>
      </c>
      <c r="E106" s="917">
        <f t="shared" si="37"/>
        <v>170.68438749907546</v>
      </c>
      <c r="F106" s="913">
        <v>398.26357083117608</v>
      </c>
      <c r="G106" s="921" t="s">
        <v>493</v>
      </c>
      <c r="H106" s="909">
        <v>0</v>
      </c>
      <c r="I106" s="917">
        <f t="shared" si="38"/>
        <v>398.26357083117608</v>
      </c>
      <c r="J106" s="1056">
        <f t="shared" si="39"/>
        <v>568.94795833025159</v>
      </c>
    </row>
    <row r="107" spans="1:10" ht="16" thickBot="1">
      <c r="A107" s="902" t="s">
        <v>560</v>
      </c>
      <c r="B107" s="914">
        <f>SUM(B100:B106)</f>
        <v>5598.4479099696746</v>
      </c>
      <c r="C107" s="903"/>
      <c r="D107" s="905"/>
      <c r="E107" s="914">
        <f>SUM(E100:E106)</f>
        <v>5598.4479099696746</v>
      </c>
      <c r="F107" s="914">
        <f>SUM(F100:F106)</f>
        <v>14030.256652424003</v>
      </c>
      <c r="G107" s="903"/>
      <c r="H107" s="905"/>
      <c r="I107" s="914">
        <f>SUM(I100:I106)</f>
        <v>14030.256652424003</v>
      </c>
      <c r="J107" s="1056">
        <f>I107+E107</f>
        <v>19628.704562393679</v>
      </c>
    </row>
    <row r="108" spans="1:10" ht="46.5">
      <c r="A108" s="478" t="s">
        <v>513</v>
      </c>
      <c r="B108" s="418" t="str">
        <f>CONCATENATE("Police costs (PC)"," ", "(",'Proposition Summary'!$B$76,")")</f>
        <v>Police costs (PC) (GBP (£))</v>
      </c>
      <c r="C108" s="419" t="s">
        <v>571</v>
      </c>
      <c r="D108" s="420" t="s">
        <v>296</v>
      </c>
      <c r="E108" s="421" t="str">
        <f>CONCATENATE("Corrected costs"," ", "(",'Proposition Summary'!$B$76,")")</f>
        <v>Corrected costs (GBP (£))</v>
      </c>
      <c r="F108" s="437" t="str">
        <f>CONCATENATE("Other CJS costs (OCJ)"," ", "(",'Proposition Summary'!$B$76,")")</f>
        <v>Other CJS costs (OCJ) (GBP (£))</v>
      </c>
      <c r="G108" s="461" t="s">
        <v>572</v>
      </c>
      <c r="H108" s="420" t="s">
        <v>296</v>
      </c>
      <c r="I108" s="421" t="str">
        <f>CONCATENATE("Corrected costs"," ", "(",'Proposition Summary'!$B$76,")")</f>
        <v>Corrected costs (GBP (£))</v>
      </c>
      <c r="J108" s="934" t="str">
        <f>CONCATENATE("Total CJS cost"," ", "(",'Proposition Summary'!$B$76,")")</f>
        <v>Total CJS cost (GBP (£))</v>
      </c>
    </row>
    <row r="109" spans="1:10" ht="31">
      <c r="A109" s="440" t="s">
        <v>421</v>
      </c>
      <c r="B109" s="907" t="s">
        <v>429</v>
      </c>
      <c r="C109" s="921" t="s">
        <v>493</v>
      </c>
      <c r="D109" s="909">
        <v>0</v>
      </c>
      <c r="E109" s="433" t="str">
        <f t="shared" ref="E109:E114" si="40">IF(B109="not estimated","0", B109*(1-D109))</f>
        <v>0</v>
      </c>
      <c r="F109" s="907" t="s">
        <v>429</v>
      </c>
      <c r="G109" s="921" t="s">
        <v>493</v>
      </c>
      <c r="H109" s="909">
        <v>0</v>
      </c>
      <c r="I109" s="433" t="str">
        <f t="shared" ref="I109:I114" si="41">IF(F109="not estimated","0", F109*(1-H109))</f>
        <v>0</v>
      </c>
      <c r="J109" s="935">
        <f t="shared" si="39"/>
        <v>0</v>
      </c>
    </row>
    <row r="110" spans="1:10" ht="31">
      <c r="A110" s="440" t="s">
        <v>422</v>
      </c>
      <c r="B110" s="907" t="s">
        <v>429</v>
      </c>
      <c r="C110" s="921" t="s">
        <v>493</v>
      </c>
      <c r="D110" s="909">
        <v>0</v>
      </c>
      <c r="E110" s="433" t="str">
        <f t="shared" si="40"/>
        <v>0</v>
      </c>
      <c r="F110" s="907" t="s">
        <v>429</v>
      </c>
      <c r="G110" s="921" t="s">
        <v>493</v>
      </c>
      <c r="H110" s="909">
        <v>0</v>
      </c>
      <c r="I110" s="433" t="str">
        <f t="shared" si="41"/>
        <v>0</v>
      </c>
      <c r="J110" s="935">
        <f t="shared" si="39"/>
        <v>0</v>
      </c>
    </row>
    <row r="111" spans="1:10" ht="31">
      <c r="A111" s="440" t="s">
        <v>473</v>
      </c>
      <c r="B111" s="907" t="s">
        <v>429</v>
      </c>
      <c r="C111" s="921" t="s">
        <v>493</v>
      </c>
      <c r="D111" s="909">
        <v>0</v>
      </c>
      <c r="E111" s="433" t="str">
        <f t="shared" si="40"/>
        <v>0</v>
      </c>
      <c r="F111" s="907" t="s">
        <v>429</v>
      </c>
      <c r="G111" s="921" t="s">
        <v>493</v>
      </c>
      <c r="H111" s="909">
        <v>0</v>
      </c>
      <c r="I111" s="433" t="str">
        <f t="shared" si="41"/>
        <v>0</v>
      </c>
      <c r="J111" s="935">
        <f t="shared" si="39"/>
        <v>0</v>
      </c>
    </row>
    <row r="112" spans="1:10">
      <c r="A112" s="440" t="s">
        <v>416</v>
      </c>
      <c r="B112" s="907" t="s">
        <v>429</v>
      </c>
      <c r="C112" s="921" t="s">
        <v>493</v>
      </c>
      <c r="D112" s="909">
        <v>0</v>
      </c>
      <c r="E112" s="433" t="str">
        <f t="shared" si="40"/>
        <v>0</v>
      </c>
      <c r="F112" s="907" t="s">
        <v>429</v>
      </c>
      <c r="G112" s="921" t="s">
        <v>493</v>
      </c>
      <c r="H112" s="909">
        <v>0</v>
      </c>
      <c r="I112" s="433" t="str">
        <f t="shared" si="41"/>
        <v>0</v>
      </c>
      <c r="J112" s="935">
        <f t="shared" si="39"/>
        <v>0</v>
      </c>
    </row>
    <row r="113" spans="1:50">
      <c r="A113" s="440" t="s">
        <v>417</v>
      </c>
      <c r="B113" s="907" t="s">
        <v>429</v>
      </c>
      <c r="C113" s="921" t="s">
        <v>493</v>
      </c>
      <c r="D113" s="909">
        <v>0</v>
      </c>
      <c r="E113" s="433" t="str">
        <f t="shared" si="40"/>
        <v>0</v>
      </c>
      <c r="F113" s="907" t="s">
        <v>429</v>
      </c>
      <c r="G113" s="921" t="s">
        <v>493</v>
      </c>
      <c r="H113" s="909">
        <v>0</v>
      </c>
      <c r="I113" s="433" t="str">
        <f t="shared" si="41"/>
        <v>0</v>
      </c>
      <c r="J113" s="935">
        <f t="shared" si="39"/>
        <v>0</v>
      </c>
    </row>
    <row r="114" spans="1:50" ht="16" thickBot="1">
      <c r="A114" s="441" t="s">
        <v>418</v>
      </c>
      <c r="B114" s="910" t="s">
        <v>429</v>
      </c>
      <c r="C114" s="921" t="s">
        <v>493</v>
      </c>
      <c r="D114" s="909">
        <v>0</v>
      </c>
      <c r="E114" s="460" t="str">
        <f t="shared" si="40"/>
        <v>0</v>
      </c>
      <c r="F114" s="910" t="s">
        <v>429</v>
      </c>
      <c r="G114" s="921" t="s">
        <v>493</v>
      </c>
      <c r="H114" s="909">
        <v>0</v>
      </c>
      <c r="I114" s="460" t="str">
        <f t="shared" si="41"/>
        <v>0</v>
      </c>
      <c r="J114" s="937">
        <f t="shared" si="39"/>
        <v>0</v>
      </c>
    </row>
    <row r="115" spans="1:50" ht="16" thickBot="1">
      <c r="A115" s="902" t="s">
        <v>419</v>
      </c>
      <c r="B115" s="903">
        <f>SUM(B109:B114)</f>
        <v>0</v>
      </c>
      <c r="C115" s="903"/>
      <c r="D115" s="903"/>
      <c r="E115" s="903">
        <f>SUM(E109:E114)</f>
        <v>0</v>
      </c>
      <c r="F115" s="903">
        <f>SUM(F109:F114)</f>
        <v>0</v>
      </c>
      <c r="G115" s="903"/>
      <c r="H115" s="903"/>
      <c r="I115" s="903">
        <f>SUM(I109:I114)</f>
        <v>0</v>
      </c>
      <c r="J115" s="938">
        <f>I115+E115</f>
        <v>0</v>
      </c>
    </row>
    <row r="117" spans="1:50" ht="16" thickBot="1">
      <c r="A117" s="479"/>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432"/>
      <c r="Z117" s="432"/>
      <c r="AA117" s="432"/>
      <c r="AB117" s="432"/>
      <c r="AC117" s="432"/>
      <c r="AD117" s="432"/>
      <c r="AE117" s="432"/>
      <c r="AF117" s="432"/>
      <c r="AG117" s="432"/>
      <c r="AH117" s="432"/>
      <c r="AI117" s="432"/>
      <c r="AJ117" s="432"/>
      <c r="AK117" s="432"/>
      <c r="AL117" s="432"/>
      <c r="AM117" s="432"/>
      <c r="AN117" s="432"/>
      <c r="AO117" s="432"/>
      <c r="AP117" s="432"/>
      <c r="AQ117" s="432"/>
      <c r="AR117" s="432"/>
      <c r="AS117" s="432"/>
      <c r="AT117" s="432"/>
      <c r="AU117" s="432"/>
      <c r="AV117" s="432"/>
      <c r="AW117" s="432"/>
      <c r="AX117" s="135"/>
    </row>
    <row r="118" spans="1:50" ht="16" thickBot="1">
      <c r="A118" s="939" t="s">
        <v>524</v>
      </c>
      <c r="B118" s="1175" t="s">
        <v>578</v>
      </c>
      <c r="C118" s="1176"/>
      <c r="D118" s="1176"/>
      <c r="E118" s="1176"/>
      <c r="F118" s="1176"/>
      <c r="G118" s="1177"/>
      <c r="H118" s="940"/>
      <c r="I118" s="940"/>
      <c r="J118" s="941"/>
      <c r="K118" s="177"/>
      <c r="L118" s="177"/>
      <c r="M118" s="177"/>
      <c r="N118" s="177"/>
      <c r="O118" s="177"/>
      <c r="P118" s="177"/>
      <c r="Q118" s="177"/>
      <c r="R118" s="177"/>
      <c r="S118" s="177"/>
      <c r="T118" s="177"/>
      <c r="U118" s="177"/>
      <c r="V118" s="177"/>
      <c r="W118" s="177"/>
      <c r="X118" s="177"/>
      <c r="Y118" s="432"/>
      <c r="Z118" s="432"/>
      <c r="AA118" s="432"/>
      <c r="AB118" s="432"/>
      <c r="AC118" s="432"/>
      <c r="AD118" s="432"/>
      <c r="AE118" s="432"/>
      <c r="AF118" s="432"/>
      <c r="AG118" s="432"/>
      <c r="AH118" s="432"/>
      <c r="AI118" s="432"/>
      <c r="AJ118" s="432"/>
      <c r="AK118" s="432"/>
      <c r="AL118" s="432"/>
      <c r="AM118" s="432"/>
      <c r="AN118" s="432"/>
      <c r="AO118" s="432"/>
      <c r="AP118" s="432"/>
      <c r="AQ118" s="432"/>
      <c r="AR118" s="432"/>
      <c r="AS118" s="432"/>
      <c r="AT118" s="432"/>
      <c r="AU118" s="432"/>
      <c r="AV118" s="432"/>
      <c r="AW118" s="432"/>
      <c r="AX118" s="135"/>
    </row>
    <row r="119" spans="1:50" ht="62.5" thickBot="1">
      <c r="A119" s="480"/>
      <c r="B119" s="419" t="str">
        <f>CONCATENATE("Defensive Expenditure (DE)"," ", "(",'Proposition Summary'!$B$76,")")</f>
        <v>Defensive Expenditure (DE) (GBP (£))</v>
      </c>
      <c r="C119" s="419" t="s">
        <v>373</v>
      </c>
      <c r="D119" s="461" t="s">
        <v>296</v>
      </c>
      <c r="E119" s="461" t="str">
        <f>CONCATENATE("Corrected costs"," ", "(",'Proposition Summary'!$B$76,")")</f>
        <v>Corrected costs (GBP (£))</v>
      </c>
      <c r="F119" s="461" t="str">
        <f>CONCATENATE("Insurance Administration (IA)"," ", "(",'Proposition Summary'!$B$76,")")</f>
        <v>Insurance Administration (IA) (GBP (£))</v>
      </c>
      <c r="G119" s="461" t="s">
        <v>375</v>
      </c>
      <c r="H119" s="461" t="s">
        <v>296</v>
      </c>
      <c r="I119" s="421" t="str">
        <f>CONCATENATE("Corrected costs"," ", "(",'Proposition Summary'!$B$76,")")</f>
        <v>Corrected costs (GBP (£))</v>
      </c>
      <c r="J119" s="942" t="str">
        <f>CONCATENATE("Total costs in anticipation of crime"," ", "(",'Proposition Summary'!$B$76,")")</f>
        <v>Total costs in anticipation of crime (GBP (£))</v>
      </c>
      <c r="K119" s="177"/>
      <c r="L119" s="177"/>
      <c r="M119" s="177"/>
      <c r="N119" s="177"/>
      <c r="O119" s="177"/>
      <c r="P119" s="177"/>
      <c r="Q119" s="177"/>
      <c r="R119" s="177"/>
      <c r="S119" s="177"/>
      <c r="T119" s="177"/>
      <c r="U119" s="177"/>
      <c r="V119" s="177"/>
      <c r="W119" s="177"/>
      <c r="X119" s="177"/>
      <c r="Y119" s="432"/>
      <c r="Z119" s="432"/>
      <c r="AA119" s="432"/>
      <c r="AB119" s="432"/>
      <c r="AC119" s="432"/>
      <c r="AD119" s="432"/>
      <c r="AE119" s="432"/>
      <c r="AF119" s="432"/>
      <c r="AG119" s="432"/>
      <c r="AH119" s="432"/>
      <c r="AI119" s="432"/>
      <c r="AJ119" s="432"/>
      <c r="AK119" s="432"/>
      <c r="AL119" s="432"/>
      <c r="AM119" s="432"/>
      <c r="AN119" s="432"/>
      <c r="AO119" s="432"/>
      <c r="AP119" s="432"/>
      <c r="AQ119" s="432"/>
      <c r="AR119" s="432"/>
      <c r="AS119" s="432"/>
      <c r="AT119" s="432"/>
      <c r="AU119" s="432"/>
      <c r="AV119" s="432"/>
      <c r="AW119" s="432"/>
      <c r="AX119" s="135"/>
    </row>
    <row r="120" spans="1:50" hidden="1">
      <c r="A120" s="481" t="s">
        <v>526</v>
      </c>
      <c r="B120" s="482"/>
      <c r="C120" s="459"/>
      <c r="D120" s="483"/>
      <c r="E120" s="484">
        <f>B120*(1-D120)</f>
        <v>0</v>
      </c>
      <c r="F120" s="482"/>
      <c r="G120" s="459"/>
      <c r="H120" s="483"/>
      <c r="I120" s="485">
        <f>F120*(1-H120)</f>
        <v>0</v>
      </c>
      <c r="J120" s="431">
        <f>IF(ISERROR(I120+E120),"", I120+E120)</f>
        <v>0</v>
      </c>
      <c r="K120" s="177"/>
      <c r="L120" s="177"/>
      <c r="M120" s="177"/>
      <c r="N120" s="177"/>
      <c r="O120" s="177"/>
      <c r="P120" s="177"/>
      <c r="Q120" s="177"/>
      <c r="R120" s="177"/>
      <c r="S120" s="177"/>
      <c r="T120" s="177"/>
      <c r="U120" s="177"/>
      <c r="V120" s="177"/>
      <c r="W120" s="177"/>
      <c r="X120" s="177"/>
      <c r="Y120" s="432"/>
      <c r="Z120" s="432"/>
      <c r="AA120" s="432"/>
      <c r="AB120" s="432"/>
      <c r="AC120" s="177">
        <v>1</v>
      </c>
      <c r="AD120" s="432"/>
      <c r="AE120" s="432"/>
      <c r="AF120" s="432"/>
      <c r="AG120" s="432"/>
      <c r="AH120" s="432"/>
      <c r="AI120" s="432"/>
      <c r="AJ120" s="432"/>
      <c r="AK120" s="432"/>
      <c r="AL120" s="432"/>
      <c r="AM120" s="432"/>
      <c r="AN120" s="432"/>
      <c r="AO120" s="432"/>
      <c r="AP120" s="432"/>
      <c r="AQ120" s="432"/>
      <c r="AR120" s="432"/>
      <c r="AS120" s="432"/>
      <c r="AT120" s="432"/>
      <c r="AU120" s="432"/>
      <c r="AV120" s="432"/>
      <c r="AW120" s="432"/>
      <c r="AX120" s="135"/>
    </row>
    <row r="121" spans="1:50" hidden="1">
      <c r="A121" s="481" t="s">
        <v>527</v>
      </c>
      <c r="B121" s="482"/>
      <c r="C121" s="459"/>
      <c r="D121" s="483"/>
      <c r="E121" s="484">
        <f t="shared" ref="E121:E129" si="42">B121*(1-D121)</f>
        <v>0</v>
      </c>
      <c r="F121" s="482"/>
      <c r="G121" s="459"/>
      <c r="H121" s="483"/>
      <c r="I121" s="485">
        <f t="shared" ref="I121:I129" si="43">F121*(1-H121)</f>
        <v>0</v>
      </c>
      <c r="J121" s="431">
        <f t="shared" ref="J121:J129" si="44">IF(ISERROR(I121+E121),"", I121+E121)</f>
        <v>0</v>
      </c>
      <c r="K121" s="177"/>
      <c r="L121" s="177"/>
      <c r="M121" s="177"/>
      <c r="N121" s="177"/>
      <c r="O121" s="177"/>
      <c r="P121" s="177"/>
      <c r="Q121" s="177"/>
      <c r="R121" s="177"/>
      <c r="S121" s="177"/>
      <c r="T121" s="177"/>
      <c r="U121" s="177"/>
      <c r="V121" s="177"/>
      <c r="W121" s="177"/>
      <c r="X121" s="177"/>
      <c r="Y121" s="432"/>
      <c r="Z121" s="432"/>
      <c r="AA121" s="432"/>
      <c r="AB121" s="432"/>
      <c r="AC121" s="177">
        <v>2</v>
      </c>
      <c r="AD121" s="432"/>
      <c r="AE121" s="432"/>
      <c r="AF121" s="432"/>
      <c r="AG121" s="432"/>
      <c r="AH121" s="432"/>
      <c r="AI121" s="432"/>
      <c r="AJ121" s="432"/>
      <c r="AK121" s="432"/>
      <c r="AL121" s="432"/>
      <c r="AM121" s="432"/>
      <c r="AN121" s="432"/>
      <c r="AO121" s="432"/>
      <c r="AP121" s="432"/>
      <c r="AQ121" s="432"/>
      <c r="AR121" s="432"/>
      <c r="AS121" s="432"/>
      <c r="AT121" s="432"/>
      <c r="AU121" s="432"/>
      <c r="AV121" s="432"/>
      <c r="AW121" s="432"/>
      <c r="AX121" s="135"/>
    </row>
    <row r="122" spans="1:50" hidden="1">
      <c r="A122" s="481" t="s">
        <v>528</v>
      </c>
      <c r="B122" s="482"/>
      <c r="C122" s="459"/>
      <c r="D122" s="483"/>
      <c r="E122" s="484">
        <f t="shared" si="42"/>
        <v>0</v>
      </c>
      <c r="F122" s="482"/>
      <c r="G122" s="459"/>
      <c r="H122" s="483"/>
      <c r="I122" s="485">
        <f t="shared" si="43"/>
        <v>0</v>
      </c>
      <c r="J122" s="431">
        <f t="shared" si="44"/>
        <v>0</v>
      </c>
      <c r="K122" s="177"/>
      <c r="L122" s="177"/>
      <c r="M122" s="177"/>
      <c r="N122" s="177"/>
      <c r="O122" s="177"/>
      <c r="P122" s="177"/>
      <c r="Q122" s="177"/>
      <c r="R122" s="177"/>
      <c r="S122" s="177"/>
      <c r="T122" s="177"/>
      <c r="U122" s="177"/>
      <c r="V122" s="177"/>
      <c r="W122" s="177"/>
      <c r="X122" s="177"/>
      <c r="Y122" s="432"/>
      <c r="Z122" s="432"/>
      <c r="AA122" s="432"/>
      <c r="AB122" s="432"/>
      <c r="AC122" s="177">
        <v>3</v>
      </c>
      <c r="AD122" s="432"/>
      <c r="AE122" s="432"/>
      <c r="AF122" s="432"/>
      <c r="AG122" s="432"/>
      <c r="AH122" s="432"/>
      <c r="AI122" s="432"/>
      <c r="AJ122" s="432"/>
      <c r="AK122" s="432"/>
      <c r="AL122" s="432"/>
      <c r="AM122" s="432"/>
      <c r="AN122" s="432"/>
      <c r="AO122" s="432"/>
      <c r="AP122" s="432"/>
      <c r="AQ122" s="432"/>
      <c r="AR122" s="432"/>
      <c r="AS122" s="432"/>
      <c r="AT122" s="432"/>
      <c r="AU122" s="432"/>
      <c r="AV122" s="432"/>
      <c r="AW122" s="432"/>
      <c r="AX122" s="135"/>
    </row>
    <row r="123" spans="1:50" hidden="1">
      <c r="A123" s="481" t="s">
        <v>529</v>
      </c>
      <c r="B123" s="482"/>
      <c r="C123" s="459"/>
      <c r="D123" s="483"/>
      <c r="E123" s="484">
        <f t="shared" si="42"/>
        <v>0</v>
      </c>
      <c r="F123" s="482"/>
      <c r="G123" s="459"/>
      <c r="H123" s="483"/>
      <c r="I123" s="485">
        <f t="shared" si="43"/>
        <v>0</v>
      </c>
      <c r="J123" s="431">
        <f t="shared" si="44"/>
        <v>0</v>
      </c>
      <c r="K123" s="177"/>
      <c r="L123" s="177"/>
      <c r="M123" s="177"/>
      <c r="N123" s="177"/>
      <c r="O123" s="177"/>
      <c r="P123" s="177"/>
      <c r="Q123" s="177"/>
      <c r="R123" s="177"/>
      <c r="S123" s="177"/>
      <c r="T123" s="177"/>
      <c r="U123" s="177"/>
      <c r="V123" s="177"/>
      <c r="W123" s="177"/>
      <c r="X123" s="177"/>
      <c r="Y123" s="432"/>
      <c r="Z123" s="432"/>
      <c r="AA123" s="432"/>
      <c r="AB123" s="432"/>
      <c r="AC123" s="177">
        <v>4</v>
      </c>
      <c r="AD123" s="432"/>
      <c r="AE123" s="432"/>
      <c r="AF123" s="432"/>
      <c r="AG123" s="432"/>
      <c r="AH123" s="432"/>
      <c r="AI123" s="432"/>
      <c r="AJ123" s="432"/>
      <c r="AK123" s="432"/>
      <c r="AL123" s="432"/>
      <c r="AM123" s="432"/>
      <c r="AN123" s="432"/>
      <c r="AO123" s="432"/>
      <c r="AP123" s="432"/>
      <c r="AQ123" s="432"/>
      <c r="AR123" s="432"/>
      <c r="AS123" s="432"/>
      <c r="AT123" s="432"/>
      <c r="AU123" s="432"/>
      <c r="AV123" s="432"/>
      <c r="AW123" s="432"/>
      <c r="AX123" s="135"/>
    </row>
    <row r="124" spans="1:50" hidden="1">
      <c r="A124" s="481" t="s">
        <v>530</v>
      </c>
      <c r="B124" s="482"/>
      <c r="C124" s="459"/>
      <c r="D124" s="483"/>
      <c r="E124" s="484">
        <f t="shared" si="42"/>
        <v>0</v>
      </c>
      <c r="F124" s="482"/>
      <c r="G124" s="459"/>
      <c r="H124" s="483"/>
      <c r="I124" s="485">
        <f t="shared" si="43"/>
        <v>0</v>
      </c>
      <c r="J124" s="431">
        <f t="shared" si="44"/>
        <v>0</v>
      </c>
      <c r="K124" s="177"/>
      <c r="L124" s="177"/>
      <c r="M124" s="177"/>
      <c r="N124" s="177"/>
      <c r="O124" s="177"/>
      <c r="P124" s="177"/>
      <c r="Q124" s="177"/>
      <c r="R124" s="177"/>
      <c r="S124" s="177"/>
      <c r="T124" s="177"/>
      <c r="U124" s="177"/>
      <c r="V124" s="177"/>
      <c r="W124" s="177"/>
      <c r="X124" s="177"/>
      <c r="Y124" s="432"/>
      <c r="Z124" s="432"/>
      <c r="AA124" s="432"/>
      <c r="AB124" s="432"/>
      <c r="AC124" s="177">
        <v>5</v>
      </c>
      <c r="AD124" s="432"/>
      <c r="AE124" s="432"/>
      <c r="AF124" s="432"/>
      <c r="AG124" s="432"/>
      <c r="AH124" s="432"/>
      <c r="AI124" s="432"/>
      <c r="AJ124" s="432"/>
      <c r="AK124" s="432"/>
      <c r="AL124" s="432"/>
      <c r="AM124" s="432"/>
      <c r="AN124" s="432"/>
      <c r="AO124" s="432"/>
      <c r="AP124" s="432"/>
      <c r="AQ124" s="432"/>
      <c r="AR124" s="432"/>
      <c r="AS124" s="432"/>
      <c r="AT124" s="432"/>
      <c r="AU124" s="432"/>
      <c r="AV124" s="432"/>
      <c r="AW124" s="432"/>
      <c r="AX124" s="135"/>
    </row>
    <row r="125" spans="1:50" hidden="1">
      <c r="A125" s="481" t="s">
        <v>531</v>
      </c>
      <c r="B125" s="482"/>
      <c r="C125" s="459"/>
      <c r="D125" s="483"/>
      <c r="E125" s="484">
        <f t="shared" si="42"/>
        <v>0</v>
      </c>
      <c r="F125" s="482"/>
      <c r="G125" s="459"/>
      <c r="H125" s="483"/>
      <c r="I125" s="485">
        <f t="shared" si="43"/>
        <v>0</v>
      </c>
      <c r="J125" s="431">
        <f t="shared" si="44"/>
        <v>0</v>
      </c>
      <c r="K125" s="177"/>
      <c r="L125" s="177"/>
      <c r="M125" s="177"/>
      <c r="N125" s="177"/>
      <c r="O125" s="177"/>
      <c r="P125" s="177"/>
      <c r="Q125" s="177"/>
      <c r="R125" s="177"/>
      <c r="S125" s="177"/>
      <c r="T125" s="177"/>
      <c r="U125" s="177"/>
      <c r="V125" s="177"/>
      <c r="W125" s="177"/>
      <c r="X125" s="177"/>
      <c r="Y125" s="432"/>
      <c r="Z125" s="432"/>
      <c r="AA125" s="432"/>
      <c r="AB125" s="432"/>
      <c r="AC125" s="177">
        <v>6</v>
      </c>
      <c r="AD125" s="432"/>
      <c r="AE125" s="432"/>
      <c r="AF125" s="432"/>
      <c r="AG125" s="432"/>
      <c r="AH125" s="432"/>
      <c r="AI125" s="432"/>
      <c r="AJ125" s="432"/>
      <c r="AK125" s="432"/>
      <c r="AL125" s="432"/>
      <c r="AM125" s="432"/>
      <c r="AN125" s="432"/>
      <c r="AO125" s="432"/>
      <c r="AP125" s="432"/>
      <c r="AQ125" s="432"/>
      <c r="AR125" s="432"/>
      <c r="AS125" s="432"/>
      <c r="AT125" s="432"/>
      <c r="AU125" s="432"/>
      <c r="AV125" s="432"/>
      <c r="AW125" s="432"/>
      <c r="AX125" s="135"/>
    </row>
    <row r="126" spans="1:50" hidden="1">
      <c r="A126" s="481" t="s">
        <v>532</v>
      </c>
      <c r="B126" s="482"/>
      <c r="C126" s="459"/>
      <c r="D126" s="483"/>
      <c r="E126" s="484">
        <f t="shared" si="42"/>
        <v>0</v>
      </c>
      <c r="F126" s="482"/>
      <c r="G126" s="459"/>
      <c r="H126" s="483"/>
      <c r="I126" s="485">
        <f t="shared" si="43"/>
        <v>0</v>
      </c>
      <c r="J126" s="431">
        <f t="shared" si="44"/>
        <v>0</v>
      </c>
      <c r="K126" s="177"/>
      <c r="L126" s="177"/>
      <c r="M126" s="177"/>
      <c r="N126" s="177"/>
      <c r="O126" s="177"/>
      <c r="P126" s="177"/>
      <c r="Q126" s="177"/>
      <c r="R126" s="177"/>
      <c r="S126" s="177"/>
      <c r="T126" s="177"/>
      <c r="U126" s="177"/>
      <c r="V126" s="177"/>
      <c r="W126" s="177"/>
      <c r="X126" s="177"/>
      <c r="Y126" s="432"/>
      <c r="Z126" s="432"/>
      <c r="AA126" s="432"/>
      <c r="AB126" s="432"/>
      <c r="AC126" s="177">
        <v>7</v>
      </c>
      <c r="AD126" s="432"/>
      <c r="AE126" s="432"/>
      <c r="AF126" s="432"/>
      <c r="AG126" s="432"/>
      <c r="AH126" s="432"/>
      <c r="AI126" s="432"/>
      <c r="AJ126" s="432"/>
      <c r="AK126" s="432"/>
      <c r="AL126" s="432"/>
      <c r="AM126" s="432"/>
      <c r="AN126" s="432"/>
      <c r="AO126" s="432"/>
      <c r="AP126" s="432"/>
      <c r="AQ126" s="432"/>
      <c r="AR126" s="432"/>
      <c r="AS126" s="432"/>
      <c r="AT126" s="432"/>
      <c r="AU126" s="432"/>
      <c r="AV126" s="432"/>
      <c r="AW126" s="432"/>
      <c r="AX126" s="135"/>
    </row>
    <row r="127" spans="1:50" hidden="1">
      <c r="A127" s="481" t="s">
        <v>533</v>
      </c>
      <c r="B127" s="482"/>
      <c r="C127" s="459"/>
      <c r="D127" s="483"/>
      <c r="E127" s="484">
        <f t="shared" si="42"/>
        <v>0</v>
      </c>
      <c r="F127" s="482"/>
      <c r="G127" s="459"/>
      <c r="H127" s="483"/>
      <c r="I127" s="485">
        <f t="shared" si="43"/>
        <v>0</v>
      </c>
      <c r="J127" s="431">
        <f t="shared" si="44"/>
        <v>0</v>
      </c>
      <c r="K127" s="177"/>
      <c r="L127" s="177"/>
      <c r="M127" s="177"/>
      <c r="N127" s="177"/>
      <c r="O127" s="177"/>
      <c r="P127" s="177"/>
      <c r="Q127" s="177"/>
      <c r="R127" s="177"/>
      <c r="S127" s="177"/>
      <c r="T127" s="177"/>
      <c r="U127" s="177"/>
      <c r="V127" s="177"/>
      <c r="W127" s="177"/>
      <c r="X127" s="177"/>
      <c r="Y127" s="432"/>
      <c r="Z127" s="432"/>
      <c r="AA127" s="432"/>
      <c r="AB127" s="432"/>
      <c r="AC127" s="177">
        <v>8</v>
      </c>
      <c r="AD127" s="432"/>
      <c r="AE127" s="432"/>
      <c r="AF127" s="432"/>
      <c r="AG127" s="432"/>
      <c r="AH127" s="432"/>
      <c r="AI127" s="432"/>
      <c r="AJ127" s="432"/>
      <c r="AK127" s="432"/>
      <c r="AL127" s="432"/>
      <c r="AM127" s="432"/>
      <c r="AN127" s="432"/>
      <c r="AO127" s="432"/>
      <c r="AP127" s="432"/>
      <c r="AQ127" s="432"/>
      <c r="AR127" s="432"/>
      <c r="AS127" s="432"/>
      <c r="AT127" s="432"/>
      <c r="AU127" s="432"/>
      <c r="AV127" s="432"/>
      <c r="AW127" s="432"/>
      <c r="AX127" s="135"/>
    </row>
    <row r="128" spans="1:50" hidden="1">
      <c r="A128" s="481" t="s">
        <v>534</v>
      </c>
      <c r="B128" s="482"/>
      <c r="C128" s="459"/>
      <c r="D128" s="483"/>
      <c r="E128" s="484">
        <f t="shared" si="42"/>
        <v>0</v>
      </c>
      <c r="F128" s="482"/>
      <c r="G128" s="459"/>
      <c r="H128" s="483"/>
      <c r="I128" s="485">
        <f t="shared" si="43"/>
        <v>0</v>
      </c>
      <c r="J128" s="431">
        <f t="shared" si="44"/>
        <v>0</v>
      </c>
      <c r="K128" s="177"/>
      <c r="L128" s="177"/>
      <c r="M128" s="177"/>
      <c r="N128" s="177"/>
      <c r="O128" s="177"/>
      <c r="P128" s="177"/>
      <c r="Q128" s="177"/>
      <c r="R128" s="177"/>
      <c r="S128" s="177"/>
      <c r="T128" s="177"/>
      <c r="U128" s="177"/>
      <c r="V128" s="177"/>
      <c r="W128" s="177"/>
      <c r="X128" s="177"/>
      <c r="Y128" s="432"/>
      <c r="Z128" s="432"/>
      <c r="AA128" s="432"/>
      <c r="AB128" s="432"/>
      <c r="AC128" s="177">
        <v>9</v>
      </c>
      <c r="AD128" s="432"/>
      <c r="AE128" s="432"/>
      <c r="AF128" s="432"/>
      <c r="AG128" s="432"/>
      <c r="AH128" s="432"/>
      <c r="AI128" s="432"/>
      <c r="AJ128" s="432"/>
      <c r="AK128" s="432"/>
      <c r="AL128" s="432"/>
      <c r="AM128" s="432"/>
      <c r="AN128" s="432"/>
      <c r="AO128" s="432"/>
      <c r="AP128" s="432"/>
      <c r="AQ128" s="432"/>
      <c r="AR128" s="432"/>
      <c r="AS128" s="432"/>
      <c r="AT128" s="432"/>
      <c r="AU128" s="432"/>
      <c r="AV128" s="432"/>
      <c r="AW128" s="432"/>
      <c r="AX128" s="135"/>
    </row>
    <row r="129" spans="1:50" ht="16" hidden="1" thickBot="1">
      <c r="A129" s="486" t="s">
        <v>535</v>
      </c>
      <c r="B129" s="487"/>
      <c r="C129" s="488"/>
      <c r="D129" s="489"/>
      <c r="E129" s="490">
        <f t="shared" si="42"/>
        <v>0</v>
      </c>
      <c r="F129" s="487"/>
      <c r="G129" s="488"/>
      <c r="H129" s="489"/>
      <c r="I129" s="491">
        <f t="shared" si="43"/>
        <v>0</v>
      </c>
      <c r="J129" s="431">
        <f t="shared" si="44"/>
        <v>0</v>
      </c>
      <c r="K129" s="177"/>
      <c r="L129" s="177"/>
      <c r="M129" s="177"/>
      <c r="N129" s="177"/>
      <c r="O129" s="177"/>
      <c r="P129" s="177"/>
      <c r="Q129" s="177"/>
      <c r="R129" s="177"/>
      <c r="S129" s="177"/>
      <c r="T129" s="177"/>
      <c r="U129" s="177"/>
      <c r="V129" s="177"/>
      <c r="W129" s="177"/>
      <c r="X129" s="177"/>
      <c r="Y129" s="432"/>
      <c r="Z129" s="432"/>
      <c r="AA129" s="432"/>
      <c r="AB129" s="432"/>
      <c r="AC129" s="177">
        <v>10</v>
      </c>
      <c r="AD129" s="432"/>
      <c r="AE129" s="432"/>
      <c r="AF129" s="432"/>
      <c r="AG129" s="432"/>
      <c r="AH129" s="432"/>
      <c r="AI129" s="432"/>
      <c r="AJ129" s="432"/>
      <c r="AK129" s="432"/>
      <c r="AL129" s="432"/>
      <c r="AM129" s="432"/>
      <c r="AN129" s="432"/>
      <c r="AO129" s="432"/>
      <c r="AP129" s="432"/>
      <c r="AQ129" s="432"/>
      <c r="AR129" s="432"/>
      <c r="AS129" s="432"/>
      <c r="AT129" s="432"/>
      <c r="AU129" s="432"/>
      <c r="AV129" s="432"/>
      <c r="AW129" s="432"/>
      <c r="AX129" s="135"/>
    </row>
    <row r="130" spans="1:50" ht="16" thickBot="1">
      <c r="A130" s="943" t="s">
        <v>536</v>
      </c>
      <c r="B130" s="944">
        <f>SUM(B120:B129)</f>
        <v>0</v>
      </c>
      <c r="C130" s="944"/>
      <c r="D130" s="944"/>
      <c r="E130" s="944">
        <f>SUM(E120:E129)</f>
        <v>0</v>
      </c>
      <c r="F130" s="944">
        <f>SUM(F120:F129)</f>
        <v>0</v>
      </c>
      <c r="G130" s="944"/>
      <c r="H130" s="944"/>
      <c r="I130" s="944">
        <f>SUM(I120:I129)</f>
        <v>0</v>
      </c>
      <c r="J130" s="906">
        <f>I130+E130</f>
        <v>0</v>
      </c>
      <c r="K130" s="177"/>
      <c r="L130" s="177"/>
      <c r="M130" s="177"/>
      <c r="N130" s="177"/>
      <c r="O130" s="177"/>
      <c r="P130" s="177"/>
      <c r="Q130" s="177"/>
      <c r="R130" s="177"/>
      <c r="S130" s="177"/>
      <c r="T130" s="177"/>
      <c r="U130" s="177"/>
      <c r="V130" s="177"/>
      <c r="W130" s="177"/>
      <c r="X130" s="177"/>
      <c r="Y130" s="432"/>
      <c r="Z130" s="432"/>
      <c r="AA130" s="432"/>
      <c r="AB130" s="432"/>
      <c r="AC130" s="432"/>
      <c r="AD130" s="432"/>
      <c r="AE130" s="432"/>
      <c r="AF130" s="432"/>
      <c r="AG130" s="432"/>
      <c r="AH130" s="432"/>
      <c r="AI130" s="432"/>
      <c r="AJ130" s="432"/>
      <c r="AK130" s="432"/>
      <c r="AL130" s="432"/>
      <c r="AM130" s="432"/>
      <c r="AN130" s="432"/>
      <c r="AO130" s="432"/>
      <c r="AP130" s="432"/>
      <c r="AQ130" s="432"/>
      <c r="AR130" s="432"/>
      <c r="AS130" s="432"/>
      <c r="AT130" s="432"/>
      <c r="AU130" s="432"/>
      <c r="AV130" s="432"/>
      <c r="AW130" s="432"/>
      <c r="AX130" s="135"/>
    </row>
    <row r="131" spans="1:50" ht="16" thickBot="1">
      <c r="A131" s="479"/>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432"/>
      <c r="Z131" s="432"/>
      <c r="AA131" s="432"/>
      <c r="AB131" s="432"/>
      <c r="AC131" s="432"/>
      <c r="AD131" s="432"/>
      <c r="AE131" s="432"/>
      <c r="AF131" s="432"/>
      <c r="AG131" s="432"/>
      <c r="AH131" s="432"/>
      <c r="AI131" s="432"/>
      <c r="AJ131" s="432"/>
      <c r="AK131" s="432"/>
      <c r="AL131" s="432"/>
      <c r="AM131" s="432"/>
      <c r="AN131" s="432"/>
      <c r="AO131" s="432"/>
      <c r="AP131" s="432"/>
      <c r="AQ131" s="432"/>
      <c r="AR131" s="432"/>
      <c r="AS131" s="432"/>
      <c r="AT131" s="135"/>
    </row>
    <row r="132" spans="1:50" ht="16" thickBot="1">
      <c r="A132" s="939" t="s">
        <v>524</v>
      </c>
      <c r="B132" s="1129" t="s">
        <v>577</v>
      </c>
      <c r="C132" s="1180"/>
      <c r="D132" s="1180"/>
      <c r="E132" s="1180"/>
      <c r="F132" s="1180"/>
      <c r="G132" s="1180"/>
      <c r="H132" s="1180"/>
      <c r="I132" s="1180"/>
      <c r="J132" s="1180"/>
      <c r="K132" s="1180"/>
      <c r="L132" s="1180"/>
      <c r="M132" s="1180"/>
      <c r="N132" s="1180"/>
      <c r="O132" s="1180"/>
      <c r="P132" s="1180"/>
      <c r="Q132" s="1180"/>
      <c r="R132" s="1180"/>
      <c r="S132" s="1180"/>
      <c r="T132" s="1180"/>
      <c r="U132" s="1180"/>
      <c r="V132" s="1130"/>
      <c r="W132" s="177"/>
      <c r="X132" s="177"/>
      <c r="Y132" s="432"/>
      <c r="Z132" s="432"/>
      <c r="AA132" s="432"/>
      <c r="AB132" s="432"/>
      <c r="AC132" s="432"/>
      <c r="AD132" s="432"/>
      <c r="AE132" s="432"/>
      <c r="AF132" s="432"/>
      <c r="AG132" s="432"/>
      <c r="AH132" s="432"/>
      <c r="AI132" s="432"/>
      <c r="AJ132" s="432"/>
      <c r="AK132" s="432"/>
      <c r="AL132" s="432"/>
      <c r="AM132" s="432"/>
      <c r="AN132" s="432"/>
      <c r="AO132" s="432"/>
      <c r="AP132" s="135"/>
    </row>
    <row r="133" spans="1:50" ht="62">
      <c r="A133" s="492"/>
      <c r="B133" s="493" t="str">
        <f>CONCATENATE("Value of Property Stolen/ Damaged (VPS)"," ", "(",'Proposition Summary'!$B$76,")")</f>
        <v>Value of Property Stolen/ Damaged (VPS) (GBP (£))</v>
      </c>
      <c r="C133" s="494" t="s">
        <v>494</v>
      </c>
      <c r="D133" s="495" t="s">
        <v>296</v>
      </c>
      <c r="E133" s="495" t="str">
        <f>CONCATENATE("Corrected costs"," ", "(",'Proposition Summary'!$B$76,")")</f>
        <v>Corrected costs (GBP (£))</v>
      </c>
      <c r="F133" s="495" t="str">
        <f>CONCATENATE("Physical and Emotional Harm (PEH)"," ", "(",'Proposition Summary'!$B$76,")")</f>
        <v>Physical and Emotional Harm (PEH) (GBP (£))</v>
      </c>
      <c r="G133" s="495" t="s">
        <v>570</v>
      </c>
      <c r="H133" s="495" t="s">
        <v>296</v>
      </c>
      <c r="I133" s="495" t="str">
        <f>CONCATENATE("Corrected costs"," ", "(",'Proposition Summary'!$B$76,")")</f>
        <v>Corrected costs (GBP (£))</v>
      </c>
      <c r="J133" s="449" t="str">
        <f>CONCATENATE("Lost Output (LO)"," ", "(",'Proposition Summary'!$B$76,")")</f>
        <v>Lost Output (LO) (GBP (£))</v>
      </c>
      <c r="K133" s="495" t="s">
        <v>496</v>
      </c>
      <c r="L133" s="495" t="s">
        <v>296</v>
      </c>
      <c r="M133" s="495" t="str">
        <f>CONCATENATE("Corrected costs"," ", "(",'Proposition Summary'!$B$76,")")</f>
        <v>Corrected costs (GBP (£))</v>
      </c>
      <c r="N133" s="449" t="str">
        <f>CONCATENATE("Health Services (HS)"," ", "(",'Proposition Summary'!$B$76,")")</f>
        <v>Health Services (HS) (GBP (£))</v>
      </c>
      <c r="O133" s="495" t="s">
        <v>497</v>
      </c>
      <c r="P133" s="495" t="s">
        <v>296</v>
      </c>
      <c r="Q133" s="495" t="str">
        <f>CONCATENATE("Corrected costs"," ", "(",'Proposition Summary'!$B$76,")")</f>
        <v>Corrected costs (GBP (£))</v>
      </c>
      <c r="R133" s="449" t="str">
        <f>CONCATENATE("Victim Services (VS)"," ", "(",'Proposition Summary'!$B$76,")")</f>
        <v>Victim Services (VS) (GBP (£))</v>
      </c>
      <c r="S133" s="495" t="s">
        <v>495</v>
      </c>
      <c r="T133" s="495" t="s">
        <v>296</v>
      </c>
      <c r="U133" s="495" t="str">
        <f>CONCATENATE("Corrected costs"," ", "(",'Proposition Summary'!$B$76,")")</f>
        <v>Corrected costs (GBP (£))</v>
      </c>
      <c r="V133" s="945" t="str">
        <f>CONCATENATE("Total cost as a consequence of crime"," ", "(",'Proposition Summary'!$B$76,")")</f>
        <v>Total cost as a consequence of crime (GBP (£))</v>
      </c>
      <c r="W133" s="177"/>
      <c r="X133" s="177"/>
      <c r="Y133" s="432"/>
      <c r="Z133" s="432"/>
      <c r="AA133" s="432"/>
      <c r="AB133" s="432"/>
      <c r="AC133" s="432"/>
      <c r="AD133" s="432"/>
      <c r="AE133" s="432"/>
      <c r="AF133" s="432"/>
      <c r="AG133" s="432"/>
      <c r="AH133" s="135"/>
    </row>
    <row r="134" spans="1:50" hidden="1">
      <c r="A134" s="481" t="s">
        <v>526</v>
      </c>
      <c r="B134" s="482"/>
      <c r="C134" s="459"/>
      <c r="D134" s="483"/>
      <c r="E134" s="484">
        <f>B134*(1-D134)</f>
        <v>0</v>
      </c>
      <c r="F134" s="482"/>
      <c r="G134" s="459"/>
      <c r="H134" s="483"/>
      <c r="I134" s="484">
        <f>F134*(1-H134)</f>
        <v>0</v>
      </c>
      <c r="J134" s="482"/>
      <c r="K134" s="459"/>
      <c r="L134" s="483"/>
      <c r="M134" s="484">
        <f>J134*(1-L134)</f>
        <v>0</v>
      </c>
      <c r="N134" s="482"/>
      <c r="O134" s="459"/>
      <c r="P134" s="483"/>
      <c r="Q134" s="484">
        <f>N134*(1-P134)</f>
        <v>0</v>
      </c>
      <c r="R134" s="482"/>
      <c r="S134" s="459"/>
      <c r="T134" s="483"/>
      <c r="U134" s="484">
        <f>R134*(1-T134)</f>
        <v>0</v>
      </c>
      <c r="V134" s="496">
        <f>U134+Q134+M134+I134+E134</f>
        <v>0</v>
      </c>
      <c r="W134" s="177"/>
      <c r="X134" s="177"/>
      <c r="Y134" s="432"/>
      <c r="Z134" s="432"/>
      <c r="AA134" s="432"/>
      <c r="AB134" s="432"/>
      <c r="AC134" s="177">
        <v>1</v>
      </c>
      <c r="AD134" s="432"/>
      <c r="AE134" s="432"/>
      <c r="AF134" s="432"/>
      <c r="AG134" s="432"/>
      <c r="AH134" s="135"/>
    </row>
    <row r="135" spans="1:50" hidden="1">
      <c r="A135" s="481" t="s">
        <v>527</v>
      </c>
      <c r="B135" s="482"/>
      <c r="C135" s="459"/>
      <c r="D135" s="483"/>
      <c r="E135" s="484">
        <f t="shared" ref="E135:E143" si="45">B135*(1-D135)</f>
        <v>0</v>
      </c>
      <c r="F135" s="482"/>
      <c r="G135" s="459"/>
      <c r="H135" s="483"/>
      <c r="I135" s="484">
        <f t="shared" ref="I135:I143" si="46">F135*(1-H135)</f>
        <v>0</v>
      </c>
      <c r="J135" s="482"/>
      <c r="K135" s="459"/>
      <c r="L135" s="483"/>
      <c r="M135" s="484">
        <f t="shared" ref="M135:M143" si="47">J135*(1-L135)</f>
        <v>0</v>
      </c>
      <c r="N135" s="482"/>
      <c r="O135" s="459"/>
      <c r="P135" s="483"/>
      <c r="Q135" s="484">
        <f t="shared" ref="Q135:Q143" si="48">N135*(1-P135)</f>
        <v>0</v>
      </c>
      <c r="R135" s="482"/>
      <c r="S135" s="459"/>
      <c r="T135" s="483"/>
      <c r="U135" s="484">
        <f t="shared" ref="U135:U143" si="49">R135*(1-T135)</f>
        <v>0</v>
      </c>
      <c r="V135" s="496">
        <f t="shared" ref="V135:V143" si="50">U135+Q135+M135+I135+E135</f>
        <v>0</v>
      </c>
      <c r="W135" s="177"/>
      <c r="X135" s="177"/>
      <c r="Y135" s="177">
        <v>2</v>
      </c>
      <c r="Z135" s="432"/>
      <c r="AA135" s="432"/>
      <c r="AB135" s="432"/>
      <c r="AC135" s="177">
        <v>2</v>
      </c>
      <c r="AD135" s="432"/>
      <c r="AE135" s="432"/>
      <c r="AF135" s="432"/>
      <c r="AG135" s="432"/>
      <c r="AH135" s="432"/>
      <c r="AI135" s="432"/>
      <c r="AJ135" s="432"/>
      <c r="AK135" s="432"/>
      <c r="AL135" s="135"/>
    </row>
    <row r="136" spans="1:50" hidden="1">
      <c r="A136" s="481" t="s">
        <v>528</v>
      </c>
      <c r="B136" s="482"/>
      <c r="C136" s="459"/>
      <c r="D136" s="483"/>
      <c r="E136" s="484">
        <f t="shared" si="45"/>
        <v>0</v>
      </c>
      <c r="F136" s="482"/>
      <c r="G136" s="459"/>
      <c r="H136" s="483"/>
      <c r="I136" s="484">
        <f t="shared" si="46"/>
        <v>0</v>
      </c>
      <c r="J136" s="482"/>
      <c r="K136" s="459"/>
      <c r="L136" s="483"/>
      <c r="M136" s="484">
        <f t="shared" si="47"/>
        <v>0</v>
      </c>
      <c r="N136" s="482"/>
      <c r="O136" s="459"/>
      <c r="P136" s="483"/>
      <c r="Q136" s="484">
        <f t="shared" si="48"/>
        <v>0</v>
      </c>
      <c r="R136" s="482"/>
      <c r="S136" s="459"/>
      <c r="T136" s="483"/>
      <c r="U136" s="484">
        <f t="shared" si="49"/>
        <v>0</v>
      </c>
      <c r="V136" s="496">
        <f t="shared" si="50"/>
        <v>0</v>
      </c>
      <c r="W136" s="177"/>
      <c r="X136" s="177"/>
      <c r="Y136" s="177">
        <v>3</v>
      </c>
      <c r="Z136" s="432"/>
      <c r="AA136" s="432"/>
      <c r="AB136" s="432"/>
      <c r="AC136" s="177">
        <v>3</v>
      </c>
      <c r="AD136" s="432"/>
      <c r="AE136" s="432"/>
      <c r="AF136" s="432"/>
      <c r="AG136" s="432"/>
      <c r="AH136" s="432"/>
      <c r="AI136" s="432"/>
      <c r="AJ136" s="432"/>
      <c r="AK136" s="432"/>
      <c r="AL136" s="135"/>
    </row>
    <row r="137" spans="1:50" hidden="1">
      <c r="A137" s="481" t="s">
        <v>529</v>
      </c>
      <c r="B137" s="482"/>
      <c r="C137" s="459"/>
      <c r="D137" s="483"/>
      <c r="E137" s="484">
        <f t="shared" si="45"/>
        <v>0</v>
      </c>
      <c r="F137" s="482"/>
      <c r="G137" s="459"/>
      <c r="H137" s="483"/>
      <c r="I137" s="484">
        <f t="shared" si="46"/>
        <v>0</v>
      </c>
      <c r="J137" s="482"/>
      <c r="K137" s="459"/>
      <c r="L137" s="483"/>
      <c r="M137" s="484">
        <f t="shared" si="47"/>
        <v>0</v>
      </c>
      <c r="N137" s="482"/>
      <c r="O137" s="459"/>
      <c r="P137" s="483"/>
      <c r="Q137" s="484">
        <f t="shared" si="48"/>
        <v>0</v>
      </c>
      <c r="R137" s="482"/>
      <c r="S137" s="459"/>
      <c r="T137" s="483"/>
      <c r="U137" s="484">
        <f t="shared" si="49"/>
        <v>0</v>
      </c>
      <c r="V137" s="496">
        <f t="shared" si="50"/>
        <v>0</v>
      </c>
      <c r="W137" s="177"/>
      <c r="X137" s="177"/>
      <c r="Y137" s="177">
        <v>4</v>
      </c>
      <c r="Z137" s="432"/>
      <c r="AA137" s="432"/>
      <c r="AB137" s="432"/>
      <c r="AC137" s="177">
        <v>4</v>
      </c>
      <c r="AD137" s="432"/>
      <c r="AE137" s="432"/>
      <c r="AF137" s="432"/>
      <c r="AG137" s="432"/>
      <c r="AH137" s="432"/>
      <c r="AI137" s="432"/>
      <c r="AJ137" s="432"/>
      <c r="AK137" s="432"/>
      <c r="AL137" s="135"/>
    </row>
    <row r="138" spans="1:50" hidden="1">
      <c r="A138" s="481" t="s">
        <v>530</v>
      </c>
      <c r="B138" s="482"/>
      <c r="C138" s="459"/>
      <c r="D138" s="483"/>
      <c r="E138" s="484">
        <f t="shared" si="45"/>
        <v>0</v>
      </c>
      <c r="F138" s="482"/>
      <c r="G138" s="459"/>
      <c r="H138" s="483"/>
      <c r="I138" s="484">
        <f t="shared" si="46"/>
        <v>0</v>
      </c>
      <c r="J138" s="482"/>
      <c r="K138" s="459"/>
      <c r="L138" s="483"/>
      <c r="M138" s="484">
        <f t="shared" si="47"/>
        <v>0</v>
      </c>
      <c r="N138" s="482"/>
      <c r="O138" s="459"/>
      <c r="P138" s="483"/>
      <c r="Q138" s="484">
        <f t="shared" si="48"/>
        <v>0</v>
      </c>
      <c r="R138" s="482"/>
      <c r="S138" s="459"/>
      <c r="T138" s="483"/>
      <c r="U138" s="484">
        <f t="shared" si="49"/>
        <v>0</v>
      </c>
      <c r="V138" s="496">
        <f t="shared" si="50"/>
        <v>0</v>
      </c>
      <c r="W138" s="177"/>
      <c r="X138" s="177"/>
      <c r="Y138" s="177">
        <v>5</v>
      </c>
      <c r="Z138" s="432"/>
      <c r="AA138" s="432"/>
      <c r="AB138" s="432"/>
      <c r="AC138" s="177">
        <v>5</v>
      </c>
      <c r="AD138" s="432"/>
      <c r="AE138" s="432"/>
      <c r="AF138" s="432"/>
      <c r="AG138" s="432"/>
      <c r="AH138" s="432"/>
      <c r="AI138" s="432"/>
      <c r="AJ138" s="432"/>
      <c r="AK138" s="432"/>
      <c r="AL138" s="135"/>
    </row>
    <row r="139" spans="1:50" hidden="1">
      <c r="A139" s="481" t="s">
        <v>531</v>
      </c>
      <c r="B139" s="482"/>
      <c r="C139" s="459"/>
      <c r="D139" s="483"/>
      <c r="E139" s="484">
        <f t="shared" si="45"/>
        <v>0</v>
      </c>
      <c r="F139" s="482"/>
      <c r="G139" s="459"/>
      <c r="H139" s="483"/>
      <c r="I139" s="484">
        <f t="shared" si="46"/>
        <v>0</v>
      </c>
      <c r="J139" s="482"/>
      <c r="K139" s="459"/>
      <c r="L139" s="483"/>
      <c r="M139" s="484">
        <f t="shared" si="47"/>
        <v>0</v>
      </c>
      <c r="N139" s="482"/>
      <c r="O139" s="459"/>
      <c r="P139" s="483"/>
      <c r="Q139" s="484">
        <f t="shared" si="48"/>
        <v>0</v>
      </c>
      <c r="R139" s="482"/>
      <c r="S139" s="459"/>
      <c r="T139" s="483"/>
      <c r="U139" s="484">
        <f t="shared" si="49"/>
        <v>0</v>
      </c>
      <c r="V139" s="496">
        <f t="shared" si="50"/>
        <v>0</v>
      </c>
      <c r="W139" s="177"/>
      <c r="X139" s="177"/>
      <c r="Y139" s="177">
        <v>6</v>
      </c>
      <c r="Z139" s="432"/>
      <c r="AA139" s="432"/>
      <c r="AB139" s="432"/>
      <c r="AC139" s="177">
        <v>6</v>
      </c>
      <c r="AD139" s="432"/>
      <c r="AE139" s="432"/>
      <c r="AF139" s="432"/>
      <c r="AG139" s="432"/>
      <c r="AH139" s="432"/>
      <c r="AI139" s="432"/>
      <c r="AJ139" s="432"/>
      <c r="AK139" s="432"/>
      <c r="AL139" s="135"/>
    </row>
    <row r="140" spans="1:50" hidden="1">
      <c r="A140" s="481" t="s">
        <v>532</v>
      </c>
      <c r="B140" s="482"/>
      <c r="C140" s="459"/>
      <c r="D140" s="483"/>
      <c r="E140" s="484">
        <f t="shared" si="45"/>
        <v>0</v>
      </c>
      <c r="F140" s="482"/>
      <c r="G140" s="459"/>
      <c r="H140" s="483"/>
      <c r="I140" s="484">
        <f t="shared" si="46"/>
        <v>0</v>
      </c>
      <c r="J140" s="482"/>
      <c r="K140" s="459"/>
      <c r="L140" s="483"/>
      <c r="M140" s="484">
        <f t="shared" si="47"/>
        <v>0</v>
      </c>
      <c r="N140" s="482"/>
      <c r="O140" s="459"/>
      <c r="P140" s="483"/>
      <c r="Q140" s="484">
        <f t="shared" si="48"/>
        <v>0</v>
      </c>
      <c r="R140" s="482"/>
      <c r="S140" s="459"/>
      <c r="T140" s="483"/>
      <c r="U140" s="484">
        <f t="shared" si="49"/>
        <v>0</v>
      </c>
      <c r="V140" s="496">
        <f t="shared" si="50"/>
        <v>0</v>
      </c>
      <c r="W140" s="177"/>
      <c r="X140" s="177"/>
      <c r="Y140" s="177">
        <v>7</v>
      </c>
      <c r="Z140" s="432"/>
      <c r="AA140" s="432"/>
      <c r="AB140" s="432"/>
      <c r="AC140" s="177">
        <v>7</v>
      </c>
      <c r="AD140" s="432"/>
      <c r="AE140" s="432"/>
      <c r="AF140" s="432"/>
      <c r="AG140" s="432"/>
      <c r="AH140" s="432"/>
      <c r="AI140" s="432"/>
      <c r="AJ140" s="432"/>
      <c r="AK140" s="432"/>
      <c r="AL140" s="135"/>
    </row>
    <row r="141" spans="1:50" hidden="1">
      <c r="A141" s="481" t="s">
        <v>533</v>
      </c>
      <c r="B141" s="482"/>
      <c r="C141" s="459"/>
      <c r="D141" s="483"/>
      <c r="E141" s="484">
        <f t="shared" si="45"/>
        <v>0</v>
      </c>
      <c r="F141" s="482"/>
      <c r="G141" s="459"/>
      <c r="H141" s="483"/>
      <c r="I141" s="484">
        <f t="shared" si="46"/>
        <v>0</v>
      </c>
      <c r="J141" s="482"/>
      <c r="K141" s="459"/>
      <c r="L141" s="483"/>
      <c r="M141" s="484">
        <f t="shared" si="47"/>
        <v>0</v>
      </c>
      <c r="N141" s="482"/>
      <c r="O141" s="459"/>
      <c r="P141" s="483"/>
      <c r="Q141" s="484">
        <f t="shared" si="48"/>
        <v>0</v>
      </c>
      <c r="R141" s="482"/>
      <c r="S141" s="459"/>
      <c r="T141" s="483"/>
      <c r="U141" s="484">
        <f t="shared" si="49"/>
        <v>0</v>
      </c>
      <c r="V141" s="496">
        <f t="shared" si="50"/>
        <v>0</v>
      </c>
      <c r="W141" s="177"/>
      <c r="X141" s="177"/>
      <c r="Y141" s="177">
        <v>8</v>
      </c>
      <c r="Z141" s="432"/>
      <c r="AA141" s="432"/>
      <c r="AB141" s="432"/>
      <c r="AC141" s="177">
        <v>8</v>
      </c>
      <c r="AD141" s="432"/>
      <c r="AE141" s="432"/>
      <c r="AF141" s="432"/>
      <c r="AG141" s="432"/>
      <c r="AH141" s="432"/>
      <c r="AI141" s="432"/>
      <c r="AJ141" s="432"/>
      <c r="AK141" s="432"/>
      <c r="AL141" s="135"/>
    </row>
    <row r="142" spans="1:50" hidden="1">
      <c r="A142" s="481" t="s">
        <v>534</v>
      </c>
      <c r="B142" s="482"/>
      <c r="C142" s="459"/>
      <c r="D142" s="483"/>
      <c r="E142" s="484">
        <f t="shared" si="45"/>
        <v>0</v>
      </c>
      <c r="F142" s="482"/>
      <c r="G142" s="459"/>
      <c r="H142" s="483"/>
      <c r="I142" s="484">
        <f t="shared" si="46"/>
        <v>0</v>
      </c>
      <c r="J142" s="482"/>
      <c r="K142" s="459"/>
      <c r="L142" s="483"/>
      <c r="M142" s="484">
        <f t="shared" si="47"/>
        <v>0</v>
      </c>
      <c r="N142" s="482"/>
      <c r="O142" s="459"/>
      <c r="P142" s="483"/>
      <c r="Q142" s="484">
        <f t="shared" si="48"/>
        <v>0</v>
      </c>
      <c r="R142" s="482"/>
      <c r="S142" s="459"/>
      <c r="T142" s="483"/>
      <c r="U142" s="484">
        <f t="shared" si="49"/>
        <v>0</v>
      </c>
      <c r="V142" s="496">
        <f t="shared" si="50"/>
        <v>0</v>
      </c>
      <c r="W142" s="177"/>
      <c r="X142" s="177"/>
      <c r="Y142" s="177">
        <v>9</v>
      </c>
      <c r="Z142" s="432"/>
      <c r="AA142" s="432"/>
      <c r="AB142" s="432"/>
      <c r="AC142" s="177">
        <v>9</v>
      </c>
      <c r="AD142" s="432"/>
      <c r="AE142" s="432"/>
      <c r="AF142" s="432"/>
      <c r="AG142" s="432"/>
      <c r="AH142" s="432"/>
      <c r="AI142" s="432"/>
      <c r="AJ142" s="432"/>
      <c r="AK142" s="432"/>
      <c r="AL142" s="135"/>
    </row>
    <row r="143" spans="1:50" hidden="1">
      <c r="A143" s="481" t="s">
        <v>535</v>
      </c>
      <c r="B143" s="482"/>
      <c r="C143" s="459"/>
      <c r="D143" s="483"/>
      <c r="E143" s="484">
        <f t="shared" si="45"/>
        <v>0</v>
      </c>
      <c r="F143" s="482"/>
      <c r="G143" s="459"/>
      <c r="H143" s="483"/>
      <c r="I143" s="484">
        <f t="shared" si="46"/>
        <v>0</v>
      </c>
      <c r="J143" s="482"/>
      <c r="K143" s="459"/>
      <c r="L143" s="483"/>
      <c r="M143" s="484">
        <f t="shared" si="47"/>
        <v>0</v>
      </c>
      <c r="N143" s="482"/>
      <c r="O143" s="459"/>
      <c r="P143" s="483"/>
      <c r="Q143" s="484">
        <f t="shared" si="48"/>
        <v>0</v>
      </c>
      <c r="R143" s="482"/>
      <c r="S143" s="459"/>
      <c r="T143" s="483"/>
      <c r="U143" s="484">
        <f t="shared" si="49"/>
        <v>0</v>
      </c>
      <c r="V143" s="496">
        <f t="shared" si="50"/>
        <v>0</v>
      </c>
      <c r="W143" s="177"/>
      <c r="X143" s="177"/>
      <c r="Y143" s="177">
        <v>10</v>
      </c>
      <c r="Z143" s="432"/>
      <c r="AA143" s="432"/>
      <c r="AB143" s="432"/>
      <c r="AC143" s="177">
        <v>10</v>
      </c>
      <c r="AD143" s="432"/>
      <c r="AE143" s="432"/>
      <c r="AF143" s="432"/>
      <c r="AG143" s="432"/>
      <c r="AH143" s="432"/>
      <c r="AI143" s="432"/>
      <c r="AJ143" s="432"/>
      <c r="AK143" s="432"/>
      <c r="AL143" s="135"/>
    </row>
    <row r="144" spans="1:50" ht="16" thickBot="1">
      <c r="A144" s="946" t="s">
        <v>536</v>
      </c>
      <c r="B144" s="947">
        <f>SUM(B134:B143)</f>
        <v>0</v>
      </c>
      <c r="C144" s="947"/>
      <c r="D144" s="947"/>
      <c r="E144" s="947">
        <f>SUM(E134:E143)</f>
        <v>0</v>
      </c>
      <c r="F144" s="947">
        <f>SUM(F134:F143)</f>
        <v>0</v>
      </c>
      <c r="G144" s="947"/>
      <c r="H144" s="947"/>
      <c r="I144" s="947">
        <f>SUM(I134:I143)</f>
        <v>0</v>
      </c>
      <c r="J144" s="947">
        <f>SUM(J134:J143)</f>
        <v>0</v>
      </c>
      <c r="K144" s="947"/>
      <c r="L144" s="947"/>
      <c r="M144" s="947">
        <f>SUM(M134:M143)</f>
        <v>0</v>
      </c>
      <c r="N144" s="947">
        <f>SUM(N134:N143)</f>
        <v>0</v>
      </c>
      <c r="O144" s="947"/>
      <c r="P144" s="947"/>
      <c r="Q144" s="947">
        <f>SUM(Q134:Q143)</f>
        <v>0</v>
      </c>
      <c r="R144" s="947">
        <f>SUM(R134:R143)</f>
        <v>0</v>
      </c>
      <c r="S144" s="947"/>
      <c r="T144" s="947"/>
      <c r="U144" s="947">
        <f>SUM(U134:U143)</f>
        <v>0</v>
      </c>
      <c r="V144" s="948">
        <f>SUM(V134:V143)</f>
        <v>0</v>
      </c>
      <c r="W144" s="177"/>
      <c r="X144" s="177"/>
      <c r="Y144" s="432"/>
      <c r="Z144" s="432"/>
      <c r="AA144" s="432"/>
      <c r="AB144" s="432"/>
      <c r="AC144" s="432"/>
      <c r="AD144" s="432"/>
      <c r="AE144" s="432"/>
      <c r="AF144" s="432"/>
      <c r="AG144" s="432"/>
      <c r="AH144" s="432"/>
      <c r="AI144" s="432"/>
      <c r="AJ144" s="432"/>
      <c r="AK144" s="432"/>
      <c r="AL144" s="432"/>
      <c r="AM144" s="432"/>
      <c r="AN144" s="432"/>
      <c r="AO144" s="432"/>
      <c r="AP144" s="135"/>
    </row>
    <row r="145" spans="1:50" ht="16" thickBot="1">
      <c r="A145" s="479"/>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432"/>
      <c r="Z145" s="432"/>
      <c r="AA145" s="432"/>
      <c r="AB145" s="432"/>
      <c r="AC145" s="432"/>
      <c r="AD145" s="432"/>
      <c r="AE145" s="432"/>
      <c r="AF145" s="432"/>
      <c r="AG145" s="432"/>
      <c r="AH145" s="432"/>
      <c r="AI145" s="432"/>
      <c r="AJ145" s="432"/>
      <c r="AK145" s="432"/>
      <c r="AL145" s="432"/>
      <c r="AM145" s="432"/>
      <c r="AN145" s="432"/>
      <c r="AO145" s="432"/>
      <c r="AP145" s="432"/>
      <c r="AQ145" s="432"/>
      <c r="AR145" s="432"/>
      <c r="AS145" s="432"/>
      <c r="AT145" s="432"/>
      <c r="AU145" s="432"/>
      <c r="AV145" s="432"/>
      <c r="AW145" s="432"/>
      <c r="AX145" s="135"/>
    </row>
    <row r="146" spans="1:50" ht="20.75" customHeight="1" thickBot="1">
      <c r="A146" s="939" t="s">
        <v>524</v>
      </c>
      <c r="B146" s="1129" t="s">
        <v>579</v>
      </c>
      <c r="C146" s="1180"/>
      <c r="D146" s="1180"/>
      <c r="E146" s="1180"/>
      <c r="F146" s="1180"/>
      <c r="G146" s="1180"/>
      <c r="H146" s="1180"/>
      <c r="I146" s="1181"/>
      <c r="J146" s="949"/>
    </row>
    <row r="147" spans="1:50" ht="46.5">
      <c r="A147" s="492"/>
      <c r="B147" s="495" t="str">
        <f>CONCATENATE("Police costs (PC)"," ", "(",'Proposition Summary'!$B$76,")")</f>
        <v>Police costs (PC) (GBP (£))</v>
      </c>
      <c r="C147" s="495" t="s">
        <v>571</v>
      </c>
      <c r="D147" s="495" t="s">
        <v>296</v>
      </c>
      <c r="E147" s="495" t="str">
        <f>CONCATENATE("Corrected costs"," ", "(",'Proposition Summary'!$B$76,")")</f>
        <v>Corrected costs (GBP (£))</v>
      </c>
      <c r="F147" s="495" t="str">
        <f>CONCATENATE("Other CJS costs (OCJ)"," ", "(",'Proposition Summary'!$B$76,")")</f>
        <v>Other CJS costs (OCJ) (GBP (£))</v>
      </c>
      <c r="G147" s="495" t="s">
        <v>572</v>
      </c>
      <c r="H147" s="495" t="s">
        <v>296</v>
      </c>
      <c r="I147" s="495" t="str">
        <f>CONCATENATE("Corrected costs"," ", "(",'Proposition Summary'!$B$76,")")</f>
        <v>Corrected costs (GBP (£))</v>
      </c>
      <c r="J147" s="950" t="str">
        <f>CONCATENATE("Total CJS cost"," ", "(",'Proposition Summary'!$B$76,")")</f>
        <v>Total CJS cost (GBP (£))</v>
      </c>
    </row>
    <row r="148" spans="1:50" hidden="1">
      <c r="A148" s="481" t="s">
        <v>526</v>
      </c>
      <c r="B148" s="482"/>
      <c r="C148" s="459"/>
      <c r="D148" s="483"/>
      <c r="E148" s="484">
        <f>B148*(1-D148)</f>
        <v>0</v>
      </c>
      <c r="F148" s="482"/>
      <c r="G148" s="459"/>
      <c r="H148" s="483"/>
      <c r="I148" s="484">
        <f>F148*(1-H148)</f>
        <v>0</v>
      </c>
      <c r="J148" s="497">
        <f>I148+E148</f>
        <v>0</v>
      </c>
      <c r="AC148" s="177">
        <v>1</v>
      </c>
    </row>
    <row r="149" spans="1:50" hidden="1">
      <c r="A149" s="481" t="s">
        <v>527</v>
      </c>
      <c r="B149" s="482"/>
      <c r="C149" s="459"/>
      <c r="D149" s="483"/>
      <c r="E149" s="484">
        <f t="shared" ref="E149:E157" si="51">B149*(1-D149)</f>
        <v>0</v>
      </c>
      <c r="F149" s="482"/>
      <c r="G149" s="459"/>
      <c r="H149" s="483"/>
      <c r="I149" s="484">
        <f t="shared" ref="I149:I157" si="52">F149*(1-H149)</f>
        <v>0</v>
      </c>
      <c r="J149" s="497">
        <f t="shared" ref="J149:J157" si="53">I149+E149</f>
        <v>0</v>
      </c>
      <c r="AC149" s="177">
        <v>2</v>
      </c>
    </row>
    <row r="150" spans="1:50" hidden="1">
      <c r="A150" s="481" t="s">
        <v>528</v>
      </c>
      <c r="B150" s="482"/>
      <c r="C150" s="459"/>
      <c r="D150" s="483"/>
      <c r="E150" s="484">
        <f t="shared" si="51"/>
        <v>0</v>
      </c>
      <c r="F150" s="482"/>
      <c r="G150" s="459"/>
      <c r="H150" s="483"/>
      <c r="I150" s="484">
        <f t="shared" si="52"/>
        <v>0</v>
      </c>
      <c r="J150" s="497">
        <f t="shared" si="53"/>
        <v>0</v>
      </c>
      <c r="AC150" s="177">
        <v>3</v>
      </c>
    </row>
    <row r="151" spans="1:50" hidden="1">
      <c r="A151" s="481" t="s">
        <v>529</v>
      </c>
      <c r="B151" s="482"/>
      <c r="C151" s="459"/>
      <c r="D151" s="483"/>
      <c r="E151" s="484">
        <f t="shared" si="51"/>
        <v>0</v>
      </c>
      <c r="F151" s="482"/>
      <c r="G151" s="459"/>
      <c r="H151" s="483"/>
      <c r="I151" s="484">
        <f t="shared" si="52"/>
        <v>0</v>
      </c>
      <c r="J151" s="497">
        <f t="shared" si="53"/>
        <v>0</v>
      </c>
      <c r="AC151" s="177">
        <v>4</v>
      </c>
    </row>
    <row r="152" spans="1:50" hidden="1">
      <c r="A152" s="481" t="s">
        <v>530</v>
      </c>
      <c r="B152" s="482"/>
      <c r="C152" s="459"/>
      <c r="D152" s="483"/>
      <c r="E152" s="484">
        <f t="shared" si="51"/>
        <v>0</v>
      </c>
      <c r="F152" s="482"/>
      <c r="G152" s="459"/>
      <c r="H152" s="483"/>
      <c r="I152" s="484">
        <f t="shared" si="52"/>
        <v>0</v>
      </c>
      <c r="J152" s="497">
        <f t="shared" si="53"/>
        <v>0</v>
      </c>
      <c r="AC152" s="177">
        <v>5</v>
      </c>
    </row>
    <row r="153" spans="1:50" hidden="1">
      <c r="A153" s="481" t="s">
        <v>531</v>
      </c>
      <c r="B153" s="482"/>
      <c r="C153" s="459"/>
      <c r="D153" s="483"/>
      <c r="E153" s="484">
        <f t="shared" si="51"/>
        <v>0</v>
      </c>
      <c r="F153" s="482"/>
      <c r="G153" s="459"/>
      <c r="H153" s="483"/>
      <c r="I153" s="484">
        <f t="shared" si="52"/>
        <v>0</v>
      </c>
      <c r="J153" s="497">
        <f t="shared" si="53"/>
        <v>0</v>
      </c>
      <c r="AC153" s="177">
        <v>6</v>
      </c>
    </row>
    <row r="154" spans="1:50" hidden="1">
      <c r="A154" s="481" t="s">
        <v>532</v>
      </c>
      <c r="B154" s="482"/>
      <c r="C154" s="459"/>
      <c r="D154" s="483"/>
      <c r="E154" s="484">
        <f t="shared" si="51"/>
        <v>0</v>
      </c>
      <c r="F154" s="482"/>
      <c r="G154" s="459"/>
      <c r="H154" s="483"/>
      <c r="I154" s="484">
        <f t="shared" si="52"/>
        <v>0</v>
      </c>
      <c r="J154" s="497">
        <f t="shared" si="53"/>
        <v>0</v>
      </c>
      <c r="AC154" s="177">
        <v>7</v>
      </c>
    </row>
    <row r="155" spans="1:50" hidden="1">
      <c r="A155" s="481" t="s">
        <v>533</v>
      </c>
      <c r="B155" s="482"/>
      <c r="C155" s="459"/>
      <c r="D155" s="483"/>
      <c r="E155" s="484">
        <f t="shared" si="51"/>
        <v>0</v>
      </c>
      <c r="F155" s="482"/>
      <c r="G155" s="459"/>
      <c r="H155" s="483"/>
      <c r="I155" s="484">
        <f t="shared" si="52"/>
        <v>0</v>
      </c>
      <c r="J155" s="497">
        <f t="shared" si="53"/>
        <v>0</v>
      </c>
      <c r="AC155" s="177">
        <v>8</v>
      </c>
    </row>
    <row r="156" spans="1:50" hidden="1">
      <c r="A156" s="481" t="s">
        <v>534</v>
      </c>
      <c r="B156" s="482"/>
      <c r="C156" s="459"/>
      <c r="D156" s="483"/>
      <c r="E156" s="484">
        <f t="shared" si="51"/>
        <v>0</v>
      </c>
      <c r="F156" s="482"/>
      <c r="G156" s="459"/>
      <c r="H156" s="483"/>
      <c r="I156" s="484">
        <f t="shared" si="52"/>
        <v>0</v>
      </c>
      <c r="J156" s="497">
        <f t="shared" si="53"/>
        <v>0</v>
      </c>
      <c r="AC156" s="177">
        <v>9</v>
      </c>
    </row>
    <row r="157" spans="1:50" hidden="1">
      <c r="A157" s="481" t="s">
        <v>535</v>
      </c>
      <c r="B157" s="482"/>
      <c r="C157" s="459"/>
      <c r="D157" s="483"/>
      <c r="E157" s="484">
        <f t="shared" si="51"/>
        <v>0</v>
      </c>
      <c r="F157" s="482"/>
      <c r="G157" s="459"/>
      <c r="H157" s="483"/>
      <c r="I157" s="484">
        <f t="shared" si="52"/>
        <v>0</v>
      </c>
      <c r="J157" s="497">
        <f t="shared" si="53"/>
        <v>0</v>
      </c>
      <c r="AC157" s="177">
        <v>10</v>
      </c>
    </row>
    <row r="158" spans="1:50" ht="16" thickBot="1">
      <c r="A158" s="951" t="s">
        <v>536</v>
      </c>
      <c r="B158" s="947">
        <f>SUM(B148:B157)</f>
        <v>0</v>
      </c>
      <c r="C158" s="947"/>
      <c r="D158" s="947"/>
      <c r="E158" s="947">
        <f>SUM(E148:E157)</f>
        <v>0</v>
      </c>
      <c r="F158" s="947">
        <f>SUM(F148:F157)</f>
        <v>0</v>
      </c>
      <c r="G158" s="947"/>
      <c r="H158" s="947"/>
      <c r="I158" s="947">
        <f>SUM(I148:I157)</f>
        <v>0</v>
      </c>
      <c r="J158" s="952">
        <f>I158+E158</f>
        <v>0</v>
      </c>
    </row>
    <row r="159" spans="1:50" s="196" customFormat="1">
      <c r="A159" s="498"/>
      <c r="B159" s="499"/>
      <c r="C159" s="499"/>
      <c r="D159" s="499"/>
      <c r="E159" s="499"/>
      <c r="F159" s="499"/>
      <c r="G159" s="499"/>
      <c r="H159" s="499"/>
      <c r="I159" s="499"/>
      <c r="J159" s="499"/>
      <c r="K159" s="500"/>
      <c r="L159" s="500"/>
      <c r="M159" s="500"/>
      <c r="N159" s="500"/>
      <c r="O159" s="500"/>
      <c r="P159" s="500"/>
      <c r="Q159" s="500"/>
      <c r="R159" s="500"/>
      <c r="S159" s="500"/>
      <c r="T159" s="500"/>
      <c r="U159" s="500"/>
      <c r="V159" s="500"/>
      <c r="W159" s="500"/>
      <c r="X159" s="500"/>
      <c r="Y159" s="501"/>
      <c r="Z159" s="501"/>
      <c r="AA159" s="501"/>
      <c r="AB159" s="501"/>
      <c r="AC159" s="501"/>
      <c r="AD159" s="501"/>
      <c r="AE159" s="501"/>
      <c r="AF159" s="501"/>
      <c r="AG159" s="501"/>
      <c r="AH159" s="501"/>
      <c r="AI159" s="501"/>
      <c r="AJ159" s="501"/>
      <c r="AK159" s="501"/>
      <c r="AL159" s="501"/>
      <c r="AM159" s="501"/>
      <c r="AN159" s="501"/>
      <c r="AO159" s="501"/>
      <c r="AP159" s="501"/>
      <c r="AQ159" s="501"/>
      <c r="AR159" s="501"/>
      <c r="AS159" s="501"/>
      <c r="AT159" s="501"/>
      <c r="AU159" s="501"/>
      <c r="AV159" s="501"/>
      <c r="AW159" s="501"/>
      <c r="AX159" s="501"/>
    </row>
    <row r="160" spans="1:50" s="196" customFormat="1">
      <c r="A160" s="498"/>
      <c r="B160" s="499"/>
      <c r="C160" s="499"/>
      <c r="D160" s="499"/>
      <c r="E160" s="499"/>
      <c r="F160" s="499"/>
      <c r="G160" s="499"/>
      <c r="H160" s="499"/>
      <c r="I160" s="499"/>
      <c r="J160" s="499"/>
      <c r="K160" s="499"/>
      <c r="L160" s="499"/>
      <c r="M160" s="499"/>
      <c r="N160" s="499"/>
      <c r="O160" s="499"/>
      <c r="P160" s="499"/>
      <c r="Q160" s="499"/>
      <c r="R160" s="499"/>
      <c r="S160" s="499"/>
      <c r="T160" s="499"/>
      <c r="U160" s="499"/>
      <c r="V160" s="499"/>
      <c r="W160" s="499"/>
      <c r="X160" s="499"/>
      <c r="Y160" s="502"/>
      <c r="Z160" s="502"/>
      <c r="AA160" s="502"/>
      <c r="AB160" s="502"/>
      <c r="AC160" s="502"/>
      <c r="AD160" s="502"/>
      <c r="AE160" s="502"/>
      <c r="AF160" s="502"/>
      <c r="AG160" s="502"/>
      <c r="AH160" s="502"/>
      <c r="AI160" s="502"/>
      <c r="AJ160" s="502"/>
      <c r="AK160" s="502"/>
      <c r="AL160" s="502"/>
      <c r="AM160" s="502"/>
      <c r="AN160" s="502"/>
      <c r="AO160" s="502"/>
      <c r="AP160" s="502"/>
      <c r="AQ160" s="502"/>
      <c r="AR160" s="502"/>
      <c r="AS160" s="502"/>
      <c r="AT160" s="502"/>
      <c r="AU160" s="502"/>
      <c r="AV160" s="502"/>
      <c r="AW160" s="502"/>
      <c r="AX160" s="503"/>
    </row>
    <row r="161" spans="1:132" s="196" customFormat="1" ht="16" thickBot="1">
      <c r="A161" s="498"/>
      <c r="B161" s="499"/>
      <c r="C161" s="499"/>
      <c r="D161" s="499"/>
      <c r="E161" s="499"/>
      <c r="F161" s="499"/>
      <c r="G161" s="499"/>
      <c r="H161" s="499"/>
      <c r="I161" s="499"/>
      <c r="J161" s="499"/>
      <c r="K161" s="499"/>
      <c r="L161" s="499"/>
      <c r="M161" s="499"/>
      <c r="N161" s="499"/>
      <c r="O161" s="499"/>
      <c r="P161" s="499"/>
      <c r="Q161" s="499"/>
      <c r="R161" s="499"/>
      <c r="S161" s="499"/>
      <c r="T161" s="499"/>
      <c r="U161" s="499"/>
      <c r="V161" s="499"/>
      <c r="W161" s="499"/>
      <c r="X161" s="499"/>
      <c r="Y161" s="502"/>
      <c r="Z161" s="502"/>
      <c r="AA161" s="502"/>
      <c r="AB161" s="502"/>
      <c r="AC161" s="502"/>
      <c r="AD161" s="502"/>
      <c r="AE161" s="502"/>
      <c r="AF161" s="502"/>
      <c r="AG161" s="502"/>
      <c r="AH161" s="502"/>
      <c r="AI161" s="502"/>
      <c r="AJ161" s="502"/>
      <c r="AK161" s="502"/>
      <c r="AL161" s="502"/>
      <c r="AM161" s="502"/>
      <c r="AN161" s="502"/>
      <c r="AO161" s="502"/>
      <c r="AP161" s="502"/>
      <c r="AQ161" s="502"/>
      <c r="AR161" s="502"/>
      <c r="AS161" s="502"/>
      <c r="AT161" s="502"/>
      <c r="AU161" s="502"/>
      <c r="AV161" s="502"/>
      <c r="AW161" s="502"/>
      <c r="AX161" s="503"/>
    </row>
    <row r="162" spans="1:132" s="196" customFormat="1" ht="16" thickBot="1">
      <c r="A162" s="896" t="s">
        <v>308</v>
      </c>
      <c r="B162" s="1182" t="s">
        <v>578</v>
      </c>
      <c r="C162" s="1182"/>
      <c r="D162" s="1182"/>
      <c r="E162" s="1182"/>
      <c r="F162" s="1182"/>
      <c r="G162" s="1182"/>
      <c r="H162" s="1182"/>
      <c r="I162" s="1183"/>
      <c r="J162" s="898"/>
      <c r="K162" s="499"/>
      <c r="L162" s="499"/>
      <c r="M162" s="499"/>
      <c r="N162" s="499"/>
      <c r="O162" s="499"/>
      <c r="P162" s="499"/>
      <c r="Q162" s="499"/>
      <c r="R162" s="499"/>
      <c r="S162" s="499"/>
      <c r="T162" s="499"/>
      <c r="U162" s="499"/>
      <c r="V162" s="499"/>
      <c r="W162" s="499"/>
      <c r="X162" s="499"/>
      <c r="Y162" s="502"/>
      <c r="Z162" s="502"/>
      <c r="AA162" s="502"/>
      <c r="AB162" s="502"/>
      <c r="AC162" s="502"/>
      <c r="AD162" s="502"/>
      <c r="AE162" s="502"/>
      <c r="AF162" s="502"/>
      <c r="AG162" s="502"/>
      <c r="AH162" s="502"/>
      <c r="AI162" s="502"/>
      <c r="AJ162" s="502"/>
      <c r="AK162" s="502"/>
      <c r="AL162" s="502"/>
      <c r="AM162" s="502"/>
      <c r="AN162" s="502"/>
      <c r="AO162" s="502"/>
      <c r="AP162" s="502"/>
      <c r="AQ162" s="502"/>
      <c r="AR162" s="502"/>
      <c r="AS162" s="502"/>
      <c r="AT162" s="502"/>
      <c r="AU162" s="502"/>
      <c r="AV162" s="502"/>
      <c r="AW162" s="502"/>
      <c r="AX162" s="503"/>
    </row>
    <row r="163" spans="1:132" s="196" customFormat="1" ht="62">
      <c r="A163" s="417"/>
      <c r="B163" s="418" t="str">
        <f>CONCATENATE("Defensive Expenditure (DE)"," ", "(",'Proposition Summary'!$B$76,")")</f>
        <v>Defensive Expenditure (DE) (GBP (£))</v>
      </c>
      <c r="C163" s="419"/>
      <c r="D163" s="461"/>
      <c r="E163" s="421" t="str">
        <f>CONCATENATE("Corrected costs"," ", "(",'Proposition Summary'!$B$76,")")</f>
        <v>Corrected costs (GBP (£))</v>
      </c>
      <c r="F163" s="437" t="str">
        <f>CONCATENATE("Insurance Administration (IA)"," ", "(",'Proposition Summary'!$B$76,")")</f>
        <v>Insurance Administration (IA) (GBP (£))</v>
      </c>
      <c r="G163" s="504"/>
      <c r="H163" s="461"/>
      <c r="I163" s="421" t="str">
        <f>CONCATENATE("Corrected costs"," ", "(",'Proposition Summary'!$B$76,")")</f>
        <v>Corrected costs (GBP (£))</v>
      </c>
      <c r="J163" s="899" t="str">
        <f>CONCATENATE("Total costs in anticipation of crime"," ", "(",'Proposition Summary'!$B$76,")")</f>
        <v>Total costs in anticipation of crime (GBP (£))</v>
      </c>
      <c r="K163" s="499"/>
      <c r="L163" s="499"/>
      <c r="M163" s="499"/>
      <c r="N163" s="499"/>
      <c r="O163" s="499"/>
      <c r="P163" s="499"/>
      <c r="Q163" s="499"/>
      <c r="R163" s="499"/>
      <c r="S163" s="499"/>
      <c r="T163" s="499"/>
      <c r="U163" s="499"/>
      <c r="V163" s="499"/>
      <c r="W163" s="499"/>
      <c r="X163" s="502"/>
      <c r="Y163" s="499"/>
      <c r="Z163" s="502"/>
      <c r="AA163" s="499"/>
      <c r="AB163" s="502"/>
      <c r="AC163" s="499"/>
      <c r="AD163" s="499"/>
      <c r="AE163" s="499"/>
      <c r="AF163" s="499"/>
      <c r="AG163" s="499"/>
      <c r="AH163" s="499"/>
      <c r="AI163" s="499"/>
      <c r="AJ163" s="499"/>
      <c r="AK163" s="499"/>
      <c r="AL163" s="499"/>
      <c r="AM163" s="499"/>
      <c r="AN163" s="499"/>
      <c r="AO163" s="499"/>
      <c r="AP163" s="499"/>
      <c r="AQ163" s="499"/>
      <c r="AR163" s="499"/>
      <c r="AS163" s="499"/>
      <c r="AT163" s="499"/>
      <c r="AU163" s="499"/>
      <c r="AV163" s="499"/>
      <c r="AW163" s="499"/>
      <c r="AX163" s="499"/>
      <c r="AY163" s="499"/>
      <c r="AZ163" s="499"/>
      <c r="BA163" s="499"/>
      <c r="BB163" s="499"/>
      <c r="BC163" s="499"/>
      <c r="BD163" s="499"/>
      <c r="BE163" s="499"/>
      <c r="BF163" s="499"/>
      <c r="BG163" s="499"/>
      <c r="BH163" s="499"/>
      <c r="BI163" s="499"/>
      <c r="BJ163" s="499"/>
      <c r="BK163" s="499"/>
      <c r="BL163" s="499"/>
      <c r="BM163" s="499"/>
      <c r="BN163" s="499"/>
      <c r="BO163" s="499"/>
      <c r="BP163" s="499"/>
      <c r="BQ163" s="499"/>
    </row>
    <row r="164" spans="1:132" ht="16" thickBot="1">
      <c r="A164" s="953" t="s">
        <v>426</v>
      </c>
      <c r="B164" s="954">
        <f>B21+B30+B38+B130</f>
        <v>91213.736679505906</v>
      </c>
      <c r="C164" s="954"/>
      <c r="D164" s="954"/>
      <c r="E164" s="954">
        <f>E21+E30+E38+E130</f>
        <v>91213.736679505906</v>
      </c>
      <c r="F164" s="954">
        <f>F21+F30+F38+F130</f>
        <v>5973.9535624676409</v>
      </c>
      <c r="G164" s="954"/>
      <c r="H164" s="954"/>
      <c r="I164" s="954">
        <f>I21+I30+I38+I130</f>
        <v>5985.3325216342464</v>
      </c>
      <c r="J164" s="955">
        <f>I164+E164</f>
        <v>97199.069201140155</v>
      </c>
      <c r="K164" s="499"/>
      <c r="L164" s="499"/>
      <c r="M164" s="499"/>
      <c r="N164" s="499"/>
      <c r="O164" s="499"/>
      <c r="P164" s="499"/>
      <c r="Q164" s="499"/>
      <c r="R164" s="499"/>
      <c r="S164" s="499"/>
      <c r="T164" s="499"/>
      <c r="U164" s="499"/>
      <c r="V164" s="499"/>
      <c r="W164" s="499"/>
      <c r="X164" s="499"/>
      <c r="Y164" s="499"/>
      <c r="Z164" s="499"/>
      <c r="AA164" s="499"/>
      <c r="AB164" s="499"/>
      <c r="AC164" s="499"/>
      <c r="AD164" s="499"/>
      <c r="AE164" s="499"/>
      <c r="AF164" s="499"/>
      <c r="AG164" s="499"/>
      <c r="AH164" s="499"/>
      <c r="AI164" s="499"/>
      <c r="AJ164" s="499"/>
      <c r="AK164" s="499"/>
      <c r="AL164" s="499"/>
      <c r="AM164" s="499"/>
      <c r="AN164" s="499"/>
      <c r="AO164" s="499"/>
      <c r="AP164" s="499"/>
      <c r="AQ164" s="499"/>
      <c r="AR164" s="499"/>
      <c r="AS164" s="499"/>
      <c r="AT164" s="499"/>
      <c r="AU164" s="499"/>
      <c r="AV164" s="499"/>
      <c r="AW164" s="499"/>
      <c r="AX164" s="499"/>
      <c r="AY164" s="499"/>
      <c r="AZ164" s="499"/>
      <c r="BA164" s="499"/>
      <c r="BB164" s="499"/>
      <c r="BC164" s="499"/>
      <c r="BD164" s="499"/>
      <c r="BE164" s="499"/>
      <c r="BF164" s="499"/>
      <c r="BG164" s="499"/>
      <c r="BH164" s="499"/>
      <c r="BI164" s="499"/>
      <c r="BJ164" s="499"/>
      <c r="BK164" s="499"/>
      <c r="BL164" s="499"/>
      <c r="BM164" s="499"/>
      <c r="BN164" s="499"/>
      <c r="BO164" s="499"/>
      <c r="BP164" s="499"/>
      <c r="BQ164" s="499"/>
    </row>
    <row r="165" spans="1:132" ht="16" thickBot="1">
      <c r="A165" s="929" t="s">
        <v>308</v>
      </c>
      <c r="B165" s="1184" t="s">
        <v>577</v>
      </c>
      <c r="C165" s="1185"/>
      <c r="D165" s="1185"/>
      <c r="E165" s="1185"/>
      <c r="F165" s="1185"/>
      <c r="G165" s="1185"/>
      <c r="H165" s="1185"/>
      <c r="I165" s="1185"/>
      <c r="J165" s="1185"/>
      <c r="K165" s="1185"/>
      <c r="L165" s="1185"/>
      <c r="M165" s="1185"/>
      <c r="N165" s="1185"/>
      <c r="O165" s="1185"/>
      <c r="P165" s="1185"/>
      <c r="Q165" s="1185"/>
      <c r="R165" s="1185"/>
      <c r="S165" s="1185"/>
      <c r="T165" s="1185"/>
      <c r="U165" s="1185"/>
      <c r="V165" s="1186"/>
      <c r="W165" s="499"/>
      <c r="X165" s="502"/>
      <c r="Y165" s="499"/>
      <c r="Z165" s="502"/>
      <c r="AA165" s="499"/>
      <c r="AB165" s="502"/>
      <c r="AC165" s="499"/>
      <c r="AD165" s="499"/>
      <c r="AE165" s="499"/>
      <c r="AF165" s="499"/>
      <c r="AG165" s="499"/>
      <c r="AH165" s="499"/>
      <c r="AI165" s="499"/>
      <c r="AJ165" s="499"/>
      <c r="AK165" s="499"/>
      <c r="AL165" s="499"/>
      <c r="AM165" s="499"/>
      <c r="AN165" s="499"/>
      <c r="AO165" s="499"/>
      <c r="AP165" s="499"/>
      <c r="AQ165" s="499"/>
      <c r="AR165" s="499"/>
      <c r="AS165" s="499"/>
      <c r="AT165" s="499"/>
      <c r="AU165" s="499"/>
      <c r="AV165" s="499"/>
      <c r="AW165" s="499"/>
      <c r="AX165" s="499"/>
      <c r="AY165" s="499"/>
      <c r="AZ165" s="499"/>
      <c r="BA165" s="499"/>
      <c r="BB165" s="499"/>
      <c r="BC165" s="499"/>
      <c r="BD165" s="499"/>
      <c r="BE165" s="499"/>
      <c r="BF165" s="499"/>
      <c r="BG165" s="499"/>
      <c r="BH165" s="499"/>
      <c r="BI165" s="499"/>
      <c r="BJ165" s="499"/>
      <c r="BK165" s="499"/>
      <c r="BL165" s="499"/>
      <c r="BM165" s="499"/>
      <c r="BN165" s="499"/>
      <c r="BO165" s="499"/>
      <c r="BP165" s="499"/>
      <c r="BQ165" s="499"/>
    </row>
    <row r="166" spans="1:132" ht="62">
      <c r="A166" s="448"/>
      <c r="B166" s="304" t="str">
        <f>CONCATENATE("Value of Property Stolen/ Damaged (VPS)"," ", "(",'Proposition Summary'!$B$76,")")</f>
        <v>Value of Property Stolen/ Damaged (VPS) (GBP (£))</v>
      </c>
      <c r="C166" s="461" t="s">
        <v>494</v>
      </c>
      <c r="D166" s="461" t="s">
        <v>296</v>
      </c>
      <c r="E166" s="421" t="str">
        <f>CONCATENATE("Corrected costs"," ", "(",'Proposition Summary'!$B$76,")")</f>
        <v>Corrected costs (GBP (£))</v>
      </c>
      <c r="F166" s="437" t="str">
        <f>CONCATENATE("Physical and Emotional Harm (PEH)"," ", "(",'Proposition Summary'!$B$76,")")</f>
        <v>Physical and Emotional Harm (PEH) (GBP (£))</v>
      </c>
      <c r="G166" s="461" t="s">
        <v>570</v>
      </c>
      <c r="H166" s="461" t="s">
        <v>296</v>
      </c>
      <c r="I166" s="421" t="str">
        <f>CONCATENATE("Corrected costs"," ", "(",'Proposition Summary'!$B$76,")")</f>
        <v>Corrected costs (GBP (£))</v>
      </c>
      <c r="J166" s="446" t="str">
        <f>CONCATENATE("Lost Output (LO)"," ", "(",'Proposition Summary'!$B$76,")")</f>
        <v>Lost Output (LO) (GBP (£))</v>
      </c>
      <c r="K166" s="461" t="s">
        <v>496</v>
      </c>
      <c r="L166" s="461" t="s">
        <v>296</v>
      </c>
      <c r="M166" s="421" t="str">
        <f>CONCATENATE("Corrected costs"," ", "(",'Proposition Summary'!$B$76,")")</f>
        <v>Corrected costs (GBP (£))</v>
      </c>
      <c r="N166" s="446" t="str">
        <f>CONCATENATE("Health Services (HS)"," ", "(",'Proposition Summary'!$B$76,")")</f>
        <v>Health Services (HS) (GBP (£))</v>
      </c>
      <c r="O166" s="461" t="s">
        <v>497</v>
      </c>
      <c r="P166" s="461" t="s">
        <v>296</v>
      </c>
      <c r="Q166" s="421" t="str">
        <f>CONCATENATE("Corrected costs"," ", "(",'Proposition Summary'!$B$76,")")</f>
        <v>Corrected costs (GBP (£))</v>
      </c>
      <c r="R166" s="446" t="str">
        <f>CONCATENATE("Victim Services (VS)"," ", "(",'Proposition Summary'!$B$76,")")</f>
        <v>Victim Services (VS) (GBP (£))</v>
      </c>
      <c r="S166" s="461" t="s">
        <v>495</v>
      </c>
      <c r="T166" s="461" t="s">
        <v>296</v>
      </c>
      <c r="U166" s="421" t="str">
        <f>CONCATENATE("Corrected costs"," ", "(",'Proposition Summary'!$B$76,")")</f>
        <v>Corrected costs (GBP (£))</v>
      </c>
      <c r="V166" s="899" t="str">
        <f>CONCATENATE("Total cost as a consequence of crime"," ", "(",'Proposition Summary'!$B$76,")")</f>
        <v>Total cost as a consequence of crime (GBP (£))</v>
      </c>
      <c r="W166" s="499"/>
      <c r="X166" s="502"/>
      <c r="Y166" s="499"/>
      <c r="Z166" s="502"/>
      <c r="AA166" s="499"/>
      <c r="AB166" s="502"/>
      <c r="AC166" s="499"/>
      <c r="AD166" s="499"/>
      <c r="AE166" s="499"/>
      <c r="AF166" s="499"/>
      <c r="AG166" s="499"/>
      <c r="AH166" s="499"/>
      <c r="AI166" s="499"/>
      <c r="AJ166" s="499"/>
      <c r="AK166" s="499"/>
      <c r="AL166" s="499"/>
      <c r="AM166" s="499"/>
      <c r="AN166" s="499"/>
      <c r="AO166" s="499"/>
      <c r="AP166" s="499"/>
      <c r="AQ166" s="499"/>
      <c r="AR166" s="499"/>
      <c r="AS166" s="499"/>
      <c r="AT166" s="499"/>
      <c r="AU166" s="499"/>
      <c r="AV166" s="499"/>
      <c r="AW166" s="499"/>
      <c r="AX166" s="499"/>
      <c r="AY166" s="499"/>
      <c r="AZ166" s="499"/>
      <c r="BA166" s="499"/>
      <c r="BB166" s="499"/>
      <c r="BC166" s="499"/>
      <c r="BD166" s="499"/>
      <c r="BE166" s="499"/>
      <c r="BF166" s="499"/>
      <c r="BG166" s="499"/>
      <c r="BH166" s="499"/>
      <c r="BI166" s="499"/>
      <c r="BJ166" s="499"/>
      <c r="BK166" s="499"/>
      <c r="BL166" s="499"/>
      <c r="BM166" s="499"/>
      <c r="BN166" s="499"/>
      <c r="BO166" s="499"/>
      <c r="BP166" s="499"/>
      <c r="BQ166" s="499"/>
    </row>
    <row r="167" spans="1:132" ht="16" thickBot="1">
      <c r="A167" s="953" t="s">
        <v>426</v>
      </c>
      <c r="B167" s="954">
        <f>B59+B68+B76+B144</f>
        <v>49384.682783065837</v>
      </c>
      <c r="C167" s="954"/>
      <c r="D167" s="954"/>
      <c r="E167" s="954">
        <f>E59+E68+E76+E144</f>
        <v>49384.682783065837</v>
      </c>
      <c r="F167" s="954">
        <f>F59+F68+F76+F144</f>
        <v>2429385.0241518407</v>
      </c>
      <c r="G167" s="954"/>
      <c r="H167" s="954"/>
      <c r="I167" s="954">
        <f>I59+I68+I76+I144</f>
        <v>2429385.0241518407</v>
      </c>
      <c r="J167" s="954">
        <f>J59+J68+J76+J144</f>
        <v>307368.44500833499</v>
      </c>
      <c r="K167" s="954"/>
      <c r="L167" s="954"/>
      <c r="M167" s="954">
        <f>M59+M68+M76+M144</f>
        <v>307368.44500833499</v>
      </c>
      <c r="N167" s="954">
        <f>N59+N68+N76+N144</f>
        <v>7771.8291107912364</v>
      </c>
      <c r="O167" s="954"/>
      <c r="P167" s="954"/>
      <c r="Q167" s="954">
        <f>Q59+Q68+Q76+Q144</f>
        <v>7771.8291107912364</v>
      </c>
      <c r="R167" s="954">
        <f>R144+R76+R68+R59</f>
        <v>6361.4855129504349</v>
      </c>
      <c r="S167" s="954"/>
      <c r="T167" s="954"/>
      <c r="U167" s="954">
        <f>U144+U76+U68+U59</f>
        <v>6361.4855129504349</v>
      </c>
      <c r="V167" s="1056">
        <f>U167+Q167+M167+I167+E167</f>
        <v>2800271.4665669831</v>
      </c>
      <c r="W167" s="499"/>
      <c r="X167" s="502"/>
      <c r="Y167" s="499"/>
      <c r="Z167" s="502"/>
      <c r="AA167" s="499"/>
      <c r="AB167" s="502"/>
      <c r="AC167" s="499"/>
      <c r="AD167" s="499"/>
      <c r="AE167" s="499"/>
      <c r="AF167" s="499"/>
      <c r="AG167" s="499"/>
      <c r="AH167" s="499"/>
      <c r="AI167" s="499"/>
      <c r="AJ167" s="499"/>
      <c r="AK167" s="499"/>
      <c r="AL167" s="499"/>
      <c r="AM167" s="499"/>
      <c r="AN167" s="499"/>
      <c r="AO167" s="499"/>
      <c r="AP167" s="499"/>
      <c r="AQ167" s="499"/>
      <c r="AR167" s="499"/>
      <c r="AS167" s="499"/>
      <c r="AT167" s="499"/>
      <c r="AU167" s="499"/>
      <c r="AV167" s="499"/>
      <c r="AW167" s="499"/>
      <c r="AX167" s="499"/>
      <c r="AY167" s="499"/>
      <c r="AZ167" s="499"/>
      <c r="BA167" s="499"/>
      <c r="BB167" s="499"/>
      <c r="BC167" s="499"/>
      <c r="BD167" s="499"/>
      <c r="BE167" s="499"/>
      <c r="BF167" s="499"/>
      <c r="BG167" s="499"/>
      <c r="BH167" s="499"/>
      <c r="BI167" s="499"/>
      <c r="BJ167" s="499"/>
      <c r="BK167" s="499"/>
      <c r="BL167" s="499"/>
      <c r="BM167" s="499"/>
      <c r="BN167" s="499"/>
      <c r="BO167" s="499"/>
      <c r="BP167" s="499"/>
      <c r="BQ167" s="499"/>
    </row>
    <row r="168" spans="1:132" ht="20.75" customHeight="1" thickBot="1">
      <c r="A168" s="929" t="s">
        <v>308</v>
      </c>
      <c r="B168" s="1185" t="s">
        <v>579</v>
      </c>
      <c r="C168" s="1185"/>
      <c r="D168" s="1185"/>
      <c r="E168" s="1185"/>
      <c r="F168" s="1185"/>
      <c r="G168" s="1185"/>
      <c r="H168" s="1185"/>
      <c r="I168" s="1186"/>
      <c r="J168" s="956"/>
      <c r="K168" s="499"/>
      <c r="L168" s="499"/>
      <c r="M168" s="499"/>
      <c r="N168" s="499"/>
      <c r="O168" s="499"/>
      <c r="P168" s="499"/>
      <c r="Q168" s="499"/>
      <c r="R168" s="499"/>
      <c r="S168" s="499"/>
      <c r="T168" s="499"/>
      <c r="U168" s="499"/>
      <c r="V168" s="499"/>
      <c r="W168" s="499"/>
      <c r="X168" s="499"/>
      <c r="Y168" s="499"/>
      <c r="Z168" s="499"/>
      <c r="AA168" s="499"/>
      <c r="AB168" s="499"/>
      <c r="AC168" s="499"/>
      <c r="AD168" s="499"/>
      <c r="AE168" s="499"/>
      <c r="AF168" s="499"/>
      <c r="AG168" s="499"/>
      <c r="AH168" s="499"/>
      <c r="AI168" s="499"/>
      <c r="AJ168" s="499"/>
      <c r="AK168" s="499"/>
      <c r="AL168" s="499"/>
      <c r="AM168" s="499"/>
      <c r="AN168" s="499"/>
      <c r="AO168" s="499"/>
      <c r="AP168" s="499"/>
      <c r="AQ168" s="499"/>
      <c r="AR168" s="499"/>
      <c r="AS168" s="499"/>
      <c r="AT168" s="499"/>
      <c r="AU168" s="499"/>
      <c r="AV168" s="499"/>
      <c r="AW168" s="499"/>
      <c r="AX168" s="499"/>
      <c r="AY168" s="499"/>
      <c r="AZ168" s="499"/>
      <c r="BA168" s="499"/>
      <c r="BB168" s="499"/>
      <c r="BC168" s="499"/>
      <c r="BD168" s="499"/>
      <c r="BE168" s="499"/>
      <c r="BF168" s="499"/>
      <c r="BG168" s="499"/>
      <c r="BH168" s="499"/>
      <c r="BI168" s="499"/>
      <c r="BJ168" s="499"/>
      <c r="BK168" s="499"/>
      <c r="BL168" s="499"/>
      <c r="BM168" s="499"/>
      <c r="BN168" s="499"/>
      <c r="BO168" s="499"/>
      <c r="BP168" s="499"/>
      <c r="BQ168" s="499"/>
    </row>
    <row r="169" spans="1:132" ht="47" thickBot="1">
      <c r="A169" s="479"/>
      <c r="B169" s="418" t="str">
        <f>CONCATENATE("Police costs (PC)"," ", "(",'Proposition Summary'!$B$76,")")</f>
        <v>Police costs (PC) (GBP (£))</v>
      </c>
      <c r="C169" s="419" t="s">
        <v>571</v>
      </c>
      <c r="D169" s="461" t="s">
        <v>296</v>
      </c>
      <c r="E169" s="421" t="str">
        <f>CONCATENATE("Corrected costs"," ", "(",'Proposition Summary'!$B$76,")")</f>
        <v>Corrected costs (GBP (£))</v>
      </c>
      <c r="F169" s="437" t="str">
        <f>CONCATENATE("Other CJS costs (OCJ)"," ", "(",'Proposition Summary'!$B$76,")")</f>
        <v>Other CJS costs (OCJ) (GBP (£))</v>
      </c>
      <c r="G169" s="461" t="s">
        <v>572</v>
      </c>
      <c r="H169" s="461" t="s">
        <v>296</v>
      </c>
      <c r="I169" s="421" t="str">
        <f>CONCATENATE("Corrected costs"," ", "(",'Proposition Summary'!$B$76,")")</f>
        <v>Corrected costs (GBP (£))</v>
      </c>
      <c r="J169" s="934" t="str">
        <f>CONCATENATE("Total CJS cost"," ", "(",'Proposition Summary'!$B$76,")")</f>
        <v>Total CJS cost (GBP (£))</v>
      </c>
      <c r="K169" s="499"/>
      <c r="L169" s="499"/>
      <c r="M169" s="499"/>
      <c r="N169" s="499"/>
      <c r="O169" s="499"/>
      <c r="P169" s="499"/>
      <c r="Q169" s="499"/>
      <c r="R169" s="499"/>
      <c r="S169" s="499"/>
      <c r="T169" s="499"/>
      <c r="U169" s="499"/>
      <c r="V169" s="499"/>
      <c r="W169" s="499"/>
      <c r="X169" s="499"/>
      <c r="Y169" s="499"/>
      <c r="Z169" s="499"/>
      <c r="AA169" s="499"/>
      <c r="AB169" s="499"/>
      <c r="AC169" s="499"/>
      <c r="AD169" s="499"/>
      <c r="AE169" s="499"/>
      <c r="AF169" s="499"/>
      <c r="AG169" s="499"/>
      <c r="AH169" s="499"/>
      <c r="AI169" s="499"/>
      <c r="AJ169" s="499"/>
      <c r="AK169" s="499"/>
      <c r="AL169" s="499"/>
      <c r="AM169" s="499"/>
      <c r="AN169" s="499"/>
      <c r="AO169" s="499"/>
      <c r="AP169" s="499"/>
      <c r="AQ169" s="499"/>
      <c r="AR169" s="499"/>
      <c r="AS169" s="499"/>
      <c r="AT169" s="499"/>
      <c r="AU169" s="499"/>
      <c r="AV169" s="499"/>
      <c r="AW169" s="499"/>
      <c r="AX169" s="499"/>
      <c r="AY169" s="499"/>
      <c r="AZ169" s="499"/>
      <c r="BA169" s="499"/>
      <c r="BB169" s="499"/>
      <c r="BC169" s="499"/>
      <c r="BD169" s="499"/>
      <c r="BE169" s="499"/>
      <c r="BF169" s="499"/>
      <c r="BG169" s="499"/>
      <c r="BH169" s="499"/>
      <c r="BI169" s="499"/>
      <c r="BJ169" s="499"/>
      <c r="BK169" s="499"/>
      <c r="BL169" s="499"/>
      <c r="BM169" s="499"/>
      <c r="BN169" s="499"/>
      <c r="BO169" s="499"/>
      <c r="BP169" s="499"/>
      <c r="BQ169" s="499"/>
    </row>
    <row r="170" spans="1:132" ht="16" thickBot="1">
      <c r="A170" s="939" t="s">
        <v>426</v>
      </c>
      <c r="B170" s="914">
        <f>B98+B107+B115+B158</f>
        <v>34967.541518977261</v>
      </c>
      <c r="C170" s="914"/>
      <c r="D170" s="914"/>
      <c r="E170" s="914">
        <f>E98+E107+E115+E158</f>
        <v>34967.541518977261</v>
      </c>
      <c r="F170" s="914">
        <f>F98+F107+F115+F158</f>
        <v>943099.51468739146</v>
      </c>
      <c r="G170" s="914"/>
      <c r="H170" s="914"/>
      <c r="I170" s="914">
        <f>I98+I107+I115+I158</f>
        <v>943099.51468739146</v>
      </c>
      <c r="J170" s="1056">
        <f>I170+E170</f>
        <v>978067.05620636872</v>
      </c>
      <c r="K170" s="499"/>
      <c r="L170" s="499"/>
      <c r="M170" s="499"/>
      <c r="N170" s="499"/>
      <c r="O170" s="499"/>
      <c r="P170" s="499"/>
      <c r="Q170" s="499"/>
      <c r="R170" s="499"/>
      <c r="S170" s="499"/>
      <c r="T170" s="499"/>
      <c r="U170" s="499"/>
      <c r="V170" s="499"/>
      <c r="W170" s="499"/>
      <c r="X170" s="499"/>
      <c r="Y170" s="499"/>
      <c r="Z170" s="499"/>
      <c r="AA170" s="499"/>
      <c r="AB170" s="499"/>
      <c r="AC170" s="499"/>
      <c r="AD170" s="499"/>
      <c r="AE170" s="499"/>
      <c r="AF170" s="499"/>
      <c r="AG170" s="499"/>
      <c r="AH170" s="499"/>
      <c r="AI170" s="499"/>
      <c r="AJ170" s="499"/>
      <c r="AK170" s="499"/>
      <c r="AL170" s="499"/>
      <c r="AM170" s="499"/>
      <c r="AN170" s="499"/>
      <c r="AO170" s="499"/>
      <c r="AP170" s="499"/>
      <c r="AQ170" s="499"/>
      <c r="AR170" s="499"/>
      <c r="AS170" s="499"/>
      <c r="AT170" s="499"/>
      <c r="AU170" s="499"/>
      <c r="AV170" s="499"/>
      <c r="AW170" s="499"/>
      <c r="AX170" s="499"/>
      <c r="AY170" s="499"/>
      <c r="AZ170" s="499"/>
      <c r="BA170" s="499"/>
      <c r="BB170" s="499"/>
      <c r="BC170" s="499"/>
      <c r="BD170" s="499"/>
      <c r="BE170" s="499"/>
      <c r="BF170" s="499"/>
      <c r="BG170" s="499"/>
      <c r="BH170" s="499"/>
      <c r="BI170" s="499"/>
      <c r="BJ170" s="499"/>
      <c r="BK170" s="499"/>
      <c r="BL170" s="499"/>
      <c r="BM170" s="499"/>
      <c r="BN170" s="499"/>
      <c r="BO170" s="499"/>
      <c r="BP170" s="499"/>
      <c r="BQ170" s="499"/>
    </row>
    <row r="171" spans="1:132" ht="16" thickBot="1">
      <c r="A171" s="499"/>
      <c r="B171" s="499"/>
      <c r="C171" s="499"/>
      <c r="D171" s="499"/>
      <c r="E171" s="499"/>
      <c r="F171" s="499"/>
      <c r="G171" s="499"/>
      <c r="H171" s="499"/>
      <c r="I171" s="499"/>
      <c r="J171" s="499"/>
      <c r="K171" s="499"/>
      <c r="L171" s="499"/>
      <c r="M171" s="499"/>
      <c r="N171" s="499"/>
      <c r="O171" s="499"/>
      <c r="P171" s="499"/>
      <c r="Q171" s="499"/>
      <c r="R171" s="499"/>
      <c r="S171" s="499"/>
      <c r="T171" s="499"/>
      <c r="U171" s="499"/>
      <c r="V171" s="499"/>
      <c r="W171" s="499"/>
      <c r="X171" s="499"/>
      <c r="Y171" s="499"/>
      <c r="Z171" s="499"/>
      <c r="AA171" s="499"/>
      <c r="AB171" s="499"/>
      <c r="AC171" s="499"/>
      <c r="AD171" s="499"/>
      <c r="AE171" s="499"/>
      <c r="AF171" s="499"/>
      <c r="AG171" s="499"/>
      <c r="AH171" s="499"/>
      <c r="AI171" s="499"/>
      <c r="AJ171" s="499"/>
      <c r="AK171" s="499"/>
      <c r="AL171" s="499"/>
      <c r="AM171" s="499"/>
      <c r="AN171" s="499"/>
      <c r="AO171" s="499"/>
      <c r="AP171" s="499"/>
      <c r="AQ171" s="499"/>
      <c r="AR171" s="499"/>
      <c r="AS171" s="499"/>
      <c r="AT171" s="499"/>
      <c r="AU171" s="499"/>
      <c r="AV171" s="499"/>
      <c r="AW171" s="499"/>
      <c r="AX171" s="499"/>
      <c r="AY171" s="499"/>
      <c r="AZ171" s="499"/>
      <c r="BA171" s="499"/>
      <c r="BB171" s="499"/>
      <c r="BC171" s="499"/>
      <c r="BD171" s="499"/>
      <c r="BE171" s="499"/>
      <c r="BF171" s="499"/>
      <c r="BG171" s="499"/>
      <c r="BH171" s="499"/>
      <c r="BI171" s="499"/>
      <c r="BJ171" s="499"/>
      <c r="BK171" s="499"/>
      <c r="BL171" s="499"/>
      <c r="BM171" s="499"/>
      <c r="BN171" s="499"/>
      <c r="BO171" s="499"/>
      <c r="BP171" s="499"/>
      <c r="BQ171" s="499"/>
    </row>
    <row r="172" spans="1:132" ht="60" customHeight="1">
      <c r="A172" s="957"/>
      <c r="B172" s="958"/>
      <c r="C172" s="958"/>
      <c r="D172" s="959"/>
      <c r="E172" s="1164" t="str">
        <f>CONCATENATE("Total Cost for each crime type (costs per offence)"," ", "(",'Proposition Summary'!$B$76,")")</f>
        <v>Total Cost for each crime type (costs per offence) (GBP (£))</v>
      </c>
      <c r="F172" s="1165"/>
      <c r="G172" s="499"/>
      <c r="H172" s="499"/>
      <c r="I172" s="499"/>
      <c r="J172" s="499"/>
      <c r="K172" s="499"/>
      <c r="L172" s="499"/>
      <c r="M172" s="499"/>
      <c r="N172" s="499"/>
      <c r="O172" s="499"/>
      <c r="P172" s="499"/>
      <c r="Q172" s="499"/>
      <c r="R172" s="499"/>
      <c r="S172" s="499"/>
      <c r="T172" s="499"/>
      <c r="U172" s="499"/>
      <c r="V172" s="499"/>
      <c r="W172" s="499"/>
      <c r="X172" s="499"/>
      <c r="Y172" s="499"/>
      <c r="Z172" s="499"/>
      <c r="AA172" s="499"/>
      <c r="AB172" s="499"/>
      <c r="AC172" s="499"/>
      <c r="AD172" s="499"/>
      <c r="AE172" s="499"/>
      <c r="AF172" s="499"/>
      <c r="AG172" s="499"/>
      <c r="AH172" s="499"/>
      <c r="AI172" s="499"/>
      <c r="AJ172" s="499"/>
      <c r="AK172" s="499"/>
      <c r="AL172" s="499"/>
      <c r="AM172" s="499"/>
      <c r="AN172" s="499"/>
      <c r="AO172" s="499"/>
      <c r="AP172" s="499"/>
      <c r="AQ172" s="499"/>
      <c r="AR172" s="499"/>
      <c r="AS172" s="499"/>
      <c r="AT172" s="499"/>
      <c r="AU172" s="499"/>
      <c r="AV172" s="499"/>
      <c r="AW172" s="499"/>
      <c r="AX172" s="499"/>
      <c r="AY172" s="499"/>
      <c r="AZ172" s="499"/>
      <c r="BA172" s="499"/>
      <c r="BB172" s="499"/>
      <c r="BC172" s="499"/>
      <c r="BD172" s="499"/>
      <c r="BE172" s="499"/>
      <c r="BF172" s="499"/>
      <c r="BG172" s="499"/>
      <c r="BH172" s="499"/>
      <c r="BI172" s="499"/>
      <c r="BJ172" s="499"/>
      <c r="BK172" s="499"/>
      <c r="BL172" s="499"/>
      <c r="BM172" s="499"/>
      <c r="BN172" s="499"/>
      <c r="BO172" s="499"/>
      <c r="BP172" s="499"/>
      <c r="BQ172" s="499"/>
      <c r="BR172" s="499"/>
      <c r="BS172" s="499"/>
      <c r="BT172" s="499"/>
      <c r="BU172" s="499"/>
      <c r="BV172" s="499"/>
      <c r="BW172" s="499"/>
      <c r="BX172" s="499"/>
      <c r="BY172" s="499"/>
      <c r="BZ172" s="499"/>
      <c r="CA172" s="499"/>
      <c r="CB172" s="499"/>
      <c r="CC172" s="499"/>
      <c r="CD172" s="499"/>
      <c r="CE172" s="499"/>
      <c r="CF172" s="499"/>
      <c r="CG172" s="499"/>
      <c r="CH172" s="499"/>
      <c r="CI172" s="499"/>
      <c r="CJ172" s="499"/>
      <c r="CK172" s="499"/>
      <c r="CL172" s="499"/>
      <c r="CM172" s="499"/>
      <c r="CN172" s="499"/>
      <c r="CO172" s="499"/>
      <c r="CP172" s="499"/>
      <c r="CQ172" s="499"/>
      <c r="CR172" s="499"/>
      <c r="CS172" s="499"/>
      <c r="CT172" s="499"/>
      <c r="CU172" s="499"/>
      <c r="CV172" s="499"/>
      <c r="CW172" s="499"/>
      <c r="CX172" s="499"/>
      <c r="CY172" s="499"/>
      <c r="CZ172" s="499"/>
      <c r="DA172" s="499"/>
      <c r="DB172" s="499"/>
      <c r="DC172" s="499"/>
      <c r="DD172" s="499"/>
      <c r="DE172" s="499"/>
      <c r="DF172" s="499"/>
      <c r="DG172" s="499"/>
      <c r="DH172" s="499"/>
      <c r="DI172" s="499"/>
      <c r="DJ172" s="499"/>
      <c r="DK172" s="499"/>
      <c r="DL172" s="499"/>
      <c r="DM172" s="499"/>
      <c r="DN172" s="499"/>
      <c r="DO172" s="499"/>
      <c r="DP172" s="499"/>
      <c r="DQ172" s="499"/>
      <c r="DR172" s="499"/>
      <c r="DS172" s="499"/>
      <c r="DT172" s="499"/>
      <c r="DU172" s="499"/>
      <c r="DV172" s="499"/>
      <c r="DW172" s="499"/>
      <c r="DX172" s="499"/>
      <c r="DY172" s="499"/>
      <c r="DZ172" s="499"/>
      <c r="EA172" s="499"/>
      <c r="EB172" s="499"/>
    </row>
    <row r="173" spans="1:132" ht="77.5">
      <c r="A173" s="505" t="s">
        <v>287</v>
      </c>
      <c r="B173" s="495" t="str">
        <f>CONCATENATE("Costs in anticipation of crime"," ", "(",'Proposition Summary'!$B$76,")")</f>
        <v>Costs in anticipation of crime (GBP (£))</v>
      </c>
      <c r="C173" s="495" t="str">
        <f>CONCATENATE("Costs as a consequence of crime"," ", "(",'Proposition Summary'!$B$76,")")</f>
        <v>Costs as a consequence of crime (GBP (£))</v>
      </c>
      <c r="D173" s="494" t="str">
        <f>CONCATENATE("Costs in response to crime"," ", "(",'Proposition Summary'!$B$76,")")</f>
        <v>Costs in response to crime (GBP (£))</v>
      </c>
      <c r="E173" s="960" t="s">
        <v>580</v>
      </c>
      <c r="F173" s="945" t="s">
        <v>581</v>
      </c>
      <c r="G173" s="499"/>
      <c r="H173" s="499"/>
      <c r="I173" s="499"/>
      <c r="J173" s="499"/>
      <c r="K173" s="499"/>
      <c r="L173" s="499"/>
      <c r="M173" s="499"/>
      <c r="N173" s="499"/>
      <c r="O173" s="499"/>
      <c r="P173" s="499"/>
      <c r="Q173" s="499"/>
      <c r="R173" s="499"/>
      <c r="S173" s="499"/>
      <c r="T173" s="499"/>
      <c r="U173" s="499"/>
      <c r="V173" s="499"/>
      <c r="W173" s="499"/>
      <c r="X173" s="499"/>
      <c r="Y173" s="499"/>
      <c r="Z173" s="499"/>
      <c r="AA173" s="499"/>
      <c r="AB173" s="499"/>
      <c r="AC173" s="499"/>
      <c r="AD173" s="499"/>
      <c r="AE173" s="499"/>
      <c r="AF173" s="499"/>
      <c r="AG173" s="499"/>
      <c r="AH173" s="499"/>
      <c r="AI173" s="499"/>
      <c r="AJ173" s="499"/>
      <c r="AK173" s="499"/>
      <c r="AL173" s="499"/>
      <c r="AM173" s="499"/>
      <c r="AN173" s="499"/>
      <c r="AO173" s="499"/>
      <c r="AP173" s="499"/>
      <c r="AQ173" s="499"/>
      <c r="AR173" s="499"/>
      <c r="AS173" s="499"/>
      <c r="AT173" s="499"/>
      <c r="AU173" s="499"/>
      <c r="AV173" s="499"/>
      <c r="AW173" s="499"/>
      <c r="AX173" s="499"/>
      <c r="AY173" s="499"/>
      <c r="AZ173" s="499"/>
      <c r="BA173" s="499"/>
      <c r="BB173" s="499"/>
      <c r="BC173" s="499"/>
      <c r="BD173" s="499"/>
      <c r="BE173" s="499"/>
      <c r="BF173" s="499"/>
      <c r="BG173" s="499"/>
      <c r="BH173" s="499"/>
      <c r="BI173" s="499"/>
      <c r="BJ173" s="499"/>
      <c r="BK173" s="499"/>
      <c r="BL173" s="499"/>
      <c r="BM173" s="499"/>
      <c r="BN173" s="499"/>
      <c r="BO173" s="499"/>
      <c r="BP173" s="499"/>
      <c r="BQ173" s="499"/>
      <c r="BR173" s="499"/>
      <c r="BS173" s="499"/>
      <c r="BT173" s="499"/>
      <c r="BU173" s="499"/>
      <c r="BV173" s="499"/>
      <c r="BW173" s="499"/>
      <c r="BX173" s="499"/>
      <c r="BY173" s="499"/>
      <c r="BZ173" s="499"/>
      <c r="CA173" s="499"/>
      <c r="CB173" s="499"/>
      <c r="CC173" s="499"/>
      <c r="CD173" s="499"/>
      <c r="CE173" s="499"/>
      <c r="CF173" s="499"/>
      <c r="CG173" s="499"/>
      <c r="CH173" s="499"/>
      <c r="CI173" s="499"/>
      <c r="CJ173" s="499"/>
      <c r="CK173" s="499"/>
      <c r="CL173" s="499"/>
      <c r="CM173" s="499"/>
      <c r="CN173" s="499"/>
      <c r="CO173" s="499"/>
      <c r="CP173" s="499"/>
      <c r="CQ173" s="499"/>
      <c r="CR173" s="499"/>
      <c r="CS173" s="499"/>
      <c r="CT173" s="499"/>
      <c r="CU173" s="499"/>
      <c r="CV173" s="499"/>
      <c r="CW173" s="499"/>
      <c r="CX173" s="499"/>
      <c r="CY173" s="499"/>
      <c r="CZ173" s="499"/>
      <c r="DA173" s="499"/>
      <c r="DB173" s="499"/>
      <c r="DC173" s="499"/>
      <c r="DD173" s="499"/>
      <c r="DE173" s="499"/>
      <c r="DF173" s="499"/>
      <c r="DG173" s="499"/>
      <c r="DH173" s="499"/>
      <c r="DI173" s="499"/>
      <c r="DJ173" s="499"/>
      <c r="DK173" s="499"/>
      <c r="DL173" s="499"/>
      <c r="DM173" s="499"/>
      <c r="DN173" s="499"/>
      <c r="DO173" s="499"/>
      <c r="DP173" s="499"/>
      <c r="DQ173" s="499"/>
      <c r="DR173" s="499"/>
      <c r="DS173" s="499"/>
      <c r="DT173" s="499"/>
      <c r="DU173" s="499"/>
      <c r="DV173" s="499"/>
      <c r="DW173" s="499"/>
      <c r="DX173" s="499"/>
      <c r="DY173" s="499"/>
      <c r="DZ173" s="499"/>
      <c r="EA173" s="499"/>
      <c r="EB173" s="499"/>
    </row>
    <row r="174" spans="1:132" hidden="1">
      <c r="A174" s="506"/>
      <c r="B174" s="507"/>
      <c r="C174" s="494"/>
      <c r="D174" s="494"/>
      <c r="E174" s="960"/>
      <c r="F174" s="945"/>
      <c r="G174" s="499"/>
      <c r="H174" s="499"/>
      <c r="I174" s="499"/>
      <c r="J174" s="499"/>
      <c r="K174" s="499"/>
      <c r="L174" s="499"/>
      <c r="M174" s="499"/>
      <c r="N174" s="499"/>
      <c r="O174" s="499"/>
      <c r="P174" s="499"/>
      <c r="Q174" s="499"/>
      <c r="R174" s="499"/>
      <c r="S174" s="499"/>
      <c r="T174" s="499"/>
      <c r="U174" s="499"/>
      <c r="V174" s="499"/>
      <c r="W174" s="499"/>
      <c r="X174" s="499"/>
      <c r="Y174" s="499"/>
      <c r="Z174" s="499"/>
      <c r="AA174" s="499"/>
      <c r="AB174" s="499"/>
      <c r="AC174" s="499"/>
      <c r="AD174" s="499"/>
      <c r="AE174" s="499"/>
      <c r="AF174" s="499"/>
      <c r="AG174" s="499"/>
      <c r="AH174" s="499"/>
      <c r="AI174" s="499"/>
      <c r="AJ174" s="499"/>
      <c r="AK174" s="499"/>
      <c r="AL174" s="499"/>
      <c r="AM174" s="499"/>
      <c r="AN174" s="499"/>
      <c r="AO174" s="499"/>
      <c r="AP174" s="499"/>
      <c r="AQ174" s="499"/>
      <c r="AR174" s="499"/>
      <c r="AS174" s="499"/>
      <c r="AT174" s="499"/>
      <c r="AU174" s="499"/>
      <c r="AV174" s="499"/>
      <c r="AW174" s="499"/>
      <c r="AX174" s="499"/>
      <c r="AY174" s="499"/>
      <c r="AZ174" s="499"/>
      <c r="BA174" s="499"/>
      <c r="BB174" s="499"/>
      <c r="BC174" s="499"/>
      <c r="BD174" s="499"/>
      <c r="BE174" s="499"/>
      <c r="BF174" s="499"/>
      <c r="BG174" s="499"/>
      <c r="BH174" s="499"/>
      <c r="BI174" s="499"/>
      <c r="BJ174" s="499"/>
      <c r="BK174" s="499"/>
      <c r="BL174" s="499"/>
      <c r="BM174" s="499"/>
      <c r="BN174" s="499"/>
      <c r="BO174" s="499"/>
      <c r="BP174" s="499"/>
      <c r="BQ174" s="499"/>
      <c r="BR174" s="499"/>
      <c r="BS174" s="499"/>
      <c r="BT174" s="499"/>
      <c r="BU174" s="499"/>
      <c r="BV174" s="499"/>
      <c r="BW174" s="499"/>
      <c r="BX174" s="499"/>
      <c r="BY174" s="499"/>
      <c r="BZ174" s="499"/>
      <c r="CA174" s="499"/>
      <c r="CB174" s="499"/>
      <c r="CC174" s="499"/>
      <c r="CD174" s="499"/>
      <c r="CE174" s="499"/>
      <c r="CF174" s="499"/>
      <c r="CG174" s="499"/>
      <c r="CH174" s="499"/>
      <c r="CI174" s="499"/>
      <c r="CJ174" s="499"/>
      <c r="CK174" s="499"/>
      <c r="CL174" s="499"/>
      <c r="CM174" s="499"/>
      <c r="CN174" s="499"/>
      <c r="CO174" s="499"/>
      <c r="CP174" s="499"/>
      <c r="CQ174" s="499"/>
      <c r="CR174" s="499"/>
      <c r="CS174" s="499"/>
      <c r="CT174" s="499"/>
      <c r="CU174" s="499"/>
      <c r="CV174" s="499"/>
      <c r="CW174" s="499"/>
      <c r="CX174" s="499"/>
      <c r="CY174" s="499"/>
      <c r="CZ174" s="499"/>
      <c r="DA174" s="499"/>
      <c r="DB174" s="499"/>
      <c r="DC174" s="499"/>
      <c r="DD174" s="499"/>
      <c r="DE174" s="499"/>
      <c r="DF174" s="499"/>
      <c r="DG174" s="499"/>
      <c r="DH174" s="499"/>
      <c r="DI174" s="499"/>
      <c r="DJ174" s="499"/>
      <c r="DK174" s="499"/>
      <c r="DL174" s="499"/>
      <c r="DM174" s="499"/>
      <c r="DN174" s="499"/>
      <c r="DO174" s="499"/>
      <c r="DP174" s="499"/>
      <c r="DQ174" s="499"/>
      <c r="DR174" s="499"/>
      <c r="DS174" s="499"/>
      <c r="DT174" s="499"/>
      <c r="DU174" s="499"/>
      <c r="DV174" s="499"/>
      <c r="DW174" s="499"/>
      <c r="DX174" s="499"/>
      <c r="DY174" s="499"/>
      <c r="DZ174" s="499"/>
      <c r="EA174" s="499"/>
      <c r="EB174" s="499"/>
    </row>
    <row r="175" spans="1:132" ht="31">
      <c r="A175" s="508" t="s">
        <v>561</v>
      </c>
      <c r="B175" s="484"/>
      <c r="C175" s="484"/>
      <c r="D175" s="484"/>
      <c r="E175" s="961"/>
      <c r="F175" s="962"/>
      <c r="G175" s="499"/>
      <c r="H175" s="499"/>
      <c r="I175" s="499"/>
      <c r="J175" s="499"/>
      <c r="K175" s="499"/>
      <c r="L175" s="499"/>
      <c r="M175" s="499"/>
      <c r="N175" s="499"/>
      <c r="O175" s="499"/>
      <c r="P175" s="499"/>
      <c r="Q175" s="499"/>
      <c r="R175" s="499"/>
      <c r="S175" s="499"/>
      <c r="T175" s="499"/>
      <c r="U175" s="499"/>
      <c r="V175" s="499"/>
      <c r="W175" s="499"/>
      <c r="X175" s="499"/>
      <c r="Y175" s="499"/>
      <c r="Z175" s="499"/>
      <c r="AA175" s="499"/>
      <c r="AB175" s="499"/>
      <c r="AC175" s="499"/>
      <c r="AD175" s="499"/>
      <c r="AE175" s="499"/>
      <c r="AF175" s="499"/>
      <c r="AG175" s="499"/>
      <c r="AH175" s="499"/>
      <c r="AI175" s="499"/>
      <c r="AJ175" s="499"/>
      <c r="AK175" s="499"/>
      <c r="AL175" s="499"/>
      <c r="AM175" s="499"/>
      <c r="AN175" s="499"/>
      <c r="AO175" s="499"/>
      <c r="AP175" s="499"/>
      <c r="AQ175" s="499"/>
      <c r="AR175" s="499"/>
      <c r="AS175" s="499"/>
      <c r="AT175" s="499"/>
      <c r="AU175" s="499"/>
      <c r="AV175" s="499"/>
      <c r="AW175" s="499"/>
      <c r="AX175" s="499"/>
      <c r="AY175" s="499"/>
      <c r="AZ175" s="499"/>
      <c r="BA175" s="499"/>
      <c r="BB175" s="499"/>
      <c r="BC175" s="499"/>
      <c r="BD175" s="499"/>
      <c r="BE175" s="499"/>
      <c r="BF175" s="499"/>
      <c r="BG175" s="499"/>
      <c r="BH175" s="499"/>
      <c r="BI175" s="499"/>
      <c r="BJ175" s="499"/>
      <c r="BK175" s="499"/>
      <c r="BL175" s="499"/>
      <c r="BM175" s="499"/>
      <c r="BN175" s="499"/>
      <c r="BO175" s="499"/>
      <c r="BP175" s="499"/>
      <c r="BQ175" s="499"/>
      <c r="BR175" s="499"/>
      <c r="BS175" s="499"/>
      <c r="BT175" s="499"/>
      <c r="BU175" s="499"/>
      <c r="BV175" s="499"/>
      <c r="BW175" s="499"/>
      <c r="BX175" s="499"/>
      <c r="BY175" s="499"/>
      <c r="BZ175" s="499"/>
      <c r="CA175" s="499"/>
      <c r="CB175" s="499"/>
      <c r="CC175" s="499"/>
      <c r="CD175" s="499"/>
      <c r="CE175" s="499"/>
      <c r="CF175" s="499"/>
      <c r="CG175" s="499"/>
      <c r="CH175" s="499"/>
      <c r="CI175" s="499"/>
      <c r="CJ175" s="499"/>
      <c r="CK175" s="499"/>
      <c r="CL175" s="499"/>
      <c r="CM175" s="499"/>
      <c r="CN175" s="499"/>
      <c r="CO175" s="499"/>
      <c r="CP175" s="499"/>
      <c r="CQ175" s="499"/>
      <c r="CR175" s="499"/>
      <c r="CS175" s="499"/>
      <c r="CT175" s="499"/>
      <c r="CU175" s="499"/>
      <c r="CV175" s="499"/>
      <c r="CW175" s="499"/>
      <c r="CX175" s="499"/>
      <c r="CY175" s="499"/>
      <c r="CZ175" s="499"/>
      <c r="DA175" s="499"/>
      <c r="DB175" s="499"/>
      <c r="DC175" s="499"/>
      <c r="DD175" s="499"/>
      <c r="DE175" s="499"/>
      <c r="DF175" s="499"/>
      <c r="DG175" s="499"/>
      <c r="DH175" s="499"/>
      <c r="DI175" s="499"/>
      <c r="DJ175" s="499"/>
      <c r="DK175" s="499"/>
      <c r="DL175" s="499"/>
      <c r="DM175" s="499"/>
      <c r="DN175" s="499"/>
      <c r="DO175" s="499"/>
      <c r="DP175" s="499"/>
      <c r="DQ175" s="499"/>
      <c r="DR175" s="499"/>
      <c r="DS175" s="499"/>
      <c r="DT175" s="499"/>
      <c r="DU175" s="499"/>
      <c r="DV175" s="499"/>
      <c r="DW175" s="499"/>
      <c r="DX175" s="499"/>
      <c r="DY175" s="499"/>
      <c r="DZ175" s="499"/>
      <c r="EA175" s="499"/>
      <c r="EB175" s="499"/>
    </row>
    <row r="176" spans="1:132">
      <c r="A176" s="510" t="s">
        <v>290</v>
      </c>
      <c r="B176" s="923">
        <f>J7</f>
        <v>69491.303630456925</v>
      </c>
      <c r="C176" s="923">
        <f>V45</f>
        <v>2666920.7967547206</v>
      </c>
      <c r="D176" s="923">
        <f>J84</f>
        <v>925041.10648998932</v>
      </c>
      <c r="E176" s="1056">
        <f>SUM(C176:D176)</f>
        <v>3591961.9032447101</v>
      </c>
      <c r="F176" s="1056">
        <f>SUM(B176:D176)</f>
        <v>3661453.2068751669</v>
      </c>
      <c r="G176" s="499"/>
      <c r="H176" s="499"/>
      <c r="I176" s="499"/>
      <c r="J176" s="499"/>
      <c r="K176" s="499"/>
      <c r="L176" s="499"/>
      <c r="M176" s="499"/>
      <c r="N176" s="499"/>
      <c r="O176" s="499"/>
      <c r="P176" s="499"/>
      <c r="Q176" s="499"/>
      <c r="R176" s="499"/>
      <c r="S176" s="499"/>
      <c r="T176" s="499"/>
      <c r="U176" s="499"/>
      <c r="V176" s="499"/>
      <c r="W176" s="499"/>
      <c r="X176" s="499"/>
      <c r="Y176" s="499"/>
      <c r="Z176" s="499"/>
      <c r="AA176" s="499"/>
      <c r="AB176" s="499"/>
      <c r="AC176" s="499"/>
      <c r="AD176" s="499"/>
      <c r="AE176" s="499"/>
      <c r="AF176" s="499"/>
      <c r="AG176" s="499"/>
      <c r="AH176" s="499"/>
      <c r="AI176" s="499"/>
      <c r="AJ176" s="499"/>
      <c r="AK176" s="499"/>
      <c r="AL176" s="499"/>
      <c r="AM176" s="499"/>
      <c r="AN176" s="499"/>
      <c r="AO176" s="499"/>
      <c r="AP176" s="499"/>
      <c r="AQ176" s="499"/>
      <c r="AR176" s="499"/>
      <c r="AS176" s="499"/>
      <c r="AT176" s="499"/>
      <c r="AU176" s="499"/>
      <c r="AV176" s="499"/>
      <c r="AW176" s="499"/>
      <c r="AX176" s="499"/>
      <c r="AY176" s="499"/>
      <c r="AZ176" s="499"/>
      <c r="BA176" s="499"/>
      <c r="BB176" s="499"/>
      <c r="BC176" s="499"/>
      <c r="BD176" s="499"/>
      <c r="BE176" s="499"/>
      <c r="BF176" s="499"/>
      <c r="BG176" s="499"/>
      <c r="BH176" s="499"/>
      <c r="BI176" s="499"/>
      <c r="BJ176" s="499"/>
      <c r="BK176" s="499"/>
      <c r="BL176" s="499"/>
      <c r="BM176" s="499"/>
      <c r="BN176" s="499"/>
      <c r="BO176" s="499"/>
      <c r="BP176" s="499"/>
      <c r="BQ176" s="499"/>
      <c r="BR176" s="499"/>
      <c r="BS176" s="499"/>
      <c r="BT176" s="499"/>
      <c r="BU176" s="499"/>
      <c r="BV176" s="499"/>
      <c r="BW176" s="499"/>
      <c r="BX176" s="499"/>
      <c r="BY176" s="499"/>
      <c r="BZ176" s="499"/>
      <c r="CA176" s="499"/>
      <c r="CB176" s="499"/>
      <c r="CC176" s="499"/>
      <c r="CD176" s="499"/>
      <c r="CE176" s="499"/>
      <c r="CF176" s="499"/>
      <c r="CG176" s="499"/>
      <c r="CH176" s="499"/>
      <c r="CI176" s="499"/>
      <c r="CJ176" s="499"/>
      <c r="CK176" s="499"/>
      <c r="CL176" s="499"/>
      <c r="CM176" s="499"/>
      <c r="CN176" s="499"/>
      <c r="CO176" s="499"/>
      <c r="CP176" s="499"/>
      <c r="CQ176" s="499"/>
      <c r="CR176" s="499"/>
      <c r="CS176" s="499"/>
      <c r="CT176" s="499"/>
      <c r="CU176" s="499"/>
      <c r="CV176" s="499"/>
      <c r="CW176" s="499"/>
      <c r="CX176" s="499"/>
      <c r="CY176" s="499"/>
      <c r="CZ176" s="499"/>
      <c r="DA176" s="499"/>
      <c r="DB176" s="499"/>
      <c r="DC176" s="499"/>
      <c r="DD176" s="499"/>
      <c r="DE176" s="499"/>
      <c r="DF176" s="499"/>
      <c r="DG176" s="499"/>
      <c r="DH176" s="499"/>
      <c r="DI176" s="499"/>
      <c r="DJ176" s="499"/>
      <c r="DK176" s="499"/>
      <c r="DL176" s="499"/>
      <c r="DM176" s="499"/>
      <c r="DN176" s="499"/>
      <c r="DO176" s="499"/>
      <c r="DP176" s="499"/>
      <c r="DQ176" s="499"/>
      <c r="DR176" s="499"/>
      <c r="DS176" s="499"/>
      <c r="DT176" s="499"/>
      <c r="DU176" s="499"/>
      <c r="DV176" s="499"/>
      <c r="DW176" s="499"/>
      <c r="DX176" s="499"/>
      <c r="DY176" s="499"/>
      <c r="DZ176" s="499"/>
      <c r="EA176" s="499"/>
      <c r="EB176" s="499"/>
    </row>
    <row r="177" spans="1:132">
      <c r="A177" s="510" t="s">
        <v>542</v>
      </c>
      <c r="B177" s="923">
        <f>J8</f>
        <v>386.88461166457103</v>
      </c>
      <c r="C177" s="923">
        <f t="shared" ref="C177:C189" si="54">V46</f>
        <v>12767.192184930847</v>
      </c>
      <c r="D177" s="923">
        <f>J85</f>
        <v>2844.7397916512582</v>
      </c>
      <c r="E177" s="1056">
        <f>SUM(C177:D177)</f>
        <v>15611.931976582106</v>
      </c>
      <c r="F177" s="1056">
        <f>SUM(B177:D177)</f>
        <v>15998.816588246676</v>
      </c>
      <c r="G177" s="499"/>
      <c r="H177" s="499"/>
      <c r="I177" s="499"/>
      <c r="J177" s="499"/>
      <c r="K177" s="499"/>
      <c r="L177" s="499"/>
      <c r="M177" s="499"/>
      <c r="N177" s="499"/>
      <c r="O177" s="499"/>
      <c r="P177" s="499"/>
      <c r="Q177" s="499"/>
      <c r="R177" s="499"/>
      <c r="S177" s="499"/>
      <c r="T177" s="499"/>
      <c r="U177" s="499"/>
      <c r="V177" s="499"/>
      <c r="W177" s="499"/>
      <c r="X177" s="499"/>
      <c r="Y177" s="499"/>
      <c r="Z177" s="499"/>
      <c r="AA177" s="499"/>
      <c r="AB177" s="499"/>
      <c r="AC177" s="499"/>
      <c r="AD177" s="499"/>
      <c r="AE177" s="499"/>
      <c r="AF177" s="499"/>
      <c r="AG177" s="499"/>
      <c r="AH177" s="499"/>
      <c r="AI177" s="499"/>
      <c r="AJ177" s="499"/>
      <c r="AK177" s="499"/>
      <c r="AL177" s="499"/>
      <c r="AM177" s="499"/>
      <c r="AN177" s="499"/>
      <c r="AO177" s="499"/>
      <c r="AP177" s="499"/>
      <c r="AQ177" s="499"/>
      <c r="AR177" s="499"/>
      <c r="AS177" s="499"/>
      <c r="AT177" s="499"/>
      <c r="AU177" s="499"/>
      <c r="AV177" s="499"/>
      <c r="AW177" s="499"/>
      <c r="AX177" s="499"/>
      <c r="AY177" s="499"/>
      <c r="AZ177" s="499"/>
      <c r="BA177" s="499"/>
      <c r="BB177" s="499"/>
      <c r="BC177" s="499"/>
      <c r="BD177" s="499"/>
      <c r="BE177" s="499"/>
      <c r="BF177" s="499"/>
      <c r="BG177" s="499"/>
      <c r="BH177" s="499"/>
      <c r="BI177" s="499"/>
      <c r="BJ177" s="499"/>
      <c r="BK177" s="499"/>
      <c r="BL177" s="499"/>
      <c r="BM177" s="499"/>
      <c r="BN177" s="499"/>
      <c r="BO177" s="499"/>
      <c r="BP177" s="499"/>
      <c r="BQ177" s="499"/>
      <c r="BR177" s="499"/>
      <c r="BS177" s="499"/>
      <c r="BT177" s="499"/>
      <c r="BU177" s="499"/>
      <c r="BV177" s="499"/>
      <c r="BW177" s="499"/>
      <c r="BX177" s="499"/>
      <c r="BY177" s="499"/>
      <c r="BZ177" s="499"/>
      <c r="CA177" s="499"/>
      <c r="CB177" s="499"/>
      <c r="CC177" s="499"/>
      <c r="CD177" s="499"/>
      <c r="CE177" s="499"/>
      <c r="CF177" s="499"/>
      <c r="CG177" s="499"/>
      <c r="CH177" s="499"/>
      <c r="CI177" s="499"/>
      <c r="CJ177" s="499"/>
      <c r="CK177" s="499"/>
      <c r="CL177" s="499"/>
      <c r="CM177" s="499"/>
      <c r="CN177" s="499"/>
      <c r="CO177" s="499"/>
      <c r="CP177" s="499"/>
      <c r="CQ177" s="499"/>
      <c r="CR177" s="499"/>
      <c r="CS177" s="499"/>
      <c r="CT177" s="499"/>
      <c r="CU177" s="499"/>
      <c r="CV177" s="499"/>
      <c r="CW177" s="499"/>
      <c r="CX177" s="499"/>
      <c r="CY177" s="499"/>
      <c r="CZ177" s="499"/>
      <c r="DA177" s="499"/>
      <c r="DB177" s="499"/>
      <c r="DC177" s="499"/>
      <c r="DD177" s="499"/>
      <c r="DE177" s="499"/>
      <c r="DF177" s="499"/>
      <c r="DG177" s="499"/>
      <c r="DH177" s="499"/>
      <c r="DI177" s="499"/>
      <c r="DJ177" s="499"/>
      <c r="DK177" s="499"/>
      <c r="DL177" s="499"/>
      <c r="DM177" s="499"/>
      <c r="DN177" s="499"/>
      <c r="DO177" s="499"/>
      <c r="DP177" s="499"/>
      <c r="DQ177" s="499"/>
      <c r="DR177" s="499"/>
      <c r="DS177" s="499"/>
      <c r="DT177" s="499"/>
      <c r="DU177" s="499"/>
      <c r="DV177" s="499"/>
      <c r="DW177" s="499"/>
      <c r="DX177" s="499"/>
      <c r="DY177" s="499"/>
      <c r="DZ177" s="499"/>
      <c r="EA177" s="499"/>
      <c r="EB177" s="499"/>
    </row>
    <row r="178" spans="1:132">
      <c r="A178" s="510" t="s">
        <v>543</v>
      </c>
      <c r="B178" s="923">
        <f t="shared" ref="B178:B183" si="55">J9</f>
        <v>136.54750999926034</v>
      </c>
      <c r="C178" s="923">
        <f t="shared" si="54"/>
        <v>4278.4886466434909</v>
      </c>
      <c r="D178" s="923">
        <f t="shared" ref="D178:D183" si="56">J86</f>
        <v>2344.0655883206364</v>
      </c>
      <c r="E178" s="1056">
        <f>SUM(C178:D178)</f>
        <v>6622.5542349641273</v>
      </c>
      <c r="F178" s="1056">
        <f>SUM(B178:D178)</f>
        <v>6759.1017449633873</v>
      </c>
      <c r="G178" s="499"/>
      <c r="H178" s="499"/>
      <c r="I178" s="499"/>
      <c r="J178" s="499"/>
      <c r="K178" s="499"/>
      <c r="L178" s="499"/>
      <c r="M178" s="499"/>
      <c r="N178" s="499"/>
      <c r="O178" s="499"/>
      <c r="P178" s="499"/>
      <c r="Q178" s="499"/>
      <c r="R178" s="499"/>
      <c r="S178" s="499"/>
      <c r="T178" s="499"/>
      <c r="U178" s="499"/>
      <c r="V178" s="499"/>
      <c r="W178" s="499"/>
      <c r="X178" s="499"/>
      <c r="Y178" s="499"/>
      <c r="Z178" s="499"/>
      <c r="AA178" s="499"/>
      <c r="AB178" s="499"/>
      <c r="AC178" s="499"/>
      <c r="AD178" s="499"/>
      <c r="AE178" s="499"/>
      <c r="AF178" s="499"/>
      <c r="AG178" s="499"/>
      <c r="AH178" s="499"/>
      <c r="AI178" s="499"/>
      <c r="AJ178" s="499"/>
      <c r="AK178" s="499"/>
      <c r="AL178" s="499"/>
      <c r="AM178" s="499"/>
      <c r="AN178" s="499"/>
      <c r="AO178" s="499"/>
      <c r="AP178" s="499"/>
      <c r="AQ178" s="499"/>
      <c r="AR178" s="499"/>
      <c r="AS178" s="499"/>
      <c r="AT178" s="499"/>
      <c r="AU178" s="499"/>
      <c r="AV178" s="499"/>
      <c r="AW178" s="499"/>
      <c r="AX178" s="499"/>
      <c r="AY178" s="499"/>
      <c r="AZ178" s="499"/>
      <c r="BA178" s="499"/>
      <c r="BB178" s="499"/>
      <c r="BC178" s="499"/>
      <c r="BD178" s="499"/>
      <c r="BE178" s="499"/>
      <c r="BF178" s="499"/>
      <c r="BG178" s="499"/>
      <c r="BH178" s="499"/>
      <c r="BI178" s="499"/>
      <c r="BJ178" s="499"/>
      <c r="BK178" s="499"/>
      <c r="BL178" s="499"/>
      <c r="BM178" s="499"/>
      <c r="BN178" s="499"/>
      <c r="BO178" s="499"/>
      <c r="BP178" s="499"/>
      <c r="BQ178" s="499"/>
      <c r="BR178" s="499"/>
      <c r="BS178" s="499"/>
      <c r="BT178" s="499"/>
      <c r="BU178" s="499"/>
      <c r="BV178" s="499"/>
      <c r="BW178" s="499"/>
      <c r="BX178" s="499"/>
      <c r="BY178" s="499"/>
      <c r="BZ178" s="499"/>
      <c r="CA178" s="499"/>
      <c r="CB178" s="499"/>
      <c r="CC178" s="499"/>
      <c r="CD178" s="499"/>
      <c r="CE178" s="499"/>
      <c r="CF178" s="499"/>
      <c r="CG178" s="499"/>
      <c r="CH178" s="499"/>
      <c r="CI178" s="499"/>
      <c r="CJ178" s="499"/>
      <c r="CK178" s="499"/>
      <c r="CL178" s="499"/>
      <c r="CM178" s="499"/>
      <c r="CN178" s="499"/>
      <c r="CO178" s="499"/>
      <c r="CP178" s="499"/>
      <c r="CQ178" s="499"/>
      <c r="CR178" s="499"/>
      <c r="CS178" s="499"/>
      <c r="CT178" s="499"/>
      <c r="CU178" s="499"/>
      <c r="CV178" s="499"/>
      <c r="CW178" s="499"/>
      <c r="CX178" s="499"/>
      <c r="CY178" s="499"/>
      <c r="CZ178" s="499"/>
      <c r="DA178" s="499"/>
      <c r="DB178" s="499"/>
      <c r="DC178" s="499"/>
      <c r="DD178" s="499"/>
      <c r="DE178" s="499"/>
      <c r="DF178" s="499"/>
      <c r="DG178" s="499"/>
      <c r="DH178" s="499"/>
      <c r="DI178" s="499"/>
      <c r="DJ178" s="499"/>
      <c r="DK178" s="499"/>
      <c r="DL178" s="499"/>
      <c r="DM178" s="499"/>
      <c r="DN178" s="499"/>
      <c r="DO178" s="499"/>
      <c r="DP178" s="499"/>
      <c r="DQ178" s="499"/>
      <c r="DR178" s="499"/>
      <c r="DS178" s="499"/>
      <c r="DT178" s="499"/>
      <c r="DU178" s="499"/>
      <c r="DV178" s="499"/>
      <c r="DW178" s="499"/>
      <c r="DX178" s="499"/>
      <c r="DY178" s="499"/>
      <c r="DZ178" s="499"/>
      <c r="EA178" s="499"/>
      <c r="EB178" s="499"/>
    </row>
    <row r="179" spans="1:132">
      <c r="A179" s="510" t="s">
        <v>544</v>
      </c>
      <c r="B179" s="923">
        <f t="shared" si="55"/>
        <v>1115.1379983272927</v>
      </c>
      <c r="C179" s="923">
        <f t="shared" si="54"/>
        <v>35775.447619806211</v>
      </c>
      <c r="D179" s="923">
        <f t="shared" si="56"/>
        <v>7896.997661623891</v>
      </c>
      <c r="E179" s="1056">
        <f t="shared" ref="E179:E190" si="57">SUM(C179:D179)</f>
        <v>43672.445281430104</v>
      </c>
      <c r="F179" s="1056">
        <f t="shared" ref="F179:F219" si="58">SUM(B179:D179)</f>
        <v>44787.583279757397</v>
      </c>
      <c r="G179" s="499"/>
      <c r="H179" s="499"/>
      <c r="I179" s="499"/>
      <c r="J179" s="499"/>
      <c r="K179" s="499"/>
      <c r="L179" s="499"/>
      <c r="M179" s="499"/>
      <c r="N179" s="499"/>
      <c r="O179" s="499"/>
      <c r="P179" s="499"/>
      <c r="Q179" s="499"/>
      <c r="R179" s="499"/>
      <c r="S179" s="499"/>
      <c r="T179" s="499"/>
      <c r="U179" s="499"/>
      <c r="V179" s="499"/>
      <c r="W179" s="499"/>
      <c r="X179" s="499"/>
      <c r="Y179" s="499"/>
      <c r="Z179" s="499"/>
      <c r="AA179" s="499"/>
      <c r="AB179" s="499"/>
      <c r="AC179" s="499"/>
      <c r="AD179" s="499"/>
      <c r="AE179" s="499"/>
      <c r="AF179" s="499"/>
      <c r="AG179" s="499"/>
      <c r="AH179" s="499"/>
      <c r="AI179" s="499"/>
      <c r="AJ179" s="499"/>
      <c r="AK179" s="499"/>
      <c r="AL179" s="499"/>
      <c r="AM179" s="499"/>
      <c r="AN179" s="499"/>
      <c r="AO179" s="499"/>
      <c r="AP179" s="499"/>
      <c r="AQ179" s="499"/>
      <c r="AR179" s="499"/>
      <c r="AS179" s="499"/>
      <c r="AT179" s="499"/>
      <c r="AU179" s="499"/>
      <c r="AV179" s="499"/>
      <c r="AW179" s="499"/>
      <c r="AX179" s="499"/>
      <c r="AY179" s="499"/>
      <c r="AZ179" s="499"/>
      <c r="BA179" s="499"/>
      <c r="BB179" s="499"/>
      <c r="BC179" s="499"/>
      <c r="BD179" s="499"/>
      <c r="BE179" s="499"/>
      <c r="BF179" s="499"/>
      <c r="BG179" s="499"/>
      <c r="BH179" s="499"/>
      <c r="BI179" s="499"/>
      <c r="BJ179" s="499"/>
      <c r="BK179" s="499"/>
      <c r="BL179" s="499"/>
      <c r="BM179" s="499"/>
      <c r="BN179" s="499"/>
      <c r="BO179" s="499"/>
      <c r="BP179" s="499"/>
      <c r="BQ179" s="499"/>
      <c r="BR179" s="499"/>
      <c r="BS179" s="499"/>
      <c r="BT179" s="499"/>
      <c r="BU179" s="499"/>
      <c r="BV179" s="499"/>
      <c r="BW179" s="499"/>
      <c r="BX179" s="499"/>
      <c r="BY179" s="499"/>
      <c r="BZ179" s="499"/>
      <c r="CA179" s="499"/>
      <c r="CB179" s="499"/>
      <c r="CC179" s="499"/>
      <c r="CD179" s="499"/>
      <c r="CE179" s="499"/>
      <c r="CF179" s="499"/>
      <c r="CG179" s="499"/>
      <c r="CH179" s="499"/>
      <c r="CI179" s="499"/>
      <c r="CJ179" s="499"/>
      <c r="CK179" s="499"/>
      <c r="CL179" s="499"/>
      <c r="CM179" s="499"/>
      <c r="CN179" s="499"/>
      <c r="CO179" s="499"/>
      <c r="CP179" s="499"/>
      <c r="CQ179" s="499"/>
      <c r="CR179" s="499"/>
      <c r="CS179" s="499"/>
      <c r="CT179" s="499"/>
      <c r="CU179" s="499"/>
      <c r="CV179" s="499"/>
      <c r="CW179" s="499"/>
      <c r="CX179" s="499"/>
      <c r="CY179" s="499"/>
      <c r="CZ179" s="499"/>
      <c r="DA179" s="499"/>
      <c r="DB179" s="499"/>
      <c r="DC179" s="499"/>
      <c r="DD179" s="499"/>
      <c r="DE179" s="499"/>
      <c r="DF179" s="499"/>
      <c r="DG179" s="499"/>
      <c r="DH179" s="499"/>
      <c r="DI179" s="499"/>
      <c r="DJ179" s="499"/>
      <c r="DK179" s="499"/>
      <c r="DL179" s="499"/>
      <c r="DM179" s="499"/>
      <c r="DN179" s="499"/>
      <c r="DO179" s="499"/>
      <c r="DP179" s="499"/>
      <c r="DQ179" s="499"/>
      <c r="DR179" s="499"/>
      <c r="DS179" s="499"/>
      <c r="DT179" s="499"/>
      <c r="DU179" s="499"/>
      <c r="DV179" s="499"/>
      <c r="DW179" s="499"/>
      <c r="DX179" s="499"/>
      <c r="DY179" s="499"/>
      <c r="DZ179" s="499"/>
      <c r="EA179" s="499"/>
      <c r="EB179" s="499"/>
    </row>
    <row r="180" spans="1:132">
      <c r="A180" s="510" t="s">
        <v>545</v>
      </c>
      <c r="B180" s="923">
        <f t="shared" si="55"/>
        <v>182.06334666568048</v>
      </c>
      <c r="C180" s="923">
        <f t="shared" si="54"/>
        <v>5939.8166849678264</v>
      </c>
      <c r="D180" s="923">
        <f t="shared" si="56"/>
        <v>1308.5803041595786</v>
      </c>
      <c r="E180" s="1056">
        <f t="shared" si="57"/>
        <v>7248.3969891274046</v>
      </c>
      <c r="F180" s="1056">
        <f t="shared" si="58"/>
        <v>7430.4603357930864</v>
      </c>
      <c r="G180" s="499"/>
      <c r="H180" s="499"/>
      <c r="I180" s="499"/>
      <c r="J180" s="499"/>
      <c r="K180" s="499"/>
      <c r="L180" s="499"/>
      <c r="M180" s="499"/>
      <c r="N180" s="499"/>
      <c r="O180" s="499"/>
      <c r="P180" s="499"/>
      <c r="Q180" s="499"/>
      <c r="R180" s="499"/>
      <c r="S180" s="499"/>
      <c r="T180" s="499"/>
      <c r="U180" s="499"/>
      <c r="V180" s="499"/>
      <c r="W180" s="499"/>
      <c r="X180" s="499"/>
      <c r="Y180" s="499"/>
      <c r="Z180" s="499"/>
      <c r="AA180" s="499"/>
      <c r="AB180" s="499"/>
      <c r="AC180" s="499"/>
      <c r="AD180" s="499"/>
      <c r="AE180" s="499"/>
      <c r="AF180" s="499"/>
      <c r="AG180" s="499"/>
      <c r="AH180" s="499"/>
      <c r="AI180" s="499"/>
      <c r="AJ180" s="499"/>
      <c r="AK180" s="499"/>
      <c r="AL180" s="499"/>
      <c r="AM180" s="499"/>
      <c r="AN180" s="499"/>
      <c r="AO180" s="499"/>
      <c r="AP180" s="499"/>
      <c r="AQ180" s="499"/>
      <c r="AR180" s="499"/>
      <c r="AS180" s="499"/>
      <c r="AT180" s="499"/>
      <c r="AU180" s="499"/>
      <c r="AV180" s="499"/>
      <c r="AW180" s="499"/>
      <c r="AX180" s="499"/>
      <c r="AY180" s="499"/>
      <c r="AZ180" s="499"/>
      <c r="BA180" s="499"/>
      <c r="BB180" s="499"/>
      <c r="BC180" s="499"/>
      <c r="BD180" s="499"/>
      <c r="BE180" s="499"/>
      <c r="BF180" s="499"/>
      <c r="BG180" s="499"/>
      <c r="BH180" s="499"/>
      <c r="BI180" s="499"/>
      <c r="BJ180" s="499"/>
      <c r="BK180" s="499"/>
      <c r="BL180" s="499"/>
      <c r="BM180" s="499"/>
      <c r="BN180" s="499"/>
      <c r="BO180" s="499"/>
      <c r="BP180" s="499"/>
      <c r="BQ180" s="499"/>
      <c r="BR180" s="499"/>
      <c r="BS180" s="499"/>
      <c r="BT180" s="499"/>
      <c r="BU180" s="499"/>
      <c r="BV180" s="499"/>
      <c r="BW180" s="499"/>
      <c r="BX180" s="499"/>
      <c r="BY180" s="499"/>
      <c r="BZ180" s="499"/>
      <c r="CA180" s="499"/>
      <c r="CB180" s="499"/>
      <c r="CC180" s="499"/>
      <c r="CD180" s="499"/>
      <c r="CE180" s="499"/>
      <c r="CF180" s="499"/>
      <c r="CG180" s="499"/>
      <c r="CH180" s="499"/>
      <c r="CI180" s="499"/>
      <c r="CJ180" s="499"/>
      <c r="CK180" s="499"/>
      <c r="CL180" s="499"/>
      <c r="CM180" s="499"/>
      <c r="CN180" s="499"/>
      <c r="CO180" s="499"/>
      <c r="CP180" s="499"/>
      <c r="CQ180" s="499"/>
      <c r="CR180" s="499"/>
      <c r="CS180" s="499"/>
      <c r="CT180" s="499"/>
      <c r="CU180" s="499"/>
      <c r="CV180" s="499"/>
      <c r="CW180" s="499"/>
      <c r="CX180" s="499"/>
      <c r="CY180" s="499"/>
      <c r="CZ180" s="499"/>
      <c r="DA180" s="499"/>
      <c r="DB180" s="499"/>
      <c r="DC180" s="499"/>
      <c r="DD180" s="499"/>
      <c r="DE180" s="499"/>
      <c r="DF180" s="499"/>
      <c r="DG180" s="499"/>
      <c r="DH180" s="499"/>
      <c r="DI180" s="499"/>
      <c r="DJ180" s="499"/>
      <c r="DK180" s="499"/>
      <c r="DL180" s="499"/>
      <c r="DM180" s="499"/>
      <c r="DN180" s="499"/>
      <c r="DO180" s="499"/>
      <c r="DP180" s="499"/>
      <c r="DQ180" s="499"/>
      <c r="DR180" s="499"/>
      <c r="DS180" s="499"/>
      <c r="DT180" s="499"/>
      <c r="DU180" s="499"/>
      <c r="DV180" s="499"/>
      <c r="DW180" s="499"/>
      <c r="DX180" s="499"/>
      <c r="DY180" s="499"/>
      <c r="DZ180" s="499"/>
      <c r="EA180" s="499"/>
      <c r="EB180" s="499"/>
    </row>
    <row r="181" spans="1:132">
      <c r="A181" s="510" t="s">
        <v>292</v>
      </c>
      <c r="B181" s="923">
        <f t="shared" si="55"/>
        <v>375.50565249796603</v>
      </c>
      <c r="C181" s="923">
        <f t="shared" si="54"/>
        <v>7180.1232341277737</v>
      </c>
      <c r="D181" s="923">
        <f t="shared" si="56"/>
        <v>5325.3528899711546</v>
      </c>
      <c r="E181" s="1056">
        <f t="shared" si="57"/>
        <v>12505.476124098928</v>
      </c>
      <c r="F181" s="1056">
        <f t="shared" si="58"/>
        <v>12880.981776596895</v>
      </c>
      <c r="G181" s="499"/>
      <c r="H181" s="499"/>
      <c r="I181" s="499"/>
      <c r="J181" s="499"/>
      <c r="K181" s="499"/>
      <c r="L181" s="499"/>
      <c r="M181" s="499"/>
      <c r="N181" s="499"/>
      <c r="O181" s="499"/>
      <c r="P181" s="499"/>
      <c r="Q181" s="499"/>
      <c r="R181" s="499"/>
      <c r="S181" s="499"/>
      <c r="T181" s="499"/>
      <c r="U181" s="499"/>
      <c r="V181" s="499"/>
      <c r="W181" s="499"/>
      <c r="X181" s="499"/>
      <c r="Y181" s="499"/>
      <c r="Z181" s="499"/>
      <c r="AA181" s="499"/>
      <c r="AB181" s="499"/>
      <c r="AC181" s="499"/>
      <c r="AD181" s="499"/>
      <c r="AE181" s="499"/>
      <c r="AF181" s="499"/>
      <c r="AG181" s="499"/>
      <c r="AH181" s="499"/>
      <c r="AI181" s="499"/>
      <c r="AJ181" s="499"/>
      <c r="AK181" s="499"/>
      <c r="AL181" s="499"/>
      <c r="AM181" s="499"/>
      <c r="AN181" s="499"/>
      <c r="AO181" s="499"/>
      <c r="AP181" s="499"/>
      <c r="AQ181" s="499"/>
      <c r="AR181" s="499"/>
      <c r="AS181" s="499"/>
      <c r="AT181" s="499"/>
      <c r="AU181" s="499"/>
      <c r="AV181" s="499"/>
      <c r="AW181" s="499"/>
      <c r="AX181" s="499"/>
      <c r="AY181" s="499"/>
      <c r="AZ181" s="499"/>
      <c r="BA181" s="499"/>
      <c r="BB181" s="499"/>
      <c r="BC181" s="499"/>
      <c r="BD181" s="499"/>
      <c r="BE181" s="499"/>
      <c r="BF181" s="499"/>
      <c r="BG181" s="499"/>
      <c r="BH181" s="499"/>
      <c r="BI181" s="499"/>
      <c r="BJ181" s="499"/>
      <c r="BK181" s="499"/>
      <c r="BL181" s="499"/>
      <c r="BM181" s="499"/>
      <c r="BN181" s="499"/>
      <c r="BO181" s="499"/>
      <c r="BP181" s="499"/>
      <c r="BQ181" s="499"/>
      <c r="BR181" s="499"/>
      <c r="BS181" s="499"/>
      <c r="BT181" s="499"/>
      <c r="BU181" s="499"/>
      <c r="BV181" s="499"/>
      <c r="BW181" s="499"/>
      <c r="BX181" s="499"/>
      <c r="BY181" s="499"/>
      <c r="BZ181" s="499"/>
      <c r="CA181" s="499"/>
      <c r="CB181" s="499"/>
      <c r="CC181" s="499"/>
      <c r="CD181" s="499"/>
      <c r="CE181" s="499"/>
      <c r="CF181" s="499"/>
      <c r="CG181" s="499"/>
      <c r="CH181" s="499"/>
      <c r="CI181" s="499"/>
      <c r="CJ181" s="499"/>
      <c r="CK181" s="499"/>
      <c r="CL181" s="499"/>
      <c r="CM181" s="499"/>
      <c r="CN181" s="499"/>
      <c r="CO181" s="499"/>
      <c r="CP181" s="499"/>
      <c r="CQ181" s="499"/>
      <c r="CR181" s="499"/>
      <c r="CS181" s="499"/>
      <c r="CT181" s="499"/>
      <c r="CU181" s="499"/>
      <c r="CV181" s="499"/>
      <c r="CW181" s="499"/>
      <c r="CX181" s="499"/>
      <c r="CY181" s="499"/>
      <c r="CZ181" s="499"/>
      <c r="DA181" s="499"/>
      <c r="DB181" s="499"/>
      <c r="DC181" s="499"/>
      <c r="DD181" s="499"/>
      <c r="DE181" s="499"/>
      <c r="DF181" s="499"/>
      <c r="DG181" s="499"/>
      <c r="DH181" s="499"/>
      <c r="DI181" s="499"/>
      <c r="DJ181" s="499"/>
      <c r="DK181" s="499"/>
      <c r="DL181" s="499"/>
      <c r="DM181" s="499"/>
      <c r="DN181" s="499"/>
      <c r="DO181" s="499"/>
      <c r="DP181" s="499"/>
      <c r="DQ181" s="499"/>
      <c r="DR181" s="499"/>
      <c r="DS181" s="499"/>
      <c r="DT181" s="499"/>
      <c r="DU181" s="499"/>
      <c r="DV181" s="499"/>
      <c r="DW181" s="499"/>
      <c r="DX181" s="499"/>
      <c r="DY181" s="499"/>
      <c r="DZ181" s="499"/>
      <c r="EA181" s="499"/>
      <c r="EB181" s="499"/>
    </row>
    <row r="182" spans="1:132">
      <c r="A182" s="510" t="s">
        <v>546</v>
      </c>
      <c r="B182" s="923">
        <f t="shared" si="55"/>
        <v>807.90610082895705</v>
      </c>
      <c r="C182" s="923">
        <f t="shared" si="54"/>
        <v>3880.2250758123155</v>
      </c>
      <c r="D182" s="923">
        <f t="shared" si="56"/>
        <v>2048.2126499889055</v>
      </c>
      <c r="E182" s="1056">
        <f t="shared" si="57"/>
        <v>5928.4377258012209</v>
      </c>
      <c r="F182" s="1056">
        <f t="shared" si="58"/>
        <v>6736.3438266301782</v>
      </c>
      <c r="G182" s="499"/>
      <c r="H182" s="499"/>
      <c r="I182" s="499"/>
      <c r="J182" s="499"/>
      <c r="K182" s="499"/>
      <c r="L182" s="499"/>
      <c r="M182" s="499"/>
      <c r="N182" s="499"/>
      <c r="O182" s="499"/>
      <c r="P182" s="499"/>
      <c r="Q182" s="499"/>
      <c r="R182" s="499"/>
      <c r="S182" s="499"/>
      <c r="T182" s="499"/>
      <c r="U182" s="499"/>
      <c r="V182" s="499"/>
      <c r="W182" s="499"/>
      <c r="X182" s="499"/>
      <c r="Y182" s="499"/>
      <c r="Z182" s="499"/>
      <c r="AA182" s="499"/>
      <c r="AB182" s="499"/>
      <c r="AC182" s="499"/>
      <c r="AD182" s="499"/>
      <c r="AE182" s="499"/>
      <c r="AF182" s="499"/>
      <c r="AG182" s="499"/>
      <c r="AH182" s="499"/>
      <c r="AI182" s="499"/>
      <c r="AJ182" s="499"/>
      <c r="AK182" s="499"/>
      <c r="AL182" s="499"/>
      <c r="AM182" s="499"/>
      <c r="AN182" s="499"/>
      <c r="AO182" s="499"/>
      <c r="AP182" s="499"/>
      <c r="AQ182" s="499"/>
      <c r="AR182" s="499"/>
      <c r="AS182" s="499"/>
      <c r="AT182" s="499"/>
      <c r="AU182" s="499"/>
      <c r="AV182" s="499"/>
      <c r="AW182" s="499"/>
      <c r="AX182" s="499"/>
      <c r="AY182" s="499"/>
      <c r="AZ182" s="499"/>
      <c r="BA182" s="499"/>
      <c r="BB182" s="499"/>
      <c r="BC182" s="499"/>
      <c r="BD182" s="499"/>
      <c r="BE182" s="499"/>
      <c r="BF182" s="499"/>
      <c r="BG182" s="499"/>
      <c r="BH182" s="499"/>
      <c r="BI182" s="499"/>
      <c r="BJ182" s="499"/>
      <c r="BK182" s="499"/>
      <c r="BL182" s="499"/>
      <c r="BM182" s="499"/>
      <c r="BN182" s="499"/>
      <c r="BO182" s="499"/>
      <c r="BP182" s="499"/>
      <c r="BQ182" s="499"/>
      <c r="BR182" s="499"/>
      <c r="BS182" s="499"/>
      <c r="BT182" s="499"/>
      <c r="BU182" s="499"/>
      <c r="BV182" s="499"/>
      <c r="BW182" s="499"/>
      <c r="BX182" s="499"/>
      <c r="BY182" s="499"/>
      <c r="BZ182" s="499"/>
      <c r="CA182" s="499"/>
      <c r="CB182" s="499"/>
      <c r="CC182" s="499"/>
      <c r="CD182" s="499"/>
      <c r="CE182" s="499"/>
      <c r="CF182" s="499"/>
      <c r="CG182" s="499"/>
      <c r="CH182" s="499"/>
      <c r="CI182" s="499"/>
      <c r="CJ182" s="499"/>
      <c r="CK182" s="499"/>
      <c r="CL182" s="499"/>
      <c r="CM182" s="499"/>
      <c r="CN182" s="499"/>
      <c r="CO182" s="499"/>
      <c r="CP182" s="499"/>
      <c r="CQ182" s="499"/>
      <c r="CR182" s="499"/>
      <c r="CS182" s="499"/>
      <c r="CT182" s="499"/>
      <c r="CU182" s="499"/>
      <c r="CV182" s="499"/>
      <c r="CW182" s="499"/>
      <c r="CX182" s="499"/>
      <c r="CY182" s="499"/>
      <c r="CZ182" s="499"/>
      <c r="DA182" s="499"/>
      <c r="DB182" s="499"/>
      <c r="DC182" s="499"/>
      <c r="DD182" s="499"/>
      <c r="DE182" s="499"/>
      <c r="DF182" s="499"/>
      <c r="DG182" s="499"/>
      <c r="DH182" s="499"/>
      <c r="DI182" s="499"/>
      <c r="DJ182" s="499"/>
      <c r="DK182" s="499"/>
      <c r="DL182" s="499"/>
      <c r="DM182" s="499"/>
      <c r="DN182" s="499"/>
      <c r="DO182" s="499"/>
      <c r="DP182" s="499"/>
      <c r="DQ182" s="499"/>
      <c r="DR182" s="499"/>
      <c r="DS182" s="499"/>
      <c r="DT182" s="499"/>
      <c r="DU182" s="499"/>
      <c r="DV182" s="499"/>
      <c r="DW182" s="499"/>
      <c r="DX182" s="499"/>
      <c r="DY182" s="499"/>
      <c r="DZ182" s="499"/>
      <c r="EA182" s="499"/>
      <c r="EB182" s="499"/>
    </row>
    <row r="183" spans="1:132">
      <c r="A183" s="510" t="s">
        <v>547</v>
      </c>
      <c r="B183" s="923">
        <f t="shared" si="55"/>
        <v>1968.55993582267</v>
      </c>
      <c r="C183" s="923">
        <f t="shared" si="54"/>
        <v>5302.5949716379446</v>
      </c>
      <c r="D183" s="923">
        <f t="shared" si="56"/>
        <v>4437.7940749759618</v>
      </c>
      <c r="E183" s="1056">
        <f t="shared" si="57"/>
        <v>9740.3890466139055</v>
      </c>
      <c r="F183" s="1056">
        <f>SUM(B183:D183)</f>
        <v>11708.948982436577</v>
      </c>
      <c r="G183" s="499"/>
      <c r="H183" s="499"/>
      <c r="I183" s="499"/>
      <c r="J183" s="499"/>
      <c r="K183" s="499"/>
      <c r="L183" s="499"/>
      <c r="M183" s="499"/>
      <c r="N183" s="499"/>
      <c r="O183" s="499"/>
      <c r="P183" s="499"/>
      <c r="Q183" s="499"/>
      <c r="R183" s="499"/>
      <c r="S183" s="499"/>
      <c r="T183" s="499"/>
      <c r="U183" s="499"/>
      <c r="V183" s="499"/>
      <c r="W183" s="499"/>
      <c r="X183" s="499"/>
      <c r="Y183" s="499"/>
      <c r="Z183" s="499"/>
      <c r="AA183" s="499"/>
      <c r="AB183" s="499"/>
      <c r="AC183" s="499"/>
      <c r="AD183" s="499"/>
      <c r="AE183" s="499"/>
      <c r="AF183" s="499"/>
      <c r="AG183" s="499"/>
      <c r="AH183" s="499"/>
      <c r="AI183" s="499"/>
      <c r="AJ183" s="499"/>
      <c r="AK183" s="499"/>
      <c r="AL183" s="499"/>
      <c r="AM183" s="499"/>
      <c r="AN183" s="499"/>
      <c r="AO183" s="499"/>
      <c r="AP183" s="499"/>
      <c r="AQ183" s="499"/>
      <c r="AR183" s="499"/>
      <c r="AS183" s="499"/>
      <c r="AT183" s="499"/>
      <c r="AU183" s="499"/>
      <c r="AV183" s="499"/>
      <c r="AW183" s="499"/>
      <c r="AX183" s="499"/>
      <c r="AY183" s="499"/>
      <c r="AZ183" s="499"/>
      <c r="BA183" s="499"/>
      <c r="BB183" s="499"/>
      <c r="BC183" s="499"/>
      <c r="BD183" s="499"/>
      <c r="BE183" s="499"/>
      <c r="BF183" s="499"/>
      <c r="BG183" s="499"/>
      <c r="BH183" s="499"/>
      <c r="BI183" s="499"/>
      <c r="BJ183" s="499"/>
      <c r="BK183" s="499"/>
      <c r="BL183" s="499"/>
      <c r="BM183" s="499"/>
      <c r="BN183" s="499"/>
      <c r="BO183" s="499"/>
      <c r="BP183" s="499"/>
      <c r="BQ183" s="499"/>
      <c r="BR183" s="499"/>
      <c r="BS183" s="499"/>
      <c r="BT183" s="499"/>
      <c r="BU183" s="499"/>
      <c r="BV183" s="499"/>
      <c r="BW183" s="499"/>
      <c r="BX183" s="499"/>
      <c r="BY183" s="499"/>
      <c r="BZ183" s="499"/>
      <c r="CA183" s="499"/>
      <c r="CB183" s="499"/>
      <c r="CC183" s="499"/>
      <c r="CD183" s="499"/>
      <c r="CE183" s="499"/>
      <c r="CF183" s="499"/>
      <c r="CG183" s="499"/>
      <c r="CH183" s="499"/>
      <c r="CI183" s="499"/>
      <c r="CJ183" s="499"/>
      <c r="CK183" s="499"/>
      <c r="CL183" s="499"/>
      <c r="CM183" s="499"/>
      <c r="CN183" s="499"/>
      <c r="CO183" s="499"/>
      <c r="CP183" s="499"/>
      <c r="CQ183" s="499"/>
      <c r="CR183" s="499"/>
      <c r="CS183" s="499"/>
      <c r="CT183" s="499"/>
      <c r="CU183" s="499"/>
      <c r="CV183" s="499"/>
      <c r="CW183" s="499"/>
      <c r="CX183" s="499"/>
      <c r="CY183" s="499"/>
      <c r="CZ183" s="499"/>
      <c r="DA183" s="499"/>
      <c r="DB183" s="499"/>
      <c r="DC183" s="499"/>
      <c r="DD183" s="499"/>
      <c r="DE183" s="499"/>
      <c r="DF183" s="499"/>
      <c r="DG183" s="499"/>
      <c r="DH183" s="499"/>
      <c r="DI183" s="499"/>
      <c r="DJ183" s="499"/>
      <c r="DK183" s="499"/>
      <c r="DL183" s="499"/>
      <c r="DM183" s="499"/>
      <c r="DN183" s="499"/>
      <c r="DO183" s="499"/>
      <c r="DP183" s="499"/>
      <c r="DQ183" s="499"/>
      <c r="DR183" s="499"/>
      <c r="DS183" s="499"/>
      <c r="DT183" s="499"/>
      <c r="DU183" s="499"/>
      <c r="DV183" s="499"/>
      <c r="DW183" s="499"/>
      <c r="DX183" s="499"/>
      <c r="DY183" s="499"/>
      <c r="DZ183" s="499"/>
      <c r="EA183" s="499"/>
      <c r="EB183" s="499"/>
    </row>
    <row r="184" spans="1:132">
      <c r="A184" s="510" t="s">
        <v>548</v>
      </c>
      <c r="B184" s="923">
        <f t="shared" ref="B184" si="59">J15</f>
        <v>125.16855083265533</v>
      </c>
      <c r="C184" s="923">
        <f t="shared" si="54"/>
        <v>671.35859082969682</v>
      </c>
      <c r="D184" s="923">
        <f t="shared" ref="D184" si="60">J92</f>
        <v>204.82126499889051</v>
      </c>
      <c r="E184" s="1056">
        <f t="shared" ref="E184" si="61">SUM(C184:D184)</f>
        <v>876.17985582858728</v>
      </c>
      <c r="F184" s="1056">
        <f>SUM(B184:D184)</f>
        <v>1001.3484066612427</v>
      </c>
      <c r="G184" s="499"/>
      <c r="H184" s="499"/>
      <c r="I184" s="499"/>
      <c r="J184" s="499"/>
      <c r="K184" s="499"/>
      <c r="L184" s="499"/>
      <c r="M184" s="499"/>
      <c r="N184" s="499"/>
      <c r="O184" s="499"/>
      <c r="P184" s="499"/>
      <c r="Q184" s="499"/>
      <c r="R184" s="499"/>
      <c r="S184" s="499"/>
      <c r="T184" s="499"/>
      <c r="U184" s="499"/>
      <c r="V184" s="499"/>
      <c r="W184" s="499"/>
      <c r="X184" s="499"/>
      <c r="Y184" s="499"/>
      <c r="Z184" s="499"/>
      <c r="AA184" s="499"/>
      <c r="AB184" s="499"/>
      <c r="AC184" s="499"/>
      <c r="AD184" s="499"/>
      <c r="AE184" s="499"/>
      <c r="AF184" s="499"/>
      <c r="AG184" s="499"/>
      <c r="AH184" s="499"/>
      <c r="AI184" s="499"/>
      <c r="AJ184" s="499"/>
      <c r="AK184" s="499"/>
      <c r="AL184" s="499"/>
      <c r="AM184" s="499"/>
      <c r="AN184" s="499"/>
      <c r="AO184" s="499"/>
      <c r="AP184" s="499"/>
      <c r="AQ184" s="499"/>
      <c r="AR184" s="499"/>
      <c r="AS184" s="499"/>
      <c r="AT184" s="499"/>
      <c r="AU184" s="499"/>
      <c r="AV184" s="499"/>
      <c r="AW184" s="499"/>
      <c r="AX184" s="499"/>
      <c r="AY184" s="499"/>
      <c r="AZ184" s="499"/>
      <c r="BA184" s="499"/>
      <c r="BB184" s="499"/>
      <c r="BC184" s="499"/>
      <c r="BD184" s="499"/>
      <c r="BE184" s="499"/>
      <c r="BF184" s="499"/>
      <c r="BG184" s="499"/>
      <c r="BH184" s="499"/>
      <c r="BI184" s="499"/>
      <c r="BJ184" s="499"/>
      <c r="BK184" s="499"/>
      <c r="BL184" s="499"/>
      <c r="BM184" s="499"/>
      <c r="BN184" s="499"/>
      <c r="BO184" s="499"/>
      <c r="BP184" s="499"/>
      <c r="BQ184" s="499"/>
      <c r="BR184" s="499"/>
      <c r="BS184" s="499"/>
      <c r="BT184" s="499"/>
      <c r="BU184" s="499"/>
      <c r="BV184" s="499"/>
      <c r="BW184" s="499"/>
      <c r="BX184" s="499"/>
      <c r="BY184" s="499"/>
      <c r="BZ184" s="499"/>
      <c r="CA184" s="499"/>
      <c r="CB184" s="499"/>
      <c r="CC184" s="499"/>
      <c r="CD184" s="499"/>
      <c r="CE184" s="499"/>
      <c r="CF184" s="499"/>
      <c r="CG184" s="499"/>
      <c r="CH184" s="499"/>
      <c r="CI184" s="499"/>
      <c r="CJ184" s="499"/>
      <c r="CK184" s="499"/>
      <c r="CL184" s="499"/>
      <c r="CM184" s="499"/>
      <c r="CN184" s="499"/>
      <c r="CO184" s="499"/>
      <c r="CP184" s="499"/>
      <c r="CQ184" s="499"/>
      <c r="CR184" s="499"/>
      <c r="CS184" s="499"/>
      <c r="CT184" s="499"/>
      <c r="CU184" s="499"/>
      <c r="CV184" s="499"/>
      <c r="CW184" s="499"/>
      <c r="CX184" s="499"/>
      <c r="CY184" s="499"/>
      <c r="CZ184" s="499"/>
      <c r="DA184" s="499"/>
      <c r="DB184" s="499"/>
      <c r="DC184" s="499"/>
      <c r="DD184" s="499"/>
      <c r="DE184" s="499"/>
      <c r="DF184" s="499"/>
      <c r="DG184" s="499"/>
      <c r="DH184" s="499"/>
      <c r="DI184" s="499"/>
      <c r="DJ184" s="499"/>
      <c r="DK184" s="499"/>
      <c r="DL184" s="499"/>
      <c r="DM184" s="499"/>
      <c r="DN184" s="499"/>
      <c r="DO184" s="499"/>
      <c r="DP184" s="499"/>
      <c r="DQ184" s="499"/>
      <c r="DR184" s="499"/>
      <c r="DS184" s="499"/>
      <c r="DT184" s="499"/>
      <c r="DU184" s="499"/>
      <c r="DV184" s="499"/>
      <c r="DW184" s="499"/>
      <c r="DX184" s="499"/>
      <c r="DY184" s="499"/>
      <c r="DZ184" s="499"/>
      <c r="EA184" s="499"/>
      <c r="EB184" s="499"/>
    </row>
    <row r="185" spans="1:132">
      <c r="A185" s="510" t="s">
        <v>549</v>
      </c>
      <c r="B185" s="923">
        <f t="shared" ref="B185:B189" si="62">J16</f>
        <v>125.16855083265533</v>
      </c>
      <c r="C185" s="923">
        <f t="shared" si="54"/>
        <v>1046.8642433276627</v>
      </c>
      <c r="D185" s="923">
        <f>J93</f>
        <v>489.29524416401625</v>
      </c>
      <c r="E185" s="1056">
        <f t="shared" si="57"/>
        <v>1536.1594874916791</v>
      </c>
      <c r="F185" s="1056">
        <f t="shared" si="58"/>
        <v>1661.3280383243341</v>
      </c>
      <c r="G185" s="499"/>
      <c r="H185" s="499"/>
      <c r="I185" s="499"/>
      <c r="J185" s="499"/>
      <c r="K185" s="499"/>
      <c r="L185" s="499"/>
      <c r="M185" s="499"/>
      <c r="N185" s="499"/>
      <c r="O185" s="499"/>
      <c r="P185" s="499"/>
      <c r="Q185" s="499"/>
      <c r="R185" s="499"/>
      <c r="S185" s="499"/>
      <c r="T185" s="499"/>
      <c r="U185" s="499"/>
      <c r="V185" s="499"/>
      <c r="W185" s="499"/>
      <c r="X185" s="499"/>
      <c r="Y185" s="499"/>
      <c r="Z185" s="499"/>
      <c r="AA185" s="499"/>
      <c r="AB185" s="499"/>
      <c r="AC185" s="499"/>
      <c r="AD185" s="499"/>
      <c r="AE185" s="499"/>
      <c r="AF185" s="499"/>
      <c r="AG185" s="499"/>
      <c r="AH185" s="499"/>
      <c r="AI185" s="499"/>
      <c r="AJ185" s="499"/>
      <c r="AK185" s="499"/>
      <c r="AL185" s="499"/>
      <c r="AM185" s="499"/>
      <c r="AN185" s="499"/>
      <c r="AO185" s="499"/>
      <c r="AP185" s="499"/>
      <c r="AQ185" s="499"/>
      <c r="AR185" s="499"/>
      <c r="AS185" s="499"/>
      <c r="AT185" s="499"/>
      <c r="AU185" s="499"/>
      <c r="AV185" s="499"/>
      <c r="AW185" s="499"/>
      <c r="AX185" s="499"/>
      <c r="AY185" s="499"/>
      <c r="AZ185" s="499"/>
      <c r="BA185" s="499"/>
      <c r="BB185" s="499"/>
      <c r="BC185" s="499"/>
      <c r="BD185" s="499"/>
      <c r="BE185" s="499"/>
      <c r="BF185" s="499"/>
      <c r="BG185" s="499"/>
      <c r="BH185" s="499"/>
      <c r="BI185" s="499"/>
      <c r="BJ185" s="499"/>
      <c r="BK185" s="499"/>
      <c r="BL185" s="499"/>
      <c r="BM185" s="499"/>
      <c r="BN185" s="499"/>
      <c r="BO185" s="499"/>
      <c r="BP185" s="499"/>
      <c r="BQ185" s="499"/>
      <c r="BR185" s="499"/>
      <c r="BS185" s="499"/>
      <c r="BT185" s="499"/>
      <c r="BU185" s="499"/>
      <c r="BV185" s="499"/>
      <c r="BW185" s="499"/>
      <c r="BX185" s="499"/>
      <c r="BY185" s="499"/>
      <c r="BZ185" s="499"/>
      <c r="CA185" s="499"/>
      <c r="CB185" s="499"/>
      <c r="CC185" s="499"/>
      <c r="CD185" s="499"/>
      <c r="CE185" s="499"/>
      <c r="CF185" s="499"/>
      <c r="CG185" s="499"/>
      <c r="CH185" s="499"/>
      <c r="CI185" s="499"/>
      <c r="CJ185" s="499"/>
      <c r="CK185" s="499"/>
      <c r="CL185" s="499"/>
      <c r="CM185" s="499"/>
      <c r="CN185" s="499"/>
      <c r="CO185" s="499"/>
      <c r="CP185" s="499"/>
      <c r="CQ185" s="499"/>
      <c r="CR185" s="499"/>
      <c r="CS185" s="499"/>
      <c r="CT185" s="499"/>
      <c r="CU185" s="499"/>
      <c r="CV185" s="499"/>
      <c r="CW185" s="499"/>
      <c r="CX185" s="499"/>
      <c r="CY185" s="499"/>
      <c r="CZ185" s="499"/>
      <c r="DA185" s="499"/>
      <c r="DB185" s="499"/>
      <c r="DC185" s="499"/>
      <c r="DD185" s="499"/>
      <c r="DE185" s="499"/>
      <c r="DF185" s="499"/>
      <c r="DG185" s="499"/>
      <c r="DH185" s="499"/>
      <c r="DI185" s="499"/>
      <c r="DJ185" s="499"/>
      <c r="DK185" s="499"/>
      <c r="DL185" s="499"/>
      <c r="DM185" s="499"/>
      <c r="DN185" s="499"/>
      <c r="DO185" s="499"/>
      <c r="DP185" s="499"/>
      <c r="DQ185" s="499"/>
      <c r="DR185" s="499"/>
      <c r="DS185" s="499"/>
      <c r="DT185" s="499"/>
      <c r="DU185" s="499"/>
      <c r="DV185" s="499"/>
      <c r="DW185" s="499"/>
      <c r="DX185" s="499"/>
      <c r="DY185" s="499"/>
      <c r="DZ185" s="499"/>
      <c r="EA185" s="499"/>
      <c r="EB185" s="499"/>
    </row>
    <row r="186" spans="1:132">
      <c r="A186" s="510" t="s">
        <v>550</v>
      </c>
      <c r="B186" s="923">
        <f t="shared" si="62"/>
        <v>375.50565249796597</v>
      </c>
      <c r="C186" s="923">
        <f t="shared" si="54"/>
        <v>3538.8563008141641</v>
      </c>
      <c r="D186" s="923">
        <f>J94</f>
        <v>5666.7216649693046</v>
      </c>
      <c r="E186" s="1056">
        <f t="shared" si="57"/>
        <v>9205.5779657834682</v>
      </c>
      <c r="F186" s="1056">
        <f t="shared" si="58"/>
        <v>9581.0836182814346</v>
      </c>
      <c r="G186" s="499"/>
      <c r="H186" s="499"/>
      <c r="I186" s="499"/>
      <c r="J186" s="499"/>
      <c r="K186" s="499"/>
      <c r="L186" s="499"/>
      <c r="M186" s="499"/>
      <c r="N186" s="499"/>
      <c r="O186" s="499"/>
      <c r="P186" s="499"/>
      <c r="Q186" s="499"/>
      <c r="R186" s="499"/>
      <c r="S186" s="499"/>
      <c r="T186" s="499"/>
      <c r="U186" s="499"/>
      <c r="V186" s="499"/>
      <c r="W186" s="499"/>
      <c r="X186" s="499"/>
      <c r="Y186" s="499"/>
      <c r="Z186" s="499"/>
      <c r="AA186" s="499"/>
      <c r="AB186" s="499"/>
      <c r="AC186" s="499"/>
      <c r="AD186" s="499"/>
      <c r="AE186" s="499"/>
      <c r="AF186" s="499"/>
      <c r="AG186" s="499"/>
      <c r="AH186" s="499"/>
      <c r="AI186" s="499"/>
      <c r="AJ186" s="499"/>
      <c r="AK186" s="499"/>
      <c r="AL186" s="499"/>
      <c r="AM186" s="499"/>
      <c r="AN186" s="499"/>
      <c r="AO186" s="499"/>
      <c r="AP186" s="499"/>
      <c r="AQ186" s="499"/>
      <c r="AR186" s="499"/>
      <c r="AS186" s="499"/>
      <c r="AT186" s="499"/>
      <c r="AU186" s="499"/>
      <c r="AV186" s="499"/>
      <c r="AW186" s="499"/>
      <c r="AX186" s="499"/>
      <c r="AY186" s="499"/>
      <c r="AZ186" s="499"/>
      <c r="BA186" s="499"/>
      <c r="BB186" s="499"/>
      <c r="BC186" s="499"/>
      <c r="BD186" s="499"/>
      <c r="BE186" s="499"/>
      <c r="BF186" s="499"/>
      <c r="BG186" s="499"/>
      <c r="BH186" s="499"/>
      <c r="BI186" s="499"/>
      <c r="BJ186" s="499"/>
      <c r="BK186" s="499"/>
      <c r="BL186" s="499"/>
      <c r="BM186" s="499"/>
      <c r="BN186" s="499"/>
      <c r="BO186" s="499"/>
      <c r="BP186" s="499"/>
      <c r="BQ186" s="499"/>
      <c r="BR186" s="499"/>
      <c r="BS186" s="499"/>
      <c r="BT186" s="499"/>
      <c r="BU186" s="499"/>
      <c r="BV186" s="499"/>
      <c r="BW186" s="499"/>
      <c r="BX186" s="499"/>
      <c r="BY186" s="499"/>
      <c r="BZ186" s="499"/>
      <c r="CA186" s="499"/>
      <c r="CB186" s="499"/>
      <c r="CC186" s="499"/>
      <c r="CD186" s="499"/>
      <c r="CE186" s="499"/>
      <c r="CF186" s="499"/>
      <c r="CG186" s="499"/>
      <c r="CH186" s="499"/>
      <c r="CI186" s="499"/>
      <c r="CJ186" s="499"/>
      <c r="CK186" s="499"/>
      <c r="CL186" s="499"/>
      <c r="CM186" s="499"/>
      <c r="CN186" s="499"/>
      <c r="CO186" s="499"/>
      <c r="CP186" s="499"/>
      <c r="CQ186" s="499"/>
      <c r="CR186" s="499"/>
      <c r="CS186" s="499"/>
      <c r="CT186" s="499"/>
      <c r="CU186" s="499"/>
      <c r="CV186" s="499"/>
      <c r="CW186" s="499"/>
      <c r="CX186" s="499"/>
      <c r="CY186" s="499"/>
      <c r="CZ186" s="499"/>
      <c r="DA186" s="499"/>
      <c r="DB186" s="499"/>
      <c r="DC186" s="499"/>
      <c r="DD186" s="499"/>
      <c r="DE186" s="499"/>
      <c r="DF186" s="499"/>
      <c r="DG186" s="499"/>
      <c r="DH186" s="499"/>
      <c r="DI186" s="499"/>
      <c r="DJ186" s="499"/>
      <c r="DK186" s="499"/>
      <c r="DL186" s="499"/>
      <c r="DM186" s="499"/>
      <c r="DN186" s="499"/>
      <c r="DO186" s="499"/>
      <c r="DP186" s="499"/>
      <c r="DQ186" s="499"/>
      <c r="DR186" s="499"/>
      <c r="DS186" s="499"/>
      <c r="DT186" s="499"/>
      <c r="DU186" s="499"/>
      <c r="DV186" s="499"/>
      <c r="DW186" s="499"/>
      <c r="DX186" s="499"/>
      <c r="DY186" s="499"/>
      <c r="DZ186" s="499"/>
      <c r="EA186" s="499"/>
      <c r="EB186" s="499"/>
    </row>
    <row r="187" spans="1:132">
      <c r="A187" s="510" t="s">
        <v>551</v>
      </c>
      <c r="B187" s="923">
        <f t="shared" si="62"/>
        <v>68.273754999630171</v>
      </c>
      <c r="C187" s="923">
        <f t="shared" si="54"/>
        <v>876.17985582858739</v>
      </c>
      <c r="D187" s="923">
        <f>J95</f>
        <v>568.94795833025159</v>
      </c>
      <c r="E187" s="1056">
        <f t="shared" si="57"/>
        <v>1445.1278141588391</v>
      </c>
      <c r="F187" s="1056">
        <f t="shared" si="58"/>
        <v>1513.4015691584691</v>
      </c>
      <c r="G187" s="499"/>
      <c r="H187" s="499"/>
      <c r="I187" s="499"/>
      <c r="J187" s="499"/>
      <c r="K187" s="499"/>
      <c r="L187" s="499"/>
      <c r="M187" s="499"/>
      <c r="N187" s="499"/>
      <c r="O187" s="499"/>
      <c r="P187" s="499"/>
      <c r="Q187" s="499"/>
      <c r="R187" s="499"/>
      <c r="S187" s="499"/>
      <c r="T187" s="499"/>
      <c r="U187" s="499"/>
      <c r="V187" s="499"/>
      <c r="W187" s="499"/>
      <c r="X187" s="499"/>
      <c r="Y187" s="499"/>
      <c r="Z187" s="499"/>
      <c r="AA187" s="499"/>
      <c r="AB187" s="499"/>
      <c r="AC187" s="499"/>
      <c r="AD187" s="499"/>
      <c r="AE187" s="499"/>
      <c r="AF187" s="499"/>
      <c r="AG187" s="499"/>
      <c r="AH187" s="499"/>
      <c r="AI187" s="499"/>
      <c r="AJ187" s="499"/>
      <c r="AK187" s="499"/>
      <c r="AL187" s="499"/>
      <c r="AM187" s="499"/>
      <c r="AN187" s="499"/>
      <c r="AO187" s="499"/>
      <c r="AP187" s="499"/>
      <c r="AQ187" s="499"/>
      <c r="AR187" s="499"/>
      <c r="AS187" s="499"/>
      <c r="AT187" s="499"/>
      <c r="AU187" s="499"/>
      <c r="AV187" s="499"/>
      <c r="AW187" s="499"/>
      <c r="AX187" s="499"/>
      <c r="AY187" s="499"/>
      <c r="AZ187" s="499"/>
      <c r="BA187" s="499"/>
      <c r="BB187" s="499"/>
      <c r="BC187" s="499"/>
      <c r="BD187" s="499"/>
      <c r="BE187" s="499"/>
      <c r="BF187" s="499"/>
      <c r="BG187" s="499"/>
      <c r="BH187" s="499"/>
      <c r="BI187" s="499"/>
      <c r="BJ187" s="499"/>
      <c r="BK187" s="499"/>
      <c r="BL187" s="499"/>
      <c r="BM187" s="499"/>
      <c r="BN187" s="499"/>
      <c r="BO187" s="499"/>
      <c r="BP187" s="499"/>
      <c r="BQ187" s="499"/>
      <c r="BR187" s="499"/>
      <c r="BS187" s="499"/>
      <c r="BT187" s="499"/>
      <c r="BU187" s="499"/>
      <c r="BV187" s="499"/>
      <c r="BW187" s="499"/>
      <c r="BX187" s="499"/>
      <c r="BY187" s="499"/>
      <c r="BZ187" s="499"/>
      <c r="CA187" s="499"/>
      <c r="CB187" s="499"/>
      <c r="CC187" s="499"/>
      <c r="CD187" s="499"/>
      <c r="CE187" s="499"/>
      <c r="CF187" s="499"/>
      <c r="CG187" s="499"/>
      <c r="CH187" s="499"/>
      <c r="CI187" s="499"/>
      <c r="CJ187" s="499"/>
      <c r="CK187" s="499"/>
      <c r="CL187" s="499"/>
      <c r="CM187" s="499"/>
      <c r="CN187" s="499"/>
      <c r="CO187" s="499"/>
      <c r="CP187" s="499"/>
      <c r="CQ187" s="499"/>
      <c r="CR187" s="499"/>
      <c r="CS187" s="499"/>
      <c r="CT187" s="499"/>
      <c r="CU187" s="499"/>
      <c r="CV187" s="499"/>
      <c r="CW187" s="499"/>
      <c r="CX187" s="499"/>
      <c r="CY187" s="499"/>
      <c r="CZ187" s="499"/>
      <c r="DA187" s="499"/>
      <c r="DB187" s="499"/>
      <c r="DC187" s="499"/>
      <c r="DD187" s="499"/>
      <c r="DE187" s="499"/>
      <c r="DF187" s="499"/>
      <c r="DG187" s="499"/>
      <c r="DH187" s="499"/>
      <c r="DI187" s="499"/>
      <c r="DJ187" s="499"/>
      <c r="DK187" s="499"/>
      <c r="DL187" s="499"/>
      <c r="DM187" s="499"/>
      <c r="DN187" s="499"/>
      <c r="DO187" s="499"/>
      <c r="DP187" s="499"/>
      <c r="DQ187" s="499"/>
      <c r="DR187" s="499"/>
      <c r="DS187" s="499"/>
      <c r="DT187" s="499"/>
      <c r="DU187" s="499"/>
      <c r="DV187" s="499"/>
      <c r="DW187" s="499"/>
      <c r="DX187" s="499"/>
      <c r="DY187" s="499"/>
      <c r="DZ187" s="499"/>
      <c r="EA187" s="499"/>
      <c r="EB187" s="499"/>
    </row>
    <row r="188" spans="1:132">
      <c r="A188" s="510" t="s">
        <v>424</v>
      </c>
      <c r="B188" s="923">
        <f t="shared" si="62"/>
        <v>250.33710166531066</v>
      </c>
      <c r="C188" s="923">
        <f t="shared" si="54"/>
        <v>944.45361082821762</v>
      </c>
      <c r="D188" s="923">
        <f>J96</f>
        <v>261.71606083191568</v>
      </c>
      <c r="E188" s="1056">
        <f t="shared" si="57"/>
        <v>1206.1696716601332</v>
      </c>
      <c r="F188" s="1056">
        <f t="shared" si="58"/>
        <v>1456.5067733254439</v>
      </c>
      <c r="G188" s="499"/>
      <c r="H188" s="499"/>
      <c r="I188" s="499"/>
      <c r="J188" s="499"/>
      <c r="K188" s="499"/>
      <c r="L188" s="499"/>
      <c r="M188" s="499"/>
      <c r="N188" s="499"/>
      <c r="O188" s="499"/>
      <c r="P188" s="499"/>
      <c r="Q188" s="499"/>
      <c r="R188" s="499"/>
      <c r="S188" s="499"/>
      <c r="T188" s="499"/>
      <c r="U188" s="499"/>
      <c r="V188" s="499"/>
      <c r="W188" s="499"/>
      <c r="X188" s="499"/>
      <c r="Y188" s="499"/>
      <c r="Z188" s="499"/>
      <c r="AA188" s="499"/>
      <c r="AB188" s="499"/>
      <c r="AC188" s="499"/>
      <c r="AD188" s="499"/>
      <c r="AE188" s="499"/>
      <c r="AF188" s="499"/>
      <c r="AG188" s="499"/>
      <c r="AH188" s="499"/>
      <c r="AI188" s="499"/>
      <c r="AJ188" s="499"/>
      <c r="AK188" s="499"/>
      <c r="AL188" s="499"/>
      <c r="AM188" s="499"/>
      <c r="AN188" s="499"/>
      <c r="AO188" s="499"/>
      <c r="AP188" s="499"/>
      <c r="AQ188" s="499"/>
      <c r="AR188" s="499"/>
      <c r="AS188" s="499"/>
      <c r="AT188" s="499"/>
      <c r="AU188" s="499"/>
      <c r="AV188" s="499"/>
      <c r="AW188" s="499"/>
      <c r="AX188" s="499"/>
      <c r="AY188" s="499"/>
      <c r="AZ188" s="499"/>
      <c r="BA188" s="499"/>
      <c r="BB188" s="499"/>
      <c r="BC188" s="499"/>
      <c r="BD188" s="499"/>
      <c r="BE188" s="499"/>
      <c r="BF188" s="499"/>
      <c r="BG188" s="499"/>
      <c r="BH188" s="499"/>
      <c r="BI188" s="499"/>
      <c r="BJ188" s="499"/>
      <c r="BK188" s="499"/>
      <c r="BL188" s="499"/>
      <c r="BM188" s="499"/>
      <c r="BN188" s="499"/>
      <c r="BO188" s="499"/>
      <c r="BP188" s="499"/>
      <c r="BQ188" s="499"/>
      <c r="BR188" s="499"/>
      <c r="BS188" s="499"/>
      <c r="BT188" s="499"/>
      <c r="BU188" s="499"/>
      <c r="BV188" s="499"/>
      <c r="BW188" s="499"/>
      <c r="BX188" s="499"/>
      <c r="BY188" s="499"/>
      <c r="BZ188" s="499"/>
      <c r="CA188" s="499"/>
      <c r="CB188" s="499"/>
      <c r="CC188" s="499"/>
      <c r="CD188" s="499"/>
      <c r="CE188" s="499"/>
      <c r="CF188" s="499"/>
      <c r="CG188" s="499"/>
      <c r="CH188" s="499"/>
      <c r="CI188" s="499"/>
      <c r="CJ188" s="499"/>
      <c r="CK188" s="499"/>
      <c r="CL188" s="499"/>
      <c r="CM188" s="499"/>
      <c r="CN188" s="499"/>
      <c r="CO188" s="499"/>
      <c r="CP188" s="499"/>
      <c r="CQ188" s="499"/>
      <c r="CR188" s="499"/>
      <c r="CS188" s="499"/>
      <c r="CT188" s="499"/>
      <c r="CU188" s="499"/>
      <c r="CV188" s="499"/>
      <c r="CW188" s="499"/>
      <c r="CX188" s="499"/>
      <c r="CY188" s="499"/>
      <c r="CZ188" s="499"/>
      <c r="DA188" s="499"/>
      <c r="DB188" s="499"/>
      <c r="DC188" s="499"/>
      <c r="DD188" s="499"/>
      <c r="DE188" s="499"/>
      <c r="DF188" s="499"/>
      <c r="DG188" s="499"/>
      <c r="DH188" s="499"/>
      <c r="DI188" s="499"/>
      <c r="DJ188" s="499"/>
      <c r="DK188" s="499"/>
      <c r="DL188" s="499"/>
      <c r="DM188" s="499"/>
      <c r="DN188" s="499"/>
      <c r="DO188" s="499"/>
      <c r="DP188" s="499"/>
      <c r="DQ188" s="499"/>
      <c r="DR188" s="499"/>
      <c r="DS188" s="499"/>
      <c r="DT188" s="499"/>
      <c r="DU188" s="499"/>
      <c r="DV188" s="499"/>
      <c r="DW188" s="499"/>
      <c r="DX188" s="499"/>
      <c r="DY188" s="499"/>
      <c r="DZ188" s="499"/>
      <c r="EA188" s="499"/>
      <c r="EB188" s="499"/>
    </row>
    <row r="189" spans="1:132">
      <c r="A189" s="510" t="s">
        <v>552</v>
      </c>
      <c r="B189" s="923">
        <f t="shared" si="62"/>
        <v>329.98981583154591</v>
      </c>
      <c r="C189" s="923">
        <f t="shared" si="54"/>
        <v>295.8529383317308</v>
      </c>
      <c r="D189" s="923">
        <f>J97</f>
        <v>0</v>
      </c>
      <c r="E189" s="1056">
        <f t="shared" si="57"/>
        <v>295.8529383317308</v>
      </c>
      <c r="F189" s="1056">
        <f t="shared" si="58"/>
        <v>625.84275416327671</v>
      </c>
      <c r="G189" s="499"/>
      <c r="H189" s="499"/>
      <c r="I189" s="499"/>
      <c r="J189" s="499"/>
      <c r="K189" s="499"/>
      <c r="L189" s="499"/>
      <c r="M189" s="499"/>
      <c r="N189" s="499"/>
      <c r="O189" s="499"/>
      <c r="P189" s="499"/>
      <c r="Q189" s="499"/>
      <c r="R189" s="499"/>
      <c r="S189" s="499"/>
      <c r="T189" s="499"/>
      <c r="U189" s="499"/>
      <c r="V189" s="499"/>
      <c r="W189" s="499"/>
      <c r="X189" s="499"/>
      <c r="Y189" s="499"/>
      <c r="Z189" s="499"/>
      <c r="AA189" s="499"/>
      <c r="AB189" s="499"/>
      <c r="AC189" s="499"/>
      <c r="AD189" s="499"/>
      <c r="AE189" s="499"/>
      <c r="AF189" s="499"/>
      <c r="AG189" s="499"/>
      <c r="AH189" s="499"/>
      <c r="AI189" s="499"/>
      <c r="AJ189" s="499"/>
      <c r="AK189" s="499"/>
      <c r="AL189" s="499"/>
      <c r="AM189" s="499"/>
      <c r="AN189" s="499"/>
      <c r="AO189" s="499"/>
      <c r="AP189" s="499"/>
      <c r="AQ189" s="499"/>
      <c r="AR189" s="499"/>
      <c r="AS189" s="499"/>
      <c r="AT189" s="499"/>
      <c r="AU189" s="499"/>
      <c r="AV189" s="499"/>
      <c r="AW189" s="499"/>
      <c r="AX189" s="499"/>
      <c r="AY189" s="499"/>
      <c r="AZ189" s="499"/>
      <c r="BA189" s="499"/>
      <c r="BB189" s="499"/>
      <c r="BC189" s="499"/>
      <c r="BD189" s="499"/>
      <c r="BE189" s="499"/>
      <c r="BF189" s="499"/>
      <c r="BG189" s="499"/>
      <c r="BH189" s="499"/>
      <c r="BI189" s="499"/>
      <c r="BJ189" s="499"/>
      <c r="BK189" s="499"/>
      <c r="BL189" s="499"/>
      <c r="BM189" s="499"/>
      <c r="BN189" s="499"/>
      <c r="BO189" s="499"/>
      <c r="BP189" s="499"/>
      <c r="BQ189" s="499"/>
      <c r="BR189" s="499"/>
      <c r="BS189" s="499"/>
      <c r="BT189" s="499"/>
      <c r="BU189" s="499"/>
      <c r="BV189" s="499"/>
      <c r="BW189" s="499"/>
      <c r="BX189" s="499"/>
      <c r="BY189" s="499"/>
      <c r="BZ189" s="499"/>
      <c r="CA189" s="499"/>
      <c r="CB189" s="499"/>
      <c r="CC189" s="499"/>
      <c r="CD189" s="499"/>
      <c r="CE189" s="499"/>
      <c r="CF189" s="499"/>
      <c r="CG189" s="499"/>
      <c r="CH189" s="499"/>
      <c r="CI189" s="499"/>
      <c r="CJ189" s="499"/>
      <c r="CK189" s="499"/>
      <c r="CL189" s="499"/>
      <c r="CM189" s="499"/>
      <c r="CN189" s="499"/>
      <c r="CO189" s="499"/>
      <c r="CP189" s="499"/>
      <c r="CQ189" s="499"/>
      <c r="CR189" s="499"/>
      <c r="CS189" s="499"/>
      <c r="CT189" s="499"/>
      <c r="CU189" s="499"/>
      <c r="CV189" s="499"/>
      <c r="CW189" s="499"/>
      <c r="CX189" s="499"/>
      <c r="CY189" s="499"/>
      <c r="CZ189" s="499"/>
      <c r="DA189" s="499"/>
      <c r="DB189" s="499"/>
      <c r="DC189" s="499"/>
      <c r="DD189" s="499"/>
      <c r="DE189" s="499"/>
      <c r="DF189" s="499"/>
      <c r="DG189" s="499"/>
      <c r="DH189" s="499"/>
      <c r="DI189" s="499"/>
      <c r="DJ189" s="499"/>
      <c r="DK189" s="499"/>
      <c r="DL189" s="499"/>
      <c r="DM189" s="499"/>
      <c r="DN189" s="499"/>
      <c r="DO189" s="499"/>
      <c r="DP189" s="499"/>
      <c r="DQ189" s="499"/>
      <c r="DR189" s="499"/>
      <c r="DS189" s="499"/>
      <c r="DT189" s="499"/>
      <c r="DU189" s="499"/>
      <c r="DV189" s="499"/>
      <c r="DW189" s="499"/>
      <c r="DX189" s="499"/>
      <c r="DY189" s="499"/>
      <c r="DZ189" s="499"/>
      <c r="EA189" s="499"/>
      <c r="EB189" s="499"/>
    </row>
    <row r="190" spans="1:132">
      <c r="A190" s="964" t="s">
        <v>554</v>
      </c>
      <c r="B190" s="963">
        <f>J21</f>
        <v>75738.35221292307</v>
      </c>
      <c r="C190" s="963">
        <f>SUM(C176:C189)</f>
        <v>2749418.2507126071</v>
      </c>
      <c r="D190" s="963">
        <f>SUM(D176:D189)</f>
        <v>958438.35164397513</v>
      </c>
      <c r="E190" s="1056">
        <f t="shared" si="57"/>
        <v>3707856.6023565819</v>
      </c>
      <c r="F190" s="1056">
        <f>SUM(B190:D190)</f>
        <v>3783594.9545695055</v>
      </c>
      <c r="G190" s="499"/>
      <c r="H190" s="499"/>
      <c r="I190" s="499"/>
      <c r="J190" s="499"/>
      <c r="K190" s="499"/>
      <c r="L190" s="499"/>
      <c r="M190" s="499"/>
      <c r="N190" s="499"/>
      <c r="O190" s="499"/>
      <c r="P190" s="499"/>
      <c r="Q190" s="499"/>
      <c r="R190" s="499"/>
      <c r="S190" s="499"/>
      <c r="T190" s="499"/>
      <c r="U190" s="499"/>
      <c r="V190" s="499"/>
      <c r="W190" s="499"/>
      <c r="X190" s="499"/>
      <c r="Y190" s="499"/>
      <c r="Z190" s="499"/>
      <c r="AA190" s="499"/>
      <c r="AB190" s="499"/>
      <c r="AC190" s="499"/>
      <c r="AD190" s="499"/>
      <c r="AE190" s="499"/>
      <c r="AF190" s="499"/>
      <c r="AG190" s="499"/>
      <c r="AH190" s="499"/>
      <c r="AI190" s="499"/>
      <c r="AJ190" s="499"/>
      <c r="AK190" s="499"/>
      <c r="AL190" s="499"/>
      <c r="AM190" s="499"/>
      <c r="AN190" s="499"/>
      <c r="AO190" s="499"/>
      <c r="AP190" s="499"/>
      <c r="AQ190" s="499"/>
      <c r="AR190" s="499"/>
      <c r="AS190" s="499"/>
      <c r="AT190" s="499"/>
      <c r="AU190" s="499"/>
      <c r="AV190" s="499"/>
      <c r="AW190" s="499"/>
      <c r="AX190" s="499"/>
      <c r="AY190" s="499"/>
      <c r="AZ190" s="499"/>
      <c r="BA190" s="499"/>
      <c r="BB190" s="499"/>
      <c r="BC190" s="499"/>
      <c r="BD190" s="499"/>
      <c r="BE190" s="499"/>
      <c r="BF190" s="499"/>
      <c r="BG190" s="499"/>
      <c r="BH190" s="499"/>
      <c r="BI190" s="499"/>
      <c r="BJ190" s="499"/>
      <c r="BK190" s="499"/>
      <c r="BL190" s="499"/>
      <c r="BM190" s="499"/>
      <c r="BN190" s="499"/>
      <c r="BO190" s="499"/>
      <c r="BP190" s="499"/>
      <c r="BQ190" s="499"/>
      <c r="BR190" s="499"/>
      <c r="BS190" s="499"/>
      <c r="BT190" s="499"/>
      <c r="BU190" s="499"/>
      <c r="BV190" s="499"/>
      <c r="BW190" s="499"/>
      <c r="BX190" s="499"/>
      <c r="BY190" s="499"/>
      <c r="BZ190" s="499"/>
      <c r="CA190" s="499"/>
      <c r="CB190" s="499"/>
      <c r="CC190" s="499"/>
      <c r="CD190" s="499"/>
      <c r="CE190" s="499"/>
      <c r="CF190" s="499"/>
      <c r="CG190" s="499"/>
      <c r="CH190" s="499"/>
      <c r="CI190" s="499"/>
      <c r="CJ190" s="499"/>
      <c r="CK190" s="499"/>
      <c r="CL190" s="499"/>
      <c r="CM190" s="499"/>
      <c r="CN190" s="499"/>
      <c r="CO190" s="499"/>
      <c r="CP190" s="499"/>
      <c r="CQ190" s="499"/>
      <c r="CR190" s="499"/>
      <c r="CS190" s="499"/>
      <c r="CT190" s="499"/>
      <c r="CU190" s="499"/>
      <c r="CV190" s="499"/>
      <c r="CW190" s="499"/>
      <c r="CX190" s="499"/>
      <c r="CY190" s="499"/>
      <c r="CZ190" s="499"/>
      <c r="DA190" s="499"/>
      <c r="DB190" s="499"/>
      <c r="DC190" s="499"/>
      <c r="DD190" s="499"/>
      <c r="DE190" s="499"/>
      <c r="DF190" s="499"/>
      <c r="DG190" s="499"/>
      <c r="DH190" s="499"/>
      <c r="DI190" s="499"/>
      <c r="DJ190" s="499"/>
      <c r="DK190" s="499"/>
      <c r="DL190" s="499"/>
      <c r="DM190" s="499"/>
      <c r="DN190" s="499"/>
      <c r="DO190" s="499"/>
      <c r="DP190" s="499"/>
      <c r="DQ190" s="499"/>
      <c r="DR190" s="499"/>
      <c r="DS190" s="499"/>
      <c r="DT190" s="499"/>
      <c r="DU190" s="499"/>
      <c r="DV190" s="499"/>
      <c r="DW190" s="499"/>
      <c r="DX190" s="499"/>
      <c r="DY190" s="499"/>
      <c r="DZ190" s="499"/>
      <c r="EA190" s="499"/>
      <c r="EB190" s="499"/>
    </row>
    <row r="191" spans="1:132" ht="39.5" customHeight="1">
      <c r="A191" s="508" t="s">
        <v>563</v>
      </c>
      <c r="B191" s="507"/>
      <c r="C191" s="511"/>
      <c r="D191" s="511"/>
      <c r="E191" s="511"/>
      <c r="F191" s="512"/>
      <c r="G191" s="499"/>
      <c r="H191" s="499"/>
      <c r="I191" s="499"/>
      <c r="J191" s="499"/>
      <c r="K191" s="499"/>
      <c r="L191" s="499"/>
      <c r="M191" s="499"/>
      <c r="N191" s="499"/>
      <c r="O191" s="499"/>
      <c r="P191" s="499"/>
      <c r="Q191" s="499"/>
      <c r="R191" s="499"/>
      <c r="S191" s="499"/>
      <c r="T191" s="499"/>
      <c r="U191" s="499"/>
      <c r="V191" s="499"/>
      <c r="W191" s="499"/>
      <c r="X191" s="499"/>
      <c r="Y191" s="499"/>
      <c r="Z191" s="499"/>
      <c r="AA191" s="499"/>
      <c r="AB191" s="499"/>
      <c r="AC191" s="499"/>
      <c r="AD191" s="499"/>
      <c r="AE191" s="499"/>
      <c r="AF191" s="499"/>
      <c r="AG191" s="499"/>
      <c r="AH191" s="499"/>
      <c r="AI191" s="499"/>
      <c r="AJ191" s="499"/>
      <c r="AK191" s="499"/>
      <c r="AL191" s="499"/>
      <c r="AM191" s="499"/>
      <c r="AN191" s="499"/>
      <c r="AO191" s="499"/>
      <c r="AP191" s="499"/>
      <c r="AQ191" s="499"/>
      <c r="AR191" s="499"/>
      <c r="AS191" s="499"/>
      <c r="AT191" s="499"/>
      <c r="AU191" s="499"/>
      <c r="AV191" s="499"/>
      <c r="AW191" s="499"/>
      <c r="AX191" s="499"/>
      <c r="AY191" s="499"/>
      <c r="AZ191" s="499"/>
      <c r="BA191" s="499"/>
      <c r="BB191" s="499"/>
      <c r="BC191" s="499"/>
      <c r="BD191" s="499"/>
      <c r="BE191" s="499"/>
      <c r="BF191" s="499"/>
      <c r="BG191" s="499"/>
      <c r="BH191" s="499"/>
      <c r="BI191" s="499"/>
      <c r="BJ191" s="499"/>
      <c r="BK191" s="499"/>
      <c r="BL191" s="499"/>
      <c r="BM191" s="499"/>
      <c r="BN191" s="499"/>
      <c r="BO191" s="499"/>
      <c r="BP191" s="499"/>
      <c r="BQ191" s="499"/>
      <c r="BR191" s="499"/>
      <c r="BS191" s="499"/>
      <c r="BT191" s="499"/>
      <c r="BU191" s="499"/>
      <c r="BV191" s="499"/>
      <c r="BW191" s="499"/>
      <c r="BX191" s="499"/>
      <c r="BY191" s="499"/>
      <c r="BZ191" s="499"/>
      <c r="CA191" s="499"/>
      <c r="CB191" s="499"/>
      <c r="CC191" s="499"/>
      <c r="CD191" s="499"/>
      <c r="CE191" s="499"/>
      <c r="CF191" s="499"/>
      <c r="CG191" s="499"/>
      <c r="CH191" s="499"/>
      <c r="CI191" s="499"/>
      <c r="CJ191" s="499"/>
      <c r="CK191" s="499"/>
      <c r="CL191" s="499"/>
      <c r="CM191" s="499"/>
      <c r="CN191" s="499"/>
      <c r="CO191" s="499"/>
      <c r="CP191" s="499"/>
      <c r="CQ191" s="499"/>
      <c r="CR191" s="499"/>
      <c r="CS191" s="499"/>
      <c r="CT191" s="499"/>
      <c r="CU191" s="499"/>
      <c r="CV191" s="499"/>
      <c r="CW191" s="499"/>
      <c r="CX191" s="499"/>
      <c r="CY191" s="499"/>
      <c r="CZ191" s="499"/>
      <c r="DA191" s="499"/>
      <c r="DB191" s="499"/>
      <c r="DC191" s="499"/>
      <c r="DD191" s="499"/>
      <c r="DE191" s="499"/>
      <c r="DF191" s="499"/>
      <c r="DG191" s="499"/>
      <c r="DH191" s="499"/>
      <c r="DI191" s="499"/>
      <c r="DJ191" s="499"/>
      <c r="DK191" s="499"/>
      <c r="DL191" s="499"/>
      <c r="DM191" s="499"/>
      <c r="DN191" s="499"/>
      <c r="DO191" s="499"/>
      <c r="DP191" s="499"/>
      <c r="DQ191" s="499"/>
      <c r="DR191" s="499"/>
      <c r="DS191" s="499"/>
      <c r="DT191" s="499"/>
      <c r="DU191" s="499"/>
      <c r="DV191" s="499"/>
      <c r="DW191" s="499"/>
      <c r="DX191" s="499"/>
      <c r="DY191" s="499"/>
      <c r="DZ191" s="499"/>
      <c r="EA191" s="499"/>
      <c r="EB191" s="499"/>
    </row>
    <row r="192" spans="1:132">
      <c r="A192" s="510" t="s">
        <v>555</v>
      </c>
      <c r="B192" s="923">
        <f t="shared" ref="B192:B199" si="63">J23</f>
        <v>2617.1606083191577</v>
      </c>
      <c r="C192" s="923">
        <f>V61</f>
        <v>9126.3568108293803</v>
      </c>
      <c r="D192" s="923">
        <f t="shared" ref="D192:D199" si="64">J100</f>
        <v>5325.3528899711546</v>
      </c>
      <c r="E192" s="1056">
        <f>SUM(C192:D192)</f>
        <v>14451.709700800535</v>
      </c>
      <c r="F192" s="1056">
        <f t="shared" si="58"/>
        <v>17068.870309119695</v>
      </c>
      <c r="G192" s="499"/>
      <c r="H192" s="499"/>
      <c r="I192" s="499"/>
      <c r="J192" s="499"/>
      <c r="K192" s="499"/>
      <c r="L192" s="499"/>
      <c r="M192" s="499"/>
      <c r="N192" s="499"/>
      <c r="O192" s="499"/>
      <c r="P192" s="499"/>
      <c r="Q192" s="499"/>
      <c r="R192" s="499"/>
      <c r="S192" s="499"/>
      <c r="T192" s="499"/>
      <c r="U192" s="499"/>
      <c r="V192" s="499"/>
      <c r="W192" s="499"/>
      <c r="X192" s="499"/>
      <c r="Y192" s="499"/>
      <c r="Z192" s="499"/>
      <c r="AA192" s="499"/>
      <c r="AB192" s="499"/>
      <c r="AC192" s="499"/>
      <c r="AD192" s="499"/>
      <c r="AE192" s="499"/>
      <c r="AF192" s="499"/>
      <c r="AG192" s="499"/>
      <c r="AH192" s="499"/>
      <c r="AI192" s="499"/>
      <c r="AJ192" s="499"/>
      <c r="AK192" s="499"/>
      <c r="AL192" s="499"/>
      <c r="AM192" s="499"/>
      <c r="AN192" s="499"/>
      <c r="AO192" s="499"/>
      <c r="AP192" s="499"/>
      <c r="AQ192" s="499"/>
      <c r="AR192" s="499"/>
      <c r="AS192" s="499"/>
      <c r="AT192" s="499"/>
      <c r="AU192" s="499"/>
      <c r="AV192" s="499"/>
      <c r="AW192" s="499"/>
      <c r="AX192" s="499"/>
      <c r="AY192" s="499"/>
      <c r="AZ192" s="499"/>
      <c r="BA192" s="499"/>
      <c r="BB192" s="499"/>
      <c r="BC192" s="499"/>
      <c r="BD192" s="499"/>
      <c r="BE192" s="499"/>
      <c r="BF192" s="499"/>
      <c r="BG192" s="499"/>
      <c r="BH192" s="499"/>
      <c r="BI192" s="499"/>
      <c r="BJ192" s="499"/>
      <c r="BK192" s="499"/>
      <c r="BL192" s="499"/>
      <c r="BM192" s="499"/>
      <c r="BN192" s="499"/>
      <c r="BO192" s="499"/>
      <c r="BP192" s="499"/>
      <c r="BQ192" s="499"/>
      <c r="BR192" s="499"/>
      <c r="BS192" s="499"/>
      <c r="BT192" s="499"/>
      <c r="BU192" s="499"/>
      <c r="BV192" s="499"/>
      <c r="BW192" s="499"/>
      <c r="BX192" s="499"/>
      <c r="BY192" s="499"/>
      <c r="BZ192" s="499"/>
      <c r="CA192" s="499"/>
      <c r="CB192" s="499"/>
      <c r="CC192" s="499"/>
      <c r="CD192" s="499"/>
      <c r="CE192" s="499"/>
      <c r="CF192" s="499"/>
      <c r="CG192" s="499"/>
      <c r="CH192" s="499"/>
      <c r="CI192" s="499"/>
      <c r="CJ192" s="499"/>
      <c r="CK192" s="499"/>
      <c r="CL192" s="499"/>
      <c r="CM192" s="499"/>
      <c r="CN192" s="499"/>
      <c r="CO192" s="499"/>
      <c r="CP192" s="499"/>
      <c r="CQ192" s="499"/>
      <c r="CR192" s="499"/>
      <c r="CS192" s="499"/>
      <c r="CT192" s="499"/>
      <c r="CU192" s="499"/>
      <c r="CV192" s="499"/>
      <c r="CW192" s="499"/>
      <c r="CX192" s="499"/>
      <c r="CY192" s="499"/>
      <c r="CZ192" s="499"/>
      <c r="DA192" s="499"/>
      <c r="DB192" s="499"/>
      <c r="DC192" s="499"/>
      <c r="DD192" s="499"/>
      <c r="DE192" s="499"/>
      <c r="DF192" s="499"/>
      <c r="DG192" s="499"/>
      <c r="DH192" s="499"/>
      <c r="DI192" s="499"/>
      <c r="DJ192" s="499"/>
      <c r="DK192" s="499"/>
      <c r="DL192" s="499"/>
      <c r="DM192" s="499"/>
      <c r="DN192" s="499"/>
      <c r="DO192" s="499"/>
      <c r="DP192" s="499"/>
      <c r="DQ192" s="499"/>
      <c r="DR192" s="499"/>
      <c r="DS192" s="499"/>
      <c r="DT192" s="499"/>
      <c r="DU192" s="499"/>
      <c r="DV192" s="499"/>
      <c r="DW192" s="499"/>
      <c r="DX192" s="499"/>
      <c r="DY192" s="499"/>
      <c r="DZ192" s="499"/>
      <c r="EA192" s="499"/>
      <c r="EB192" s="499"/>
    </row>
    <row r="193" spans="1:132">
      <c r="A193" s="510" t="s">
        <v>556</v>
      </c>
      <c r="B193" s="923">
        <f t="shared" si="63"/>
        <v>9137.3042107838392</v>
      </c>
      <c r="C193" s="923">
        <f t="shared" ref="C193:C198" si="65">V62</f>
        <v>5291.2160124713391</v>
      </c>
      <c r="D193" s="923">
        <f t="shared" si="64"/>
        <v>3151.9716891495937</v>
      </c>
      <c r="E193" s="1056">
        <f t="shared" ref="E193:E197" si="66">SUM(C193:D193)</f>
        <v>8443.1877016209328</v>
      </c>
      <c r="F193" s="1056">
        <f t="shared" si="58"/>
        <v>17580.491912404774</v>
      </c>
      <c r="G193" s="499"/>
      <c r="H193" s="499"/>
      <c r="I193" s="499"/>
      <c r="J193" s="499"/>
      <c r="K193" s="499"/>
      <c r="L193" s="499"/>
      <c r="M193" s="499"/>
      <c r="N193" s="499"/>
      <c r="O193" s="499"/>
      <c r="P193" s="499"/>
      <c r="Q193" s="499"/>
      <c r="R193" s="499"/>
      <c r="S193" s="499"/>
      <c r="T193" s="499"/>
      <c r="U193" s="499"/>
      <c r="V193" s="499"/>
      <c r="W193" s="499"/>
      <c r="X193" s="499"/>
      <c r="Y193" s="499"/>
      <c r="Z193" s="499"/>
      <c r="AA193" s="499"/>
      <c r="AB193" s="499"/>
      <c r="AC193" s="499"/>
      <c r="AD193" s="499"/>
      <c r="AE193" s="499"/>
      <c r="AF193" s="499"/>
      <c r="AG193" s="499"/>
      <c r="AH193" s="499"/>
      <c r="AI193" s="499"/>
      <c r="AJ193" s="499"/>
      <c r="AK193" s="499"/>
      <c r="AL193" s="499"/>
      <c r="AM193" s="499"/>
      <c r="AN193" s="499"/>
      <c r="AO193" s="499"/>
      <c r="AP193" s="499"/>
      <c r="AQ193" s="499"/>
      <c r="AR193" s="499"/>
      <c r="AS193" s="499"/>
      <c r="AT193" s="499"/>
      <c r="AU193" s="499"/>
      <c r="AV193" s="499"/>
      <c r="AW193" s="499"/>
      <c r="AX193" s="499"/>
      <c r="AY193" s="499"/>
      <c r="AZ193" s="499"/>
      <c r="BA193" s="499"/>
      <c r="BB193" s="499"/>
      <c r="BC193" s="499"/>
      <c r="BD193" s="499"/>
      <c r="BE193" s="499"/>
      <c r="BF193" s="499"/>
      <c r="BG193" s="499"/>
      <c r="BH193" s="499"/>
      <c r="BI193" s="499"/>
      <c r="BJ193" s="499"/>
      <c r="BK193" s="499"/>
      <c r="BL193" s="499"/>
      <c r="BM193" s="499"/>
      <c r="BN193" s="499"/>
      <c r="BO193" s="499"/>
      <c r="BP193" s="499"/>
      <c r="BQ193" s="499"/>
      <c r="BR193" s="499"/>
      <c r="BS193" s="499"/>
      <c r="BT193" s="499"/>
      <c r="BU193" s="499"/>
      <c r="BV193" s="499"/>
      <c r="BW193" s="499"/>
      <c r="BX193" s="499"/>
      <c r="BY193" s="499"/>
      <c r="BZ193" s="499"/>
      <c r="CA193" s="499"/>
      <c r="CB193" s="499"/>
      <c r="CC193" s="499"/>
      <c r="CD193" s="499"/>
      <c r="CE193" s="499"/>
      <c r="CF193" s="499"/>
      <c r="CG193" s="499"/>
      <c r="CH193" s="499"/>
      <c r="CI193" s="499"/>
      <c r="CJ193" s="499"/>
      <c r="CK193" s="499"/>
      <c r="CL193" s="499"/>
      <c r="CM193" s="499"/>
      <c r="CN193" s="499"/>
      <c r="CO193" s="499"/>
      <c r="CP193" s="499"/>
      <c r="CQ193" s="499"/>
      <c r="CR193" s="499"/>
      <c r="CS193" s="499"/>
      <c r="CT193" s="499"/>
      <c r="CU193" s="499"/>
      <c r="CV193" s="499"/>
      <c r="CW193" s="499"/>
      <c r="CX193" s="499"/>
      <c r="CY193" s="499"/>
      <c r="CZ193" s="499"/>
      <c r="DA193" s="499"/>
      <c r="DB193" s="499"/>
      <c r="DC193" s="499"/>
      <c r="DD193" s="499"/>
      <c r="DE193" s="499"/>
      <c r="DF193" s="499"/>
      <c r="DG193" s="499"/>
      <c r="DH193" s="499"/>
      <c r="DI193" s="499"/>
      <c r="DJ193" s="499"/>
      <c r="DK193" s="499"/>
      <c r="DL193" s="499"/>
      <c r="DM193" s="499"/>
      <c r="DN193" s="499"/>
      <c r="DO193" s="499"/>
      <c r="DP193" s="499"/>
      <c r="DQ193" s="499"/>
      <c r="DR193" s="499"/>
      <c r="DS193" s="499"/>
      <c r="DT193" s="499"/>
      <c r="DU193" s="499"/>
      <c r="DV193" s="499"/>
      <c r="DW193" s="499"/>
      <c r="DX193" s="499"/>
      <c r="DY193" s="499"/>
      <c r="DZ193" s="499"/>
      <c r="EA193" s="499"/>
      <c r="EB193" s="499"/>
    </row>
    <row r="194" spans="1:132">
      <c r="A194" s="510" t="s">
        <v>557</v>
      </c>
      <c r="B194" s="923">
        <f t="shared" si="63"/>
        <v>250.33710166531066</v>
      </c>
      <c r="C194" s="923">
        <f t="shared" si="65"/>
        <v>580.32691749685648</v>
      </c>
      <c r="D194" s="923">
        <f t="shared" si="64"/>
        <v>273.09501999852068</v>
      </c>
      <c r="E194" s="1056">
        <f t="shared" si="66"/>
        <v>853.42193749537716</v>
      </c>
      <c r="F194" s="1056">
        <f t="shared" si="58"/>
        <v>1103.7590391606877</v>
      </c>
      <c r="G194" s="499"/>
      <c r="H194" s="499"/>
      <c r="I194" s="499"/>
      <c r="J194" s="499"/>
      <c r="K194" s="499"/>
      <c r="L194" s="499"/>
      <c r="M194" s="499"/>
      <c r="N194" s="499"/>
      <c r="O194" s="499"/>
      <c r="P194" s="499"/>
      <c r="Q194" s="499"/>
      <c r="R194" s="499"/>
      <c r="S194" s="499"/>
      <c r="T194" s="499"/>
      <c r="U194" s="499"/>
      <c r="V194" s="499"/>
      <c r="W194" s="499"/>
      <c r="X194" s="499"/>
      <c r="Y194" s="499"/>
      <c r="Z194" s="499"/>
      <c r="AA194" s="499"/>
      <c r="AB194" s="499"/>
      <c r="AC194" s="499"/>
      <c r="AD194" s="499"/>
      <c r="AE194" s="499"/>
      <c r="AF194" s="499"/>
      <c r="AG194" s="499"/>
      <c r="AH194" s="499"/>
      <c r="AI194" s="499"/>
      <c r="AJ194" s="499"/>
      <c r="AK194" s="499"/>
      <c r="AL194" s="499"/>
      <c r="AM194" s="499"/>
      <c r="AN194" s="499"/>
      <c r="AO194" s="499"/>
      <c r="AP194" s="499"/>
      <c r="AQ194" s="499"/>
      <c r="AR194" s="499"/>
      <c r="AS194" s="499"/>
      <c r="AT194" s="499"/>
      <c r="AU194" s="499"/>
      <c r="AV194" s="499"/>
      <c r="AW194" s="499"/>
      <c r="AX194" s="499"/>
      <c r="AY194" s="499"/>
      <c r="AZ194" s="499"/>
      <c r="BA194" s="499"/>
      <c r="BB194" s="499"/>
      <c r="BC194" s="499"/>
      <c r="BD194" s="499"/>
      <c r="BE194" s="499"/>
      <c r="BF194" s="499"/>
      <c r="BG194" s="499"/>
      <c r="BH194" s="499"/>
      <c r="BI194" s="499"/>
      <c r="BJ194" s="499"/>
      <c r="BK194" s="499"/>
      <c r="BL194" s="499"/>
      <c r="BM194" s="499"/>
      <c r="BN194" s="499"/>
      <c r="BO194" s="499"/>
      <c r="BP194" s="499"/>
      <c r="BQ194" s="499"/>
      <c r="BR194" s="499"/>
      <c r="BS194" s="499"/>
      <c r="BT194" s="499"/>
      <c r="BU194" s="499"/>
      <c r="BV194" s="499"/>
      <c r="BW194" s="499"/>
      <c r="BX194" s="499"/>
      <c r="BY194" s="499"/>
      <c r="BZ194" s="499"/>
      <c r="CA194" s="499"/>
      <c r="CB194" s="499"/>
      <c r="CC194" s="499"/>
      <c r="CD194" s="499"/>
      <c r="CE194" s="499"/>
      <c r="CF194" s="499"/>
      <c r="CG194" s="499"/>
      <c r="CH194" s="499"/>
      <c r="CI194" s="499"/>
      <c r="CJ194" s="499"/>
      <c r="CK194" s="499"/>
      <c r="CL194" s="499"/>
      <c r="CM194" s="499"/>
      <c r="CN194" s="499"/>
      <c r="CO194" s="499"/>
      <c r="CP194" s="499"/>
      <c r="CQ194" s="499"/>
      <c r="CR194" s="499"/>
      <c r="CS194" s="499"/>
      <c r="CT194" s="499"/>
      <c r="CU194" s="499"/>
      <c r="CV194" s="499"/>
      <c r="CW194" s="499"/>
      <c r="CX194" s="499"/>
      <c r="CY194" s="499"/>
      <c r="CZ194" s="499"/>
      <c r="DA194" s="499"/>
      <c r="DB194" s="499"/>
      <c r="DC194" s="499"/>
      <c r="DD194" s="499"/>
      <c r="DE194" s="499"/>
      <c r="DF194" s="499"/>
      <c r="DG194" s="499"/>
      <c r="DH194" s="499"/>
      <c r="DI194" s="499"/>
      <c r="DJ194" s="499"/>
      <c r="DK194" s="499"/>
      <c r="DL194" s="499"/>
      <c r="DM194" s="499"/>
      <c r="DN194" s="499"/>
      <c r="DO194" s="499"/>
      <c r="DP194" s="499"/>
      <c r="DQ194" s="499"/>
      <c r="DR194" s="499"/>
      <c r="DS194" s="499"/>
      <c r="DT194" s="499"/>
      <c r="DU194" s="499"/>
      <c r="DV194" s="499"/>
      <c r="DW194" s="499"/>
      <c r="DX194" s="499"/>
      <c r="DY194" s="499"/>
      <c r="DZ194" s="499"/>
      <c r="EA194" s="499"/>
      <c r="EB194" s="499"/>
    </row>
    <row r="195" spans="1:132">
      <c r="A195" s="510" t="s">
        <v>408</v>
      </c>
      <c r="B195" s="923">
        <f t="shared" si="63"/>
        <v>6736.3438266301764</v>
      </c>
      <c r="C195" s="923">
        <f t="shared" si="65"/>
        <v>28857.040446510353</v>
      </c>
      <c r="D195" s="923">
        <f t="shared" si="64"/>
        <v>4437.7940749759618</v>
      </c>
      <c r="E195" s="1056">
        <f t="shared" si="66"/>
        <v>33294.834521486315</v>
      </c>
      <c r="F195" s="1056">
        <f t="shared" si="58"/>
        <v>40031.178348116489</v>
      </c>
      <c r="G195" s="499"/>
      <c r="H195" s="499"/>
      <c r="I195" s="499"/>
      <c r="J195" s="499"/>
      <c r="K195" s="499"/>
      <c r="L195" s="499"/>
      <c r="M195" s="499"/>
      <c r="N195" s="499"/>
      <c r="O195" s="499"/>
      <c r="P195" s="499"/>
      <c r="Q195" s="499"/>
      <c r="R195" s="499"/>
      <c r="S195" s="499"/>
      <c r="T195" s="499"/>
      <c r="U195" s="499"/>
      <c r="V195" s="499"/>
      <c r="W195" s="499"/>
      <c r="X195" s="499"/>
      <c r="Y195" s="499"/>
      <c r="Z195" s="499"/>
      <c r="AA195" s="499"/>
      <c r="AB195" s="499"/>
      <c r="AC195" s="499"/>
      <c r="AD195" s="499"/>
      <c r="AE195" s="499"/>
      <c r="AF195" s="499"/>
      <c r="AG195" s="499"/>
      <c r="AH195" s="499"/>
      <c r="AI195" s="499"/>
      <c r="AJ195" s="499"/>
      <c r="AK195" s="499"/>
      <c r="AL195" s="499"/>
      <c r="AM195" s="499"/>
      <c r="AN195" s="499"/>
      <c r="AO195" s="499"/>
      <c r="AP195" s="499"/>
      <c r="AQ195" s="499"/>
      <c r="AR195" s="499"/>
      <c r="AS195" s="499"/>
      <c r="AT195" s="499"/>
      <c r="AU195" s="499"/>
      <c r="AV195" s="499"/>
      <c r="AW195" s="499"/>
      <c r="AX195" s="499"/>
      <c r="AY195" s="499"/>
      <c r="AZ195" s="499"/>
      <c r="BA195" s="499"/>
      <c r="BB195" s="499"/>
      <c r="BC195" s="499"/>
      <c r="BD195" s="499"/>
      <c r="BE195" s="499"/>
      <c r="BF195" s="499"/>
      <c r="BG195" s="499"/>
      <c r="BH195" s="499"/>
      <c r="BI195" s="499"/>
      <c r="BJ195" s="499"/>
      <c r="BK195" s="499"/>
      <c r="BL195" s="499"/>
      <c r="BM195" s="499"/>
      <c r="BN195" s="499"/>
      <c r="BO195" s="499"/>
      <c r="BP195" s="499"/>
      <c r="BQ195" s="499"/>
      <c r="BR195" s="499"/>
      <c r="BS195" s="499"/>
      <c r="BT195" s="499"/>
      <c r="BU195" s="499"/>
      <c r="BV195" s="499"/>
      <c r="BW195" s="499"/>
      <c r="BX195" s="499"/>
      <c r="BY195" s="499"/>
      <c r="BZ195" s="499"/>
      <c r="CA195" s="499"/>
      <c r="CB195" s="499"/>
      <c r="CC195" s="499"/>
      <c r="CD195" s="499"/>
      <c r="CE195" s="499"/>
      <c r="CF195" s="499"/>
      <c r="CG195" s="499"/>
      <c r="CH195" s="499"/>
      <c r="CI195" s="499"/>
      <c r="CJ195" s="499"/>
      <c r="CK195" s="499"/>
      <c r="CL195" s="499"/>
      <c r="CM195" s="499"/>
      <c r="CN195" s="499"/>
      <c r="CO195" s="499"/>
      <c r="CP195" s="499"/>
      <c r="CQ195" s="499"/>
      <c r="CR195" s="499"/>
      <c r="CS195" s="499"/>
      <c r="CT195" s="499"/>
      <c r="CU195" s="499"/>
      <c r="CV195" s="499"/>
      <c r="CW195" s="499"/>
      <c r="CX195" s="499"/>
      <c r="CY195" s="499"/>
      <c r="CZ195" s="499"/>
      <c r="DA195" s="499"/>
      <c r="DB195" s="499"/>
      <c r="DC195" s="499"/>
      <c r="DD195" s="499"/>
      <c r="DE195" s="499"/>
      <c r="DF195" s="499"/>
      <c r="DG195" s="499"/>
      <c r="DH195" s="499"/>
      <c r="DI195" s="499"/>
      <c r="DJ195" s="499"/>
      <c r="DK195" s="499"/>
      <c r="DL195" s="499"/>
      <c r="DM195" s="499"/>
      <c r="DN195" s="499"/>
      <c r="DO195" s="499"/>
      <c r="DP195" s="499"/>
      <c r="DQ195" s="499"/>
      <c r="DR195" s="499"/>
      <c r="DS195" s="499"/>
      <c r="DT195" s="499"/>
      <c r="DU195" s="499"/>
      <c r="DV195" s="499"/>
      <c r="DW195" s="499"/>
      <c r="DX195" s="499"/>
      <c r="DY195" s="499"/>
      <c r="DZ195" s="499"/>
      <c r="EA195" s="499"/>
      <c r="EB195" s="499"/>
    </row>
    <row r="196" spans="1:132">
      <c r="A196" s="510" t="s">
        <v>409</v>
      </c>
      <c r="B196" s="923">
        <f t="shared" si="63"/>
        <v>273.09501999852068</v>
      </c>
      <c r="C196" s="923">
        <f t="shared" si="65"/>
        <v>1661.3280383243341</v>
      </c>
      <c r="D196" s="923">
        <f t="shared" si="64"/>
        <v>204.82126499889051</v>
      </c>
      <c r="E196" s="1056">
        <f t="shared" si="66"/>
        <v>1866.1493033232246</v>
      </c>
      <c r="F196" s="1056">
        <f t="shared" si="58"/>
        <v>2139.2443233217455</v>
      </c>
      <c r="G196" s="499"/>
      <c r="H196" s="499"/>
      <c r="I196" s="499"/>
      <c r="J196" s="499"/>
      <c r="K196" s="499"/>
      <c r="L196" s="499"/>
      <c r="M196" s="499"/>
      <c r="N196" s="499"/>
      <c r="O196" s="499"/>
      <c r="P196" s="499"/>
      <c r="Q196" s="499"/>
      <c r="R196" s="499"/>
      <c r="S196" s="499"/>
      <c r="T196" s="499"/>
      <c r="U196" s="499"/>
      <c r="V196" s="499"/>
      <c r="W196" s="499"/>
      <c r="X196" s="499"/>
      <c r="Y196" s="499"/>
      <c r="Z196" s="499"/>
      <c r="AA196" s="499"/>
      <c r="AB196" s="499"/>
      <c r="AC196" s="499"/>
      <c r="AD196" s="499"/>
      <c r="AE196" s="499"/>
      <c r="AF196" s="499"/>
      <c r="AG196" s="499"/>
      <c r="AH196" s="499"/>
      <c r="AI196" s="499"/>
      <c r="AJ196" s="499"/>
      <c r="AK196" s="499"/>
      <c r="AL196" s="499"/>
      <c r="AM196" s="499"/>
      <c r="AN196" s="499"/>
      <c r="AO196" s="499"/>
      <c r="AP196" s="499"/>
      <c r="AQ196" s="499"/>
      <c r="AR196" s="499"/>
      <c r="AS196" s="499"/>
      <c r="AT196" s="499"/>
      <c r="AU196" s="499"/>
      <c r="AV196" s="499"/>
      <c r="AW196" s="499"/>
      <c r="AX196" s="499"/>
      <c r="AY196" s="499"/>
      <c r="AZ196" s="499"/>
      <c r="BA196" s="499"/>
      <c r="BB196" s="499"/>
      <c r="BC196" s="499"/>
      <c r="BD196" s="499"/>
      <c r="BE196" s="499"/>
      <c r="BF196" s="499"/>
      <c r="BG196" s="499"/>
      <c r="BH196" s="499"/>
      <c r="BI196" s="499"/>
      <c r="BJ196" s="499"/>
      <c r="BK196" s="499"/>
      <c r="BL196" s="499"/>
      <c r="BM196" s="499"/>
      <c r="BN196" s="499"/>
      <c r="BO196" s="499"/>
      <c r="BP196" s="499"/>
      <c r="BQ196" s="499"/>
      <c r="BR196" s="499"/>
      <c r="BS196" s="499"/>
      <c r="BT196" s="499"/>
      <c r="BU196" s="499"/>
      <c r="BV196" s="499"/>
      <c r="BW196" s="499"/>
      <c r="BX196" s="499"/>
      <c r="BY196" s="499"/>
      <c r="BZ196" s="499"/>
      <c r="CA196" s="499"/>
      <c r="CB196" s="499"/>
      <c r="CC196" s="499"/>
      <c r="CD196" s="499"/>
      <c r="CE196" s="499"/>
      <c r="CF196" s="499"/>
      <c r="CG196" s="499"/>
      <c r="CH196" s="499"/>
      <c r="CI196" s="499"/>
      <c r="CJ196" s="499"/>
      <c r="CK196" s="499"/>
      <c r="CL196" s="499"/>
      <c r="CM196" s="499"/>
      <c r="CN196" s="499"/>
      <c r="CO196" s="499"/>
      <c r="CP196" s="499"/>
      <c r="CQ196" s="499"/>
      <c r="CR196" s="499"/>
      <c r="CS196" s="499"/>
      <c r="CT196" s="499"/>
      <c r="CU196" s="499"/>
      <c r="CV196" s="499"/>
      <c r="CW196" s="499"/>
      <c r="CX196" s="499"/>
      <c r="CY196" s="499"/>
      <c r="CZ196" s="499"/>
      <c r="DA196" s="499"/>
      <c r="DB196" s="499"/>
      <c r="DC196" s="499"/>
      <c r="DD196" s="499"/>
      <c r="DE196" s="499"/>
      <c r="DF196" s="499"/>
      <c r="DG196" s="499"/>
      <c r="DH196" s="499"/>
      <c r="DI196" s="499"/>
      <c r="DJ196" s="499"/>
      <c r="DK196" s="499"/>
      <c r="DL196" s="499"/>
      <c r="DM196" s="499"/>
      <c r="DN196" s="499"/>
      <c r="DO196" s="499"/>
      <c r="DP196" s="499"/>
      <c r="DQ196" s="499"/>
      <c r="DR196" s="499"/>
      <c r="DS196" s="499"/>
      <c r="DT196" s="499"/>
      <c r="DU196" s="499"/>
      <c r="DV196" s="499"/>
      <c r="DW196" s="499"/>
      <c r="DX196" s="499"/>
      <c r="DY196" s="499"/>
      <c r="DZ196" s="499"/>
      <c r="EA196" s="499"/>
      <c r="EB196" s="499"/>
    </row>
    <row r="197" spans="1:132">
      <c r="A197" s="510" t="s">
        <v>558</v>
      </c>
      <c r="B197" s="923">
        <f t="shared" si="63"/>
        <v>2082.34952748872</v>
      </c>
      <c r="C197" s="923">
        <f t="shared" si="65"/>
        <v>4665.5890379141356</v>
      </c>
      <c r="D197" s="923">
        <f t="shared" si="64"/>
        <v>5666.7216649693046</v>
      </c>
      <c r="E197" s="1056">
        <f t="shared" si="66"/>
        <v>10332.31070288344</v>
      </c>
      <c r="F197" s="1056">
        <f t="shared" si="58"/>
        <v>12414.660230372159</v>
      </c>
      <c r="G197" s="499"/>
      <c r="H197" s="499"/>
      <c r="I197" s="499"/>
      <c r="J197" s="499"/>
      <c r="K197" s="499"/>
      <c r="L197" s="499"/>
      <c r="M197" s="499"/>
      <c r="N197" s="499"/>
      <c r="O197" s="499"/>
      <c r="P197" s="499"/>
      <c r="Q197" s="499"/>
      <c r="R197" s="499"/>
      <c r="S197" s="499"/>
      <c r="T197" s="499"/>
      <c r="U197" s="499"/>
      <c r="V197" s="499"/>
      <c r="W197" s="499"/>
      <c r="X197" s="499"/>
      <c r="Y197" s="499"/>
      <c r="Z197" s="499"/>
      <c r="AA197" s="499"/>
      <c r="AB197" s="499"/>
      <c r="AC197" s="499"/>
      <c r="AD197" s="499"/>
      <c r="AE197" s="499"/>
      <c r="AF197" s="499"/>
      <c r="AG197" s="499"/>
      <c r="AH197" s="499"/>
      <c r="AI197" s="499"/>
      <c r="AJ197" s="499"/>
      <c r="AK197" s="499"/>
      <c r="AL197" s="499"/>
      <c r="AM197" s="499"/>
      <c r="AN197" s="499"/>
      <c r="AO197" s="499"/>
      <c r="AP197" s="499"/>
      <c r="AQ197" s="499"/>
      <c r="AR197" s="499"/>
      <c r="AS197" s="499"/>
      <c r="AT197" s="499"/>
      <c r="AU197" s="499"/>
      <c r="AV197" s="499"/>
      <c r="AW197" s="499"/>
      <c r="AX197" s="499"/>
      <c r="AY197" s="499"/>
      <c r="AZ197" s="499"/>
      <c r="BA197" s="499"/>
      <c r="BB197" s="499"/>
      <c r="BC197" s="499"/>
      <c r="BD197" s="499"/>
      <c r="BE197" s="499"/>
      <c r="BF197" s="499"/>
      <c r="BG197" s="499"/>
      <c r="BH197" s="499"/>
      <c r="BI197" s="499"/>
      <c r="BJ197" s="499"/>
      <c r="BK197" s="499"/>
      <c r="BL197" s="499"/>
      <c r="BM197" s="499"/>
      <c r="BN197" s="499"/>
      <c r="BO197" s="499"/>
      <c r="BP197" s="499"/>
      <c r="BQ197" s="499"/>
      <c r="BR197" s="499"/>
      <c r="BS197" s="499"/>
      <c r="BT197" s="499"/>
      <c r="BU197" s="499"/>
      <c r="BV197" s="499"/>
      <c r="BW197" s="499"/>
      <c r="BX197" s="499"/>
      <c r="BY197" s="499"/>
      <c r="BZ197" s="499"/>
      <c r="CA197" s="499"/>
      <c r="CB197" s="499"/>
      <c r="CC197" s="499"/>
      <c r="CD197" s="499"/>
      <c r="CE197" s="499"/>
      <c r="CF197" s="499"/>
      <c r="CG197" s="499"/>
      <c r="CH197" s="499"/>
      <c r="CI197" s="499"/>
      <c r="CJ197" s="499"/>
      <c r="CK197" s="499"/>
      <c r="CL197" s="499"/>
      <c r="CM197" s="499"/>
      <c r="CN197" s="499"/>
      <c r="CO197" s="499"/>
      <c r="CP197" s="499"/>
      <c r="CQ197" s="499"/>
      <c r="CR197" s="499"/>
      <c r="CS197" s="499"/>
      <c r="CT197" s="499"/>
      <c r="CU197" s="499"/>
      <c r="CV197" s="499"/>
      <c r="CW197" s="499"/>
      <c r="CX197" s="499"/>
      <c r="CY197" s="499"/>
      <c r="CZ197" s="499"/>
      <c r="DA197" s="499"/>
      <c r="DB197" s="499"/>
      <c r="DC197" s="499"/>
      <c r="DD197" s="499"/>
      <c r="DE197" s="499"/>
      <c r="DF197" s="499"/>
      <c r="DG197" s="499"/>
      <c r="DH197" s="499"/>
      <c r="DI197" s="499"/>
      <c r="DJ197" s="499"/>
      <c r="DK197" s="499"/>
      <c r="DL197" s="499"/>
      <c r="DM197" s="499"/>
      <c r="DN197" s="499"/>
      <c r="DO197" s="499"/>
      <c r="DP197" s="499"/>
      <c r="DQ197" s="499"/>
      <c r="DR197" s="499"/>
      <c r="DS197" s="499"/>
      <c r="DT197" s="499"/>
      <c r="DU197" s="499"/>
      <c r="DV197" s="499"/>
      <c r="DW197" s="499"/>
      <c r="DX197" s="499"/>
      <c r="DY197" s="499"/>
      <c r="DZ197" s="499"/>
      <c r="EA197" s="499"/>
      <c r="EB197" s="499"/>
    </row>
    <row r="198" spans="1:132">
      <c r="A198" s="510" t="s">
        <v>559</v>
      </c>
      <c r="B198" s="923">
        <f t="shared" si="63"/>
        <v>364.12669333136097</v>
      </c>
      <c r="C198" s="923">
        <f t="shared" si="65"/>
        <v>671.35859082969682</v>
      </c>
      <c r="D198" s="923">
        <f t="shared" si="64"/>
        <v>568.94795833025159</v>
      </c>
      <c r="E198" s="1056">
        <f>SUM(C198:D198)</f>
        <v>1240.3065491599484</v>
      </c>
      <c r="F198" s="1056">
        <f t="shared" si="58"/>
        <v>1604.4332424913093</v>
      </c>
      <c r="G198" s="499"/>
      <c r="H198" s="499"/>
      <c r="I198" s="499"/>
      <c r="J198" s="499"/>
      <c r="K198" s="499"/>
      <c r="L198" s="499"/>
      <c r="M198" s="499"/>
      <c r="N198" s="499"/>
      <c r="O198" s="499"/>
      <c r="P198" s="499"/>
      <c r="Q198" s="499"/>
      <c r="R198" s="499"/>
      <c r="S198" s="499"/>
      <c r="T198" s="499"/>
      <c r="U198" s="499"/>
      <c r="V198" s="499"/>
      <c r="W198" s="499"/>
      <c r="X198" s="499"/>
      <c r="Y198" s="499"/>
      <c r="Z198" s="499"/>
      <c r="AA198" s="499"/>
      <c r="AB198" s="499"/>
      <c r="AC198" s="499"/>
      <c r="AD198" s="499"/>
      <c r="AE198" s="499"/>
      <c r="AF198" s="499"/>
      <c r="AG198" s="499"/>
      <c r="AH198" s="499"/>
      <c r="AI198" s="499"/>
      <c r="AJ198" s="499"/>
      <c r="AK198" s="499"/>
      <c r="AL198" s="499"/>
      <c r="AM198" s="499"/>
      <c r="AN198" s="499"/>
      <c r="AO198" s="499"/>
      <c r="AP198" s="499"/>
      <c r="AQ198" s="499"/>
      <c r="AR198" s="499"/>
      <c r="AS198" s="499"/>
      <c r="AT198" s="499"/>
      <c r="AU198" s="499"/>
      <c r="AV198" s="499"/>
      <c r="AW198" s="499"/>
      <c r="AX198" s="499"/>
      <c r="AY198" s="499"/>
      <c r="AZ198" s="499"/>
      <c r="BA198" s="499"/>
      <c r="BB198" s="499"/>
      <c r="BC198" s="499"/>
      <c r="BD198" s="499"/>
      <c r="BE198" s="499"/>
      <c r="BF198" s="499"/>
      <c r="BG198" s="499"/>
      <c r="BH198" s="499"/>
      <c r="BI198" s="499"/>
      <c r="BJ198" s="499"/>
      <c r="BK198" s="499"/>
      <c r="BL198" s="499"/>
      <c r="BM198" s="499"/>
      <c r="BN198" s="499"/>
      <c r="BO198" s="499"/>
      <c r="BP198" s="499"/>
      <c r="BQ198" s="499"/>
      <c r="BR198" s="499"/>
      <c r="BS198" s="499"/>
      <c r="BT198" s="499"/>
      <c r="BU198" s="499"/>
      <c r="BV198" s="499"/>
      <c r="BW198" s="499"/>
      <c r="BX198" s="499"/>
      <c r="BY198" s="499"/>
      <c r="BZ198" s="499"/>
      <c r="CA198" s="499"/>
      <c r="CB198" s="499"/>
      <c r="CC198" s="499"/>
      <c r="CD198" s="499"/>
      <c r="CE198" s="499"/>
      <c r="CF198" s="499"/>
      <c r="CG198" s="499"/>
      <c r="CH198" s="499"/>
      <c r="CI198" s="499"/>
      <c r="CJ198" s="499"/>
      <c r="CK198" s="499"/>
      <c r="CL198" s="499"/>
      <c r="CM198" s="499"/>
      <c r="CN198" s="499"/>
      <c r="CO198" s="499"/>
      <c r="CP198" s="499"/>
      <c r="CQ198" s="499"/>
      <c r="CR198" s="499"/>
      <c r="CS198" s="499"/>
      <c r="CT198" s="499"/>
      <c r="CU198" s="499"/>
      <c r="CV198" s="499"/>
      <c r="CW198" s="499"/>
      <c r="CX198" s="499"/>
      <c r="CY198" s="499"/>
      <c r="CZ198" s="499"/>
      <c r="DA198" s="499"/>
      <c r="DB198" s="499"/>
      <c r="DC198" s="499"/>
      <c r="DD198" s="499"/>
      <c r="DE198" s="499"/>
      <c r="DF198" s="499"/>
      <c r="DG198" s="499"/>
      <c r="DH198" s="499"/>
      <c r="DI198" s="499"/>
      <c r="DJ198" s="499"/>
      <c r="DK198" s="499"/>
      <c r="DL198" s="499"/>
      <c r="DM198" s="499"/>
      <c r="DN198" s="499"/>
      <c r="DO198" s="499"/>
      <c r="DP198" s="499"/>
      <c r="DQ198" s="499"/>
      <c r="DR198" s="499"/>
      <c r="DS198" s="499"/>
      <c r="DT198" s="499"/>
      <c r="DU198" s="499"/>
      <c r="DV198" s="499"/>
      <c r="DW198" s="499"/>
      <c r="DX198" s="499"/>
      <c r="DY198" s="499"/>
      <c r="DZ198" s="499"/>
      <c r="EA198" s="499"/>
      <c r="EB198" s="499"/>
    </row>
    <row r="199" spans="1:132">
      <c r="A199" s="964" t="s">
        <v>560</v>
      </c>
      <c r="B199" s="963">
        <f t="shared" si="63"/>
        <v>21460.716988217086</v>
      </c>
      <c r="C199" s="963">
        <f>SUM(C192:C198)</f>
        <v>50853.215854376096</v>
      </c>
      <c r="D199" s="963">
        <f t="shared" si="64"/>
        <v>19628.704562393679</v>
      </c>
      <c r="E199" s="1056">
        <f t="shared" ref="E199:E207" si="67">SUM(C199:D199)</f>
        <v>70481.920416769775</v>
      </c>
      <c r="F199" s="1056">
        <f>SUM(B199:D199)</f>
        <v>91942.637404986861</v>
      </c>
      <c r="G199" s="499"/>
      <c r="H199" s="499"/>
      <c r="I199" s="499"/>
      <c r="J199" s="499"/>
      <c r="K199" s="499"/>
      <c r="L199" s="499"/>
      <c r="M199" s="499"/>
      <c r="N199" s="499"/>
      <c r="O199" s="499"/>
      <c r="P199" s="499"/>
      <c r="Q199" s="499"/>
      <c r="R199" s="499"/>
      <c r="S199" s="499"/>
      <c r="T199" s="499"/>
      <c r="U199" s="499"/>
      <c r="V199" s="499"/>
      <c r="W199" s="499"/>
      <c r="X199" s="499"/>
      <c r="Y199" s="499"/>
      <c r="Z199" s="499"/>
      <c r="AA199" s="499"/>
      <c r="AB199" s="499"/>
      <c r="AC199" s="499"/>
      <c r="AD199" s="499"/>
      <c r="AE199" s="499"/>
      <c r="AF199" s="499"/>
      <c r="AG199" s="499"/>
      <c r="AH199" s="499"/>
      <c r="AI199" s="499"/>
      <c r="AJ199" s="499"/>
      <c r="AK199" s="499"/>
      <c r="AL199" s="499"/>
      <c r="AM199" s="499"/>
      <c r="AN199" s="499"/>
      <c r="AO199" s="499"/>
      <c r="AP199" s="499"/>
      <c r="AQ199" s="499"/>
      <c r="AR199" s="499"/>
      <c r="AS199" s="499"/>
      <c r="AT199" s="499"/>
      <c r="AU199" s="499"/>
      <c r="AV199" s="499"/>
      <c r="AW199" s="499"/>
      <c r="AX199" s="499"/>
      <c r="AY199" s="499"/>
      <c r="AZ199" s="499"/>
      <c r="BA199" s="499"/>
      <c r="BB199" s="499"/>
      <c r="BC199" s="499"/>
      <c r="BD199" s="499"/>
      <c r="BE199" s="499"/>
      <c r="BF199" s="499"/>
      <c r="BG199" s="499"/>
      <c r="BH199" s="499"/>
      <c r="BI199" s="499"/>
      <c r="BJ199" s="499"/>
      <c r="BK199" s="499"/>
      <c r="BL199" s="499"/>
      <c r="BM199" s="499"/>
      <c r="BN199" s="499"/>
      <c r="BO199" s="499"/>
      <c r="BP199" s="499"/>
      <c r="BQ199" s="499"/>
      <c r="BR199" s="499"/>
      <c r="BS199" s="499"/>
      <c r="BT199" s="499"/>
      <c r="BU199" s="499"/>
      <c r="BV199" s="499"/>
      <c r="BW199" s="499"/>
      <c r="BX199" s="499"/>
      <c r="BY199" s="499"/>
      <c r="BZ199" s="499"/>
      <c r="CA199" s="499"/>
      <c r="CB199" s="499"/>
      <c r="CC199" s="499"/>
      <c r="CD199" s="499"/>
      <c r="CE199" s="499"/>
      <c r="CF199" s="499"/>
      <c r="CG199" s="499"/>
      <c r="CH199" s="499"/>
      <c r="CI199" s="499"/>
      <c r="CJ199" s="499"/>
      <c r="CK199" s="499"/>
      <c r="CL199" s="499"/>
      <c r="CM199" s="499"/>
      <c r="CN199" s="499"/>
      <c r="CO199" s="499"/>
      <c r="CP199" s="499"/>
      <c r="CQ199" s="499"/>
      <c r="CR199" s="499"/>
      <c r="CS199" s="499"/>
      <c r="CT199" s="499"/>
      <c r="CU199" s="499"/>
      <c r="CV199" s="499"/>
      <c r="CW199" s="499"/>
      <c r="CX199" s="499"/>
      <c r="CY199" s="499"/>
      <c r="CZ199" s="499"/>
      <c r="DA199" s="499"/>
      <c r="DB199" s="499"/>
      <c r="DC199" s="499"/>
      <c r="DD199" s="499"/>
      <c r="DE199" s="499"/>
      <c r="DF199" s="499"/>
      <c r="DG199" s="499"/>
      <c r="DH199" s="499"/>
      <c r="DI199" s="499"/>
      <c r="DJ199" s="499"/>
      <c r="DK199" s="499"/>
      <c r="DL199" s="499"/>
      <c r="DM199" s="499"/>
      <c r="DN199" s="499"/>
      <c r="DO199" s="499"/>
      <c r="DP199" s="499"/>
      <c r="DQ199" s="499"/>
      <c r="DR199" s="499"/>
      <c r="DS199" s="499"/>
      <c r="DT199" s="499"/>
      <c r="DU199" s="499"/>
      <c r="DV199" s="499"/>
      <c r="DW199" s="499"/>
      <c r="DX199" s="499"/>
      <c r="DY199" s="499"/>
      <c r="DZ199" s="499"/>
      <c r="EA199" s="499"/>
      <c r="EB199" s="499"/>
    </row>
    <row r="200" spans="1:132" ht="31">
      <c r="A200" s="513" t="s">
        <v>515</v>
      </c>
      <c r="B200" s="507"/>
      <c r="C200" s="507"/>
      <c r="D200" s="507"/>
      <c r="E200" s="507"/>
      <c r="F200" s="514"/>
      <c r="G200" s="499"/>
      <c r="H200" s="499"/>
      <c r="I200" s="499"/>
      <c r="J200" s="499"/>
      <c r="K200" s="499"/>
      <c r="L200" s="499"/>
      <c r="M200" s="499"/>
      <c r="N200" s="499"/>
      <c r="O200" s="499"/>
      <c r="P200" s="499"/>
      <c r="Q200" s="499"/>
      <c r="R200" s="499"/>
      <c r="S200" s="499"/>
      <c r="T200" s="499"/>
      <c r="U200" s="499"/>
      <c r="V200" s="499"/>
      <c r="W200" s="499"/>
      <c r="X200" s="499"/>
      <c r="Y200" s="499"/>
      <c r="Z200" s="499"/>
      <c r="AA200" s="499"/>
      <c r="AB200" s="499"/>
      <c r="AC200" s="499"/>
      <c r="AD200" s="499"/>
      <c r="AE200" s="499"/>
      <c r="AF200" s="499"/>
      <c r="AG200" s="499"/>
      <c r="AH200" s="499"/>
      <c r="AI200" s="499"/>
      <c r="AJ200" s="499"/>
      <c r="AK200" s="499"/>
      <c r="AL200" s="499"/>
      <c r="AM200" s="499"/>
      <c r="AN200" s="499"/>
      <c r="AO200" s="499"/>
      <c r="AP200" s="499"/>
      <c r="AQ200" s="499"/>
      <c r="AR200" s="499"/>
      <c r="AS200" s="499"/>
      <c r="AT200" s="499"/>
      <c r="AU200" s="499"/>
      <c r="AV200" s="499"/>
      <c r="AW200" s="499"/>
      <c r="AX200" s="499"/>
      <c r="AY200" s="499"/>
      <c r="AZ200" s="499"/>
      <c r="BA200" s="499"/>
      <c r="BB200" s="499"/>
      <c r="BC200" s="499"/>
      <c r="BD200" s="499"/>
      <c r="BE200" s="499"/>
      <c r="BF200" s="499"/>
      <c r="BG200" s="499"/>
      <c r="BH200" s="499"/>
      <c r="BI200" s="499"/>
      <c r="BJ200" s="499"/>
      <c r="BK200" s="499"/>
      <c r="BL200" s="499"/>
      <c r="BM200" s="499"/>
      <c r="BN200" s="499"/>
      <c r="BO200" s="499"/>
      <c r="BP200" s="499"/>
      <c r="BQ200" s="499"/>
      <c r="BR200" s="499"/>
      <c r="BS200" s="499"/>
      <c r="BT200" s="499"/>
      <c r="BU200" s="499"/>
      <c r="BV200" s="499"/>
      <c r="BW200" s="499"/>
      <c r="BX200" s="499"/>
      <c r="BY200" s="499"/>
      <c r="BZ200" s="499"/>
      <c r="CA200" s="499"/>
      <c r="CB200" s="499"/>
      <c r="CC200" s="499"/>
      <c r="CD200" s="499"/>
      <c r="CE200" s="499"/>
      <c r="CF200" s="499"/>
      <c r="CG200" s="499"/>
      <c r="CH200" s="499"/>
      <c r="CI200" s="499"/>
      <c r="CJ200" s="499"/>
      <c r="CK200" s="499"/>
      <c r="CL200" s="499"/>
      <c r="CM200" s="499"/>
      <c r="CN200" s="499"/>
      <c r="CO200" s="499"/>
      <c r="CP200" s="499"/>
      <c r="CQ200" s="499"/>
      <c r="CR200" s="499"/>
      <c r="CS200" s="499"/>
      <c r="CT200" s="499"/>
      <c r="CU200" s="499"/>
      <c r="CV200" s="499"/>
      <c r="CW200" s="499"/>
      <c r="CX200" s="499"/>
      <c r="CY200" s="499"/>
      <c r="CZ200" s="499"/>
      <c r="DA200" s="499"/>
      <c r="DB200" s="499"/>
      <c r="DC200" s="499"/>
      <c r="DD200" s="499"/>
      <c r="DE200" s="499"/>
      <c r="DF200" s="499"/>
      <c r="DG200" s="499"/>
      <c r="DH200" s="499"/>
      <c r="DI200" s="499"/>
      <c r="DJ200" s="499"/>
      <c r="DK200" s="499"/>
      <c r="DL200" s="499"/>
      <c r="DM200" s="499"/>
      <c r="DN200" s="499"/>
      <c r="DO200" s="499"/>
      <c r="DP200" s="499"/>
      <c r="DQ200" s="499"/>
      <c r="DR200" s="499"/>
      <c r="DS200" s="499"/>
      <c r="DT200" s="499"/>
      <c r="DU200" s="499"/>
      <c r="DV200" s="499"/>
      <c r="DW200" s="499"/>
      <c r="DX200" s="499"/>
      <c r="DY200" s="499"/>
      <c r="DZ200" s="499"/>
      <c r="EA200" s="499"/>
      <c r="EB200" s="499"/>
    </row>
    <row r="201" spans="1:132" ht="31">
      <c r="A201" s="481" t="s">
        <v>421</v>
      </c>
      <c r="B201" s="484">
        <f t="shared" ref="B201:B207" si="68">J32</f>
        <v>0</v>
      </c>
      <c r="C201" s="484">
        <f>V70</f>
        <v>0</v>
      </c>
      <c r="D201" s="484">
        <f t="shared" ref="D201:D207" si="69">J109</f>
        <v>0</v>
      </c>
      <c r="E201" s="961">
        <f>SUM(C201:D201)</f>
        <v>0</v>
      </c>
      <c r="F201" s="962">
        <f t="shared" si="58"/>
        <v>0</v>
      </c>
      <c r="G201" s="499"/>
      <c r="H201" s="499"/>
      <c r="I201" s="499"/>
      <c r="J201" s="499"/>
      <c r="K201" s="499"/>
      <c r="L201" s="499"/>
      <c r="M201" s="499"/>
      <c r="N201" s="499"/>
      <c r="O201" s="499"/>
      <c r="P201" s="499"/>
      <c r="Q201" s="499"/>
      <c r="R201" s="499"/>
      <c r="S201" s="499"/>
      <c r="T201" s="499"/>
      <c r="U201" s="499"/>
      <c r="V201" s="499"/>
      <c r="W201" s="499"/>
      <c r="X201" s="499"/>
      <c r="Y201" s="499"/>
      <c r="Z201" s="499"/>
      <c r="AA201" s="499"/>
      <c r="AB201" s="499"/>
      <c r="AC201" s="499"/>
      <c r="AD201" s="499"/>
      <c r="AE201" s="499"/>
      <c r="AF201" s="499"/>
      <c r="AG201" s="499"/>
      <c r="AH201" s="499"/>
      <c r="AI201" s="499"/>
      <c r="AJ201" s="499"/>
      <c r="AK201" s="499"/>
      <c r="AL201" s="499"/>
      <c r="AM201" s="499"/>
      <c r="AN201" s="499"/>
      <c r="AO201" s="499"/>
      <c r="AP201" s="499"/>
      <c r="AQ201" s="499"/>
      <c r="AR201" s="499"/>
      <c r="AS201" s="499"/>
      <c r="AT201" s="499"/>
      <c r="AU201" s="499"/>
      <c r="AV201" s="499"/>
      <c r="AW201" s="499"/>
      <c r="AX201" s="499"/>
      <c r="AY201" s="499"/>
      <c r="AZ201" s="499"/>
      <c r="BA201" s="499"/>
      <c r="BB201" s="499"/>
      <c r="BC201" s="499"/>
      <c r="BD201" s="499"/>
      <c r="BE201" s="499"/>
      <c r="BF201" s="499"/>
      <c r="BG201" s="499"/>
      <c r="BH201" s="499"/>
      <c r="BI201" s="499"/>
      <c r="BJ201" s="499"/>
      <c r="BK201" s="499"/>
      <c r="BL201" s="499"/>
      <c r="BM201" s="499"/>
      <c r="BN201" s="499"/>
      <c r="BO201" s="499"/>
      <c r="BP201" s="499"/>
      <c r="BQ201" s="499"/>
      <c r="BR201" s="499"/>
      <c r="BS201" s="499"/>
      <c r="BT201" s="499"/>
      <c r="BU201" s="499"/>
      <c r="BV201" s="499"/>
      <c r="BW201" s="499"/>
      <c r="BX201" s="499"/>
      <c r="BY201" s="499"/>
      <c r="BZ201" s="499"/>
      <c r="CA201" s="499"/>
      <c r="CB201" s="499"/>
      <c r="CC201" s="499"/>
      <c r="CD201" s="499"/>
      <c r="CE201" s="499"/>
      <c r="CF201" s="499"/>
      <c r="CG201" s="499"/>
      <c r="CH201" s="499"/>
      <c r="CI201" s="499"/>
      <c r="CJ201" s="499"/>
      <c r="CK201" s="499"/>
      <c r="CL201" s="499"/>
      <c r="CM201" s="499"/>
      <c r="CN201" s="499"/>
      <c r="CO201" s="499"/>
      <c r="CP201" s="499"/>
      <c r="CQ201" s="499"/>
      <c r="CR201" s="499"/>
      <c r="CS201" s="499"/>
      <c r="CT201" s="499"/>
      <c r="CU201" s="499"/>
      <c r="CV201" s="499"/>
      <c r="CW201" s="499"/>
      <c r="CX201" s="499"/>
      <c r="CY201" s="499"/>
      <c r="CZ201" s="499"/>
      <c r="DA201" s="499"/>
      <c r="DB201" s="499"/>
      <c r="DC201" s="499"/>
      <c r="DD201" s="499"/>
      <c r="DE201" s="499"/>
      <c r="DF201" s="499"/>
      <c r="DG201" s="499"/>
      <c r="DH201" s="499"/>
      <c r="DI201" s="499"/>
      <c r="DJ201" s="499"/>
      <c r="DK201" s="499"/>
      <c r="DL201" s="499"/>
      <c r="DM201" s="499"/>
      <c r="DN201" s="499"/>
      <c r="DO201" s="499"/>
      <c r="DP201" s="499"/>
      <c r="DQ201" s="499"/>
      <c r="DR201" s="499"/>
      <c r="DS201" s="499"/>
      <c r="DT201" s="499"/>
      <c r="DU201" s="499"/>
      <c r="DV201" s="499"/>
      <c r="DW201" s="499"/>
      <c r="DX201" s="499"/>
      <c r="DY201" s="499"/>
      <c r="DZ201" s="499"/>
      <c r="EA201" s="499"/>
      <c r="EB201" s="499"/>
    </row>
    <row r="202" spans="1:132" ht="31">
      <c r="A202" s="481" t="s">
        <v>422</v>
      </c>
      <c r="B202" s="484">
        <f t="shared" si="68"/>
        <v>0</v>
      </c>
      <c r="C202" s="484">
        <f t="shared" ref="C202:C206" si="70">V71</f>
        <v>0</v>
      </c>
      <c r="D202" s="484">
        <f t="shared" si="69"/>
        <v>0</v>
      </c>
      <c r="E202" s="961">
        <f t="shared" si="67"/>
        <v>0</v>
      </c>
      <c r="F202" s="962">
        <f>SUM(B202:D202)</f>
        <v>0</v>
      </c>
      <c r="G202" s="499"/>
      <c r="H202" s="499"/>
      <c r="I202" s="499"/>
      <c r="J202" s="499"/>
      <c r="K202" s="499"/>
      <c r="L202" s="499"/>
      <c r="M202" s="499"/>
      <c r="N202" s="499"/>
      <c r="O202" s="499"/>
      <c r="P202" s="499"/>
      <c r="Q202" s="499"/>
      <c r="R202" s="499"/>
      <c r="S202" s="499"/>
      <c r="T202" s="499"/>
      <c r="U202" s="499"/>
      <c r="V202" s="499"/>
      <c r="W202" s="499"/>
      <c r="X202" s="499"/>
      <c r="Y202" s="499"/>
      <c r="Z202" s="499"/>
      <c r="AA202" s="499"/>
      <c r="AB202" s="499"/>
      <c r="AC202" s="499"/>
      <c r="AD202" s="499"/>
      <c r="AE202" s="499"/>
      <c r="AF202" s="499"/>
      <c r="AG202" s="499"/>
      <c r="AH202" s="499"/>
      <c r="AI202" s="499"/>
      <c r="AJ202" s="499"/>
      <c r="AK202" s="499"/>
      <c r="AL202" s="499"/>
      <c r="AM202" s="499"/>
      <c r="AN202" s="499"/>
      <c r="AO202" s="499"/>
      <c r="AP202" s="499"/>
      <c r="AQ202" s="499"/>
      <c r="AR202" s="499"/>
      <c r="AS202" s="499"/>
      <c r="AT202" s="499"/>
      <c r="AU202" s="499"/>
      <c r="AV202" s="499"/>
      <c r="AW202" s="499"/>
      <c r="AX202" s="499"/>
      <c r="AY202" s="499"/>
      <c r="AZ202" s="499"/>
      <c r="BA202" s="499"/>
      <c r="BB202" s="499"/>
      <c r="BC202" s="499"/>
      <c r="BD202" s="499"/>
      <c r="BE202" s="499"/>
      <c r="BF202" s="499"/>
      <c r="BG202" s="499"/>
      <c r="BH202" s="499"/>
      <c r="BI202" s="499"/>
      <c r="BJ202" s="499"/>
      <c r="BK202" s="499"/>
      <c r="BL202" s="499"/>
      <c r="BM202" s="499"/>
      <c r="BN202" s="499"/>
      <c r="BO202" s="499"/>
      <c r="BP202" s="499"/>
      <c r="BQ202" s="499"/>
      <c r="BR202" s="499"/>
      <c r="BS202" s="499"/>
      <c r="BT202" s="499"/>
      <c r="BU202" s="499"/>
      <c r="BV202" s="499"/>
      <c r="BW202" s="499"/>
      <c r="BX202" s="499"/>
      <c r="BY202" s="499"/>
      <c r="BZ202" s="499"/>
      <c r="CA202" s="499"/>
      <c r="CB202" s="499"/>
      <c r="CC202" s="499"/>
      <c r="CD202" s="499"/>
      <c r="CE202" s="499"/>
      <c r="CF202" s="499"/>
      <c r="CG202" s="499"/>
      <c r="CH202" s="499"/>
      <c r="CI202" s="499"/>
      <c r="CJ202" s="499"/>
      <c r="CK202" s="499"/>
      <c r="CL202" s="499"/>
      <c r="CM202" s="499"/>
      <c r="CN202" s="499"/>
      <c r="CO202" s="499"/>
      <c r="CP202" s="499"/>
      <c r="CQ202" s="499"/>
      <c r="CR202" s="499"/>
      <c r="CS202" s="499"/>
      <c r="CT202" s="499"/>
      <c r="CU202" s="499"/>
      <c r="CV202" s="499"/>
      <c r="CW202" s="499"/>
      <c r="CX202" s="499"/>
      <c r="CY202" s="499"/>
      <c r="CZ202" s="499"/>
      <c r="DA202" s="499"/>
      <c r="DB202" s="499"/>
      <c r="DC202" s="499"/>
      <c r="DD202" s="499"/>
      <c r="DE202" s="499"/>
      <c r="DF202" s="499"/>
      <c r="DG202" s="499"/>
      <c r="DH202" s="499"/>
      <c r="DI202" s="499"/>
      <c r="DJ202" s="499"/>
      <c r="DK202" s="499"/>
      <c r="DL202" s="499"/>
      <c r="DM202" s="499"/>
      <c r="DN202" s="499"/>
      <c r="DO202" s="499"/>
      <c r="DP202" s="499"/>
      <c r="DQ202" s="499"/>
      <c r="DR202" s="499"/>
      <c r="DS202" s="499"/>
      <c r="DT202" s="499"/>
      <c r="DU202" s="499"/>
      <c r="DV202" s="499"/>
      <c r="DW202" s="499"/>
      <c r="DX202" s="499"/>
      <c r="DY202" s="499"/>
      <c r="DZ202" s="499"/>
      <c r="EA202" s="499"/>
      <c r="EB202" s="499"/>
    </row>
    <row r="203" spans="1:132" ht="31">
      <c r="A203" s="481" t="s">
        <v>473</v>
      </c>
      <c r="B203" s="484">
        <f t="shared" si="68"/>
        <v>0</v>
      </c>
      <c r="C203" s="484">
        <f t="shared" si="70"/>
        <v>0</v>
      </c>
      <c r="D203" s="484">
        <f t="shared" si="69"/>
        <v>0</v>
      </c>
      <c r="E203" s="961">
        <f t="shared" si="67"/>
        <v>0</v>
      </c>
      <c r="F203" s="962">
        <f t="shared" si="58"/>
        <v>0</v>
      </c>
      <c r="G203" s="499"/>
      <c r="H203" s="499"/>
      <c r="I203" s="499"/>
      <c r="J203" s="499"/>
      <c r="K203" s="499"/>
      <c r="L203" s="499"/>
      <c r="M203" s="499"/>
      <c r="N203" s="499"/>
      <c r="O203" s="499"/>
      <c r="P203" s="499"/>
      <c r="Q203" s="499"/>
      <c r="R203" s="499"/>
      <c r="S203" s="499"/>
      <c r="T203" s="499"/>
      <c r="U203" s="499"/>
      <c r="V203" s="499"/>
      <c r="W203" s="499"/>
      <c r="X203" s="499"/>
      <c r="Y203" s="499"/>
      <c r="Z203" s="499"/>
      <c r="AA203" s="499"/>
      <c r="AB203" s="499"/>
      <c r="AC203" s="499"/>
      <c r="AD203" s="499"/>
      <c r="AE203" s="499"/>
      <c r="AF203" s="499"/>
      <c r="AG203" s="499"/>
      <c r="AH203" s="499"/>
      <c r="AI203" s="499"/>
      <c r="AJ203" s="499"/>
      <c r="AK203" s="499"/>
      <c r="AL203" s="499"/>
      <c r="AM203" s="499"/>
      <c r="AN203" s="499"/>
      <c r="AO203" s="499"/>
      <c r="AP203" s="499"/>
      <c r="AQ203" s="499"/>
      <c r="AR203" s="499"/>
      <c r="AS203" s="499"/>
      <c r="AT203" s="499"/>
      <c r="AU203" s="499"/>
      <c r="AV203" s="499"/>
      <c r="AW203" s="499"/>
      <c r="AX203" s="499"/>
      <c r="AY203" s="499"/>
      <c r="AZ203" s="499"/>
      <c r="BA203" s="499"/>
      <c r="BB203" s="499"/>
      <c r="BC203" s="499"/>
      <c r="BD203" s="499"/>
      <c r="BE203" s="499"/>
      <c r="BF203" s="499"/>
      <c r="BG203" s="499"/>
      <c r="BH203" s="499"/>
      <c r="BI203" s="499"/>
      <c r="BJ203" s="499"/>
      <c r="BK203" s="499"/>
      <c r="BL203" s="499"/>
      <c r="BM203" s="499"/>
      <c r="BN203" s="499"/>
      <c r="BO203" s="499"/>
      <c r="BP203" s="499"/>
      <c r="BQ203" s="499"/>
      <c r="BR203" s="499"/>
      <c r="BS203" s="499"/>
      <c r="BT203" s="499"/>
      <c r="BU203" s="499"/>
      <c r="BV203" s="499"/>
      <c r="BW203" s="499"/>
      <c r="BX203" s="499"/>
      <c r="BY203" s="499"/>
      <c r="BZ203" s="499"/>
      <c r="CA203" s="499"/>
      <c r="CB203" s="499"/>
      <c r="CC203" s="499"/>
      <c r="CD203" s="499"/>
      <c r="CE203" s="499"/>
      <c r="CF203" s="499"/>
      <c r="CG203" s="499"/>
      <c r="CH203" s="499"/>
      <c r="CI203" s="499"/>
      <c r="CJ203" s="499"/>
      <c r="CK203" s="499"/>
      <c r="CL203" s="499"/>
      <c r="CM203" s="499"/>
      <c r="CN203" s="499"/>
      <c r="CO203" s="499"/>
      <c r="CP203" s="499"/>
      <c r="CQ203" s="499"/>
      <c r="CR203" s="499"/>
      <c r="CS203" s="499"/>
      <c r="CT203" s="499"/>
      <c r="CU203" s="499"/>
      <c r="CV203" s="499"/>
      <c r="CW203" s="499"/>
      <c r="CX203" s="499"/>
      <c r="CY203" s="499"/>
      <c r="CZ203" s="499"/>
      <c r="DA203" s="499"/>
      <c r="DB203" s="499"/>
      <c r="DC203" s="499"/>
      <c r="DD203" s="499"/>
      <c r="DE203" s="499"/>
      <c r="DF203" s="499"/>
      <c r="DG203" s="499"/>
      <c r="DH203" s="499"/>
      <c r="DI203" s="499"/>
      <c r="DJ203" s="499"/>
      <c r="DK203" s="499"/>
      <c r="DL203" s="499"/>
      <c r="DM203" s="499"/>
      <c r="DN203" s="499"/>
      <c r="DO203" s="499"/>
      <c r="DP203" s="499"/>
      <c r="DQ203" s="499"/>
      <c r="DR203" s="499"/>
      <c r="DS203" s="499"/>
      <c r="DT203" s="499"/>
      <c r="DU203" s="499"/>
      <c r="DV203" s="499"/>
      <c r="DW203" s="499"/>
      <c r="DX203" s="499"/>
      <c r="DY203" s="499"/>
      <c r="DZ203" s="499"/>
      <c r="EA203" s="499"/>
      <c r="EB203" s="499"/>
    </row>
    <row r="204" spans="1:132">
      <c r="A204" s="481" t="s">
        <v>416</v>
      </c>
      <c r="B204" s="484">
        <f t="shared" si="68"/>
        <v>0</v>
      </c>
      <c r="C204" s="484">
        <f t="shared" si="70"/>
        <v>0</v>
      </c>
      <c r="D204" s="484">
        <f t="shared" si="69"/>
        <v>0</v>
      </c>
      <c r="E204" s="961">
        <f t="shared" si="67"/>
        <v>0</v>
      </c>
      <c r="F204" s="962">
        <f t="shared" si="58"/>
        <v>0</v>
      </c>
      <c r="G204" s="499"/>
      <c r="H204" s="499"/>
      <c r="I204" s="499"/>
      <c r="J204" s="499"/>
      <c r="K204" s="499"/>
      <c r="L204" s="499"/>
      <c r="M204" s="499"/>
      <c r="N204" s="499"/>
      <c r="O204" s="499"/>
      <c r="P204" s="499"/>
      <c r="Q204" s="499"/>
      <c r="R204" s="499"/>
      <c r="S204" s="499"/>
      <c r="T204" s="499"/>
      <c r="U204" s="499"/>
      <c r="V204" s="499"/>
      <c r="W204" s="499"/>
      <c r="X204" s="499"/>
      <c r="Y204" s="499"/>
      <c r="Z204" s="499"/>
      <c r="AA204" s="499"/>
      <c r="AB204" s="499"/>
      <c r="AC204" s="499"/>
      <c r="AD204" s="499"/>
      <c r="AE204" s="499"/>
      <c r="AF204" s="499"/>
      <c r="AG204" s="499"/>
      <c r="AH204" s="499"/>
      <c r="AI204" s="499"/>
      <c r="AJ204" s="499"/>
      <c r="AK204" s="499"/>
      <c r="AL204" s="499"/>
      <c r="AM204" s="499"/>
      <c r="AN204" s="499"/>
      <c r="AO204" s="499"/>
      <c r="AP204" s="499"/>
      <c r="AQ204" s="499"/>
      <c r="AR204" s="499"/>
      <c r="AS204" s="499"/>
      <c r="AT204" s="499"/>
      <c r="AU204" s="499"/>
      <c r="AV204" s="499"/>
      <c r="AW204" s="499"/>
      <c r="AX204" s="499"/>
      <c r="AY204" s="499"/>
      <c r="AZ204" s="499"/>
      <c r="BA204" s="499"/>
      <c r="BB204" s="499"/>
      <c r="BC204" s="499"/>
      <c r="BD204" s="499"/>
      <c r="BE204" s="499"/>
      <c r="BF204" s="499"/>
      <c r="BG204" s="499"/>
      <c r="BH204" s="499"/>
      <c r="BI204" s="499"/>
      <c r="BJ204" s="499"/>
      <c r="BK204" s="499"/>
      <c r="BL204" s="499"/>
      <c r="BM204" s="499"/>
      <c r="BN204" s="499"/>
      <c r="BO204" s="499"/>
      <c r="BP204" s="499"/>
      <c r="BQ204" s="499"/>
      <c r="BR204" s="499"/>
      <c r="BS204" s="499"/>
      <c r="BT204" s="499"/>
      <c r="BU204" s="499"/>
      <c r="BV204" s="499"/>
      <c r="BW204" s="499"/>
      <c r="BX204" s="499"/>
      <c r="BY204" s="499"/>
      <c r="BZ204" s="499"/>
      <c r="CA204" s="499"/>
      <c r="CB204" s="499"/>
      <c r="CC204" s="499"/>
      <c r="CD204" s="499"/>
      <c r="CE204" s="499"/>
      <c r="CF204" s="499"/>
      <c r="CG204" s="499"/>
      <c r="CH204" s="499"/>
      <c r="CI204" s="499"/>
      <c r="CJ204" s="499"/>
      <c r="CK204" s="499"/>
      <c r="CL204" s="499"/>
      <c r="CM204" s="499"/>
      <c r="CN204" s="499"/>
      <c r="CO204" s="499"/>
      <c r="CP204" s="499"/>
      <c r="CQ204" s="499"/>
      <c r="CR204" s="499"/>
      <c r="CS204" s="499"/>
      <c r="CT204" s="499"/>
      <c r="CU204" s="499"/>
      <c r="CV204" s="499"/>
      <c r="CW204" s="499"/>
      <c r="CX204" s="499"/>
      <c r="CY204" s="499"/>
      <c r="CZ204" s="499"/>
      <c r="DA204" s="499"/>
      <c r="DB204" s="499"/>
      <c r="DC204" s="499"/>
      <c r="DD204" s="499"/>
      <c r="DE204" s="499"/>
      <c r="DF204" s="499"/>
      <c r="DG204" s="499"/>
      <c r="DH204" s="499"/>
      <c r="DI204" s="499"/>
      <c r="DJ204" s="499"/>
      <c r="DK204" s="499"/>
      <c r="DL204" s="499"/>
      <c r="DM204" s="499"/>
      <c r="DN204" s="499"/>
      <c r="DO204" s="499"/>
      <c r="DP204" s="499"/>
      <c r="DQ204" s="499"/>
      <c r="DR204" s="499"/>
      <c r="DS204" s="499"/>
      <c r="DT204" s="499"/>
      <c r="DU204" s="499"/>
      <c r="DV204" s="499"/>
      <c r="DW204" s="499"/>
      <c r="DX204" s="499"/>
      <c r="DY204" s="499"/>
      <c r="DZ204" s="499"/>
      <c r="EA204" s="499"/>
      <c r="EB204" s="499"/>
    </row>
    <row r="205" spans="1:132">
      <c r="A205" s="481" t="s">
        <v>417</v>
      </c>
      <c r="B205" s="484">
        <f t="shared" si="68"/>
        <v>0</v>
      </c>
      <c r="C205" s="484">
        <f t="shared" si="70"/>
        <v>0</v>
      </c>
      <c r="D205" s="484">
        <f t="shared" si="69"/>
        <v>0</v>
      </c>
      <c r="E205" s="961">
        <f t="shared" si="67"/>
        <v>0</v>
      </c>
      <c r="F205" s="962">
        <f t="shared" si="58"/>
        <v>0</v>
      </c>
      <c r="G205" s="499"/>
      <c r="H205" s="499"/>
      <c r="I205" s="499"/>
      <c r="J205" s="499"/>
      <c r="K205" s="499"/>
      <c r="L205" s="499"/>
      <c r="M205" s="499"/>
      <c r="N205" s="499"/>
      <c r="O205" s="499"/>
      <c r="P205" s="499"/>
      <c r="Q205" s="499"/>
      <c r="R205" s="499"/>
      <c r="S205" s="499"/>
      <c r="T205" s="499"/>
      <c r="U205" s="499"/>
      <c r="V205" s="499"/>
      <c r="W205" s="499"/>
      <c r="X205" s="499"/>
      <c r="Y205" s="499"/>
      <c r="Z205" s="499"/>
      <c r="AA205" s="499"/>
      <c r="AB205" s="499"/>
      <c r="AC205" s="499"/>
      <c r="AD205" s="499"/>
      <c r="AE205" s="499"/>
      <c r="AF205" s="499"/>
      <c r="AG205" s="499"/>
      <c r="AH205" s="499"/>
      <c r="AI205" s="499"/>
      <c r="AJ205" s="499"/>
      <c r="AK205" s="499"/>
      <c r="AL205" s="499"/>
      <c r="AM205" s="499"/>
      <c r="AN205" s="499"/>
      <c r="AO205" s="499"/>
      <c r="AP205" s="499"/>
      <c r="AQ205" s="499"/>
      <c r="AR205" s="499"/>
      <c r="AS205" s="499"/>
      <c r="AT205" s="499"/>
      <c r="AU205" s="499"/>
      <c r="AV205" s="499"/>
      <c r="AW205" s="499"/>
      <c r="AX205" s="499"/>
      <c r="AY205" s="499"/>
      <c r="AZ205" s="499"/>
      <c r="BA205" s="499"/>
      <c r="BB205" s="499"/>
      <c r="BC205" s="499"/>
      <c r="BD205" s="499"/>
      <c r="BE205" s="499"/>
      <c r="BF205" s="499"/>
      <c r="BG205" s="499"/>
      <c r="BH205" s="499"/>
      <c r="BI205" s="499"/>
      <c r="BJ205" s="499"/>
      <c r="BK205" s="499"/>
      <c r="BL205" s="499"/>
      <c r="BM205" s="499"/>
      <c r="BN205" s="499"/>
      <c r="BO205" s="499"/>
      <c r="BP205" s="499"/>
      <c r="BQ205" s="499"/>
      <c r="BR205" s="499"/>
      <c r="BS205" s="499"/>
      <c r="BT205" s="499"/>
      <c r="BU205" s="499"/>
      <c r="BV205" s="499"/>
      <c r="BW205" s="499"/>
      <c r="BX205" s="499"/>
      <c r="BY205" s="499"/>
      <c r="BZ205" s="499"/>
      <c r="CA205" s="499"/>
      <c r="CB205" s="499"/>
      <c r="CC205" s="499"/>
      <c r="CD205" s="499"/>
      <c r="CE205" s="499"/>
      <c r="CF205" s="499"/>
      <c r="CG205" s="499"/>
      <c r="CH205" s="499"/>
      <c r="CI205" s="499"/>
      <c r="CJ205" s="499"/>
      <c r="CK205" s="499"/>
      <c r="CL205" s="499"/>
      <c r="CM205" s="499"/>
      <c r="CN205" s="499"/>
      <c r="CO205" s="499"/>
      <c r="CP205" s="499"/>
      <c r="CQ205" s="499"/>
      <c r="CR205" s="499"/>
      <c r="CS205" s="499"/>
      <c r="CT205" s="499"/>
      <c r="CU205" s="499"/>
      <c r="CV205" s="499"/>
      <c r="CW205" s="499"/>
      <c r="CX205" s="499"/>
      <c r="CY205" s="499"/>
      <c r="CZ205" s="499"/>
      <c r="DA205" s="499"/>
      <c r="DB205" s="499"/>
      <c r="DC205" s="499"/>
      <c r="DD205" s="499"/>
      <c r="DE205" s="499"/>
      <c r="DF205" s="499"/>
      <c r="DG205" s="499"/>
      <c r="DH205" s="499"/>
      <c r="DI205" s="499"/>
      <c r="DJ205" s="499"/>
      <c r="DK205" s="499"/>
      <c r="DL205" s="499"/>
      <c r="DM205" s="499"/>
      <c r="DN205" s="499"/>
      <c r="DO205" s="499"/>
      <c r="DP205" s="499"/>
      <c r="DQ205" s="499"/>
      <c r="DR205" s="499"/>
      <c r="DS205" s="499"/>
      <c r="DT205" s="499"/>
      <c r="DU205" s="499"/>
      <c r="DV205" s="499"/>
      <c r="DW205" s="499"/>
      <c r="DX205" s="499"/>
      <c r="DY205" s="499"/>
      <c r="DZ205" s="499"/>
      <c r="EA205" s="499"/>
      <c r="EB205" s="499"/>
    </row>
    <row r="206" spans="1:132">
      <c r="A206" s="481" t="s">
        <v>418</v>
      </c>
      <c r="B206" s="484">
        <f t="shared" si="68"/>
        <v>0</v>
      </c>
      <c r="C206" s="484">
        <f t="shared" si="70"/>
        <v>0</v>
      </c>
      <c r="D206" s="484">
        <f t="shared" si="69"/>
        <v>0</v>
      </c>
      <c r="E206" s="961">
        <f t="shared" si="67"/>
        <v>0</v>
      </c>
      <c r="F206" s="962">
        <f t="shared" si="58"/>
        <v>0</v>
      </c>
      <c r="G206" s="499"/>
      <c r="H206" s="499"/>
      <c r="I206" s="499"/>
      <c r="J206" s="499"/>
      <c r="K206" s="499"/>
      <c r="L206" s="499"/>
      <c r="M206" s="499"/>
      <c r="N206" s="499"/>
      <c r="O206" s="499"/>
      <c r="P206" s="499"/>
      <c r="Q206" s="499"/>
      <c r="R206" s="499"/>
      <c r="S206" s="499"/>
      <c r="T206" s="499"/>
      <c r="U206" s="499"/>
      <c r="V206" s="499"/>
      <c r="W206" s="499"/>
      <c r="X206" s="499"/>
      <c r="Y206" s="499"/>
      <c r="Z206" s="499"/>
      <c r="AA206" s="499"/>
      <c r="AB206" s="499"/>
      <c r="AC206" s="499"/>
      <c r="AD206" s="499"/>
      <c r="AE206" s="499"/>
      <c r="AF206" s="499"/>
      <c r="AG206" s="499"/>
      <c r="AH206" s="499"/>
      <c r="AI206" s="499"/>
      <c r="AJ206" s="499"/>
      <c r="AK206" s="499"/>
      <c r="AL206" s="499"/>
      <c r="AM206" s="499"/>
      <c r="AN206" s="499"/>
      <c r="AO206" s="499"/>
      <c r="AP206" s="499"/>
      <c r="AQ206" s="499"/>
      <c r="AR206" s="499"/>
      <c r="AS206" s="499"/>
      <c r="AT206" s="499"/>
      <c r="AU206" s="499"/>
      <c r="AV206" s="499"/>
      <c r="AW206" s="499"/>
      <c r="AX206" s="499"/>
      <c r="AY206" s="499"/>
      <c r="AZ206" s="499"/>
      <c r="BA206" s="499"/>
      <c r="BB206" s="499"/>
      <c r="BC206" s="499"/>
      <c r="BD206" s="499"/>
      <c r="BE206" s="499"/>
      <c r="BF206" s="499"/>
      <c r="BG206" s="499"/>
      <c r="BH206" s="499"/>
      <c r="BI206" s="499"/>
      <c r="BJ206" s="499"/>
      <c r="BK206" s="499"/>
      <c r="BL206" s="499"/>
      <c r="BM206" s="499"/>
      <c r="BN206" s="499"/>
      <c r="BO206" s="499"/>
      <c r="BP206" s="499"/>
      <c r="BQ206" s="499"/>
      <c r="BR206" s="499"/>
      <c r="BS206" s="499"/>
      <c r="BT206" s="499"/>
      <c r="BU206" s="499"/>
      <c r="BV206" s="499"/>
      <c r="BW206" s="499"/>
      <c r="BX206" s="499"/>
      <c r="BY206" s="499"/>
      <c r="BZ206" s="499"/>
      <c r="CA206" s="499"/>
      <c r="CB206" s="499"/>
      <c r="CC206" s="499"/>
      <c r="CD206" s="499"/>
      <c r="CE206" s="499"/>
      <c r="CF206" s="499"/>
      <c r="CG206" s="499"/>
      <c r="CH206" s="499"/>
      <c r="CI206" s="499"/>
      <c r="CJ206" s="499"/>
      <c r="CK206" s="499"/>
      <c r="CL206" s="499"/>
      <c r="CM206" s="499"/>
      <c r="CN206" s="499"/>
      <c r="CO206" s="499"/>
      <c r="CP206" s="499"/>
      <c r="CQ206" s="499"/>
      <c r="CR206" s="499"/>
      <c r="CS206" s="499"/>
      <c r="CT206" s="499"/>
      <c r="CU206" s="499"/>
      <c r="CV206" s="499"/>
      <c r="CW206" s="499"/>
      <c r="CX206" s="499"/>
      <c r="CY206" s="499"/>
      <c r="CZ206" s="499"/>
      <c r="DA206" s="499"/>
      <c r="DB206" s="499"/>
      <c r="DC206" s="499"/>
      <c r="DD206" s="499"/>
      <c r="DE206" s="499"/>
      <c r="DF206" s="499"/>
      <c r="DG206" s="499"/>
      <c r="DH206" s="499"/>
      <c r="DI206" s="499"/>
      <c r="DJ206" s="499"/>
      <c r="DK206" s="499"/>
      <c r="DL206" s="499"/>
      <c r="DM206" s="499"/>
      <c r="DN206" s="499"/>
      <c r="DO206" s="499"/>
      <c r="DP206" s="499"/>
      <c r="DQ206" s="499"/>
      <c r="DR206" s="499"/>
      <c r="DS206" s="499"/>
      <c r="DT206" s="499"/>
      <c r="DU206" s="499"/>
      <c r="DV206" s="499"/>
      <c r="DW206" s="499"/>
      <c r="DX206" s="499"/>
      <c r="DY206" s="499"/>
      <c r="DZ206" s="499"/>
      <c r="EA206" s="499"/>
      <c r="EB206" s="499"/>
    </row>
    <row r="207" spans="1:132">
      <c r="A207" s="964" t="s">
        <v>419</v>
      </c>
      <c r="B207" s="961">
        <f t="shared" si="68"/>
        <v>0</v>
      </c>
      <c r="C207" s="961">
        <f>SUM(C201:C206)</f>
        <v>0</v>
      </c>
      <c r="D207" s="961">
        <f t="shared" si="69"/>
        <v>0</v>
      </c>
      <c r="E207" s="961">
        <f t="shared" si="67"/>
        <v>0</v>
      </c>
      <c r="F207" s="962">
        <f t="shared" si="58"/>
        <v>0</v>
      </c>
      <c r="G207" s="499"/>
      <c r="H207" s="499"/>
      <c r="I207" s="499"/>
      <c r="J207" s="499"/>
      <c r="K207" s="499"/>
      <c r="L207" s="499"/>
      <c r="M207" s="499"/>
      <c r="N207" s="499"/>
      <c r="O207" s="499"/>
      <c r="P207" s="499"/>
      <c r="Q207" s="499"/>
      <c r="R207" s="499"/>
      <c r="S207" s="499"/>
      <c r="T207" s="499"/>
      <c r="U207" s="499"/>
      <c r="V207" s="499"/>
      <c r="W207" s="499"/>
      <c r="X207" s="499"/>
      <c r="Y207" s="499"/>
      <c r="Z207" s="499"/>
      <c r="AA207" s="499"/>
      <c r="AB207" s="499"/>
      <c r="AC207" s="499"/>
      <c r="AD207" s="499"/>
      <c r="AE207" s="499"/>
      <c r="AF207" s="499"/>
      <c r="AG207" s="499"/>
      <c r="AH207" s="499"/>
      <c r="AI207" s="499"/>
      <c r="AJ207" s="499"/>
      <c r="AK207" s="499"/>
      <c r="AL207" s="499"/>
      <c r="AM207" s="499"/>
      <c r="AN207" s="499"/>
      <c r="AO207" s="499"/>
      <c r="AP207" s="499"/>
      <c r="AQ207" s="499"/>
      <c r="AR207" s="499"/>
      <c r="AS207" s="499"/>
      <c r="AT207" s="499"/>
      <c r="AU207" s="499"/>
      <c r="AV207" s="499"/>
      <c r="AW207" s="499"/>
      <c r="AX207" s="499"/>
      <c r="AY207" s="499"/>
      <c r="AZ207" s="499"/>
      <c r="BA207" s="499"/>
      <c r="BB207" s="499"/>
      <c r="BC207" s="499"/>
      <c r="BD207" s="499"/>
      <c r="BE207" s="499"/>
      <c r="BF207" s="499"/>
      <c r="BG207" s="499"/>
      <c r="BH207" s="499"/>
      <c r="BI207" s="499"/>
      <c r="BJ207" s="499"/>
      <c r="BK207" s="499"/>
      <c r="BL207" s="499"/>
      <c r="BM207" s="499"/>
      <c r="BN207" s="499"/>
      <c r="BO207" s="499"/>
      <c r="BP207" s="499"/>
      <c r="BQ207" s="499"/>
      <c r="BR207" s="499"/>
      <c r="BS207" s="499"/>
      <c r="BT207" s="499"/>
      <c r="BU207" s="499"/>
      <c r="BV207" s="499"/>
      <c r="BW207" s="499"/>
      <c r="BX207" s="499"/>
      <c r="BY207" s="499"/>
      <c r="BZ207" s="499"/>
      <c r="CA207" s="499"/>
      <c r="CB207" s="499"/>
      <c r="CC207" s="499"/>
      <c r="CD207" s="499"/>
      <c r="CE207" s="499"/>
      <c r="CF207" s="499"/>
      <c r="CG207" s="499"/>
      <c r="CH207" s="499"/>
      <c r="CI207" s="499"/>
      <c r="CJ207" s="499"/>
      <c r="CK207" s="499"/>
      <c r="CL207" s="499"/>
      <c r="CM207" s="499"/>
      <c r="CN207" s="499"/>
      <c r="CO207" s="499"/>
      <c r="CP207" s="499"/>
      <c r="CQ207" s="499"/>
      <c r="CR207" s="499"/>
      <c r="CS207" s="499"/>
      <c r="CT207" s="499"/>
      <c r="CU207" s="499"/>
      <c r="CV207" s="499"/>
      <c r="CW207" s="499"/>
      <c r="CX207" s="499"/>
      <c r="CY207" s="499"/>
      <c r="CZ207" s="499"/>
      <c r="DA207" s="499"/>
      <c r="DB207" s="499"/>
      <c r="DC207" s="499"/>
      <c r="DD207" s="499"/>
      <c r="DE207" s="499"/>
      <c r="DF207" s="499"/>
      <c r="DG207" s="499"/>
      <c r="DH207" s="499"/>
      <c r="DI207" s="499"/>
      <c r="DJ207" s="499"/>
      <c r="DK207" s="499"/>
      <c r="DL207" s="499"/>
      <c r="DM207" s="499"/>
      <c r="DN207" s="499"/>
      <c r="DO207" s="499"/>
      <c r="DP207" s="499"/>
      <c r="DQ207" s="499"/>
      <c r="DR207" s="499"/>
      <c r="DS207" s="499"/>
      <c r="DT207" s="499"/>
      <c r="DU207" s="499"/>
      <c r="DV207" s="499"/>
      <c r="DW207" s="499"/>
      <c r="DX207" s="499"/>
      <c r="DY207" s="499"/>
      <c r="DZ207" s="499"/>
      <c r="EA207" s="499"/>
      <c r="EB207" s="499"/>
    </row>
    <row r="208" spans="1:132">
      <c r="A208" s="515" t="s">
        <v>537</v>
      </c>
      <c r="B208" s="516"/>
      <c r="C208" s="516"/>
      <c r="D208" s="516"/>
      <c r="E208" s="516"/>
      <c r="F208" s="517"/>
      <c r="G208" s="499"/>
      <c r="H208" s="499"/>
      <c r="I208" s="499"/>
      <c r="J208" s="499"/>
      <c r="K208" s="499"/>
      <c r="L208" s="499"/>
      <c r="M208" s="499"/>
      <c r="N208" s="499"/>
      <c r="O208" s="499"/>
      <c r="P208" s="499"/>
      <c r="Q208" s="499"/>
      <c r="R208" s="499"/>
      <c r="S208" s="499"/>
      <c r="T208" s="499"/>
      <c r="U208" s="499"/>
      <c r="V208" s="499"/>
      <c r="W208" s="499"/>
      <c r="X208" s="499"/>
      <c r="Y208" s="499"/>
      <c r="Z208" s="499"/>
      <c r="AA208" s="499"/>
      <c r="AB208" s="499"/>
      <c r="AC208" s="499"/>
      <c r="AD208" s="499"/>
      <c r="AE208" s="499"/>
      <c r="AF208" s="499"/>
      <c r="AG208" s="499"/>
      <c r="AH208" s="499"/>
      <c r="AI208" s="499"/>
      <c r="AJ208" s="499"/>
      <c r="AK208" s="499"/>
      <c r="AL208" s="499"/>
      <c r="AM208" s="499"/>
      <c r="AN208" s="499"/>
      <c r="AO208" s="499"/>
      <c r="AP208" s="499"/>
      <c r="AQ208" s="499"/>
      <c r="AR208" s="499"/>
      <c r="AS208" s="499"/>
      <c r="AT208" s="499"/>
      <c r="AU208" s="499"/>
      <c r="AV208" s="499"/>
      <c r="AW208" s="499"/>
      <c r="AX208" s="499"/>
      <c r="AY208" s="499"/>
      <c r="AZ208" s="499"/>
      <c r="BA208" s="499"/>
      <c r="BB208" s="499"/>
      <c r="BC208" s="499"/>
      <c r="BD208" s="499"/>
      <c r="BE208" s="499"/>
      <c r="BF208" s="499"/>
      <c r="BG208" s="499"/>
      <c r="BH208" s="499"/>
      <c r="BI208" s="499"/>
      <c r="BJ208" s="499"/>
      <c r="BK208" s="499"/>
      <c r="BL208" s="499"/>
      <c r="BM208" s="499"/>
      <c r="BN208" s="499"/>
      <c r="BO208" s="499"/>
      <c r="BP208" s="499"/>
      <c r="BQ208" s="499"/>
      <c r="BR208" s="499"/>
      <c r="BS208" s="499"/>
      <c r="BT208" s="499"/>
      <c r="BU208" s="499"/>
      <c r="BV208" s="499"/>
      <c r="BW208" s="499"/>
      <c r="BX208" s="499"/>
      <c r="BY208" s="499"/>
      <c r="BZ208" s="499"/>
      <c r="CA208" s="499"/>
      <c r="CB208" s="499"/>
      <c r="CC208" s="499"/>
      <c r="CD208" s="499"/>
      <c r="CE208" s="499"/>
      <c r="CF208" s="499"/>
      <c r="CG208" s="499"/>
      <c r="CH208" s="499"/>
      <c r="CI208" s="499"/>
      <c r="CJ208" s="499"/>
      <c r="CK208" s="499"/>
      <c r="CL208" s="499"/>
      <c r="CM208" s="499"/>
      <c r="CN208" s="499"/>
      <c r="CO208" s="499"/>
      <c r="CP208" s="499"/>
      <c r="CQ208" s="499"/>
      <c r="CR208" s="499"/>
      <c r="CS208" s="499"/>
      <c r="CT208" s="499"/>
      <c r="CU208" s="499"/>
      <c r="CV208" s="499"/>
      <c r="CW208" s="499"/>
      <c r="CX208" s="499"/>
      <c r="CY208" s="499"/>
      <c r="CZ208" s="499"/>
      <c r="DA208" s="499"/>
      <c r="DB208" s="499"/>
      <c r="DC208" s="499"/>
      <c r="DD208" s="499"/>
      <c r="DE208" s="499"/>
      <c r="DF208" s="499"/>
      <c r="DG208" s="499"/>
      <c r="DH208" s="499"/>
      <c r="DI208" s="499"/>
      <c r="DJ208" s="499"/>
      <c r="DK208" s="499"/>
      <c r="DL208" s="499"/>
      <c r="DM208" s="499"/>
      <c r="DN208" s="499"/>
      <c r="DO208" s="499"/>
      <c r="DP208" s="499"/>
      <c r="DQ208" s="499"/>
      <c r="DR208" s="499"/>
      <c r="DS208" s="499"/>
      <c r="DT208" s="499"/>
      <c r="DU208" s="499"/>
      <c r="DV208" s="499"/>
      <c r="DW208" s="499"/>
      <c r="DX208" s="499"/>
      <c r="DY208" s="499"/>
      <c r="DZ208" s="499"/>
      <c r="EA208" s="499"/>
      <c r="EB208" s="499"/>
    </row>
    <row r="209" spans="1:132" hidden="1">
      <c r="A209" s="964" t="s">
        <v>526</v>
      </c>
      <c r="B209" s="484">
        <f>J120</f>
        <v>0</v>
      </c>
      <c r="C209" s="484">
        <f t="shared" ref="C209:C218" si="71">V134</f>
        <v>0</v>
      </c>
      <c r="D209" s="484">
        <f t="shared" ref="D209:D219" si="72">J148</f>
        <v>0</v>
      </c>
      <c r="E209" s="509">
        <f>SUM(C209:D209)</f>
        <v>0</v>
      </c>
      <c r="F209" s="496">
        <f t="shared" si="58"/>
        <v>0</v>
      </c>
      <c r="G209" s="499"/>
      <c r="H209" s="499"/>
      <c r="I209" s="499"/>
      <c r="J209" s="499"/>
      <c r="K209" s="499"/>
      <c r="L209" s="499"/>
      <c r="M209" s="499"/>
      <c r="N209" s="499"/>
      <c r="O209" s="499"/>
      <c r="P209" s="499"/>
      <c r="Q209" s="499"/>
      <c r="R209" s="499"/>
      <c r="S209" s="499"/>
      <c r="T209" s="499"/>
      <c r="U209" s="499"/>
      <c r="V209" s="499"/>
      <c r="W209" s="499"/>
      <c r="X209" s="499"/>
      <c r="Y209" s="499"/>
      <c r="Z209" s="499"/>
      <c r="AA209" s="499"/>
      <c r="AB209" s="499"/>
      <c r="AC209" s="499">
        <v>1</v>
      </c>
      <c r="AD209" s="499"/>
      <c r="AE209" s="499"/>
      <c r="AF209" s="499"/>
      <c r="AG209" s="499"/>
      <c r="AH209" s="499"/>
      <c r="AI209" s="499"/>
      <c r="AJ209" s="499"/>
      <c r="AK209" s="499"/>
      <c r="AL209" s="499"/>
      <c r="AM209" s="499"/>
      <c r="AN209" s="499"/>
      <c r="AO209" s="499"/>
      <c r="AP209" s="499"/>
      <c r="AQ209" s="499"/>
      <c r="AR209" s="499"/>
      <c r="AS209" s="499"/>
      <c r="AT209" s="499"/>
      <c r="AU209" s="499"/>
      <c r="AV209" s="499"/>
      <c r="AW209" s="499"/>
      <c r="AX209" s="499"/>
      <c r="AY209" s="499"/>
      <c r="AZ209" s="499"/>
      <c r="BA209" s="499"/>
      <c r="BB209" s="499"/>
      <c r="BC209" s="499"/>
      <c r="BD209" s="499"/>
      <c r="BE209" s="499"/>
      <c r="BF209" s="499"/>
      <c r="BG209" s="499"/>
      <c r="BH209" s="499"/>
      <c r="BI209" s="499"/>
      <c r="BJ209" s="499"/>
      <c r="BK209" s="499"/>
      <c r="BL209" s="499"/>
      <c r="BM209" s="499"/>
      <c r="BN209" s="499"/>
      <c r="BO209" s="499"/>
      <c r="BP209" s="499"/>
      <c r="BQ209" s="499"/>
      <c r="BR209" s="499"/>
      <c r="BS209" s="499"/>
      <c r="BT209" s="499"/>
      <c r="BU209" s="499"/>
      <c r="BV209" s="499"/>
      <c r="BW209" s="499"/>
      <c r="BX209" s="499"/>
      <c r="BY209" s="499"/>
      <c r="BZ209" s="499"/>
      <c r="CA209" s="499"/>
      <c r="CB209" s="499"/>
      <c r="CC209" s="499"/>
      <c r="CD209" s="499"/>
      <c r="CE209" s="499"/>
      <c r="CF209" s="499"/>
      <c r="CG209" s="499"/>
      <c r="CH209" s="499"/>
      <c r="CI209" s="499"/>
      <c r="CJ209" s="499"/>
      <c r="CK209" s="499"/>
      <c r="CL209" s="499"/>
      <c r="CM209" s="499"/>
      <c r="CN209" s="499"/>
      <c r="CO209" s="499"/>
      <c r="CP209" s="499"/>
      <c r="CQ209" s="499"/>
      <c r="CR209" s="499"/>
      <c r="CS209" s="499"/>
      <c r="CT209" s="499"/>
      <c r="CU209" s="499"/>
      <c r="CV209" s="499"/>
      <c r="CW209" s="499"/>
      <c r="CX209" s="499"/>
      <c r="CY209" s="499"/>
      <c r="CZ209" s="499"/>
      <c r="DA209" s="499"/>
      <c r="DB209" s="499"/>
      <c r="DC209" s="499"/>
      <c r="DD209" s="499"/>
      <c r="DE209" s="499"/>
      <c r="DF209" s="499"/>
      <c r="DG209" s="499"/>
      <c r="DH209" s="499"/>
      <c r="DI209" s="499"/>
      <c r="DJ209" s="499"/>
      <c r="DK209" s="499"/>
      <c r="DL209" s="499"/>
      <c r="DM209" s="499"/>
      <c r="DN209" s="499"/>
      <c r="DO209" s="499"/>
      <c r="DP209" s="499"/>
      <c r="DQ209" s="499"/>
      <c r="DR209" s="499"/>
      <c r="DS209" s="499"/>
      <c r="DT209" s="499"/>
      <c r="DU209" s="499"/>
      <c r="DV209" s="499"/>
      <c r="DW209" s="499"/>
      <c r="DX209" s="499"/>
      <c r="DY209" s="499"/>
      <c r="DZ209" s="499"/>
      <c r="EA209" s="499"/>
      <c r="EB209" s="499"/>
    </row>
    <row r="210" spans="1:132" hidden="1">
      <c r="A210" s="964" t="s">
        <v>527</v>
      </c>
      <c r="B210" s="484">
        <f t="shared" ref="B210:B218" si="73">J121</f>
        <v>0</v>
      </c>
      <c r="C210" s="484">
        <f t="shared" si="71"/>
        <v>0</v>
      </c>
      <c r="D210" s="484">
        <f t="shared" si="72"/>
        <v>0</v>
      </c>
      <c r="E210" s="509">
        <f t="shared" ref="E210:E219" si="74">SUM(C210:D210)</f>
        <v>0</v>
      </c>
      <c r="F210" s="496">
        <f t="shared" si="58"/>
        <v>0</v>
      </c>
      <c r="G210" s="499"/>
      <c r="H210" s="499"/>
      <c r="I210" s="499"/>
      <c r="J210" s="499"/>
      <c r="K210" s="499"/>
      <c r="L210" s="499"/>
      <c r="M210" s="499"/>
      <c r="N210" s="499"/>
      <c r="O210" s="499"/>
      <c r="P210" s="499"/>
      <c r="Q210" s="499"/>
      <c r="R210" s="499"/>
      <c r="S210" s="499"/>
      <c r="T210" s="499"/>
      <c r="U210" s="499"/>
      <c r="V210" s="499"/>
      <c r="W210" s="499"/>
      <c r="X210" s="499"/>
      <c r="Y210" s="499"/>
      <c r="Z210" s="499"/>
      <c r="AA210" s="499"/>
      <c r="AB210" s="499"/>
      <c r="AC210" s="499">
        <v>2</v>
      </c>
      <c r="AD210" s="499"/>
      <c r="AE210" s="499"/>
      <c r="AF210" s="499"/>
      <c r="AG210" s="499"/>
      <c r="AH210" s="499"/>
      <c r="AI210" s="499"/>
      <c r="AJ210" s="499"/>
      <c r="AK210" s="499"/>
      <c r="AL210" s="499"/>
      <c r="AM210" s="499"/>
      <c r="AN210" s="499"/>
      <c r="AO210" s="499"/>
      <c r="AP210" s="499"/>
      <c r="AQ210" s="499"/>
      <c r="AR210" s="499"/>
      <c r="AS210" s="499"/>
      <c r="AT210" s="499"/>
      <c r="AU210" s="499"/>
      <c r="AV210" s="499"/>
      <c r="AW210" s="499"/>
      <c r="AX210" s="499"/>
      <c r="AY210" s="499"/>
      <c r="AZ210" s="499"/>
      <c r="BA210" s="499"/>
      <c r="BB210" s="499"/>
      <c r="BC210" s="499"/>
      <c r="BD210" s="499"/>
      <c r="BE210" s="499"/>
      <c r="BF210" s="499"/>
      <c r="BG210" s="499"/>
      <c r="BH210" s="499"/>
      <c r="BI210" s="499"/>
      <c r="BJ210" s="499"/>
      <c r="BK210" s="499"/>
      <c r="BL210" s="499"/>
      <c r="BM210" s="499"/>
      <c r="BN210" s="499"/>
      <c r="BO210" s="499"/>
      <c r="BP210" s="499"/>
      <c r="BQ210" s="499"/>
      <c r="BR210" s="499"/>
      <c r="BS210" s="499"/>
      <c r="BT210" s="499"/>
      <c r="BU210" s="499"/>
      <c r="BV210" s="499"/>
      <c r="BW210" s="499"/>
      <c r="BX210" s="499"/>
      <c r="BY210" s="499"/>
      <c r="BZ210" s="499"/>
      <c r="CA210" s="499"/>
      <c r="CB210" s="499"/>
      <c r="CC210" s="499"/>
      <c r="CD210" s="499"/>
      <c r="CE210" s="499"/>
      <c r="CF210" s="499"/>
      <c r="CG210" s="499"/>
      <c r="CH210" s="499"/>
      <c r="CI210" s="499"/>
      <c r="CJ210" s="499"/>
      <c r="CK210" s="499"/>
      <c r="CL210" s="499"/>
      <c r="CM210" s="499"/>
      <c r="CN210" s="499"/>
      <c r="CO210" s="499"/>
      <c r="CP210" s="499"/>
      <c r="CQ210" s="499"/>
      <c r="CR210" s="499"/>
      <c r="CS210" s="499"/>
      <c r="CT210" s="499"/>
      <c r="CU210" s="499"/>
      <c r="CV210" s="499"/>
      <c r="CW210" s="499"/>
      <c r="CX210" s="499"/>
      <c r="CY210" s="499"/>
      <c r="CZ210" s="499"/>
      <c r="DA210" s="499"/>
      <c r="DB210" s="499"/>
      <c r="DC210" s="499"/>
      <c r="DD210" s="499"/>
      <c r="DE210" s="499"/>
      <c r="DF210" s="499"/>
      <c r="DG210" s="499"/>
      <c r="DH210" s="499"/>
      <c r="DI210" s="499"/>
      <c r="DJ210" s="499"/>
      <c r="DK210" s="499"/>
      <c r="DL210" s="499"/>
      <c r="DM210" s="499"/>
      <c r="DN210" s="499"/>
      <c r="DO210" s="499"/>
      <c r="DP210" s="499"/>
      <c r="DQ210" s="499"/>
      <c r="DR210" s="499"/>
      <c r="DS210" s="499"/>
      <c r="DT210" s="499"/>
      <c r="DU210" s="499"/>
      <c r="DV210" s="499"/>
      <c r="DW210" s="499"/>
      <c r="DX210" s="499"/>
      <c r="DY210" s="499"/>
      <c r="DZ210" s="499"/>
      <c r="EA210" s="499"/>
      <c r="EB210" s="499"/>
    </row>
    <row r="211" spans="1:132" hidden="1">
      <c r="A211" s="964" t="s">
        <v>528</v>
      </c>
      <c r="B211" s="484">
        <f t="shared" si="73"/>
        <v>0</v>
      </c>
      <c r="C211" s="484">
        <f t="shared" si="71"/>
        <v>0</v>
      </c>
      <c r="D211" s="484">
        <f t="shared" si="72"/>
        <v>0</v>
      </c>
      <c r="E211" s="509">
        <f t="shared" si="74"/>
        <v>0</v>
      </c>
      <c r="F211" s="496">
        <f t="shared" si="58"/>
        <v>0</v>
      </c>
      <c r="G211" s="499"/>
      <c r="H211" s="499"/>
      <c r="I211" s="499"/>
      <c r="J211" s="499"/>
      <c r="K211" s="499"/>
      <c r="L211" s="499"/>
      <c r="M211" s="499"/>
      <c r="N211" s="499"/>
      <c r="O211" s="499"/>
      <c r="P211" s="499"/>
      <c r="Q211" s="499"/>
      <c r="R211" s="499"/>
      <c r="S211" s="499"/>
      <c r="T211" s="499"/>
      <c r="U211" s="499"/>
      <c r="V211" s="499"/>
      <c r="W211" s="499"/>
      <c r="X211" s="499"/>
      <c r="Y211" s="499"/>
      <c r="Z211" s="499"/>
      <c r="AA211" s="499"/>
      <c r="AB211" s="499"/>
      <c r="AC211" s="499">
        <v>3</v>
      </c>
      <c r="AD211" s="499"/>
      <c r="AE211" s="499"/>
      <c r="AF211" s="499"/>
      <c r="AG211" s="499"/>
      <c r="AH211" s="499"/>
      <c r="AI211" s="499"/>
      <c r="AJ211" s="499"/>
      <c r="AK211" s="499"/>
      <c r="AL211" s="499"/>
      <c r="AM211" s="499"/>
      <c r="AN211" s="499"/>
      <c r="AO211" s="499"/>
      <c r="AP211" s="499"/>
      <c r="AQ211" s="499"/>
      <c r="AR211" s="499"/>
      <c r="AS211" s="499"/>
      <c r="AT211" s="499"/>
      <c r="AU211" s="499"/>
      <c r="AV211" s="499"/>
      <c r="AW211" s="499"/>
      <c r="AX211" s="499"/>
      <c r="AY211" s="499"/>
      <c r="AZ211" s="499"/>
      <c r="BA211" s="499"/>
      <c r="BB211" s="499"/>
      <c r="BC211" s="499"/>
      <c r="BD211" s="499"/>
      <c r="BE211" s="499"/>
      <c r="BF211" s="499"/>
      <c r="BG211" s="499"/>
      <c r="BH211" s="499"/>
      <c r="BI211" s="499"/>
      <c r="BJ211" s="499"/>
      <c r="BK211" s="499"/>
      <c r="BL211" s="499"/>
      <c r="BM211" s="499"/>
      <c r="BN211" s="499"/>
      <c r="BO211" s="499"/>
      <c r="BP211" s="499"/>
      <c r="BQ211" s="499"/>
      <c r="BR211" s="499"/>
      <c r="BS211" s="499"/>
      <c r="BT211" s="499"/>
      <c r="BU211" s="499"/>
      <c r="BV211" s="499"/>
      <c r="BW211" s="499"/>
      <c r="BX211" s="499"/>
      <c r="BY211" s="499"/>
      <c r="BZ211" s="499"/>
      <c r="CA211" s="499"/>
      <c r="CB211" s="499"/>
      <c r="CC211" s="499"/>
      <c r="CD211" s="499"/>
      <c r="CE211" s="499"/>
      <c r="CF211" s="499"/>
      <c r="CG211" s="499"/>
      <c r="CH211" s="499"/>
      <c r="CI211" s="499"/>
      <c r="CJ211" s="499"/>
      <c r="CK211" s="499"/>
      <c r="CL211" s="499"/>
      <c r="CM211" s="499"/>
      <c r="CN211" s="499"/>
      <c r="CO211" s="499"/>
      <c r="CP211" s="499"/>
      <c r="CQ211" s="499"/>
      <c r="CR211" s="499"/>
      <c r="CS211" s="499"/>
      <c r="CT211" s="499"/>
      <c r="CU211" s="499"/>
      <c r="CV211" s="499"/>
      <c r="CW211" s="499"/>
      <c r="CX211" s="499"/>
      <c r="CY211" s="499"/>
      <c r="CZ211" s="499"/>
      <c r="DA211" s="499"/>
      <c r="DB211" s="499"/>
      <c r="DC211" s="499"/>
      <c r="DD211" s="499"/>
      <c r="DE211" s="499"/>
      <c r="DF211" s="499"/>
      <c r="DG211" s="499"/>
      <c r="DH211" s="499"/>
      <c r="DI211" s="499"/>
      <c r="DJ211" s="499"/>
      <c r="DK211" s="499"/>
      <c r="DL211" s="499"/>
      <c r="DM211" s="499"/>
      <c r="DN211" s="499"/>
      <c r="DO211" s="499"/>
      <c r="DP211" s="499"/>
      <c r="DQ211" s="499"/>
      <c r="DR211" s="499"/>
      <c r="DS211" s="499"/>
      <c r="DT211" s="499"/>
      <c r="DU211" s="499"/>
      <c r="DV211" s="499"/>
      <c r="DW211" s="499"/>
      <c r="DX211" s="499"/>
      <c r="DY211" s="499"/>
      <c r="DZ211" s="499"/>
      <c r="EA211" s="499"/>
      <c r="EB211" s="499"/>
    </row>
    <row r="212" spans="1:132" hidden="1">
      <c r="A212" s="964" t="s">
        <v>529</v>
      </c>
      <c r="B212" s="484">
        <f t="shared" si="73"/>
        <v>0</v>
      </c>
      <c r="C212" s="484">
        <f t="shared" si="71"/>
        <v>0</v>
      </c>
      <c r="D212" s="484">
        <f t="shared" si="72"/>
        <v>0</v>
      </c>
      <c r="E212" s="509">
        <f t="shared" si="74"/>
        <v>0</v>
      </c>
      <c r="F212" s="496">
        <f t="shared" si="58"/>
        <v>0</v>
      </c>
      <c r="G212" s="499"/>
      <c r="H212" s="499"/>
      <c r="I212" s="499"/>
      <c r="J212" s="499"/>
      <c r="K212" s="499"/>
      <c r="L212" s="499"/>
      <c r="M212" s="499"/>
      <c r="N212" s="499"/>
      <c r="O212" s="499"/>
      <c r="P212" s="499"/>
      <c r="Q212" s="499"/>
      <c r="R212" s="499"/>
      <c r="S212" s="499"/>
      <c r="T212" s="499"/>
      <c r="U212" s="499"/>
      <c r="V212" s="499"/>
      <c r="W212" s="499"/>
      <c r="X212" s="499"/>
      <c r="Y212" s="499"/>
      <c r="Z212" s="499"/>
      <c r="AA212" s="499"/>
      <c r="AB212" s="499"/>
      <c r="AC212" s="499">
        <v>4</v>
      </c>
      <c r="AD212" s="499"/>
      <c r="AE212" s="499"/>
      <c r="AF212" s="499"/>
      <c r="AG212" s="499"/>
      <c r="AH212" s="499"/>
      <c r="AI212" s="499"/>
      <c r="AJ212" s="499"/>
      <c r="AK212" s="499"/>
      <c r="AL212" s="499"/>
      <c r="AM212" s="499"/>
      <c r="AN212" s="499"/>
      <c r="AO212" s="499"/>
      <c r="AP212" s="499"/>
      <c r="AQ212" s="499"/>
      <c r="AR212" s="499"/>
      <c r="AS212" s="499"/>
      <c r="AT212" s="499"/>
      <c r="AU212" s="499"/>
      <c r="AV212" s="499"/>
      <c r="AW212" s="499"/>
      <c r="AX212" s="499"/>
      <c r="AY212" s="499"/>
      <c r="AZ212" s="499"/>
      <c r="BA212" s="499"/>
      <c r="BB212" s="499"/>
      <c r="BC212" s="499"/>
      <c r="BD212" s="499"/>
      <c r="BE212" s="499"/>
      <c r="BF212" s="499"/>
      <c r="BG212" s="499"/>
      <c r="BH212" s="499"/>
      <c r="BI212" s="499"/>
      <c r="BJ212" s="499"/>
      <c r="BK212" s="499"/>
      <c r="BL212" s="499"/>
      <c r="BM212" s="499"/>
      <c r="BN212" s="499"/>
      <c r="BO212" s="499"/>
      <c r="BP212" s="499"/>
      <c r="BQ212" s="499"/>
      <c r="BR212" s="499"/>
      <c r="BS212" s="499"/>
      <c r="BT212" s="499"/>
      <c r="BU212" s="499"/>
      <c r="BV212" s="499"/>
      <c r="BW212" s="499"/>
      <c r="BX212" s="499"/>
      <c r="BY212" s="499"/>
      <c r="BZ212" s="499"/>
      <c r="CA212" s="499"/>
      <c r="CB212" s="499"/>
      <c r="CC212" s="499"/>
      <c r="CD212" s="499"/>
      <c r="CE212" s="499"/>
      <c r="CF212" s="499"/>
      <c r="CG212" s="499"/>
      <c r="CH212" s="499"/>
      <c r="CI212" s="499"/>
      <c r="CJ212" s="499"/>
      <c r="CK212" s="499"/>
      <c r="CL212" s="499"/>
      <c r="CM212" s="499"/>
      <c r="CN212" s="499"/>
      <c r="CO212" s="499"/>
      <c r="CP212" s="499"/>
      <c r="CQ212" s="499"/>
      <c r="CR212" s="499"/>
      <c r="CS212" s="499"/>
      <c r="CT212" s="499"/>
      <c r="CU212" s="499"/>
      <c r="CV212" s="499"/>
      <c r="CW212" s="499"/>
      <c r="CX212" s="499"/>
      <c r="CY212" s="499"/>
      <c r="CZ212" s="499"/>
      <c r="DA212" s="499"/>
      <c r="DB212" s="499"/>
      <c r="DC212" s="499"/>
      <c r="DD212" s="499"/>
      <c r="DE212" s="499"/>
      <c r="DF212" s="499"/>
      <c r="DG212" s="499"/>
      <c r="DH212" s="499"/>
      <c r="DI212" s="499"/>
      <c r="DJ212" s="499"/>
      <c r="DK212" s="499"/>
      <c r="DL212" s="499"/>
      <c r="DM212" s="499"/>
      <c r="DN212" s="499"/>
      <c r="DO212" s="499"/>
      <c r="DP212" s="499"/>
      <c r="DQ212" s="499"/>
      <c r="DR212" s="499"/>
      <c r="DS212" s="499"/>
      <c r="DT212" s="499"/>
      <c r="DU212" s="499"/>
      <c r="DV212" s="499"/>
      <c r="DW212" s="499"/>
      <c r="DX212" s="499"/>
      <c r="DY212" s="499"/>
      <c r="DZ212" s="499"/>
      <c r="EA212" s="499"/>
      <c r="EB212" s="499"/>
    </row>
    <row r="213" spans="1:132" hidden="1">
      <c r="A213" s="964" t="s">
        <v>530</v>
      </c>
      <c r="B213" s="484">
        <f t="shared" si="73"/>
        <v>0</v>
      </c>
      <c r="C213" s="484">
        <f t="shared" si="71"/>
        <v>0</v>
      </c>
      <c r="D213" s="484">
        <f t="shared" si="72"/>
        <v>0</v>
      </c>
      <c r="E213" s="509">
        <f t="shared" si="74"/>
        <v>0</v>
      </c>
      <c r="F213" s="496">
        <f t="shared" si="58"/>
        <v>0</v>
      </c>
      <c r="G213" s="499"/>
      <c r="H213" s="499"/>
      <c r="I213" s="499"/>
      <c r="J213" s="499"/>
      <c r="K213" s="499"/>
      <c r="L213" s="499"/>
      <c r="M213" s="499"/>
      <c r="N213" s="499"/>
      <c r="O213" s="499"/>
      <c r="P213" s="499"/>
      <c r="Q213" s="499"/>
      <c r="R213" s="499"/>
      <c r="S213" s="499"/>
      <c r="T213" s="499"/>
      <c r="U213" s="499"/>
      <c r="V213" s="499"/>
      <c r="W213" s="499"/>
      <c r="X213" s="499"/>
      <c r="Y213" s="499"/>
      <c r="Z213" s="499"/>
      <c r="AA213" s="499"/>
      <c r="AB213" s="499"/>
      <c r="AC213" s="499">
        <v>5</v>
      </c>
      <c r="AD213" s="499"/>
      <c r="AE213" s="499"/>
      <c r="AF213" s="499"/>
      <c r="AG213" s="499"/>
      <c r="AH213" s="499"/>
      <c r="AI213" s="499"/>
      <c r="AJ213" s="499"/>
      <c r="AK213" s="499"/>
      <c r="AL213" s="499"/>
      <c r="AM213" s="499"/>
      <c r="AN213" s="499"/>
      <c r="AO213" s="499"/>
      <c r="AP213" s="499"/>
      <c r="AQ213" s="499"/>
      <c r="AR213" s="499"/>
      <c r="AS213" s="499"/>
      <c r="AT213" s="499"/>
      <c r="AU213" s="499"/>
      <c r="AV213" s="499"/>
      <c r="AW213" s="499"/>
      <c r="AX213" s="499"/>
      <c r="AY213" s="499"/>
      <c r="AZ213" s="499"/>
      <c r="BA213" s="499"/>
      <c r="BB213" s="499"/>
      <c r="BC213" s="499"/>
      <c r="BD213" s="499"/>
      <c r="BE213" s="499"/>
      <c r="BF213" s="499"/>
      <c r="BG213" s="499"/>
      <c r="BH213" s="499"/>
      <c r="BI213" s="499"/>
      <c r="BJ213" s="499"/>
      <c r="BK213" s="499"/>
      <c r="BL213" s="499"/>
      <c r="BM213" s="499"/>
      <c r="BN213" s="499"/>
      <c r="BO213" s="499"/>
      <c r="BP213" s="499"/>
      <c r="BQ213" s="499"/>
      <c r="BR213" s="499"/>
      <c r="BS213" s="499"/>
      <c r="BT213" s="499"/>
      <c r="BU213" s="499"/>
      <c r="BV213" s="499"/>
      <c r="BW213" s="499"/>
      <c r="BX213" s="499"/>
      <c r="BY213" s="499"/>
      <c r="BZ213" s="499"/>
      <c r="CA213" s="499"/>
      <c r="CB213" s="499"/>
      <c r="CC213" s="499"/>
      <c r="CD213" s="499"/>
      <c r="CE213" s="499"/>
      <c r="CF213" s="499"/>
      <c r="CG213" s="499"/>
      <c r="CH213" s="499"/>
      <c r="CI213" s="499"/>
      <c r="CJ213" s="499"/>
      <c r="CK213" s="499"/>
      <c r="CL213" s="499"/>
      <c r="CM213" s="499"/>
      <c r="CN213" s="499"/>
      <c r="CO213" s="499"/>
      <c r="CP213" s="499"/>
      <c r="CQ213" s="499"/>
      <c r="CR213" s="499"/>
      <c r="CS213" s="499"/>
      <c r="CT213" s="499"/>
      <c r="CU213" s="499"/>
      <c r="CV213" s="499"/>
      <c r="CW213" s="499"/>
      <c r="CX213" s="499"/>
      <c r="CY213" s="499"/>
      <c r="CZ213" s="499"/>
      <c r="DA213" s="499"/>
      <c r="DB213" s="499"/>
      <c r="DC213" s="499"/>
      <c r="DD213" s="499"/>
      <c r="DE213" s="499"/>
      <c r="DF213" s="499"/>
      <c r="DG213" s="499"/>
      <c r="DH213" s="499"/>
      <c r="DI213" s="499"/>
      <c r="DJ213" s="499"/>
      <c r="DK213" s="499"/>
      <c r="DL213" s="499"/>
      <c r="DM213" s="499"/>
      <c r="DN213" s="499"/>
      <c r="DO213" s="499"/>
      <c r="DP213" s="499"/>
      <c r="DQ213" s="499"/>
      <c r="DR213" s="499"/>
      <c r="DS213" s="499"/>
      <c r="DT213" s="499"/>
      <c r="DU213" s="499"/>
      <c r="DV213" s="499"/>
      <c r="DW213" s="499"/>
      <c r="DX213" s="499"/>
      <c r="DY213" s="499"/>
      <c r="DZ213" s="499"/>
      <c r="EA213" s="499"/>
      <c r="EB213" s="499"/>
    </row>
    <row r="214" spans="1:132" hidden="1">
      <c r="A214" s="964" t="s">
        <v>531</v>
      </c>
      <c r="B214" s="484">
        <f t="shared" si="73"/>
        <v>0</v>
      </c>
      <c r="C214" s="484">
        <f t="shared" si="71"/>
        <v>0</v>
      </c>
      <c r="D214" s="484">
        <f t="shared" si="72"/>
        <v>0</v>
      </c>
      <c r="E214" s="509">
        <f t="shared" si="74"/>
        <v>0</v>
      </c>
      <c r="F214" s="496">
        <f t="shared" si="58"/>
        <v>0</v>
      </c>
      <c r="G214" s="499"/>
      <c r="H214" s="499"/>
      <c r="I214" s="499"/>
      <c r="J214" s="499"/>
      <c r="K214" s="499"/>
      <c r="L214" s="499"/>
      <c r="M214" s="499"/>
      <c r="N214" s="499"/>
      <c r="O214" s="499"/>
      <c r="P214" s="499"/>
      <c r="Q214" s="499"/>
      <c r="R214" s="499"/>
      <c r="S214" s="499"/>
      <c r="T214" s="499"/>
      <c r="U214" s="499"/>
      <c r="V214" s="499"/>
      <c r="W214" s="499"/>
      <c r="X214" s="499"/>
      <c r="Y214" s="499"/>
      <c r="Z214" s="499"/>
      <c r="AA214" s="499"/>
      <c r="AB214" s="499"/>
      <c r="AC214" s="499">
        <v>6</v>
      </c>
      <c r="AD214" s="499"/>
      <c r="AE214" s="499"/>
      <c r="AF214" s="499"/>
      <c r="AG214" s="499"/>
      <c r="AH214" s="499"/>
      <c r="AI214" s="499"/>
      <c r="AJ214" s="499"/>
      <c r="AK214" s="499"/>
      <c r="AL214" s="499"/>
      <c r="AM214" s="499"/>
      <c r="AN214" s="499"/>
      <c r="AO214" s="499"/>
      <c r="AP214" s="499"/>
      <c r="AQ214" s="499"/>
      <c r="AR214" s="499"/>
      <c r="AS214" s="499"/>
      <c r="AT214" s="499"/>
      <c r="AU214" s="499"/>
      <c r="AV214" s="499"/>
      <c r="AW214" s="499"/>
      <c r="AX214" s="499"/>
      <c r="AY214" s="499"/>
      <c r="AZ214" s="499"/>
      <c r="BA214" s="499"/>
      <c r="BB214" s="499"/>
      <c r="BC214" s="499"/>
      <c r="BD214" s="499"/>
      <c r="BE214" s="499"/>
      <c r="BF214" s="499"/>
      <c r="BG214" s="499"/>
      <c r="BH214" s="499"/>
      <c r="BI214" s="499"/>
      <c r="BJ214" s="499"/>
      <c r="BK214" s="499"/>
      <c r="BL214" s="499"/>
      <c r="BM214" s="499"/>
      <c r="BN214" s="499"/>
      <c r="BO214" s="499"/>
      <c r="BP214" s="499"/>
      <c r="BQ214" s="499"/>
      <c r="BR214" s="499"/>
      <c r="BS214" s="499"/>
      <c r="BT214" s="499"/>
      <c r="BU214" s="499"/>
      <c r="BV214" s="499"/>
      <c r="BW214" s="499"/>
      <c r="BX214" s="499"/>
      <c r="BY214" s="499"/>
      <c r="BZ214" s="499"/>
      <c r="CA214" s="499"/>
      <c r="CB214" s="499"/>
      <c r="CC214" s="499"/>
      <c r="CD214" s="499"/>
      <c r="CE214" s="499"/>
      <c r="CF214" s="499"/>
      <c r="CG214" s="499"/>
      <c r="CH214" s="499"/>
      <c r="CI214" s="499"/>
      <c r="CJ214" s="499"/>
      <c r="CK214" s="499"/>
      <c r="CL214" s="499"/>
      <c r="CM214" s="499"/>
      <c r="CN214" s="499"/>
      <c r="CO214" s="499"/>
      <c r="CP214" s="499"/>
      <c r="CQ214" s="499"/>
      <c r="CR214" s="499"/>
      <c r="CS214" s="499"/>
      <c r="CT214" s="499"/>
      <c r="CU214" s="499"/>
      <c r="CV214" s="499"/>
      <c r="CW214" s="499"/>
      <c r="CX214" s="499"/>
      <c r="CY214" s="499"/>
      <c r="CZ214" s="499"/>
      <c r="DA214" s="499"/>
      <c r="DB214" s="499"/>
      <c r="DC214" s="499"/>
      <c r="DD214" s="499"/>
      <c r="DE214" s="499"/>
      <c r="DF214" s="499"/>
      <c r="DG214" s="499"/>
      <c r="DH214" s="499"/>
      <c r="DI214" s="499"/>
      <c r="DJ214" s="499"/>
      <c r="DK214" s="499"/>
      <c r="DL214" s="499"/>
      <c r="DM214" s="499"/>
      <c r="DN214" s="499"/>
      <c r="DO214" s="499"/>
      <c r="DP214" s="499"/>
      <c r="DQ214" s="499"/>
      <c r="DR214" s="499"/>
      <c r="DS214" s="499"/>
      <c r="DT214" s="499"/>
      <c r="DU214" s="499"/>
      <c r="DV214" s="499"/>
      <c r="DW214" s="499"/>
      <c r="DX214" s="499"/>
      <c r="DY214" s="499"/>
      <c r="DZ214" s="499"/>
      <c r="EA214" s="499"/>
      <c r="EB214" s="499"/>
    </row>
    <row r="215" spans="1:132" hidden="1">
      <c r="A215" s="964" t="s">
        <v>532</v>
      </c>
      <c r="B215" s="484">
        <f t="shared" si="73"/>
        <v>0</v>
      </c>
      <c r="C215" s="484">
        <f t="shared" si="71"/>
        <v>0</v>
      </c>
      <c r="D215" s="484">
        <f t="shared" si="72"/>
        <v>0</v>
      </c>
      <c r="E215" s="509">
        <f t="shared" si="74"/>
        <v>0</v>
      </c>
      <c r="F215" s="496">
        <f t="shared" si="58"/>
        <v>0</v>
      </c>
      <c r="G215" s="499"/>
      <c r="H215" s="499"/>
      <c r="I215" s="499"/>
      <c r="J215" s="499"/>
      <c r="K215" s="499"/>
      <c r="L215" s="499"/>
      <c r="M215" s="499"/>
      <c r="N215" s="499"/>
      <c r="O215" s="499"/>
      <c r="P215" s="499"/>
      <c r="Q215" s="499"/>
      <c r="R215" s="499"/>
      <c r="S215" s="499"/>
      <c r="T215" s="499"/>
      <c r="U215" s="499"/>
      <c r="V215" s="499"/>
      <c r="W215" s="499"/>
      <c r="X215" s="499"/>
      <c r="Y215" s="499"/>
      <c r="Z215" s="499"/>
      <c r="AA215" s="499"/>
      <c r="AB215" s="499"/>
      <c r="AC215" s="499">
        <v>7</v>
      </c>
      <c r="AD215" s="499"/>
      <c r="AE215" s="499"/>
      <c r="AF215" s="499"/>
      <c r="AG215" s="499"/>
      <c r="AH215" s="499"/>
      <c r="AI215" s="499"/>
      <c r="AJ215" s="499"/>
      <c r="AK215" s="499"/>
      <c r="AL215" s="499"/>
      <c r="AM215" s="499"/>
      <c r="AN215" s="499"/>
      <c r="AO215" s="499"/>
      <c r="AP215" s="499"/>
      <c r="AQ215" s="499"/>
      <c r="AR215" s="499"/>
      <c r="AS215" s="499"/>
      <c r="AT215" s="499"/>
      <c r="AU215" s="499"/>
      <c r="AV215" s="499"/>
      <c r="AW215" s="499"/>
      <c r="AX215" s="499"/>
      <c r="AY215" s="499"/>
      <c r="AZ215" s="499"/>
      <c r="BA215" s="499"/>
      <c r="BB215" s="499"/>
      <c r="BC215" s="499"/>
      <c r="BD215" s="499"/>
      <c r="BE215" s="499"/>
      <c r="BF215" s="499"/>
      <c r="BG215" s="499"/>
      <c r="BH215" s="499"/>
      <c r="BI215" s="499"/>
      <c r="BJ215" s="499"/>
      <c r="BK215" s="499"/>
      <c r="BL215" s="499"/>
      <c r="BM215" s="499"/>
      <c r="BN215" s="499"/>
      <c r="BO215" s="499"/>
      <c r="BP215" s="499"/>
      <c r="BQ215" s="499"/>
      <c r="BR215" s="499"/>
      <c r="BS215" s="499"/>
      <c r="BT215" s="499"/>
      <c r="BU215" s="499"/>
      <c r="BV215" s="499"/>
      <c r="BW215" s="499"/>
      <c r="BX215" s="499"/>
      <c r="BY215" s="499"/>
      <c r="BZ215" s="499"/>
      <c r="CA215" s="499"/>
      <c r="CB215" s="499"/>
      <c r="CC215" s="499"/>
      <c r="CD215" s="499"/>
      <c r="CE215" s="499"/>
      <c r="CF215" s="499"/>
      <c r="CG215" s="499"/>
      <c r="CH215" s="499"/>
      <c r="CI215" s="499"/>
      <c r="CJ215" s="499"/>
      <c r="CK215" s="499"/>
      <c r="CL215" s="499"/>
      <c r="CM215" s="499"/>
      <c r="CN215" s="499"/>
      <c r="CO215" s="499"/>
      <c r="CP215" s="499"/>
      <c r="CQ215" s="499"/>
      <c r="CR215" s="499"/>
      <c r="CS215" s="499"/>
      <c r="CT215" s="499"/>
      <c r="CU215" s="499"/>
      <c r="CV215" s="499"/>
      <c r="CW215" s="499"/>
      <c r="CX215" s="499"/>
      <c r="CY215" s="499"/>
      <c r="CZ215" s="499"/>
      <c r="DA215" s="499"/>
      <c r="DB215" s="499"/>
      <c r="DC215" s="499"/>
      <c r="DD215" s="499"/>
      <c r="DE215" s="499"/>
      <c r="DF215" s="499"/>
      <c r="DG215" s="499"/>
      <c r="DH215" s="499"/>
      <c r="DI215" s="499"/>
      <c r="DJ215" s="499"/>
      <c r="DK215" s="499"/>
      <c r="DL215" s="499"/>
      <c r="DM215" s="499"/>
      <c r="DN215" s="499"/>
      <c r="DO215" s="499"/>
      <c r="DP215" s="499"/>
      <c r="DQ215" s="499"/>
      <c r="DR215" s="499"/>
      <c r="DS215" s="499"/>
      <c r="DT215" s="499"/>
      <c r="DU215" s="499"/>
      <c r="DV215" s="499"/>
      <c r="DW215" s="499"/>
      <c r="DX215" s="499"/>
      <c r="DY215" s="499"/>
      <c r="DZ215" s="499"/>
      <c r="EA215" s="499"/>
      <c r="EB215" s="499"/>
    </row>
    <row r="216" spans="1:132" hidden="1">
      <c r="A216" s="964" t="s">
        <v>533</v>
      </c>
      <c r="B216" s="484">
        <f t="shared" si="73"/>
        <v>0</v>
      </c>
      <c r="C216" s="484">
        <f t="shared" si="71"/>
        <v>0</v>
      </c>
      <c r="D216" s="484">
        <f t="shared" si="72"/>
        <v>0</v>
      </c>
      <c r="E216" s="509">
        <f t="shared" si="74"/>
        <v>0</v>
      </c>
      <c r="F216" s="496">
        <f t="shared" si="58"/>
        <v>0</v>
      </c>
      <c r="G216" s="499"/>
      <c r="H216" s="499"/>
      <c r="I216" s="499"/>
      <c r="J216" s="499"/>
      <c r="K216" s="499"/>
      <c r="L216" s="499"/>
      <c r="M216" s="499"/>
      <c r="N216" s="499"/>
      <c r="O216" s="499"/>
      <c r="P216" s="499"/>
      <c r="Q216" s="499"/>
      <c r="R216" s="499"/>
      <c r="S216" s="499"/>
      <c r="T216" s="499"/>
      <c r="U216" s="499"/>
      <c r="V216" s="499"/>
      <c r="W216" s="499"/>
      <c r="X216" s="499"/>
      <c r="Y216" s="499"/>
      <c r="Z216" s="499"/>
      <c r="AA216" s="499"/>
      <c r="AB216" s="499"/>
      <c r="AC216" s="499">
        <v>8</v>
      </c>
      <c r="AD216" s="499"/>
      <c r="AE216" s="499"/>
      <c r="AF216" s="499"/>
      <c r="AG216" s="499"/>
      <c r="AH216" s="499"/>
      <c r="AI216" s="499"/>
      <c r="AJ216" s="499"/>
      <c r="AK216" s="499"/>
      <c r="AL216" s="499"/>
      <c r="AM216" s="499"/>
      <c r="AN216" s="499"/>
      <c r="AO216" s="499"/>
      <c r="AP216" s="499"/>
      <c r="AQ216" s="499"/>
      <c r="AR216" s="499"/>
      <c r="AS216" s="499"/>
      <c r="AT216" s="499"/>
      <c r="AU216" s="499"/>
      <c r="AV216" s="499"/>
      <c r="AW216" s="499"/>
      <c r="AX216" s="499"/>
      <c r="AY216" s="499"/>
      <c r="AZ216" s="499"/>
      <c r="BA216" s="499"/>
      <c r="BB216" s="499"/>
      <c r="BC216" s="499"/>
      <c r="BD216" s="499"/>
      <c r="BE216" s="499"/>
      <c r="BF216" s="499"/>
      <c r="BG216" s="499"/>
      <c r="BH216" s="499"/>
      <c r="BI216" s="499"/>
      <c r="BJ216" s="499"/>
      <c r="BK216" s="499"/>
      <c r="BL216" s="499"/>
      <c r="BM216" s="499"/>
      <c r="BN216" s="499"/>
      <c r="BO216" s="499"/>
      <c r="BP216" s="499"/>
      <c r="BQ216" s="499"/>
      <c r="BR216" s="499"/>
      <c r="BS216" s="499"/>
      <c r="BT216" s="499"/>
      <c r="BU216" s="499"/>
      <c r="BV216" s="499"/>
      <c r="BW216" s="499"/>
      <c r="BX216" s="499"/>
      <c r="BY216" s="499"/>
      <c r="BZ216" s="499"/>
      <c r="CA216" s="499"/>
      <c r="CB216" s="499"/>
      <c r="CC216" s="499"/>
      <c r="CD216" s="499"/>
      <c r="CE216" s="499"/>
      <c r="CF216" s="499"/>
      <c r="CG216" s="499"/>
      <c r="CH216" s="499"/>
      <c r="CI216" s="499"/>
      <c r="CJ216" s="499"/>
      <c r="CK216" s="499"/>
      <c r="CL216" s="499"/>
      <c r="CM216" s="499"/>
      <c r="CN216" s="499"/>
      <c r="CO216" s="499"/>
      <c r="CP216" s="499"/>
      <c r="CQ216" s="499"/>
      <c r="CR216" s="499"/>
      <c r="CS216" s="499"/>
      <c r="CT216" s="499"/>
      <c r="CU216" s="499"/>
      <c r="CV216" s="499"/>
      <c r="CW216" s="499"/>
      <c r="CX216" s="499"/>
      <c r="CY216" s="499"/>
      <c r="CZ216" s="499"/>
      <c r="DA216" s="499"/>
      <c r="DB216" s="499"/>
      <c r="DC216" s="499"/>
      <c r="DD216" s="499"/>
      <c r="DE216" s="499"/>
      <c r="DF216" s="499"/>
      <c r="DG216" s="499"/>
      <c r="DH216" s="499"/>
      <c r="DI216" s="499"/>
      <c r="DJ216" s="499"/>
      <c r="DK216" s="499"/>
      <c r="DL216" s="499"/>
      <c r="DM216" s="499"/>
      <c r="DN216" s="499"/>
      <c r="DO216" s="499"/>
      <c r="DP216" s="499"/>
      <c r="DQ216" s="499"/>
      <c r="DR216" s="499"/>
      <c r="DS216" s="499"/>
      <c r="DT216" s="499"/>
      <c r="DU216" s="499"/>
      <c r="DV216" s="499"/>
      <c r="DW216" s="499"/>
      <c r="DX216" s="499"/>
      <c r="DY216" s="499"/>
      <c r="DZ216" s="499"/>
      <c r="EA216" s="499"/>
      <c r="EB216" s="499"/>
    </row>
    <row r="217" spans="1:132" hidden="1">
      <c r="A217" s="964" t="s">
        <v>534</v>
      </c>
      <c r="B217" s="484">
        <f t="shared" si="73"/>
        <v>0</v>
      </c>
      <c r="C217" s="484">
        <f t="shared" si="71"/>
        <v>0</v>
      </c>
      <c r="D217" s="484">
        <f t="shared" si="72"/>
        <v>0</v>
      </c>
      <c r="E217" s="509">
        <f>SUM(C217:D217)</f>
        <v>0</v>
      </c>
      <c r="F217" s="496">
        <f>SUM(B217:D217)</f>
        <v>0</v>
      </c>
      <c r="G217" s="499"/>
      <c r="H217" s="499"/>
      <c r="I217" s="499"/>
      <c r="J217" s="499"/>
      <c r="K217" s="499"/>
      <c r="L217" s="499"/>
      <c r="M217" s="499"/>
      <c r="N217" s="499"/>
      <c r="O217" s="499"/>
      <c r="P217" s="499"/>
      <c r="Q217" s="499"/>
      <c r="R217" s="499"/>
      <c r="S217" s="499"/>
      <c r="T217" s="499"/>
      <c r="U217" s="499"/>
      <c r="V217" s="499"/>
      <c r="W217" s="499"/>
      <c r="X217" s="499"/>
      <c r="Y217" s="499"/>
      <c r="Z217" s="499"/>
      <c r="AA217" s="499"/>
      <c r="AB217" s="499"/>
      <c r="AC217" s="499">
        <v>9</v>
      </c>
      <c r="AD217" s="499"/>
      <c r="AE217" s="499"/>
      <c r="AF217" s="499"/>
      <c r="AG217" s="499"/>
      <c r="AH217" s="499"/>
      <c r="AI217" s="499"/>
      <c r="AJ217" s="499"/>
      <c r="AK217" s="499"/>
      <c r="AL217" s="499"/>
      <c r="AM217" s="499"/>
      <c r="AN217" s="499"/>
      <c r="AO217" s="499"/>
      <c r="AP217" s="499"/>
      <c r="AQ217" s="499"/>
      <c r="AR217" s="499"/>
      <c r="AS217" s="499"/>
      <c r="AT217" s="499"/>
      <c r="AU217" s="499"/>
      <c r="AV217" s="499"/>
      <c r="AW217" s="499"/>
      <c r="AX217" s="499"/>
      <c r="AY217" s="499"/>
      <c r="AZ217" s="499"/>
      <c r="BA217" s="499"/>
      <c r="BB217" s="499"/>
      <c r="BC217" s="499"/>
      <c r="BD217" s="499"/>
      <c r="BE217" s="499"/>
      <c r="BF217" s="499"/>
      <c r="BG217" s="499"/>
      <c r="BH217" s="499"/>
      <c r="BI217" s="499"/>
      <c r="BJ217" s="499"/>
      <c r="BK217" s="499"/>
      <c r="BL217" s="499"/>
      <c r="BM217" s="499"/>
      <c r="BN217" s="499"/>
      <c r="BO217" s="499"/>
      <c r="BP217" s="499"/>
      <c r="BQ217" s="499"/>
      <c r="BR217" s="499"/>
      <c r="BS217" s="499"/>
      <c r="BT217" s="499"/>
      <c r="BU217" s="499"/>
      <c r="BV217" s="499"/>
      <c r="BW217" s="499"/>
      <c r="BX217" s="499"/>
      <c r="BY217" s="499"/>
      <c r="BZ217" s="499"/>
      <c r="CA217" s="499"/>
      <c r="CB217" s="499"/>
      <c r="CC217" s="499"/>
      <c r="CD217" s="499"/>
      <c r="CE217" s="499"/>
      <c r="CF217" s="499"/>
      <c r="CG217" s="499"/>
      <c r="CH217" s="499"/>
      <c r="CI217" s="499"/>
      <c r="CJ217" s="499"/>
      <c r="CK217" s="499"/>
      <c r="CL217" s="499"/>
      <c r="CM217" s="499"/>
      <c r="CN217" s="499"/>
      <c r="CO217" s="499"/>
      <c r="CP217" s="499"/>
      <c r="CQ217" s="499"/>
      <c r="CR217" s="499"/>
      <c r="CS217" s="499"/>
      <c r="CT217" s="499"/>
      <c r="CU217" s="499"/>
      <c r="CV217" s="499"/>
      <c r="CW217" s="499"/>
      <c r="CX217" s="499"/>
      <c r="CY217" s="499"/>
      <c r="CZ217" s="499"/>
      <c r="DA217" s="499"/>
      <c r="DB217" s="499"/>
      <c r="DC217" s="499"/>
      <c r="DD217" s="499"/>
      <c r="DE217" s="499"/>
      <c r="DF217" s="499"/>
      <c r="DG217" s="499"/>
      <c r="DH217" s="499"/>
      <c r="DI217" s="499"/>
      <c r="DJ217" s="499"/>
      <c r="DK217" s="499"/>
      <c r="DL217" s="499"/>
      <c r="DM217" s="499"/>
      <c r="DN217" s="499"/>
      <c r="DO217" s="499"/>
      <c r="DP217" s="499"/>
      <c r="DQ217" s="499"/>
      <c r="DR217" s="499"/>
      <c r="DS217" s="499"/>
      <c r="DT217" s="499"/>
      <c r="DU217" s="499"/>
      <c r="DV217" s="499"/>
      <c r="DW217" s="499"/>
      <c r="DX217" s="499"/>
      <c r="DY217" s="499"/>
      <c r="DZ217" s="499"/>
      <c r="EA217" s="499"/>
      <c r="EB217" s="499"/>
    </row>
    <row r="218" spans="1:132" hidden="1">
      <c r="A218" s="964" t="s">
        <v>535</v>
      </c>
      <c r="B218" s="484">
        <f t="shared" si="73"/>
        <v>0</v>
      </c>
      <c r="C218" s="484">
        <f t="shared" si="71"/>
        <v>0</v>
      </c>
      <c r="D218" s="484">
        <f t="shared" si="72"/>
        <v>0</v>
      </c>
      <c r="E218" s="509">
        <f t="shared" si="74"/>
        <v>0</v>
      </c>
      <c r="F218" s="496">
        <f t="shared" si="58"/>
        <v>0</v>
      </c>
      <c r="G218" s="499"/>
      <c r="H218" s="499"/>
      <c r="I218" s="499"/>
      <c r="J218" s="499"/>
      <c r="K218" s="499"/>
      <c r="L218" s="499"/>
      <c r="M218" s="499"/>
      <c r="N218" s="499"/>
      <c r="O218" s="499"/>
      <c r="P218" s="499"/>
      <c r="Q218" s="499"/>
      <c r="R218" s="499"/>
      <c r="S218" s="499"/>
      <c r="T218" s="499"/>
      <c r="U218" s="499"/>
      <c r="V218" s="499"/>
      <c r="W218" s="499"/>
      <c r="X218" s="499"/>
      <c r="Y218" s="499"/>
      <c r="Z218" s="499"/>
      <c r="AA218" s="499"/>
      <c r="AB218" s="499"/>
      <c r="AC218" s="499">
        <v>10</v>
      </c>
      <c r="AD218" s="499"/>
      <c r="AE218" s="499"/>
      <c r="AF218" s="499"/>
      <c r="AG218" s="499"/>
      <c r="AH218" s="499"/>
      <c r="AI218" s="499"/>
      <c r="AJ218" s="499"/>
      <c r="AK218" s="499"/>
      <c r="AL218" s="499"/>
      <c r="AM218" s="499"/>
      <c r="AN218" s="499"/>
      <c r="AO218" s="499"/>
      <c r="AP218" s="499"/>
      <c r="AQ218" s="499"/>
      <c r="AR218" s="499"/>
      <c r="AS218" s="499"/>
      <c r="AT218" s="499"/>
      <c r="AU218" s="499"/>
      <c r="AV218" s="499"/>
      <c r="AW218" s="499"/>
      <c r="AX218" s="499"/>
      <c r="AY218" s="499"/>
      <c r="AZ218" s="499"/>
      <c r="BA218" s="499"/>
      <c r="BB218" s="499"/>
      <c r="BC218" s="499"/>
      <c r="BD218" s="499"/>
      <c r="BE218" s="499"/>
      <c r="BF218" s="499"/>
      <c r="BG218" s="499"/>
      <c r="BH218" s="499"/>
      <c r="BI218" s="499"/>
      <c r="BJ218" s="499"/>
      <c r="BK218" s="499"/>
      <c r="BL218" s="499"/>
      <c r="BM218" s="499"/>
      <c r="BN218" s="499"/>
      <c r="BO218" s="499"/>
      <c r="BP218" s="499"/>
      <c r="BQ218" s="499"/>
      <c r="BR218" s="499"/>
      <c r="BS218" s="499"/>
      <c r="BT218" s="499"/>
      <c r="BU218" s="499"/>
      <c r="BV218" s="499"/>
      <c r="BW218" s="499"/>
      <c r="BX218" s="499"/>
      <c r="BY218" s="499"/>
      <c r="BZ218" s="499"/>
      <c r="CA218" s="499"/>
      <c r="CB218" s="499"/>
      <c r="CC218" s="499"/>
      <c r="CD218" s="499"/>
      <c r="CE218" s="499"/>
      <c r="CF218" s="499"/>
      <c r="CG218" s="499"/>
      <c r="CH218" s="499"/>
      <c r="CI218" s="499"/>
      <c r="CJ218" s="499"/>
      <c r="CK218" s="499"/>
      <c r="CL218" s="499"/>
      <c r="CM218" s="499"/>
      <c r="CN218" s="499"/>
      <c r="CO218" s="499"/>
      <c r="CP218" s="499"/>
      <c r="CQ218" s="499"/>
      <c r="CR218" s="499"/>
      <c r="CS218" s="499"/>
      <c r="CT218" s="499"/>
      <c r="CU218" s="499"/>
      <c r="CV218" s="499"/>
      <c r="CW218" s="499"/>
      <c r="CX218" s="499"/>
      <c r="CY218" s="499"/>
      <c r="CZ218" s="499"/>
      <c r="DA218" s="499"/>
      <c r="DB218" s="499"/>
      <c r="DC218" s="499"/>
      <c r="DD218" s="499"/>
      <c r="DE218" s="499"/>
      <c r="DF218" s="499"/>
      <c r="DG218" s="499"/>
      <c r="DH218" s="499"/>
      <c r="DI218" s="499"/>
      <c r="DJ218" s="499"/>
      <c r="DK218" s="499"/>
      <c r="DL218" s="499"/>
      <c r="DM218" s="499"/>
      <c r="DN218" s="499"/>
      <c r="DO218" s="499"/>
      <c r="DP218" s="499"/>
      <c r="DQ218" s="499"/>
      <c r="DR218" s="499"/>
      <c r="DS218" s="499"/>
      <c r="DT218" s="499"/>
      <c r="DU218" s="499"/>
      <c r="DV218" s="499"/>
      <c r="DW218" s="499"/>
      <c r="DX218" s="499"/>
      <c r="DY218" s="499"/>
      <c r="DZ218" s="499"/>
      <c r="EA218" s="499"/>
      <c r="EB218" s="499"/>
    </row>
    <row r="219" spans="1:132">
      <c r="A219" s="964" t="s">
        <v>536</v>
      </c>
      <c r="B219" s="961">
        <f>J130</f>
        <v>0</v>
      </c>
      <c r="C219" s="961">
        <f>SUM(C209:C218)</f>
        <v>0</v>
      </c>
      <c r="D219" s="961">
        <f t="shared" si="72"/>
        <v>0</v>
      </c>
      <c r="E219" s="961">
        <f t="shared" si="74"/>
        <v>0</v>
      </c>
      <c r="F219" s="962">
        <f t="shared" si="58"/>
        <v>0</v>
      </c>
      <c r="G219" s="499"/>
      <c r="H219" s="499"/>
      <c r="I219" s="499"/>
      <c r="J219" s="499"/>
      <c r="K219" s="499"/>
      <c r="L219" s="499"/>
      <c r="M219" s="499"/>
      <c r="N219" s="499"/>
      <c r="O219" s="499"/>
      <c r="P219" s="499"/>
      <c r="Q219" s="499"/>
      <c r="R219" s="499"/>
      <c r="S219" s="499"/>
      <c r="T219" s="499"/>
      <c r="U219" s="499"/>
      <c r="V219" s="499"/>
      <c r="W219" s="499"/>
      <c r="X219" s="499"/>
      <c r="Y219" s="499"/>
      <c r="Z219" s="499"/>
      <c r="AA219" s="499"/>
      <c r="AB219" s="499"/>
      <c r="AC219" s="499"/>
      <c r="AD219" s="499"/>
      <c r="AE219" s="499"/>
      <c r="AF219" s="499"/>
      <c r="AG219" s="499"/>
      <c r="AH219" s="499"/>
      <c r="AI219" s="499"/>
      <c r="AJ219" s="499"/>
      <c r="AK219" s="499"/>
      <c r="AL219" s="499"/>
      <c r="AM219" s="499"/>
      <c r="AN219" s="499"/>
      <c r="AO219" s="499"/>
      <c r="AP219" s="499"/>
      <c r="AQ219" s="499"/>
      <c r="AR219" s="499"/>
      <c r="AS219" s="499"/>
      <c r="AT219" s="499"/>
      <c r="AU219" s="499"/>
      <c r="AV219" s="499"/>
      <c r="AW219" s="499"/>
      <c r="AX219" s="499"/>
      <c r="AY219" s="499"/>
      <c r="AZ219" s="499"/>
      <c r="BA219" s="499"/>
      <c r="BB219" s="499"/>
      <c r="BC219" s="499"/>
      <c r="BD219" s="499"/>
      <c r="BE219" s="499"/>
      <c r="BF219" s="499"/>
      <c r="BG219" s="499"/>
      <c r="BH219" s="499"/>
      <c r="BI219" s="499"/>
      <c r="BJ219" s="499"/>
      <c r="BK219" s="499"/>
      <c r="BL219" s="499"/>
      <c r="BM219" s="499"/>
      <c r="BN219" s="499"/>
      <c r="BO219" s="499"/>
      <c r="BP219" s="499"/>
      <c r="BQ219" s="499"/>
      <c r="BR219" s="499"/>
      <c r="BS219" s="499"/>
      <c r="BT219" s="499"/>
      <c r="BU219" s="499"/>
      <c r="BV219" s="499"/>
      <c r="BW219" s="499"/>
      <c r="BX219" s="499"/>
      <c r="BY219" s="499"/>
      <c r="BZ219" s="499"/>
      <c r="CA219" s="499"/>
      <c r="CB219" s="499"/>
      <c r="CC219" s="499"/>
      <c r="CD219" s="499"/>
      <c r="CE219" s="499"/>
      <c r="CF219" s="499"/>
      <c r="CG219" s="499"/>
      <c r="CH219" s="499"/>
      <c r="CI219" s="499"/>
      <c r="CJ219" s="499"/>
      <c r="CK219" s="499"/>
      <c r="CL219" s="499"/>
      <c r="CM219" s="499"/>
      <c r="CN219" s="499"/>
      <c r="CO219" s="499"/>
      <c r="CP219" s="499"/>
      <c r="CQ219" s="499"/>
      <c r="CR219" s="499"/>
      <c r="CS219" s="499"/>
      <c r="CT219" s="499"/>
      <c r="CU219" s="499"/>
      <c r="CV219" s="499"/>
      <c r="CW219" s="499"/>
      <c r="CX219" s="499"/>
      <c r="CY219" s="499"/>
      <c r="CZ219" s="499"/>
      <c r="DA219" s="499"/>
      <c r="DB219" s="499"/>
      <c r="DC219" s="499"/>
      <c r="DD219" s="499"/>
      <c r="DE219" s="499"/>
      <c r="DF219" s="499"/>
      <c r="DG219" s="499"/>
      <c r="DH219" s="499"/>
      <c r="DI219" s="499"/>
      <c r="DJ219" s="499"/>
      <c r="DK219" s="499"/>
      <c r="DL219" s="499"/>
      <c r="DM219" s="499"/>
      <c r="DN219" s="499"/>
      <c r="DO219" s="499"/>
      <c r="DP219" s="499"/>
      <c r="DQ219" s="499"/>
      <c r="DR219" s="499"/>
      <c r="DS219" s="499"/>
      <c r="DT219" s="499"/>
      <c r="DU219" s="499"/>
      <c r="DV219" s="499"/>
      <c r="DW219" s="499"/>
      <c r="DX219" s="499"/>
      <c r="DY219" s="499"/>
      <c r="DZ219" s="499"/>
      <c r="EA219" s="499"/>
      <c r="EB219" s="499"/>
    </row>
    <row r="220" spans="1:132" ht="16" thickBot="1">
      <c r="A220" s="946" t="s">
        <v>426</v>
      </c>
      <c r="B220" s="1056">
        <f>J164</f>
        <v>97199.069201140155</v>
      </c>
      <c r="C220" s="1056">
        <f>V167</f>
        <v>2800271.4665669831</v>
      </c>
      <c r="D220" s="1056">
        <f>J170</f>
        <v>978067.05620636872</v>
      </c>
      <c r="E220" s="1056">
        <f>SUM(C220:D220)</f>
        <v>3778338.522773352</v>
      </c>
      <c r="F220" s="1056">
        <f>SUM(B220:D220)</f>
        <v>3875537.5919744922</v>
      </c>
      <c r="G220" s="499"/>
      <c r="H220" s="499"/>
      <c r="I220" s="499"/>
      <c r="J220" s="499"/>
      <c r="K220" s="499"/>
      <c r="L220" s="499"/>
      <c r="M220" s="499"/>
      <c r="N220" s="499"/>
      <c r="O220" s="499"/>
      <c r="P220" s="499"/>
      <c r="Q220" s="499"/>
      <c r="R220" s="499"/>
      <c r="S220" s="499"/>
      <c r="T220" s="499"/>
      <c r="U220" s="499"/>
      <c r="V220" s="499"/>
      <c r="W220" s="499"/>
      <c r="X220" s="499"/>
      <c r="Y220" s="499"/>
      <c r="Z220" s="499"/>
      <c r="AA220" s="499"/>
      <c r="AB220" s="499"/>
      <c r="AC220" s="499"/>
      <c r="AD220" s="499"/>
      <c r="AE220" s="499"/>
      <c r="AF220" s="499"/>
      <c r="AG220" s="499"/>
      <c r="AH220" s="499"/>
      <c r="AI220" s="499"/>
      <c r="AJ220" s="499"/>
      <c r="AK220" s="499"/>
      <c r="AL220" s="499"/>
      <c r="AM220" s="499"/>
      <c r="AN220" s="499"/>
      <c r="AO220" s="499"/>
      <c r="AP220" s="499"/>
      <c r="AQ220" s="499"/>
      <c r="AR220" s="499"/>
      <c r="AS220" s="499"/>
      <c r="AT220" s="499"/>
      <c r="AU220" s="499"/>
      <c r="AV220" s="499"/>
      <c r="AW220" s="499"/>
      <c r="AX220" s="499"/>
      <c r="AY220" s="499"/>
      <c r="AZ220" s="499"/>
      <c r="BA220" s="499"/>
      <c r="BB220" s="499"/>
      <c r="BC220" s="499"/>
      <c r="BD220" s="499"/>
      <c r="BE220" s="499"/>
      <c r="BF220" s="499"/>
      <c r="BG220" s="499"/>
      <c r="BH220" s="499"/>
      <c r="BI220" s="499"/>
      <c r="BJ220" s="499"/>
      <c r="BK220" s="499"/>
      <c r="BL220" s="499"/>
      <c r="BM220" s="499"/>
      <c r="BN220" s="499"/>
      <c r="BO220" s="499"/>
      <c r="BP220" s="499"/>
      <c r="BQ220" s="499"/>
      <c r="BR220" s="499"/>
      <c r="BS220" s="499"/>
      <c r="BT220" s="499"/>
      <c r="BU220" s="499"/>
      <c r="BV220" s="499"/>
      <c r="BW220" s="499"/>
      <c r="BX220" s="499"/>
      <c r="BY220" s="499"/>
      <c r="BZ220" s="499"/>
      <c r="CA220" s="499"/>
      <c r="CB220" s="499"/>
      <c r="CC220" s="499"/>
      <c r="CD220" s="499"/>
      <c r="CE220" s="499"/>
      <c r="CF220" s="499"/>
      <c r="CG220" s="499"/>
      <c r="CH220" s="499"/>
      <c r="CI220" s="499"/>
      <c r="CJ220" s="499"/>
      <c r="CK220" s="499"/>
      <c r="CL220" s="499"/>
      <c r="CM220" s="499"/>
      <c r="CN220" s="499"/>
      <c r="CO220" s="499"/>
      <c r="CP220" s="499"/>
      <c r="CQ220" s="499"/>
      <c r="CR220" s="499"/>
      <c r="CS220" s="499"/>
      <c r="CT220" s="499"/>
      <c r="CU220" s="499"/>
      <c r="CV220" s="499"/>
      <c r="CW220" s="499"/>
      <c r="CX220" s="499"/>
      <c r="CY220" s="499"/>
      <c r="CZ220" s="499"/>
      <c r="DA220" s="499"/>
      <c r="DB220" s="499"/>
      <c r="DC220" s="499"/>
      <c r="DD220" s="499"/>
      <c r="DE220" s="499"/>
      <c r="DF220" s="499"/>
      <c r="DG220" s="499"/>
      <c r="DH220" s="499"/>
      <c r="DI220" s="499"/>
      <c r="DJ220" s="499"/>
      <c r="DK220" s="499"/>
      <c r="DL220" s="499"/>
      <c r="DM220" s="499"/>
      <c r="DN220" s="499"/>
      <c r="DO220" s="499"/>
      <c r="DP220" s="499"/>
      <c r="DQ220" s="499"/>
      <c r="DR220" s="499"/>
      <c r="DS220" s="499"/>
      <c r="DT220" s="499"/>
      <c r="DU220" s="499"/>
      <c r="DV220" s="499"/>
      <c r="DW220" s="499"/>
      <c r="DX220" s="499"/>
      <c r="DY220" s="499"/>
      <c r="DZ220" s="499"/>
      <c r="EA220" s="499"/>
      <c r="EB220" s="499"/>
    </row>
    <row r="221" spans="1:132">
      <c r="A221" s="196"/>
      <c r="B221" s="196"/>
      <c r="C221" s="196"/>
      <c r="D221" s="196"/>
      <c r="E221" s="196"/>
      <c r="F221" s="196"/>
      <c r="G221" s="499"/>
      <c r="H221" s="499"/>
      <c r="I221" s="499"/>
      <c r="J221" s="499"/>
      <c r="K221" s="499"/>
      <c r="L221" s="499"/>
      <c r="M221" s="499"/>
      <c r="N221" s="499"/>
      <c r="O221" s="499"/>
      <c r="P221" s="499"/>
      <c r="Q221" s="499"/>
      <c r="R221" s="499"/>
      <c r="S221" s="499"/>
      <c r="T221" s="499"/>
      <c r="U221" s="499"/>
      <c r="V221" s="499"/>
      <c r="W221" s="499"/>
      <c r="X221" s="499"/>
      <c r="Y221" s="499"/>
      <c r="Z221" s="499"/>
      <c r="AA221" s="499"/>
      <c r="AB221" s="499"/>
      <c r="AC221" s="499"/>
      <c r="AD221" s="499"/>
      <c r="AE221" s="499"/>
      <c r="AF221" s="499"/>
      <c r="AG221" s="499"/>
      <c r="AH221" s="499"/>
      <c r="AI221" s="499"/>
      <c r="AJ221" s="499"/>
      <c r="AK221" s="499"/>
      <c r="AL221" s="499"/>
      <c r="AM221" s="499"/>
      <c r="AN221" s="499"/>
      <c r="AO221" s="499"/>
      <c r="AP221" s="499"/>
      <c r="AQ221" s="499"/>
      <c r="AR221" s="499"/>
      <c r="AS221" s="499"/>
      <c r="AT221" s="499"/>
      <c r="AU221" s="499"/>
      <c r="AV221" s="499"/>
      <c r="AW221" s="499"/>
      <c r="AX221" s="499"/>
      <c r="AY221" s="499"/>
      <c r="AZ221" s="499"/>
      <c r="BA221" s="499"/>
      <c r="BB221" s="499"/>
      <c r="BC221" s="499"/>
      <c r="BD221" s="499"/>
      <c r="BE221" s="499"/>
      <c r="BF221" s="499"/>
      <c r="BG221" s="499"/>
      <c r="BH221" s="499"/>
      <c r="BI221" s="499"/>
      <c r="BJ221" s="499"/>
      <c r="BK221" s="499"/>
      <c r="BL221" s="499"/>
      <c r="BM221" s="499"/>
      <c r="BN221" s="499"/>
      <c r="BO221" s="499"/>
      <c r="BP221" s="499"/>
      <c r="BQ221" s="499"/>
      <c r="BR221" s="499"/>
      <c r="BS221" s="499"/>
      <c r="BT221" s="499"/>
      <c r="BU221" s="499"/>
      <c r="BV221" s="499"/>
      <c r="BW221" s="499"/>
      <c r="BX221" s="499"/>
      <c r="BY221" s="499"/>
      <c r="BZ221" s="499"/>
      <c r="CA221" s="499"/>
      <c r="CB221" s="499"/>
      <c r="CC221" s="499"/>
      <c r="CD221" s="499"/>
      <c r="CE221" s="499"/>
      <c r="CF221" s="499"/>
      <c r="CG221" s="499"/>
      <c r="CH221" s="499"/>
      <c r="CI221" s="499"/>
      <c r="CJ221" s="499"/>
      <c r="CK221" s="499"/>
      <c r="CL221" s="499"/>
      <c r="CM221" s="499"/>
      <c r="CN221" s="499"/>
      <c r="CO221" s="499"/>
      <c r="CP221" s="499"/>
      <c r="CQ221" s="499"/>
      <c r="CR221" s="499"/>
      <c r="CS221" s="499"/>
      <c r="CT221" s="499"/>
      <c r="CU221" s="499"/>
      <c r="CV221" s="499"/>
      <c r="CW221" s="499"/>
      <c r="CX221" s="499"/>
      <c r="CY221" s="499"/>
      <c r="CZ221" s="499"/>
      <c r="DA221" s="499"/>
      <c r="DB221" s="499"/>
      <c r="DC221" s="499"/>
      <c r="DD221" s="499"/>
      <c r="DE221" s="499"/>
      <c r="DF221" s="499"/>
      <c r="DG221" s="499"/>
      <c r="DH221" s="499"/>
      <c r="DI221" s="499"/>
      <c r="DJ221" s="499"/>
      <c r="DK221" s="499"/>
      <c r="DL221" s="499"/>
      <c r="DM221" s="499"/>
      <c r="DN221" s="499"/>
      <c r="DO221" s="499"/>
      <c r="DP221" s="499"/>
      <c r="DQ221" s="499"/>
      <c r="DR221" s="499"/>
      <c r="DS221" s="499"/>
      <c r="DT221" s="499"/>
      <c r="DU221" s="499"/>
      <c r="DV221" s="499"/>
      <c r="DW221" s="499"/>
      <c r="DX221" s="499"/>
      <c r="DY221" s="499"/>
      <c r="DZ221" s="499"/>
      <c r="EA221" s="499"/>
      <c r="EB221" s="499"/>
    </row>
    <row r="222" spans="1:132">
      <c r="A222" s="196"/>
      <c r="B222" s="196"/>
      <c r="C222" s="196"/>
      <c r="D222" s="196"/>
      <c r="E222" s="196"/>
      <c r="F222" s="196"/>
      <c r="G222" s="499"/>
      <c r="H222" s="499"/>
      <c r="I222" s="499"/>
      <c r="J222" s="499"/>
      <c r="K222" s="499"/>
      <c r="L222" s="499"/>
      <c r="M222" s="499"/>
      <c r="N222" s="499"/>
      <c r="O222" s="499"/>
      <c r="P222" s="499"/>
      <c r="Q222" s="499"/>
      <c r="R222" s="499"/>
      <c r="S222" s="499"/>
      <c r="T222" s="499"/>
      <c r="U222" s="499"/>
      <c r="V222" s="499"/>
      <c r="W222" s="499"/>
      <c r="X222" s="499"/>
      <c r="Y222" s="499"/>
      <c r="Z222" s="499"/>
      <c r="AA222" s="499"/>
      <c r="AB222" s="499"/>
      <c r="AC222" s="499"/>
      <c r="AD222" s="499"/>
      <c r="AE222" s="499"/>
      <c r="AF222" s="499"/>
      <c r="AG222" s="499"/>
      <c r="AH222" s="499"/>
      <c r="AI222" s="499"/>
      <c r="AJ222" s="499"/>
      <c r="AK222" s="499"/>
      <c r="AL222" s="499"/>
      <c r="AM222" s="499"/>
      <c r="AN222" s="499"/>
      <c r="AO222" s="499"/>
      <c r="AP222" s="499"/>
      <c r="AQ222" s="499"/>
      <c r="AR222" s="499"/>
      <c r="AS222" s="499"/>
      <c r="AT222" s="499"/>
      <c r="AU222" s="499"/>
      <c r="AV222" s="499"/>
      <c r="AW222" s="499"/>
      <c r="AX222" s="499"/>
      <c r="AY222" s="499"/>
      <c r="AZ222" s="499"/>
      <c r="BA222" s="499"/>
      <c r="BB222" s="499"/>
      <c r="BC222" s="499"/>
      <c r="BD222" s="499"/>
      <c r="BE222" s="499"/>
      <c r="BF222" s="499"/>
      <c r="BG222" s="499"/>
      <c r="BH222" s="499"/>
      <c r="BI222" s="499"/>
      <c r="BJ222" s="499"/>
      <c r="BK222" s="499"/>
      <c r="BL222" s="499"/>
      <c r="BM222" s="499"/>
      <c r="BN222" s="499"/>
      <c r="BO222" s="499"/>
      <c r="BP222" s="499"/>
      <c r="BQ222" s="499"/>
      <c r="BR222" s="499"/>
      <c r="BS222" s="499"/>
      <c r="BT222" s="499"/>
      <c r="BU222" s="499"/>
      <c r="BV222" s="499"/>
      <c r="BW222" s="499"/>
      <c r="BX222" s="499"/>
      <c r="BY222" s="499"/>
      <c r="BZ222" s="499"/>
      <c r="CA222" s="499"/>
      <c r="CB222" s="499"/>
      <c r="CC222" s="499"/>
      <c r="CD222" s="499"/>
      <c r="CE222" s="499"/>
      <c r="CF222" s="499"/>
      <c r="CG222" s="499"/>
      <c r="CH222" s="499"/>
      <c r="CI222" s="499"/>
      <c r="CJ222" s="499"/>
      <c r="CK222" s="499"/>
      <c r="CL222" s="499"/>
      <c r="CM222" s="499"/>
      <c r="CN222" s="499"/>
      <c r="CO222" s="499"/>
      <c r="CP222" s="499"/>
      <c r="CQ222" s="499"/>
      <c r="CR222" s="499"/>
      <c r="CS222" s="499"/>
      <c r="CT222" s="499"/>
      <c r="CU222" s="499"/>
      <c r="CV222" s="499"/>
      <c r="CW222" s="499"/>
      <c r="CX222" s="499"/>
      <c r="CY222" s="499"/>
      <c r="CZ222" s="499"/>
      <c r="DA222" s="499"/>
      <c r="DB222" s="499"/>
      <c r="DC222" s="499"/>
      <c r="DD222" s="499"/>
      <c r="DE222" s="499"/>
      <c r="DF222" s="499"/>
      <c r="DG222" s="499"/>
      <c r="DH222" s="499"/>
      <c r="DI222" s="499"/>
      <c r="DJ222" s="499"/>
      <c r="DK222" s="499"/>
      <c r="DL222" s="499"/>
      <c r="DM222" s="499"/>
      <c r="DN222" s="499"/>
      <c r="DO222" s="499"/>
      <c r="DP222" s="499"/>
      <c r="DQ222" s="499"/>
      <c r="DR222" s="499"/>
      <c r="DS222" s="499"/>
      <c r="DT222" s="499"/>
      <c r="DU222" s="499"/>
      <c r="DV222" s="499"/>
      <c r="DW222" s="499"/>
      <c r="DX222" s="499"/>
      <c r="DY222" s="499"/>
      <c r="DZ222" s="499"/>
      <c r="EA222" s="499"/>
      <c r="EB222" s="499"/>
    </row>
    <row r="223" spans="1:132">
      <c r="A223" s="196"/>
      <c r="B223" s="196"/>
      <c r="C223" s="196"/>
      <c r="D223" s="196"/>
      <c r="E223" s="196"/>
      <c r="F223" s="196"/>
      <c r="G223" s="499"/>
      <c r="H223" s="499"/>
      <c r="I223" s="499"/>
      <c r="J223" s="499"/>
      <c r="K223" s="499"/>
      <c r="L223" s="499"/>
      <c r="M223" s="499"/>
      <c r="N223" s="499"/>
      <c r="O223" s="499"/>
      <c r="P223" s="499"/>
      <c r="Q223" s="499"/>
      <c r="R223" s="499"/>
      <c r="S223" s="499"/>
      <c r="T223" s="499"/>
      <c r="U223" s="499"/>
      <c r="V223" s="499"/>
      <c r="W223" s="499"/>
      <c r="X223" s="499"/>
      <c r="Y223" s="499"/>
      <c r="Z223" s="499"/>
      <c r="AA223" s="499"/>
      <c r="AB223" s="499"/>
      <c r="AC223" s="499"/>
      <c r="AD223" s="499"/>
      <c r="AE223" s="499"/>
      <c r="AF223" s="499"/>
      <c r="AG223" s="499"/>
      <c r="AH223" s="499"/>
      <c r="AI223" s="499"/>
      <c r="AJ223" s="499"/>
      <c r="AK223" s="499"/>
      <c r="AL223" s="499"/>
      <c r="AM223" s="499"/>
      <c r="AN223" s="499"/>
      <c r="AO223" s="499"/>
      <c r="AP223" s="499"/>
      <c r="AQ223" s="499"/>
      <c r="AR223" s="499"/>
      <c r="AS223" s="499"/>
      <c r="AT223" s="499"/>
      <c r="AU223" s="499"/>
      <c r="AV223" s="499"/>
      <c r="AW223" s="499"/>
      <c r="AX223" s="499"/>
      <c r="AY223" s="499"/>
      <c r="AZ223" s="499"/>
      <c r="BA223" s="499"/>
      <c r="BB223" s="499"/>
      <c r="BC223" s="499"/>
      <c r="BD223" s="499"/>
      <c r="BE223" s="499"/>
      <c r="BF223" s="499"/>
      <c r="BG223" s="499"/>
      <c r="BH223" s="499"/>
      <c r="BI223" s="499"/>
      <c r="BJ223" s="499"/>
      <c r="BK223" s="499"/>
      <c r="BL223" s="499"/>
      <c r="BM223" s="499"/>
      <c r="BN223" s="499"/>
      <c r="BO223" s="499"/>
      <c r="BP223" s="499"/>
      <c r="BQ223" s="499"/>
      <c r="BR223" s="499"/>
      <c r="BS223" s="499"/>
      <c r="BT223" s="499"/>
      <c r="BU223" s="499"/>
      <c r="BV223" s="499"/>
      <c r="BW223" s="499"/>
      <c r="BX223" s="499"/>
      <c r="BY223" s="499"/>
      <c r="BZ223" s="499"/>
      <c r="CA223" s="499"/>
      <c r="CB223" s="499"/>
      <c r="CC223" s="499"/>
      <c r="CD223" s="499"/>
      <c r="CE223" s="499"/>
      <c r="CF223" s="499"/>
      <c r="CG223" s="499"/>
      <c r="CH223" s="499"/>
      <c r="CI223" s="499"/>
      <c r="CJ223" s="499"/>
      <c r="CK223" s="499"/>
      <c r="CL223" s="499"/>
      <c r="CM223" s="499"/>
      <c r="CN223" s="499"/>
      <c r="CO223" s="499"/>
      <c r="CP223" s="499"/>
      <c r="CQ223" s="499"/>
      <c r="CR223" s="499"/>
      <c r="CS223" s="499"/>
      <c r="CT223" s="499"/>
      <c r="CU223" s="499"/>
      <c r="CV223" s="499"/>
      <c r="CW223" s="499"/>
      <c r="CX223" s="499"/>
      <c r="CY223" s="499"/>
      <c r="CZ223" s="499"/>
      <c r="DA223" s="499"/>
      <c r="DB223" s="499"/>
      <c r="DC223" s="499"/>
      <c r="DD223" s="499"/>
      <c r="DE223" s="499"/>
      <c r="DF223" s="499"/>
      <c r="DG223" s="499"/>
      <c r="DH223" s="499"/>
      <c r="DI223" s="499"/>
      <c r="DJ223" s="499"/>
      <c r="DK223" s="499"/>
      <c r="DL223" s="499"/>
      <c r="DM223" s="499"/>
      <c r="DN223" s="499"/>
      <c r="DO223" s="499"/>
      <c r="DP223" s="499"/>
      <c r="DQ223" s="499"/>
      <c r="DR223" s="499"/>
      <c r="DS223" s="499"/>
      <c r="DT223" s="499"/>
      <c r="DU223" s="499"/>
      <c r="DV223" s="499"/>
      <c r="DW223" s="499"/>
      <c r="DX223" s="499"/>
      <c r="DY223" s="499"/>
      <c r="DZ223" s="499"/>
      <c r="EA223" s="499"/>
      <c r="EB223" s="499"/>
    </row>
    <row r="224" spans="1:132">
      <c r="A224" s="196"/>
      <c r="B224" s="196"/>
      <c r="C224" s="196"/>
      <c r="D224" s="196"/>
      <c r="E224" s="196"/>
      <c r="F224" s="196"/>
      <c r="G224" s="499"/>
      <c r="H224" s="499"/>
      <c r="I224" s="499"/>
      <c r="J224" s="499"/>
      <c r="K224" s="499"/>
      <c r="L224" s="499"/>
      <c r="M224" s="499"/>
      <c r="N224" s="499"/>
      <c r="O224" s="499"/>
      <c r="P224" s="499"/>
      <c r="Q224" s="499"/>
      <c r="R224" s="499"/>
      <c r="S224" s="499"/>
      <c r="T224" s="499"/>
      <c r="U224" s="499"/>
      <c r="V224" s="499"/>
      <c r="W224" s="499"/>
      <c r="X224" s="499"/>
      <c r="Y224" s="499"/>
      <c r="Z224" s="499"/>
      <c r="AA224" s="499"/>
      <c r="AB224" s="499"/>
      <c r="AC224" s="499"/>
      <c r="AD224" s="499"/>
      <c r="AE224" s="499"/>
      <c r="AF224" s="499"/>
      <c r="AG224" s="499"/>
      <c r="AH224" s="499"/>
      <c r="AI224" s="499"/>
      <c r="AJ224" s="499"/>
      <c r="AK224" s="499"/>
      <c r="AL224" s="499"/>
      <c r="AM224" s="499"/>
      <c r="AN224" s="499"/>
      <c r="AO224" s="499"/>
      <c r="AP224" s="499"/>
      <c r="AQ224" s="499"/>
      <c r="AR224" s="499"/>
      <c r="AS224" s="499"/>
      <c r="AT224" s="499"/>
      <c r="AU224" s="499"/>
      <c r="AV224" s="499"/>
      <c r="AW224" s="499"/>
      <c r="AX224" s="499"/>
      <c r="AY224" s="499"/>
      <c r="AZ224" s="499"/>
      <c r="BA224" s="499"/>
      <c r="BB224" s="499"/>
      <c r="BC224" s="499"/>
      <c r="BD224" s="499"/>
      <c r="BE224" s="499"/>
      <c r="BF224" s="499"/>
      <c r="BG224" s="499"/>
      <c r="BH224" s="499"/>
      <c r="BI224" s="499"/>
      <c r="BJ224" s="499"/>
      <c r="BK224" s="499"/>
      <c r="BL224" s="499"/>
      <c r="BM224" s="499"/>
      <c r="BN224" s="499"/>
      <c r="BO224" s="499"/>
      <c r="BP224" s="499"/>
      <c r="BQ224" s="499"/>
      <c r="BR224" s="499"/>
      <c r="BS224" s="499"/>
      <c r="BT224" s="499"/>
      <c r="BU224" s="499"/>
      <c r="BV224" s="499"/>
      <c r="BW224" s="499"/>
      <c r="BX224" s="499"/>
      <c r="BY224" s="499"/>
      <c r="BZ224" s="499"/>
      <c r="CA224" s="499"/>
      <c r="CB224" s="499"/>
      <c r="CC224" s="499"/>
      <c r="CD224" s="499"/>
      <c r="CE224" s="499"/>
      <c r="CF224" s="499"/>
      <c r="CG224" s="499"/>
      <c r="CH224" s="499"/>
      <c r="CI224" s="499"/>
      <c r="CJ224" s="499"/>
      <c r="CK224" s="499"/>
      <c r="CL224" s="499"/>
      <c r="CM224" s="499"/>
      <c r="CN224" s="499"/>
      <c r="CO224" s="499"/>
      <c r="CP224" s="499"/>
      <c r="CQ224" s="499"/>
      <c r="CR224" s="499"/>
      <c r="CS224" s="499"/>
      <c r="CT224" s="499"/>
      <c r="CU224" s="499"/>
      <c r="CV224" s="499"/>
      <c r="CW224" s="499"/>
      <c r="CX224" s="499"/>
      <c r="CY224" s="499"/>
      <c r="CZ224" s="499"/>
      <c r="DA224" s="499"/>
      <c r="DB224" s="499"/>
      <c r="DC224" s="499"/>
      <c r="DD224" s="499"/>
      <c r="DE224" s="499"/>
      <c r="DF224" s="499"/>
      <c r="DG224" s="499"/>
      <c r="DH224" s="499"/>
      <c r="DI224" s="499"/>
      <c r="DJ224" s="499"/>
      <c r="DK224" s="499"/>
      <c r="DL224" s="499"/>
      <c r="DM224" s="499"/>
      <c r="DN224" s="499"/>
      <c r="DO224" s="499"/>
      <c r="DP224" s="499"/>
      <c r="DQ224" s="499"/>
      <c r="DR224" s="499"/>
      <c r="DS224" s="499"/>
      <c r="DT224" s="499"/>
      <c r="DU224" s="499"/>
      <c r="DV224" s="499"/>
      <c r="DW224" s="499"/>
      <c r="DX224" s="499"/>
      <c r="DY224" s="499"/>
      <c r="DZ224" s="499"/>
      <c r="EA224" s="499"/>
      <c r="EB224" s="499"/>
    </row>
    <row r="225" spans="1:132">
      <c r="A225" s="196"/>
      <c r="B225" s="196"/>
      <c r="C225" s="196"/>
      <c r="D225" s="196"/>
      <c r="E225" s="196"/>
      <c r="F225" s="196"/>
      <c r="G225" s="499"/>
      <c r="H225" s="499"/>
      <c r="I225" s="499"/>
      <c r="J225" s="499"/>
      <c r="K225" s="499"/>
      <c r="L225" s="499"/>
      <c r="M225" s="499"/>
      <c r="N225" s="499"/>
      <c r="O225" s="499"/>
      <c r="P225" s="499"/>
      <c r="Q225" s="499"/>
      <c r="R225" s="499"/>
      <c r="S225" s="499"/>
      <c r="T225" s="499"/>
      <c r="U225" s="499"/>
      <c r="V225" s="499"/>
      <c r="W225" s="499"/>
      <c r="X225" s="499"/>
      <c r="Y225" s="499"/>
      <c r="Z225" s="499"/>
      <c r="AA225" s="499"/>
      <c r="AB225" s="499"/>
      <c r="AC225" s="499"/>
      <c r="AD225" s="499"/>
      <c r="AE225" s="499"/>
      <c r="AF225" s="499"/>
      <c r="AG225" s="499"/>
      <c r="AH225" s="499"/>
      <c r="AI225" s="499"/>
      <c r="AJ225" s="499"/>
      <c r="AK225" s="499"/>
      <c r="AL225" s="499"/>
      <c r="AM225" s="499"/>
      <c r="AN225" s="499"/>
      <c r="AO225" s="499"/>
      <c r="AP225" s="499"/>
      <c r="AQ225" s="499"/>
      <c r="AR225" s="499"/>
      <c r="AS225" s="499"/>
      <c r="AT225" s="499"/>
      <c r="AU225" s="499"/>
      <c r="AV225" s="499"/>
      <c r="AW225" s="499"/>
      <c r="AX225" s="499"/>
      <c r="AY225" s="499"/>
      <c r="AZ225" s="499"/>
      <c r="BA225" s="499"/>
      <c r="BB225" s="499"/>
      <c r="BC225" s="499"/>
      <c r="BD225" s="499"/>
      <c r="BE225" s="499"/>
      <c r="BF225" s="499"/>
      <c r="BG225" s="499"/>
      <c r="BH225" s="499"/>
      <c r="BI225" s="499"/>
      <c r="BJ225" s="499"/>
      <c r="BK225" s="499"/>
      <c r="BL225" s="499"/>
      <c r="BM225" s="499"/>
      <c r="BN225" s="499"/>
      <c r="BO225" s="499"/>
      <c r="BP225" s="499"/>
      <c r="BQ225" s="499"/>
      <c r="BR225" s="499"/>
      <c r="BS225" s="499"/>
      <c r="BT225" s="499"/>
      <c r="BU225" s="499"/>
      <c r="BV225" s="499"/>
      <c r="BW225" s="499"/>
      <c r="BX225" s="499"/>
      <c r="BY225" s="499"/>
      <c r="BZ225" s="499"/>
      <c r="CA225" s="499"/>
      <c r="CB225" s="499"/>
      <c r="CC225" s="499"/>
      <c r="CD225" s="499"/>
      <c r="CE225" s="499"/>
      <c r="CF225" s="499"/>
      <c r="CG225" s="499"/>
      <c r="CH225" s="499"/>
      <c r="CI225" s="499"/>
      <c r="CJ225" s="499"/>
      <c r="CK225" s="499"/>
      <c r="CL225" s="499"/>
      <c r="CM225" s="499"/>
      <c r="CN225" s="499"/>
      <c r="CO225" s="499"/>
      <c r="CP225" s="499"/>
      <c r="CQ225" s="499"/>
      <c r="CR225" s="499"/>
      <c r="CS225" s="499"/>
      <c r="CT225" s="499"/>
      <c r="CU225" s="499"/>
      <c r="CV225" s="499"/>
      <c r="CW225" s="499"/>
      <c r="CX225" s="499"/>
      <c r="CY225" s="499"/>
      <c r="CZ225" s="499"/>
      <c r="DA225" s="499"/>
      <c r="DB225" s="499"/>
      <c r="DC225" s="499"/>
      <c r="DD225" s="499"/>
      <c r="DE225" s="499"/>
      <c r="DF225" s="499"/>
      <c r="DG225" s="499"/>
      <c r="DH225" s="499"/>
      <c r="DI225" s="499"/>
      <c r="DJ225" s="499"/>
      <c r="DK225" s="499"/>
      <c r="DL225" s="499"/>
      <c r="DM225" s="499"/>
      <c r="DN225" s="499"/>
      <c r="DO225" s="499"/>
      <c r="DP225" s="499"/>
      <c r="DQ225" s="499"/>
      <c r="DR225" s="499"/>
      <c r="DS225" s="499"/>
      <c r="DT225" s="499"/>
      <c r="DU225" s="499"/>
      <c r="DV225" s="499"/>
      <c r="DW225" s="499"/>
      <c r="DX225" s="499"/>
      <c r="DY225" s="499"/>
      <c r="DZ225" s="499"/>
      <c r="EA225" s="499"/>
      <c r="EB225" s="499"/>
    </row>
    <row r="226" spans="1:132">
      <c r="A226" s="196"/>
      <c r="B226" s="196"/>
      <c r="C226" s="196"/>
      <c r="D226" s="196"/>
      <c r="E226" s="196"/>
      <c r="F226" s="196"/>
      <c r="G226" s="499"/>
      <c r="H226" s="499"/>
      <c r="I226" s="499"/>
      <c r="J226" s="499"/>
      <c r="K226" s="499"/>
      <c r="L226" s="499"/>
      <c r="M226" s="499"/>
      <c r="N226" s="499"/>
      <c r="O226" s="499"/>
      <c r="P226" s="499"/>
      <c r="Q226" s="499"/>
      <c r="R226" s="499"/>
      <c r="S226" s="499"/>
      <c r="T226" s="499"/>
      <c r="U226" s="499"/>
      <c r="V226" s="499"/>
      <c r="W226" s="499"/>
      <c r="X226" s="499"/>
      <c r="Y226" s="499"/>
      <c r="Z226" s="499"/>
      <c r="AA226" s="499"/>
      <c r="AB226" s="499"/>
      <c r="AC226" s="499"/>
      <c r="AD226" s="499"/>
      <c r="AE226" s="499"/>
      <c r="AF226" s="499"/>
      <c r="AG226" s="499"/>
      <c r="AH226" s="499"/>
      <c r="AI226" s="499"/>
      <c r="AJ226" s="499"/>
      <c r="AK226" s="499"/>
      <c r="AL226" s="499"/>
      <c r="AM226" s="499"/>
      <c r="AN226" s="499"/>
      <c r="AO226" s="499"/>
      <c r="AP226" s="499"/>
      <c r="AQ226" s="499"/>
      <c r="AR226" s="499"/>
      <c r="AS226" s="499"/>
      <c r="AT226" s="499"/>
      <c r="AU226" s="499"/>
      <c r="AV226" s="499"/>
      <c r="AW226" s="499"/>
      <c r="AX226" s="499"/>
      <c r="AY226" s="499"/>
      <c r="AZ226" s="499"/>
      <c r="BA226" s="499"/>
      <c r="BB226" s="499"/>
      <c r="BC226" s="499"/>
      <c r="BD226" s="499"/>
      <c r="BE226" s="499"/>
      <c r="BF226" s="499"/>
      <c r="BG226" s="499"/>
      <c r="BH226" s="499"/>
      <c r="BI226" s="499"/>
      <c r="BJ226" s="499"/>
      <c r="BK226" s="499"/>
      <c r="BL226" s="499"/>
      <c r="BM226" s="499"/>
      <c r="BN226" s="499"/>
      <c r="BO226" s="499"/>
      <c r="BP226" s="499"/>
      <c r="BQ226" s="499"/>
      <c r="BR226" s="499"/>
      <c r="BS226" s="499"/>
      <c r="BT226" s="499"/>
      <c r="BU226" s="499"/>
      <c r="BV226" s="499"/>
      <c r="BW226" s="499"/>
      <c r="BX226" s="499"/>
      <c r="BY226" s="499"/>
      <c r="BZ226" s="499"/>
      <c r="CA226" s="499"/>
      <c r="CB226" s="499"/>
      <c r="CC226" s="499"/>
      <c r="CD226" s="499"/>
      <c r="CE226" s="499"/>
      <c r="CF226" s="499"/>
      <c r="CG226" s="499"/>
      <c r="CH226" s="499"/>
      <c r="CI226" s="499"/>
      <c r="CJ226" s="499"/>
      <c r="CK226" s="499"/>
      <c r="CL226" s="499"/>
      <c r="CM226" s="499"/>
      <c r="CN226" s="499"/>
      <c r="CO226" s="499"/>
      <c r="CP226" s="499"/>
      <c r="CQ226" s="499"/>
      <c r="CR226" s="499"/>
      <c r="CS226" s="499"/>
      <c r="CT226" s="499"/>
      <c r="CU226" s="499"/>
      <c r="CV226" s="499"/>
      <c r="CW226" s="499"/>
      <c r="CX226" s="499"/>
      <c r="CY226" s="499"/>
      <c r="CZ226" s="499"/>
      <c r="DA226" s="499"/>
      <c r="DB226" s="499"/>
      <c r="DC226" s="499"/>
      <c r="DD226" s="499"/>
      <c r="DE226" s="499"/>
      <c r="DF226" s="499"/>
      <c r="DG226" s="499"/>
      <c r="DH226" s="499"/>
      <c r="DI226" s="499"/>
      <c r="DJ226" s="499"/>
      <c r="DK226" s="499"/>
      <c r="DL226" s="499"/>
      <c r="DM226" s="499"/>
      <c r="DN226" s="499"/>
      <c r="DO226" s="499"/>
      <c r="DP226" s="499"/>
      <c r="DQ226" s="499"/>
      <c r="DR226" s="499"/>
      <c r="DS226" s="499"/>
      <c r="DT226" s="499"/>
      <c r="DU226" s="499"/>
      <c r="DV226" s="499"/>
      <c r="DW226" s="499"/>
      <c r="DX226" s="499"/>
      <c r="DY226" s="499"/>
      <c r="DZ226" s="499"/>
      <c r="EA226" s="499"/>
      <c r="EB226" s="499"/>
    </row>
    <row r="227" spans="1:132">
      <c r="A227" s="196"/>
      <c r="B227" s="196"/>
      <c r="C227" s="196"/>
      <c r="D227" s="196"/>
      <c r="E227" s="196"/>
      <c r="F227" s="196"/>
      <c r="G227" s="499"/>
      <c r="H227" s="499"/>
      <c r="I227" s="499"/>
      <c r="J227" s="499"/>
      <c r="K227" s="499"/>
      <c r="L227" s="499"/>
      <c r="M227" s="499"/>
      <c r="N227" s="499"/>
      <c r="O227" s="499"/>
      <c r="P227" s="499"/>
      <c r="Q227" s="499"/>
      <c r="R227" s="499"/>
      <c r="S227" s="499"/>
      <c r="T227" s="499"/>
      <c r="U227" s="499"/>
      <c r="V227" s="499"/>
      <c r="W227" s="499"/>
      <c r="X227" s="499"/>
      <c r="Y227" s="499"/>
      <c r="Z227" s="499"/>
      <c r="AA227" s="499"/>
      <c r="AB227" s="499"/>
      <c r="AC227" s="499"/>
      <c r="AD227" s="499"/>
      <c r="AE227" s="499"/>
      <c r="AF227" s="499"/>
      <c r="AG227" s="499"/>
      <c r="AH227" s="499"/>
      <c r="AI227" s="499"/>
      <c r="AJ227" s="499"/>
      <c r="AK227" s="499"/>
      <c r="AL227" s="499"/>
      <c r="AM227" s="499"/>
      <c r="AN227" s="499"/>
      <c r="AO227" s="499"/>
      <c r="AP227" s="499"/>
      <c r="AQ227" s="499"/>
      <c r="AR227" s="499"/>
      <c r="AS227" s="499"/>
      <c r="AT227" s="499"/>
      <c r="AU227" s="499"/>
      <c r="AV227" s="499"/>
      <c r="AW227" s="499"/>
      <c r="AX227" s="499"/>
      <c r="AY227" s="499"/>
      <c r="AZ227" s="499"/>
      <c r="BA227" s="499"/>
      <c r="BB227" s="499"/>
      <c r="BC227" s="499"/>
      <c r="BD227" s="499"/>
      <c r="BE227" s="499"/>
      <c r="BF227" s="499"/>
      <c r="BG227" s="499"/>
      <c r="BH227" s="499"/>
      <c r="BI227" s="499"/>
      <c r="BJ227" s="499"/>
      <c r="BK227" s="499"/>
      <c r="BL227" s="499"/>
      <c r="BM227" s="499"/>
      <c r="BN227" s="499"/>
      <c r="BO227" s="499"/>
      <c r="BP227" s="499"/>
      <c r="BQ227" s="499"/>
      <c r="BR227" s="499"/>
      <c r="BS227" s="499"/>
      <c r="BT227" s="499"/>
      <c r="BU227" s="499"/>
      <c r="BV227" s="499"/>
      <c r="BW227" s="499"/>
      <c r="BX227" s="499"/>
      <c r="BY227" s="499"/>
      <c r="BZ227" s="499"/>
      <c r="CA227" s="499"/>
      <c r="CB227" s="499"/>
      <c r="CC227" s="499"/>
      <c r="CD227" s="499"/>
      <c r="CE227" s="499"/>
      <c r="CF227" s="499"/>
      <c r="CG227" s="499"/>
      <c r="CH227" s="499"/>
      <c r="CI227" s="499"/>
      <c r="CJ227" s="499"/>
      <c r="CK227" s="499"/>
      <c r="CL227" s="499"/>
      <c r="CM227" s="499"/>
      <c r="CN227" s="499"/>
      <c r="CO227" s="499"/>
      <c r="CP227" s="499"/>
      <c r="CQ227" s="499"/>
      <c r="CR227" s="499"/>
      <c r="CS227" s="499"/>
      <c r="CT227" s="499"/>
      <c r="CU227" s="499"/>
      <c r="CV227" s="499"/>
      <c r="CW227" s="499"/>
      <c r="CX227" s="499"/>
      <c r="CY227" s="499"/>
      <c r="CZ227" s="499"/>
      <c r="DA227" s="499"/>
      <c r="DB227" s="499"/>
      <c r="DC227" s="499"/>
      <c r="DD227" s="499"/>
      <c r="DE227" s="499"/>
      <c r="DF227" s="499"/>
      <c r="DG227" s="499"/>
      <c r="DH227" s="499"/>
      <c r="DI227" s="499"/>
      <c r="DJ227" s="499"/>
      <c r="DK227" s="499"/>
      <c r="DL227" s="499"/>
      <c r="DM227" s="499"/>
      <c r="DN227" s="499"/>
      <c r="DO227" s="499"/>
      <c r="DP227" s="499"/>
      <c r="DQ227" s="499"/>
      <c r="DR227" s="499"/>
      <c r="DS227" s="499"/>
      <c r="DT227" s="499"/>
      <c r="DU227" s="499"/>
      <c r="DV227" s="499"/>
      <c r="DW227" s="499"/>
      <c r="DX227" s="499"/>
      <c r="DY227" s="499"/>
      <c r="DZ227" s="499"/>
      <c r="EA227" s="499"/>
      <c r="EB227" s="499"/>
    </row>
    <row r="228" spans="1:132">
      <c r="A228" s="196"/>
      <c r="B228" s="196"/>
      <c r="C228" s="196"/>
      <c r="D228" s="196"/>
      <c r="E228" s="196"/>
      <c r="F228" s="196"/>
      <c r="G228" s="499"/>
      <c r="H228" s="499"/>
      <c r="I228" s="499"/>
      <c r="J228" s="499"/>
      <c r="K228" s="499"/>
      <c r="L228" s="499"/>
      <c r="M228" s="499"/>
      <c r="N228" s="499"/>
      <c r="O228" s="499"/>
      <c r="P228" s="499"/>
      <c r="Q228" s="499"/>
      <c r="R228" s="499"/>
      <c r="S228" s="499"/>
      <c r="T228" s="499"/>
      <c r="U228" s="499"/>
      <c r="V228" s="499"/>
      <c r="W228" s="499"/>
      <c r="X228" s="499"/>
      <c r="Y228" s="499"/>
      <c r="Z228" s="499"/>
      <c r="AA228" s="499"/>
      <c r="AB228" s="499"/>
      <c r="AC228" s="499"/>
      <c r="AD228" s="499"/>
      <c r="AE228" s="499"/>
      <c r="AF228" s="499"/>
      <c r="AG228" s="499"/>
      <c r="AH228" s="499"/>
      <c r="AI228" s="499"/>
      <c r="AJ228" s="499"/>
      <c r="AK228" s="499"/>
      <c r="AL228" s="499"/>
      <c r="AM228" s="499"/>
      <c r="AN228" s="499"/>
      <c r="AO228" s="499"/>
      <c r="AP228" s="499"/>
      <c r="AQ228" s="499"/>
      <c r="AR228" s="499"/>
      <c r="AS228" s="499"/>
      <c r="AT228" s="499"/>
      <c r="AU228" s="499"/>
      <c r="AV228" s="499"/>
      <c r="AW228" s="499"/>
      <c r="AX228" s="499"/>
      <c r="AY228" s="499"/>
      <c r="AZ228" s="499"/>
      <c r="BA228" s="499"/>
      <c r="BB228" s="499"/>
      <c r="BC228" s="499"/>
      <c r="BD228" s="499"/>
      <c r="BE228" s="499"/>
      <c r="BF228" s="499"/>
      <c r="BG228" s="499"/>
      <c r="BH228" s="499"/>
      <c r="BI228" s="499"/>
      <c r="BJ228" s="499"/>
      <c r="BK228" s="499"/>
      <c r="BL228" s="499"/>
      <c r="BM228" s="499"/>
      <c r="BN228" s="499"/>
      <c r="BO228" s="499"/>
      <c r="BP228" s="499"/>
      <c r="BQ228" s="499"/>
      <c r="BR228" s="499"/>
      <c r="BS228" s="499"/>
      <c r="BT228" s="499"/>
      <c r="BU228" s="499"/>
      <c r="BV228" s="499"/>
      <c r="BW228" s="499"/>
      <c r="BX228" s="499"/>
      <c r="BY228" s="499"/>
      <c r="BZ228" s="499"/>
      <c r="CA228" s="499"/>
      <c r="CB228" s="499"/>
      <c r="CC228" s="499"/>
      <c r="CD228" s="499"/>
      <c r="CE228" s="499"/>
      <c r="CF228" s="499"/>
      <c r="CG228" s="499"/>
      <c r="CH228" s="499"/>
      <c r="CI228" s="499"/>
      <c r="CJ228" s="499"/>
      <c r="CK228" s="499"/>
      <c r="CL228" s="499"/>
      <c r="CM228" s="499"/>
      <c r="CN228" s="499"/>
      <c r="CO228" s="499"/>
      <c r="CP228" s="499"/>
      <c r="CQ228" s="499"/>
      <c r="CR228" s="499"/>
      <c r="CS228" s="499"/>
      <c r="CT228" s="499"/>
      <c r="CU228" s="499"/>
      <c r="CV228" s="499"/>
      <c r="CW228" s="499"/>
      <c r="CX228" s="499"/>
      <c r="CY228" s="499"/>
      <c r="CZ228" s="499"/>
      <c r="DA228" s="499"/>
      <c r="DB228" s="499"/>
      <c r="DC228" s="499"/>
      <c r="DD228" s="499"/>
      <c r="DE228" s="499"/>
      <c r="DF228" s="499"/>
      <c r="DG228" s="499"/>
      <c r="DH228" s="499"/>
      <c r="DI228" s="499"/>
      <c r="DJ228" s="499"/>
      <c r="DK228" s="499"/>
      <c r="DL228" s="499"/>
      <c r="DM228" s="499"/>
      <c r="DN228" s="499"/>
      <c r="DO228" s="499"/>
      <c r="DP228" s="499"/>
      <c r="DQ228" s="499"/>
      <c r="DR228" s="499"/>
      <c r="DS228" s="499"/>
      <c r="DT228" s="499"/>
      <c r="DU228" s="499"/>
      <c r="DV228" s="499"/>
      <c r="DW228" s="499"/>
      <c r="DX228" s="499"/>
      <c r="DY228" s="499"/>
      <c r="DZ228" s="499"/>
      <c r="EA228" s="499"/>
      <c r="EB228" s="499"/>
    </row>
    <row r="229" spans="1:132">
      <c r="A229" s="196"/>
      <c r="B229" s="196"/>
      <c r="C229" s="196"/>
      <c r="D229" s="196"/>
      <c r="E229" s="196"/>
      <c r="F229" s="196"/>
      <c r="G229" s="499"/>
      <c r="H229" s="499"/>
      <c r="I229" s="499"/>
      <c r="J229" s="499"/>
      <c r="K229" s="499"/>
      <c r="L229" s="499"/>
      <c r="M229" s="499"/>
      <c r="N229" s="499"/>
      <c r="O229" s="499"/>
      <c r="P229" s="499"/>
      <c r="Q229" s="499"/>
      <c r="R229" s="499"/>
      <c r="S229" s="499"/>
      <c r="T229" s="499"/>
      <c r="U229" s="499"/>
      <c r="V229" s="499"/>
      <c r="W229" s="499"/>
      <c r="X229" s="499"/>
      <c r="Y229" s="499"/>
      <c r="Z229" s="499"/>
      <c r="AA229" s="499"/>
      <c r="AB229" s="499"/>
      <c r="AC229" s="499"/>
      <c r="AD229" s="499"/>
      <c r="AE229" s="499"/>
      <c r="AF229" s="499"/>
      <c r="AG229" s="499"/>
      <c r="AH229" s="499"/>
      <c r="AI229" s="499"/>
      <c r="AJ229" s="499"/>
      <c r="AK229" s="499"/>
      <c r="AL229" s="499"/>
      <c r="AM229" s="499"/>
      <c r="AN229" s="499"/>
      <c r="AO229" s="499"/>
      <c r="AP229" s="499"/>
      <c r="AQ229" s="499"/>
      <c r="AR229" s="499"/>
      <c r="AS229" s="499"/>
      <c r="AT229" s="499"/>
      <c r="AU229" s="499"/>
      <c r="AV229" s="499"/>
      <c r="AW229" s="499"/>
      <c r="AX229" s="499"/>
      <c r="AY229" s="499"/>
      <c r="AZ229" s="499"/>
      <c r="BA229" s="499"/>
      <c r="BB229" s="499"/>
      <c r="BC229" s="499"/>
      <c r="BD229" s="499"/>
      <c r="BE229" s="499"/>
      <c r="BF229" s="499"/>
      <c r="BG229" s="499"/>
      <c r="BH229" s="499"/>
      <c r="BI229" s="499"/>
      <c r="BJ229" s="499"/>
      <c r="BK229" s="499"/>
      <c r="BL229" s="499"/>
      <c r="BM229" s="499"/>
      <c r="BN229" s="499"/>
      <c r="BO229" s="499"/>
      <c r="BP229" s="499"/>
      <c r="BQ229" s="499"/>
      <c r="BR229" s="499"/>
      <c r="BS229" s="499"/>
      <c r="BT229" s="499"/>
      <c r="BU229" s="499"/>
      <c r="BV229" s="499"/>
      <c r="BW229" s="499"/>
      <c r="BX229" s="499"/>
      <c r="BY229" s="499"/>
      <c r="BZ229" s="499"/>
      <c r="CA229" s="499"/>
      <c r="CB229" s="499"/>
      <c r="CC229" s="499"/>
      <c r="CD229" s="499"/>
      <c r="CE229" s="499"/>
      <c r="CF229" s="499"/>
      <c r="CG229" s="499"/>
      <c r="CH229" s="499"/>
      <c r="CI229" s="499"/>
      <c r="CJ229" s="499"/>
      <c r="CK229" s="499"/>
      <c r="CL229" s="499"/>
      <c r="CM229" s="499"/>
      <c r="CN229" s="499"/>
      <c r="CO229" s="499"/>
      <c r="CP229" s="499"/>
      <c r="CQ229" s="499"/>
      <c r="CR229" s="499"/>
      <c r="CS229" s="499"/>
      <c r="CT229" s="499"/>
      <c r="CU229" s="499"/>
      <c r="CV229" s="499"/>
      <c r="CW229" s="499"/>
      <c r="CX229" s="499"/>
      <c r="CY229" s="499"/>
      <c r="CZ229" s="499"/>
      <c r="DA229" s="499"/>
      <c r="DB229" s="499"/>
      <c r="DC229" s="499"/>
      <c r="DD229" s="499"/>
      <c r="DE229" s="499"/>
      <c r="DF229" s="499"/>
      <c r="DG229" s="499"/>
      <c r="DH229" s="499"/>
      <c r="DI229" s="499"/>
      <c r="DJ229" s="499"/>
      <c r="DK229" s="499"/>
      <c r="DL229" s="499"/>
      <c r="DM229" s="499"/>
      <c r="DN229" s="499"/>
      <c r="DO229" s="499"/>
      <c r="DP229" s="499"/>
      <c r="DQ229" s="499"/>
      <c r="DR229" s="499"/>
      <c r="DS229" s="499"/>
      <c r="DT229" s="499"/>
      <c r="DU229" s="499"/>
      <c r="DV229" s="499"/>
      <c r="DW229" s="499"/>
      <c r="DX229" s="499"/>
      <c r="DY229" s="499"/>
      <c r="DZ229" s="499"/>
      <c r="EA229" s="499"/>
      <c r="EB229" s="499"/>
    </row>
    <row r="230" spans="1:132">
      <c r="A230" s="196"/>
      <c r="B230" s="196"/>
      <c r="C230" s="196"/>
      <c r="D230" s="196"/>
      <c r="E230" s="196"/>
      <c r="F230" s="196"/>
      <c r="G230" s="499"/>
      <c r="H230" s="499"/>
      <c r="I230" s="499"/>
      <c r="J230" s="499"/>
      <c r="K230" s="499"/>
      <c r="L230" s="499"/>
      <c r="M230" s="499"/>
      <c r="N230" s="499"/>
      <c r="O230" s="499"/>
      <c r="P230" s="499"/>
      <c r="Q230" s="499"/>
      <c r="R230" s="499"/>
      <c r="S230" s="499"/>
      <c r="T230" s="499"/>
      <c r="U230" s="499"/>
      <c r="V230" s="499"/>
      <c r="W230" s="499"/>
      <c r="X230" s="499"/>
      <c r="Y230" s="499"/>
      <c r="Z230" s="499"/>
      <c r="AA230" s="499"/>
      <c r="AB230" s="499"/>
      <c r="AC230" s="499"/>
      <c r="AD230" s="499"/>
      <c r="AE230" s="499"/>
      <c r="AF230" s="499"/>
      <c r="AG230" s="499"/>
      <c r="AH230" s="499"/>
      <c r="AI230" s="499"/>
      <c r="AJ230" s="499"/>
      <c r="AK230" s="499"/>
      <c r="AL230" s="499"/>
      <c r="AM230" s="499"/>
      <c r="AN230" s="499"/>
      <c r="AO230" s="499"/>
      <c r="AP230" s="499"/>
      <c r="AQ230" s="499"/>
      <c r="AR230" s="499"/>
      <c r="AS230" s="499"/>
      <c r="AT230" s="499"/>
      <c r="AU230" s="499"/>
      <c r="AV230" s="499"/>
      <c r="AW230" s="499"/>
      <c r="AX230" s="499"/>
      <c r="AY230" s="499"/>
      <c r="AZ230" s="499"/>
      <c r="BA230" s="499"/>
      <c r="BB230" s="499"/>
      <c r="BC230" s="499"/>
      <c r="BD230" s="499"/>
      <c r="BE230" s="499"/>
      <c r="BF230" s="499"/>
      <c r="BG230" s="499"/>
      <c r="BH230" s="499"/>
      <c r="BI230" s="499"/>
      <c r="BJ230" s="499"/>
      <c r="BK230" s="499"/>
      <c r="BL230" s="499"/>
      <c r="BM230" s="499"/>
      <c r="BN230" s="499"/>
      <c r="BO230" s="499"/>
      <c r="BP230" s="499"/>
      <c r="BQ230" s="499"/>
      <c r="BR230" s="499"/>
      <c r="BS230" s="499"/>
      <c r="BT230" s="499"/>
      <c r="BU230" s="499"/>
      <c r="BV230" s="499"/>
      <c r="BW230" s="499"/>
      <c r="BX230" s="499"/>
      <c r="BY230" s="499"/>
      <c r="BZ230" s="499"/>
      <c r="CA230" s="499"/>
      <c r="CB230" s="499"/>
      <c r="CC230" s="499"/>
      <c r="CD230" s="499"/>
      <c r="CE230" s="499"/>
      <c r="CF230" s="499"/>
      <c r="CG230" s="499"/>
      <c r="CH230" s="499"/>
      <c r="CI230" s="499"/>
      <c r="CJ230" s="499"/>
      <c r="CK230" s="499"/>
      <c r="CL230" s="499"/>
      <c r="CM230" s="499"/>
      <c r="CN230" s="499"/>
      <c r="CO230" s="499"/>
      <c r="CP230" s="499"/>
      <c r="CQ230" s="499"/>
      <c r="CR230" s="499"/>
      <c r="CS230" s="499"/>
      <c r="CT230" s="499"/>
      <c r="CU230" s="499"/>
      <c r="CV230" s="499"/>
      <c r="CW230" s="499"/>
      <c r="CX230" s="499"/>
      <c r="CY230" s="499"/>
      <c r="CZ230" s="499"/>
      <c r="DA230" s="499"/>
      <c r="DB230" s="499"/>
      <c r="DC230" s="499"/>
      <c r="DD230" s="499"/>
      <c r="DE230" s="499"/>
      <c r="DF230" s="499"/>
      <c r="DG230" s="499"/>
      <c r="DH230" s="499"/>
      <c r="DI230" s="499"/>
      <c r="DJ230" s="499"/>
      <c r="DK230" s="499"/>
      <c r="DL230" s="499"/>
      <c r="DM230" s="499"/>
      <c r="DN230" s="499"/>
      <c r="DO230" s="499"/>
      <c r="DP230" s="499"/>
      <c r="DQ230" s="499"/>
      <c r="DR230" s="499"/>
      <c r="DS230" s="499"/>
      <c r="DT230" s="499"/>
      <c r="DU230" s="499"/>
      <c r="DV230" s="499"/>
      <c r="DW230" s="499"/>
      <c r="DX230" s="499"/>
      <c r="DY230" s="499"/>
      <c r="DZ230" s="499"/>
      <c r="EA230" s="499"/>
      <c r="EB230" s="499"/>
    </row>
    <row r="231" spans="1:132">
      <c r="A231" s="196"/>
      <c r="B231" s="196"/>
      <c r="C231" s="196"/>
      <c r="D231" s="196"/>
      <c r="E231" s="196"/>
      <c r="F231" s="196"/>
      <c r="G231" s="499"/>
      <c r="H231" s="499"/>
      <c r="I231" s="499"/>
      <c r="J231" s="499"/>
      <c r="K231" s="499"/>
      <c r="L231" s="499"/>
      <c r="M231" s="499"/>
      <c r="N231" s="499"/>
      <c r="O231" s="499"/>
      <c r="P231" s="499"/>
      <c r="Q231" s="499"/>
      <c r="R231" s="499"/>
      <c r="S231" s="499"/>
      <c r="T231" s="499"/>
      <c r="U231" s="499"/>
      <c r="V231" s="499"/>
      <c r="W231" s="499"/>
      <c r="X231" s="499"/>
      <c r="Y231" s="499"/>
      <c r="Z231" s="499"/>
      <c r="AA231" s="499"/>
      <c r="AB231" s="499"/>
      <c r="AC231" s="499"/>
      <c r="AD231" s="499"/>
      <c r="AE231" s="499"/>
      <c r="AF231" s="499"/>
      <c r="AG231" s="499"/>
      <c r="AH231" s="499"/>
      <c r="AI231" s="499"/>
      <c r="AJ231" s="499"/>
      <c r="AK231" s="499"/>
      <c r="AL231" s="499"/>
      <c r="AM231" s="499"/>
      <c r="AN231" s="499"/>
      <c r="AO231" s="499"/>
      <c r="AP231" s="499"/>
      <c r="AQ231" s="499"/>
      <c r="AR231" s="499"/>
      <c r="AS231" s="499"/>
      <c r="AT231" s="499"/>
      <c r="AU231" s="499"/>
      <c r="AV231" s="499"/>
      <c r="AW231" s="499"/>
      <c r="AX231" s="499"/>
      <c r="AY231" s="499"/>
      <c r="AZ231" s="499"/>
      <c r="BA231" s="499"/>
      <c r="BB231" s="499"/>
      <c r="BC231" s="499"/>
      <c r="BD231" s="499"/>
      <c r="BE231" s="499"/>
      <c r="BF231" s="499"/>
      <c r="BG231" s="499"/>
      <c r="BH231" s="499"/>
      <c r="BI231" s="499"/>
      <c r="BJ231" s="499"/>
      <c r="BK231" s="499"/>
      <c r="BL231" s="499"/>
      <c r="BM231" s="499"/>
      <c r="BN231" s="499"/>
      <c r="BO231" s="499"/>
      <c r="BP231" s="499"/>
      <c r="BQ231" s="499"/>
      <c r="BR231" s="499"/>
      <c r="BS231" s="499"/>
      <c r="BT231" s="499"/>
      <c r="BU231" s="499"/>
      <c r="BV231" s="499"/>
      <c r="BW231" s="499"/>
      <c r="BX231" s="499"/>
      <c r="BY231" s="499"/>
      <c r="BZ231" s="499"/>
      <c r="CA231" s="499"/>
      <c r="CB231" s="499"/>
      <c r="CC231" s="499"/>
      <c r="CD231" s="499"/>
      <c r="CE231" s="499"/>
      <c r="CF231" s="499"/>
      <c r="CG231" s="499"/>
      <c r="CH231" s="499"/>
      <c r="CI231" s="499"/>
      <c r="CJ231" s="499"/>
      <c r="CK231" s="499"/>
      <c r="CL231" s="499"/>
      <c r="CM231" s="499"/>
      <c r="CN231" s="499"/>
      <c r="CO231" s="499"/>
      <c r="CP231" s="499"/>
      <c r="CQ231" s="499"/>
      <c r="CR231" s="499"/>
      <c r="CS231" s="499"/>
      <c r="CT231" s="499"/>
      <c r="CU231" s="499"/>
      <c r="CV231" s="499"/>
      <c r="CW231" s="499"/>
      <c r="CX231" s="499"/>
      <c r="CY231" s="499"/>
      <c r="CZ231" s="499"/>
      <c r="DA231" s="499"/>
      <c r="DB231" s="499"/>
      <c r="DC231" s="499"/>
      <c r="DD231" s="499"/>
      <c r="DE231" s="499"/>
      <c r="DF231" s="499"/>
      <c r="DG231" s="499"/>
      <c r="DH231" s="499"/>
      <c r="DI231" s="499"/>
      <c r="DJ231" s="499"/>
      <c r="DK231" s="499"/>
      <c r="DL231" s="499"/>
      <c r="DM231" s="499"/>
      <c r="DN231" s="499"/>
      <c r="DO231" s="499"/>
      <c r="DP231" s="499"/>
      <c r="DQ231" s="499"/>
      <c r="DR231" s="499"/>
      <c r="DS231" s="499"/>
      <c r="DT231" s="499"/>
      <c r="DU231" s="499"/>
      <c r="DV231" s="499"/>
      <c r="DW231" s="499"/>
      <c r="DX231" s="499"/>
      <c r="DY231" s="499"/>
      <c r="DZ231" s="499"/>
      <c r="EA231" s="499"/>
      <c r="EB231" s="499"/>
    </row>
    <row r="232" spans="1:132">
      <c r="A232" s="196"/>
      <c r="B232" s="196"/>
      <c r="C232" s="196"/>
      <c r="D232" s="196"/>
      <c r="E232" s="196"/>
      <c r="F232" s="196"/>
      <c r="G232" s="499"/>
      <c r="H232" s="499"/>
      <c r="I232" s="499"/>
      <c r="J232" s="499"/>
      <c r="K232" s="499"/>
      <c r="L232" s="499"/>
      <c r="M232" s="499"/>
      <c r="N232" s="499"/>
      <c r="O232" s="499"/>
      <c r="P232" s="499"/>
      <c r="Q232" s="499"/>
      <c r="R232" s="499"/>
      <c r="S232" s="499"/>
      <c r="T232" s="499"/>
      <c r="U232" s="499"/>
      <c r="V232" s="499"/>
      <c r="W232" s="499"/>
      <c r="X232" s="499"/>
      <c r="Y232" s="499"/>
      <c r="Z232" s="499"/>
      <c r="AA232" s="499"/>
      <c r="AB232" s="499"/>
      <c r="AC232" s="499"/>
      <c r="AD232" s="499"/>
      <c r="AE232" s="499"/>
      <c r="AF232" s="499"/>
      <c r="AG232" s="499"/>
      <c r="AH232" s="499"/>
      <c r="AI232" s="499"/>
      <c r="AJ232" s="499"/>
      <c r="AK232" s="499"/>
      <c r="AL232" s="499"/>
      <c r="AM232" s="499"/>
      <c r="AN232" s="499"/>
      <c r="AO232" s="499"/>
      <c r="AP232" s="499"/>
      <c r="AQ232" s="499"/>
      <c r="AR232" s="499"/>
      <c r="AS232" s="499"/>
      <c r="AT232" s="499"/>
      <c r="AU232" s="499"/>
      <c r="AV232" s="499"/>
      <c r="AW232" s="499"/>
      <c r="AX232" s="499"/>
      <c r="AY232" s="499"/>
      <c r="AZ232" s="499"/>
      <c r="BA232" s="499"/>
      <c r="BB232" s="499"/>
      <c r="BC232" s="499"/>
      <c r="BD232" s="499"/>
      <c r="BE232" s="499"/>
      <c r="BF232" s="499"/>
      <c r="BG232" s="499"/>
      <c r="BH232" s="499"/>
      <c r="BI232" s="499"/>
      <c r="BJ232" s="499"/>
      <c r="BK232" s="499"/>
      <c r="BL232" s="499"/>
      <c r="BM232" s="499"/>
      <c r="BN232" s="499"/>
      <c r="BO232" s="499"/>
      <c r="BP232" s="499"/>
      <c r="BQ232" s="499"/>
      <c r="BR232" s="499"/>
      <c r="BS232" s="499"/>
      <c r="BT232" s="499"/>
      <c r="BU232" s="499"/>
      <c r="BV232" s="499"/>
      <c r="BW232" s="499"/>
      <c r="BX232" s="499"/>
      <c r="BY232" s="499"/>
      <c r="BZ232" s="499"/>
      <c r="CA232" s="499"/>
      <c r="CB232" s="499"/>
      <c r="CC232" s="499"/>
      <c r="CD232" s="499"/>
      <c r="CE232" s="499"/>
      <c r="CF232" s="499"/>
      <c r="CG232" s="499"/>
      <c r="CH232" s="499"/>
      <c r="CI232" s="499"/>
      <c r="CJ232" s="499"/>
      <c r="CK232" s="499"/>
      <c r="CL232" s="499"/>
      <c r="CM232" s="499"/>
      <c r="CN232" s="499"/>
      <c r="CO232" s="499"/>
      <c r="CP232" s="499"/>
      <c r="CQ232" s="499"/>
      <c r="CR232" s="499"/>
      <c r="CS232" s="499"/>
      <c r="CT232" s="499"/>
      <c r="CU232" s="499"/>
      <c r="CV232" s="499"/>
      <c r="CW232" s="499"/>
      <c r="CX232" s="499"/>
      <c r="CY232" s="499"/>
      <c r="CZ232" s="499"/>
      <c r="DA232" s="499"/>
      <c r="DB232" s="499"/>
      <c r="DC232" s="499"/>
      <c r="DD232" s="499"/>
      <c r="DE232" s="499"/>
      <c r="DF232" s="499"/>
      <c r="DG232" s="499"/>
      <c r="DH232" s="499"/>
      <c r="DI232" s="499"/>
      <c r="DJ232" s="499"/>
      <c r="DK232" s="499"/>
      <c r="DL232" s="499"/>
      <c r="DM232" s="499"/>
      <c r="DN232" s="499"/>
      <c r="DO232" s="499"/>
      <c r="DP232" s="499"/>
      <c r="DQ232" s="499"/>
      <c r="DR232" s="499"/>
      <c r="DS232" s="499"/>
      <c r="DT232" s="499"/>
      <c r="DU232" s="499"/>
      <c r="DV232" s="499"/>
      <c r="DW232" s="499"/>
      <c r="DX232" s="499"/>
      <c r="DY232" s="499"/>
      <c r="DZ232" s="499"/>
      <c r="EA232" s="499"/>
      <c r="EB232" s="499"/>
    </row>
    <row r="233" spans="1:132">
      <c r="A233" s="196"/>
      <c r="B233" s="196"/>
      <c r="C233" s="196"/>
      <c r="D233" s="196"/>
      <c r="E233" s="196"/>
      <c r="F233" s="196"/>
      <c r="G233" s="499"/>
      <c r="H233" s="499"/>
      <c r="I233" s="499"/>
      <c r="J233" s="499"/>
      <c r="K233" s="499"/>
      <c r="L233" s="499"/>
      <c r="M233" s="499"/>
      <c r="N233" s="499"/>
      <c r="O233" s="499"/>
      <c r="P233" s="499"/>
      <c r="Q233" s="499"/>
      <c r="R233" s="499"/>
      <c r="S233" s="499"/>
      <c r="T233" s="499"/>
      <c r="U233" s="499"/>
      <c r="V233" s="499"/>
      <c r="W233" s="499"/>
      <c r="X233" s="499"/>
      <c r="Y233" s="499"/>
      <c r="Z233" s="499"/>
      <c r="AA233" s="499"/>
      <c r="AB233" s="499"/>
      <c r="AC233" s="499"/>
      <c r="AD233" s="499"/>
      <c r="AE233" s="499"/>
      <c r="AF233" s="499"/>
      <c r="AG233" s="499"/>
      <c r="AH233" s="499"/>
      <c r="AI233" s="499"/>
      <c r="AJ233" s="499"/>
      <c r="AK233" s="499"/>
      <c r="AL233" s="499"/>
      <c r="AM233" s="499"/>
      <c r="AN233" s="499"/>
      <c r="AO233" s="499"/>
      <c r="AP233" s="499"/>
      <c r="AQ233" s="499"/>
      <c r="AR233" s="499"/>
      <c r="AS233" s="499"/>
      <c r="AT233" s="499"/>
      <c r="AU233" s="499"/>
      <c r="AV233" s="499"/>
      <c r="AW233" s="499"/>
      <c r="AX233" s="499"/>
      <c r="AY233" s="499"/>
      <c r="AZ233" s="499"/>
      <c r="BA233" s="499"/>
      <c r="BB233" s="499"/>
      <c r="BC233" s="499"/>
      <c r="BD233" s="499"/>
      <c r="BE233" s="499"/>
      <c r="BF233" s="499"/>
      <c r="BG233" s="499"/>
      <c r="BH233" s="499"/>
      <c r="BI233" s="499"/>
      <c r="BJ233" s="499"/>
      <c r="BK233" s="499"/>
      <c r="BL233" s="499"/>
      <c r="BM233" s="499"/>
      <c r="BN233" s="499"/>
      <c r="BO233" s="499"/>
      <c r="BP233" s="499"/>
      <c r="BQ233" s="499"/>
      <c r="BR233" s="499"/>
      <c r="BS233" s="499"/>
      <c r="BT233" s="499"/>
      <c r="BU233" s="499"/>
      <c r="BV233" s="499"/>
      <c r="BW233" s="499"/>
      <c r="BX233" s="499"/>
      <c r="BY233" s="499"/>
      <c r="BZ233" s="499"/>
      <c r="CA233" s="499"/>
      <c r="CB233" s="499"/>
      <c r="CC233" s="499"/>
      <c r="CD233" s="499"/>
      <c r="CE233" s="499"/>
      <c r="CF233" s="499"/>
      <c r="CG233" s="499"/>
      <c r="CH233" s="499"/>
      <c r="CI233" s="499"/>
      <c r="CJ233" s="499"/>
      <c r="CK233" s="499"/>
      <c r="CL233" s="499"/>
      <c r="CM233" s="499"/>
      <c r="CN233" s="499"/>
      <c r="CO233" s="499"/>
      <c r="CP233" s="499"/>
      <c r="CQ233" s="499"/>
      <c r="CR233" s="499"/>
      <c r="CS233" s="499"/>
      <c r="CT233" s="499"/>
      <c r="CU233" s="499"/>
      <c r="CV233" s="499"/>
      <c r="CW233" s="499"/>
      <c r="CX233" s="499"/>
      <c r="CY233" s="499"/>
      <c r="CZ233" s="499"/>
      <c r="DA233" s="499"/>
      <c r="DB233" s="499"/>
      <c r="DC233" s="499"/>
      <c r="DD233" s="499"/>
      <c r="DE233" s="499"/>
      <c r="DF233" s="499"/>
      <c r="DG233" s="499"/>
      <c r="DH233" s="499"/>
      <c r="DI233" s="499"/>
      <c r="DJ233" s="499"/>
      <c r="DK233" s="499"/>
      <c r="DL233" s="499"/>
      <c r="DM233" s="499"/>
      <c r="DN233" s="499"/>
      <c r="DO233" s="499"/>
      <c r="DP233" s="499"/>
      <c r="DQ233" s="499"/>
      <c r="DR233" s="499"/>
      <c r="DS233" s="499"/>
      <c r="DT233" s="499"/>
      <c r="DU233" s="499"/>
      <c r="DV233" s="499"/>
      <c r="DW233" s="499"/>
      <c r="DX233" s="499"/>
      <c r="DY233" s="499"/>
      <c r="DZ233" s="499"/>
      <c r="EA233" s="499"/>
      <c r="EB233" s="499"/>
    </row>
    <row r="234" spans="1:132">
      <c r="A234" s="196"/>
      <c r="B234" s="196"/>
      <c r="C234" s="196"/>
      <c r="D234" s="196"/>
      <c r="E234" s="196"/>
      <c r="F234" s="196"/>
      <c r="G234" s="499"/>
      <c r="H234" s="499"/>
      <c r="I234" s="499"/>
      <c r="J234" s="499"/>
      <c r="K234" s="499"/>
      <c r="L234" s="499"/>
      <c r="M234" s="499"/>
      <c r="N234" s="499"/>
      <c r="O234" s="499"/>
      <c r="P234" s="499"/>
      <c r="Q234" s="499"/>
      <c r="R234" s="499"/>
      <c r="S234" s="499"/>
      <c r="T234" s="499"/>
      <c r="U234" s="499"/>
      <c r="V234" s="499"/>
      <c r="W234" s="499"/>
      <c r="X234" s="499"/>
      <c r="Y234" s="499"/>
      <c r="Z234" s="499"/>
      <c r="AA234" s="499"/>
      <c r="AB234" s="499"/>
      <c r="AC234" s="499"/>
      <c r="AD234" s="499"/>
      <c r="AE234" s="499"/>
      <c r="AF234" s="499"/>
      <c r="AG234" s="499"/>
      <c r="AH234" s="499"/>
      <c r="AI234" s="499"/>
      <c r="AJ234" s="499"/>
      <c r="AK234" s="499"/>
      <c r="AL234" s="499"/>
      <c r="AM234" s="499"/>
      <c r="AN234" s="499"/>
      <c r="AO234" s="499"/>
      <c r="AP234" s="499"/>
      <c r="AQ234" s="499"/>
      <c r="AR234" s="499"/>
      <c r="AS234" s="499"/>
      <c r="AT234" s="499"/>
      <c r="AU234" s="499"/>
      <c r="AV234" s="499"/>
      <c r="AW234" s="499"/>
      <c r="AX234" s="499"/>
      <c r="AY234" s="499"/>
      <c r="AZ234" s="499"/>
      <c r="BA234" s="499"/>
      <c r="BB234" s="499"/>
      <c r="BC234" s="499"/>
      <c r="BD234" s="499"/>
      <c r="BE234" s="499"/>
      <c r="BF234" s="499"/>
      <c r="BG234" s="499"/>
      <c r="BH234" s="499"/>
      <c r="BI234" s="499"/>
      <c r="BJ234" s="499"/>
      <c r="BK234" s="499"/>
      <c r="BL234" s="499"/>
      <c r="BM234" s="499"/>
      <c r="BN234" s="499"/>
      <c r="BO234" s="499"/>
      <c r="BP234" s="499"/>
      <c r="BQ234" s="499"/>
      <c r="BR234" s="499"/>
      <c r="BS234" s="499"/>
      <c r="BT234" s="499"/>
      <c r="BU234" s="499"/>
      <c r="BV234" s="499"/>
      <c r="BW234" s="499"/>
      <c r="BX234" s="499"/>
      <c r="BY234" s="499"/>
      <c r="BZ234" s="499"/>
      <c r="CA234" s="499"/>
      <c r="CB234" s="499"/>
      <c r="CC234" s="499"/>
      <c r="CD234" s="499"/>
      <c r="CE234" s="499"/>
      <c r="CF234" s="499"/>
      <c r="CG234" s="499"/>
      <c r="CH234" s="499"/>
      <c r="CI234" s="499"/>
      <c r="CJ234" s="499"/>
      <c r="CK234" s="499"/>
      <c r="CL234" s="499"/>
      <c r="CM234" s="499"/>
      <c r="CN234" s="499"/>
      <c r="CO234" s="499"/>
      <c r="CP234" s="499"/>
      <c r="CQ234" s="499"/>
      <c r="CR234" s="499"/>
      <c r="CS234" s="499"/>
      <c r="CT234" s="499"/>
      <c r="CU234" s="499"/>
      <c r="CV234" s="499"/>
      <c r="CW234" s="499"/>
      <c r="CX234" s="499"/>
      <c r="CY234" s="499"/>
      <c r="CZ234" s="499"/>
      <c r="DA234" s="499"/>
      <c r="DB234" s="499"/>
      <c r="DC234" s="499"/>
      <c r="DD234" s="499"/>
      <c r="DE234" s="499"/>
      <c r="DF234" s="499"/>
      <c r="DG234" s="499"/>
      <c r="DH234" s="499"/>
      <c r="DI234" s="499"/>
      <c r="DJ234" s="499"/>
      <c r="DK234" s="499"/>
      <c r="DL234" s="499"/>
      <c r="DM234" s="499"/>
      <c r="DN234" s="499"/>
      <c r="DO234" s="499"/>
      <c r="DP234" s="499"/>
      <c r="DQ234" s="499"/>
      <c r="DR234" s="499"/>
      <c r="DS234" s="499"/>
      <c r="DT234" s="499"/>
      <c r="DU234" s="499"/>
      <c r="DV234" s="499"/>
      <c r="DW234" s="499"/>
      <c r="DX234" s="499"/>
      <c r="DY234" s="499"/>
      <c r="DZ234" s="499"/>
      <c r="EA234" s="499"/>
      <c r="EB234" s="499"/>
    </row>
    <row r="235" spans="1:132">
      <c r="A235" s="196"/>
      <c r="B235" s="196"/>
      <c r="C235" s="196"/>
      <c r="D235" s="196"/>
      <c r="E235" s="196"/>
      <c r="F235" s="196"/>
      <c r="G235" s="499"/>
      <c r="H235" s="499"/>
      <c r="I235" s="499"/>
      <c r="J235" s="499"/>
      <c r="K235" s="499"/>
      <c r="L235" s="499"/>
      <c r="M235" s="499"/>
      <c r="N235" s="499"/>
      <c r="O235" s="499"/>
      <c r="P235" s="499"/>
      <c r="Q235" s="499"/>
      <c r="R235" s="499"/>
      <c r="S235" s="499"/>
      <c r="T235" s="499"/>
      <c r="U235" s="499"/>
      <c r="V235" s="499"/>
      <c r="W235" s="499"/>
      <c r="X235" s="499"/>
      <c r="Y235" s="499"/>
      <c r="Z235" s="499"/>
      <c r="AA235" s="499"/>
      <c r="AB235" s="499"/>
      <c r="AC235" s="499"/>
      <c r="AD235" s="499"/>
      <c r="AE235" s="499"/>
      <c r="AF235" s="499"/>
      <c r="AG235" s="499"/>
      <c r="AH235" s="499"/>
      <c r="AI235" s="499"/>
      <c r="AJ235" s="499"/>
      <c r="AK235" s="499"/>
      <c r="AL235" s="499"/>
      <c r="AM235" s="499"/>
      <c r="AN235" s="499"/>
      <c r="AO235" s="499"/>
      <c r="AP235" s="499"/>
      <c r="AQ235" s="499"/>
      <c r="AR235" s="499"/>
      <c r="AS235" s="499"/>
      <c r="AT235" s="499"/>
      <c r="AU235" s="499"/>
      <c r="AV235" s="499"/>
      <c r="AW235" s="499"/>
      <c r="AX235" s="499"/>
      <c r="AY235" s="499"/>
      <c r="AZ235" s="499"/>
      <c r="BA235" s="499"/>
      <c r="BB235" s="499"/>
      <c r="BC235" s="499"/>
      <c r="BD235" s="499"/>
      <c r="BE235" s="499"/>
      <c r="BF235" s="499"/>
      <c r="BG235" s="499"/>
      <c r="BH235" s="499"/>
      <c r="BI235" s="499"/>
      <c r="BJ235" s="499"/>
      <c r="BK235" s="499"/>
      <c r="BL235" s="499"/>
      <c r="BM235" s="499"/>
      <c r="BN235" s="499"/>
      <c r="BO235" s="499"/>
      <c r="BP235" s="499"/>
      <c r="BQ235" s="499"/>
      <c r="BR235" s="499"/>
      <c r="BS235" s="499"/>
      <c r="BT235" s="499"/>
      <c r="BU235" s="499"/>
      <c r="BV235" s="499"/>
      <c r="BW235" s="499"/>
      <c r="BX235" s="499"/>
      <c r="BY235" s="499"/>
      <c r="BZ235" s="499"/>
      <c r="CA235" s="499"/>
      <c r="CB235" s="499"/>
      <c r="CC235" s="499"/>
      <c r="CD235" s="499"/>
      <c r="CE235" s="499"/>
      <c r="CF235" s="499"/>
      <c r="CG235" s="499"/>
      <c r="CH235" s="499"/>
      <c r="CI235" s="499"/>
      <c r="CJ235" s="499"/>
      <c r="CK235" s="499"/>
      <c r="CL235" s="499"/>
      <c r="CM235" s="499"/>
      <c r="CN235" s="499"/>
      <c r="CO235" s="499"/>
      <c r="CP235" s="499"/>
      <c r="CQ235" s="499"/>
      <c r="CR235" s="499"/>
      <c r="CS235" s="499"/>
      <c r="CT235" s="499"/>
      <c r="CU235" s="499"/>
      <c r="CV235" s="499"/>
      <c r="CW235" s="499"/>
      <c r="CX235" s="499"/>
      <c r="CY235" s="499"/>
      <c r="CZ235" s="499"/>
      <c r="DA235" s="499"/>
      <c r="DB235" s="499"/>
      <c r="DC235" s="499"/>
      <c r="DD235" s="499"/>
      <c r="DE235" s="499"/>
      <c r="DF235" s="499"/>
      <c r="DG235" s="499"/>
      <c r="DH235" s="499"/>
      <c r="DI235" s="499"/>
      <c r="DJ235" s="499"/>
      <c r="DK235" s="499"/>
      <c r="DL235" s="499"/>
      <c r="DM235" s="499"/>
      <c r="DN235" s="499"/>
      <c r="DO235" s="499"/>
      <c r="DP235" s="499"/>
      <c r="DQ235" s="499"/>
      <c r="DR235" s="499"/>
      <c r="DS235" s="499"/>
      <c r="DT235" s="499"/>
      <c r="DU235" s="499"/>
      <c r="DV235" s="499"/>
      <c r="DW235" s="499"/>
      <c r="DX235" s="499"/>
      <c r="DY235" s="499"/>
      <c r="DZ235" s="499"/>
      <c r="EA235" s="499"/>
      <c r="EB235" s="499"/>
    </row>
    <row r="236" spans="1:132">
      <c r="A236" s="196"/>
      <c r="B236" s="196"/>
      <c r="C236" s="196"/>
      <c r="D236" s="196"/>
      <c r="E236" s="196"/>
      <c r="F236" s="196"/>
      <c r="G236" s="499"/>
      <c r="H236" s="499"/>
      <c r="I236" s="499"/>
      <c r="J236" s="499"/>
      <c r="K236" s="499"/>
      <c r="L236" s="499"/>
      <c r="M236" s="499"/>
      <c r="N236" s="499"/>
      <c r="O236" s="499"/>
      <c r="P236" s="499"/>
      <c r="Q236" s="499"/>
      <c r="R236" s="499"/>
      <c r="S236" s="499"/>
      <c r="T236" s="499"/>
      <c r="U236" s="499"/>
      <c r="V236" s="499"/>
      <c r="W236" s="499"/>
      <c r="X236" s="499"/>
      <c r="Y236" s="499"/>
      <c r="Z236" s="499"/>
      <c r="AA236" s="499"/>
      <c r="AB236" s="499"/>
      <c r="AC236" s="499"/>
      <c r="AD236" s="499"/>
      <c r="AE236" s="499"/>
      <c r="AF236" s="499"/>
      <c r="AG236" s="499"/>
      <c r="AH236" s="499"/>
      <c r="AI236" s="499"/>
      <c r="AJ236" s="499"/>
      <c r="AK236" s="499"/>
      <c r="AL236" s="499"/>
      <c r="AM236" s="499"/>
      <c r="AN236" s="499"/>
      <c r="AO236" s="499"/>
      <c r="AP236" s="499"/>
      <c r="AQ236" s="499"/>
      <c r="AR236" s="499"/>
      <c r="AS236" s="499"/>
      <c r="AT236" s="499"/>
      <c r="AU236" s="499"/>
      <c r="AV236" s="499"/>
      <c r="AW236" s="499"/>
      <c r="AX236" s="499"/>
      <c r="AY236" s="499"/>
      <c r="AZ236" s="499"/>
      <c r="BA236" s="499"/>
      <c r="BB236" s="499"/>
      <c r="BC236" s="499"/>
      <c r="BD236" s="499"/>
      <c r="BE236" s="499"/>
      <c r="BF236" s="499"/>
      <c r="BG236" s="499"/>
      <c r="BH236" s="499"/>
      <c r="BI236" s="499"/>
      <c r="BJ236" s="499"/>
      <c r="BK236" s="499"/>
      <c r="BL236" s="499"/>
      <c r="BM236" s="499"/>
      <c r="BN236" s="499"/>
      <c r="BO236" s="499"/>
      <c r="BP236" s="499"/>
      <c r="BQ236" s="499"/>
      <c r="BR236" s="499"/>
      <c r="BS236" s="499"/>
      <c r="BT236" s="499"/>
      <c r="BU236" s="499"/>
      <c r="BV236" s="499"/>
      <c r="BW236" s="499"/>
      <c r="BX236" s="499"/>
      <c r="BY236" s="499"/>
      <c r="BZ236" s="499"/>
      <c r="CA236" s="499"/>
      <c r="CB236" s="499"/>
      <c r="CC236" s="499"/>
      <c r="CD236" s="499"/>
      <c r="CE236" s="499"/>
      <c r="CF236" s="499"/>
      <c r="CG236" s="499"/>
      <c r="CH236" s="499"/>
      <c r="CI236" s="499"/>
      <c r="CJ236" s="499"/>
      <c r="CK236" s="499"/>
      <c r="CL236" s="499"/>
      <c r="CM236" s="499"/>
      <c r="CN236" s="499"/>
      <c r="CO236" s="499"/>
      <c r="CP236" s="499"/>
      <c r="CQ236" s="499"/>
      <c r="CR236" s="499"/>
      <c r="CS236" s="499"/>
      <c r="CT236" s="499"/>
      <c r="CU236" s="499"/>
      <c r="CV236" s="499"/>
      <c r="CW236" s="499"/>
      <c r="CX236" s="499"/>
      <c r="CY236" s="499"/>
      <c r="CZ236" s="499"/>
      <c r="DA236" s="499"/>
      <c r="DB236" s="499"/>
      <c r="DC236" s="499"/>
      <c r="DD236" s="499"/>
      <c r="DE236" s="499"/>
      <c r="DF236" s="499"/>
      <c r="DG236" s="499"/>
      <c r="DH236" s="499"/>
      <c r="DI236" s="499"/>
      <c r="DJ236" s="499"/>
      <c r="DK236" s="499"/>
      <c r="DL236" s="499"/>
      <c r="DM236" s="499"/>
      <c r="DN236" s="499"/>
      <c r="DO236" s="499"/>
      <c r="DP236" s="499"/>
      <c r="DQ236" s="499"/>
      <c r="DR236" s="499"/>
      <c r="DS236" s="499"/>
      <c r="DT236" s="499"/>
      <c r="DU236" s="499"/>
      <c r="DV236" s="499"/>
      <c r="DW236" s="499"/>
      <c r="DX236" s="499"/>
      <c r="DY236" s="499"/>
      <c r="DZ236" s="499"/>
      <c r="EA236" s="499"/>
      <c r="EB236" s="499"/>
    </row>
    <row r="237" spans="1:132">
      <c r="A237" s="196"/>
      <c r="B237" s="196"/>
      <c r="C237" s="196"/>
      <c r="D237" s="196"/>
      <c r="E237" s="196"/>
      <c r="F237" s="196"/>
      <c r="G237" s="499"/>
      <c r="H237" s="499"/>
      <c r="I237" s="499"/>
      <c r="J237" s="499"/>
      <c r="K237" s="499"/>
      <c r="L237" s="499"/>
      <c r="M237" s="499"/>
      <c r="N237" s="499"/>
      <c r="O237" s="499"/>
      <c r="P237" s="499"/>
      <c r="Q237" s="499"/>
      <c r="R237" s="499"/>
      <c r="S237" s="499"/>
      <c r="T237" s="499"/>
      <c r="U237" s="499"/>
      <c r="V237" s="499"/>
      <c r="W237" s="499"/>
      <c r="X237" s="499"/>
      <c r="Y237" s="499"/>
      <c r="Z237" s="499"/>
      <c r="AA237" s="499"/>
      <c r="AB237" s="499"/>
      <c r="AC237" s="499"/>
      <c r="AD237" s="499"/>
      <c r="AE237" s="499"/>
      <c r="AF237" s="499"/>
      <c r="AG237" s="499"/>
      <c r="AH237" s="499"/>
      <c r="AI237" s="499"/>
      <c r="AJ237" s="499"/>
      <c r="AK237" s="499"/>
      <c r="AL237" s="499"/>
      <c r="AM237" s="499"/>
      <c r="AN237" s="499"/>
      <c r="AO237" s="499"/>
      <c r="AP237" s="499"/>
      <c r="AQ237" s="499"/>
      <c r="AR237" s="499"/>
      <c r="AS237" s="499"/>
      <c r="AT237" s="499"/>
      <c r="AU237" s="499"/>
      <c r="AV237" s="499"/>
      <c r="AW237" s="499"/>
      <c r="AX237" s="499"/>
      <c r="AY237" s="499"/>
      <c r="AZ237" s="499"/>
      <c r="BA237" s="499"/>
      <c r="BB237" s="499"/>
      <c r="BC237" s="499"/>
      <c r="BD237" s="499"/>
      <c r="BE237" s="499"/>
      <c r="BF237" s="499"/>
      <c r="BG237" s="499"/>
      <c r="BH237" s="499"/>
      <c r="BI237" s="499"/>
      <c r="BJ237" s="499"/>
      <c r="BK237" s="499"/>
      <c r="BL237" s="499"/>
      <c r="BM237" s="499"/>
      <c r="BN237" s="499"/>
      <c r="BO237" s="499"/>
      <c r="BP237" s="499"/>
      <c r="BQ237" s="499"/>
      <c r="BR237" s="499"/>
      <c r="BS237" s="499"/>
      <c r="BT237" s="499"/>
      <c r="BU237" s="499"/>
      <c r="BV237" s="499"/>
      <c r="BW237" s="499"/>
      <c r="BX237" s="499"/>
      <c r="BY237" s="499"/>
      <c r="BZ237" s="499"/>
      <c r="CA237" s="499"/>
      <c r="CB237" s="499"/>
      <c r="CC237" s="499"/>
      <c r="CD237" s="499"/>
      <c r="CE237" s="499"/>
      <c r="CF237" s="499"/>
      <c r="CG237" s="499"/>
      <c r="CH237" s="499"/>
      <c r="CI237" s="499"/>
      <c r="CJ237" s="499"/>
      <c r="CK237" s="499"/>
      <c r="CL237" s="499"/>
      <c r="CM237" s="499"/>
      <c r="CN237" s="499"/>
      <c r="CO237" s="499"/>
      <c r="CP237" s="499"/>
      <c r="CQ237" s="499"/>
      <c r="CR237" s="499"/>
      <c r="CS237" s="499"/>
      <c r="CT237" s="499"/>
      <c r="CU237" s="499"/>
      <c r="CV237" s="499"/>
      <c r="CW237" s="499"/>
      <c r="CX237" s="499"/>
      <c r="CY237" s="499"/>
      <c r="CZ237" s="499"/>
      <c r="DA237" s="499"/>
      <c r="DB237" s="499"/>
      <c r="DC237" s="499"/>
      <c r="DD237" s="499"/>
      <c r="DE237" s="499"/>
      <c r="DF237" s="499"/>
      <c r="DG237" s="499"/>
      <c r="DH237" s="499"/>
      <c r="DI237" s="499"/>
      <c r="DJ237" s="499"/>
      <c r="DK237" s="499"/>
      <c r="DL237" s="499"/>
      <c r="DM237" s="499"/>
      <c r="DN237" s="499"/>
      <c r="DO237" s="499"/>
      <c r="DP237" s="499"/>
      <c r="DQ237" s="499"/>
      <c r="DR237" s="499"/>
      <c r="DS237" s="499"/>
      <c r="DT237" s="499"/>
      <c r="DU237" s="499"/>
      <c r="DV237" s="499"/>
      <c r="DW237" s="499"/>
      <c r="DX237" s="499"/>
      <c r="DY237" s="499"/>
      <c r="DZ237" s="499"/>
      <c r="EA237" s="499"/>
      <c r="EB237" s="499"/>
    </row>
    <row r="238" spans="1:132">
      <c r="A238" s="196"/>
      <c r="B238" s="196"/>
      <c r="C238" s="196"/>
      <c r="D238" s="196"/>
      <c r="E238" s="196"/>
      <c r="F238" s="196"/>
      <c r="G238" s="499"/>
      <c r="H238" s="499"/>
      <c r="I238" s="499"/>
      <c r="J238" s="499"/>
      <c r="K238" s="499"/>
      <c r="L238" s="499"/>
      <c r="M238" s="499"/>
      <c r="N238" s="499"/>
      <c r="O238" s="499"/>
      <c r="P238" s="499"/>
      <c r="Q238" s="499"/>
      <c r="R238" s="499"/>
      <c r="S238" s="499"/>
      <c r="T238" s="499"/>
      <c r="U238" s="499"/>
      <c r="V238" s="499"/>
      <c r="W238" s="499"/>
      <c r="X238" s="499"/>
      <c r="Y238" s="499"/>
      <c r="Z238" s="499"/>
      <c r="AA238" s="499"/>
      <c r="AB238" s="499"/>
      <c r="AC238" s="499"/>
      <c r="AD238" s="499"/>
      <c r="AE238" s="499"/>
      <c r="AF238" s="499"/>
      <c r="AG238" s="499"/>
      <c r="AH238" s="499"/>
      <c r="AI238" s="499"/>
      <c r="AJ238" s="499"/>
      <c r="AK238" s="499"/>
      <c r="AL238" s="499"/>
      <c r="AM238" s="499"/>
      <c r="AN238" s="499"/>
      <c r="AO238" s="499"/>
      <c r="AP238" s="499"/>
      <c r="AQ238" s="499"/>
      <c r="AR238" s="499"/>
      <c r="AS238" s="499"/>
      <c r="AT238" s="499"/>
      <c r="AU238" s="499"/>
      <c r="AV238" s="499"/>
      <c r="AW238" s="499"/>
      <c r="AX238" s="499"/>
      <c r="AY238" s="499"/>
      <c r="AZ238" s="499"/>
      <c r="BA238" s="499"/>
      <c r="BB238" s="499"/>
      <c r="BC238" s="499"/>
      <c r="BD238" s="499"/>
      <c r="BE238" s="499"/>
      <c r="BF238" s="499"/>
      <c r="BG238" s="499"/>
      <c r="BH238" s="499"/>
      <c r="BI238" s="499"/>
      <c r="BJ238" s="499"/>
      <c r="BK238" s="499"/>
      <c r="BL238" s="499"/>
      <c r="BM238" s="499"/>
      <c r="BN238" s="499"/>
      <c r="BO238" s="499"/>
      <c r="BP238" s="499"/>
      <c r="BQ238" s="499"/>
      <c r="BR238" s="499"/>
      <c r="BS238" s="499"/>
      <c r="BT238" s="499"/>
      <c r="BU238" s="499"/>
      <c r="BV238" s="499"/>
      <c r="BW238" s="499"/>
      <c r="BX238" s="499"/>
      <c r="BY238" s="499"/>
      <c r="BZ238" s="499"/>
      <c r="CA238" s="499"/>
      <c r="CB238" s="499"/>
      <c r="CC238" s="499"/>
      <c r="CD238" s="499"/>
      <c r="CE238" s="499"/>
      <c r="CF238" s="499"/>
      <c r="CG238" s="499"/>
      <c r="CH238" s="499"/>
      <c r="CI238" s="499"/>
      <c r="CJ238" s="499"/>
      <c r="CK238" s="499"/>
      <c r="CL238" s="499"/>
      <c r="CM238" s="499"/>
      <c r="CN238" s="499"/>
      <c r="CO238" s="499"/>
      <c r="CP238" s="499"/>
      <c r="CQ238" s="499"/>
      <c r="CR238" s="499"/>
      <c r="CS238" s="499"/>
      <c r="CT238" s="499"/>
      <c r="CU238" s="499"/>
      <c r="CV238" s="499"/>
      <c r="CW238" s="499"/>
      <c r="CX238" s="499"/>
      <c r="CY238" s="499"/>
      <c r="CZ238" s="499"/>
      <c r="DA238" s="499"/>
      <c r="DB238" s="499"/>
      <c r="DC238" s="499"/>
      <c r="DD238" s="499"/>
      <c r="DE238" s="499"/>
      <c r="DF238" s="499"/>
      <c r="DG238" s="499"/>
      <c r="DH238" s="499"/>
      <c r="DI238" s="499"/>
      <c r="DJ238" s="499"/>
      <c r="DK238" s="499"/>
      <c r="DL238" s="499"/>
      <c r="DM238" s="499"/>
      <c r="DN238" s="499"/>
      <c r="DO238" s="499"/>
      <c r="DP238" s="499"/>
      <c r="DQ238" s="499"/>
      <c r="DR238" s="499"/>
      <c r="DS238" s="499"/>
      <c r="DT238" s="499"/>
      <c r="DU238" s="499"/>
      <c r="DV238" s="499"/>
      <c r="DW238" s="499"/>
      <c r="DX238" s="499"/>
      <c r="DY238" s="499"/>
      <c r="DZ238" s="499"/>
      <c r="EA238" s="499"/>
      <c r="EB238" s="499"/>
    </row>
    <row r="239" spans="1:132">
      <c r="A239" s="196"/>
      <c r="B239" s="196"/>
      <c r="C239" s="196"/>
      <c r="D239" s="196"/>
      <c r="E239" s="196"/>
      <c r="F239" s="196"/>
      <c r="G239" s="499"/>
      <c r="H239" s="499"/>
      <c r="I239" s="499"/>
      <c r="J239" s="499"/>
      <c r="K239" s="499"/>
      <c r="L239" s="499"/>
      <c r="M239" s="499"/>
      <c r="N239" s="499"/>
      <c r="O239" s="499"/>
      <c r="P239" s="499"/>
      <c r="Q239" s="499"/>
      <c r="R239" s="499"/>
      <c r="S239" s="499"/>
      <c r="T239" s="499"/>
      <c r="U239" s="499"/>
      <c r="V239" s="499"/>
      <c r="W239" s="499"/>
      <c r="X239" s="499"/>
      <c r="Y239" s="499"/>
      <c r="Z239" s="499"/>
      <c r="AA239" s="499"/>
      <c r="AB239" s="499"/>
      <c r="AC239" s="499"/>
      <c r="AD239" s="499"/>
      <c r="AE239" s="499"/>
      <c r="AF239" s="499"/>
      <c r="AG239" s="499"/>
      <c r="AH239" s="499"/>
      <c r="AI239" s="499"/>
      <c r="AJ239" s="499"/>
      <c r="AK239" s="499"/>
      <c r="AL239" s="499"/>
      <c r="AM239" s="499"/>
      <c r="AN239" s="499"/>
      <c r="AO239" s="499"/>
      <c r="AP239" s="499"/>
      <c r="AQ239" s="499"/>
      <c r="AR239" s="499"/>
      <c r="AS239" s="499"/>
      <c r="AT239" s="499"/>
      <c r="AU239" s="499"/>
      <c r="AV239" s="499"/>
      <c r="AW239" s="499"/>
      <c r="AX239" s="499"/>
      <c r="AY239" s="499"/>
      <c r="AZ239" s="499"/>
      <c r="BA239" s="499"/>
      <c r="BB239" s="499"/>
      <c r="BC239" s="499"/>
      <c r="BD239" s="499"/>
      <c r="BE239" s="499"/>
      <c r="BF239" s="499"/>
      <c r="BG239" s="499"/>
      <c r="BH239" s="499"/>
      <c r="BI239" s="499"/>
      <c r="BJ239" s="499"/>
      <c r="BK239" s="499"/>
      <c r="BL239" s="499"/>
      <c r="BM239" s="499"/>
      <c r="BN239" s="499"/>
      <c r="BO239" s="499"/>
      <c r="BP239" s="499"/>
      <c r="BQ239" s="499"/>
      <c r="BR239" s="499"/>
      <c r="BS239" s="499"/>
      <c r="BT239" s="499"/>
      <c r="BU239" s="499"/>
      <c r="BV239" s="499"/>
      <c r="BW239" s="499"/>
      <c r="BX239" s="499"/>
      <c r="BY239" s="499"/>
      <c r="BZ239" s="499"/>
      <c r="CA239" s="499"/>
      <c r="CB239" s="499"/>
      <c r="CC239" s="499"/>
      <c r="CD239" s="499"/>
      <c r="CE239" s="499"/>
      <c r="CF239" s="499"/>
      <c r="CG239" s="499"/>
      <c r="CH239" s="499"/>
      <c r="CI239" s="499"/>
      <c r="CJ239" s="499"/>
      <c r="CK239" s="499"/>
      <c r="CL239" s="499"/>
      <c r="CM239" s="499"/>
      <c r="CN239" s="499"/>
      <c r="CO239" s="499"/>
      <c r="CP239" s="499"/>
      <c r="CQ239" s="499"/>
      <c r="CR239" s="499"/>
      <c r="CS239" s="499"/>
      <c r="CT239" s="499"/>
      <c r="CU239" s="499"/>
      <c r="CV239" s="499"/>
      <c r="CW239" s="499"/>
      <c r="CX239" s="499"/>
      <c r="CY239" s="499"/>
      <c r="CZ239" s="499"/>
      <c r="DA239" s="499"/>
      <c r="DB239" s="499"/>
      <c r="DC239" s="499"/>
      <c r="DD239" s="499"/>
      <c r="DE239" s="499"/>
      <c r="DF239" s="499"/>
      <c r="DG239" s="499"/>
      <c r="DH239" s="499"/>
      <c r="DI239" s="499"/>
      <c r="DJ239" s="499"/>
      <c r="DK239" s="499"/>
      <c r="DL239" s="499"/>
      <c r="DM239" s="499"/>
      <c r="DN239" s="499"/>
      <c r="DO239" s="499"/>
      <c r="DP239" s="499"/>
      <c r="DQ239" s="499"/>
      <c r="DR239" s="499"/>
      <c r="DS239" s="499"/>
      <c r="DT239" s="499"/>
      <c r="DU239" s="499"/>
      <c r="DV239" s="499"/>
      <c r="DW239" s="499"/>
      <c r="DX239" s="499"/>
      <c r="DY239" s="499"/>
      <c r="DZ239" s="499"/>
      <c r="EA239" s="499"/>
      <c r="EB239" s="499"/>
    </row>
    <row r="240" spans="1:132">
      <c r="A240" s="196"/>
      <c r="B240" s="196"/>
      <c r="C240" s="196"/>
      <c r="D240" s="196"/>
      <c r="E240" s="196"/>
      <c r="F240" s="196"/>
      <c r="G240" s="499"/>
      <c r="H240" s="499"/>
      <c r="I240" s="499"/>
      <c r="J240" s="499"/>
      <c r="K240" s="499"/>
      <c r="L240" s="499"/>
      <c r="M240" s="499"/>
      <c r="N240" s="499"/>
      <c r="O240" s="499"/>
      <c r="P240" s="499"/>
      <c r="Q240" s="499"/>
      <c r="R240" s="499"/>
      <c r="S240" s="499"/>
      <c r="T240" s="499"/>
      <c r="U240" s="499"/>
      <c r="V240" s="499"/>
      <c r="W240" s="499"/>
      <c r="X240" s="499"/>
      <c r="Y240" s="499"/>
      <c r="Z240" s="499"/>
      <c r="AA240" s="499"/>
      <c r="AB240" s="499"/>
      <c r="AC240" s="499"/>
      <c r="AD240" s="499"/>
      <c r="AE240" s="499"/>
      <c r="AF240" s="499"/>
      <c r="AG240" s="499"/>
      <c r="AH240" s="499"/>
      <c r="AI240" s="499"/>
      <c r="AJ240" s="499"/>
      <c r="AK240" s="499"/>
      <c r="AL240" s="499"/>
      <c r="AM240" s="499"/>
      <c r="AN240" s="499"/>
      <c r="AO240" s="499"/>
      <c r="AP240" s="499"/>
      <c r="AQ240" s="499"/>
      <c r="AR240" s="499"/>
      <c r="AS240" s="499"/>
      <c r="AT240" s="499"/>
      <c r="AU240" s="499"/>
      <c r="AV240" s="499"/>
      <c r="AW240" s="499"/>
      <c r="AX240" s="499"/>
      <c r="AY240" s="499"/>
      <c r="AZ240" s="499"/>
      <c r="BA240" s="499"/>
      <c r="BB240" s="499"/>
      <c r="BC240" s="499"/>
      <c r="BD240" s="499"/>
      <c r="BE240" s="499"/>
      <c r="BF240" s="499"/>
      <c r="BG240" s="499"/>
      <c r="BH240" s="499"/>
      <c r="BI240" s="499"/>
      <c r="BJ240" s="499"/>
      <c r="BK240" s="499"/>
      <c r="BL240" s="499"/>
      <c r="BM240" s="499"/>
      <c r="BN240" s="499"/>
      <c r="BO240" s="499"/>
      <c r="BP240" s="499"/>
      <c r="BQ240" s="499"/>
      <c r="BR240" s="499"/>
      <c r="BS240" s="499"/>
      <c r="BT240" s="499"/>
      <c r="BU240" s="499"/>
      <c r="BV240" s="499"/>
      <c r="BW240" s="499"/>
      <c r="BX240" s="499"/>
      <c r="BY240" s="499"/>
      <c r="BZ240" s="499"/>
      <c r="CA240" s="499"/>
      <c r="CB240" s="499"/>
      <c r="CC240" s="499"/>
      <c r="CD240" s="499"/>
      <c r="CE240" s="499"/>
      <c r="CF240" s="499"/>
      <c r="CG240" s="499"/>
      <c r="CH240" s="499"/>
      <c r="CI240" s="499"/>
      <c r="CJ240" s="499"/>
      <c r="CK240" s="499"/>
      <c r="CL240" s="499"/>
      <c r="CM240" s="499"/>
      <c r="CN240" s="499"/>
      <c r="CO240" s="499"/>
      <c r="CP240" s="499"/>
      <c r="CQ240" s="499"/>
      <c r="CR240" s="499"/>
      <c r="CS240" s="499"/>
      <c r="CT240" s="499"/>
      <c r="CU240" s="499"/>
      <c r="CV240" s="499"/>
      <c r="CW240" s="499"/>
      <c r="CX240" s="499"/>
      <c r="CY240" s="499"/>
      <c r="CZ240" s="499"/>
      <c r="DA240" s="499"/>
      <c r="DB240" s="499"/>
      <c r="DC240" s="499"/>
      <c r="DD240" s="499"/>
      <c r="DE240" s="499"/>
      <c r="DF240" s="499"/>
      <c r="DG240" s="499"/>
      <c r="DH240" s="499"/>
      <c r="DI240" s="499"/>
      <c r="DJ240" s="499"/>
      <c r="DK240" s="499"/>
      <c r="DL240" s="499"/>
      <c r="DM240" s="499"/>
      <c r="DN240" s="499"/>
      <c r="DO240" s="499"/>
      <c r="DP240" s="499"/>
      <c r="DQ240" s="499"/>
      <c r="DR240" s="499"/>
      <c r="DS240" s="499"/>
      <c r="DT240" s="499"/>
      <c r="DU240" s="499"/>
      <c r="DV240" s="499"/>
      <c r="DW240" s="499"/>
      <c r="DX240" s="499"/>
      <c r="DY240" s="499"/>
      <c r="DZ240" s="499"/>
      <c r="EA240" s="499"/>
      <c r="EB240" s="499"/>
    </row>
    <row r="241" spans="1:132">
      <c r="A241" s="196"/>
      <c r="B241" s="196"/>
      <c r="C241" s="196"/>
      <c r="D241" s="196"/>
      <c r="E241" s="196"/>
      <c r="F241" s="196"/>
      <c r="G241" s="499"/>
      <c r="H241" s="499"/>
      <c r="I241" s="499"/>
      <c r="J241" s="499"/>
      <c r="K241" s="499"/>
      <c r="L241" s="499"/>
      <c r="M241" s="499"/>
      <c r="N241" s="499"/>
      <c r="O241" s="499"/>
      <c r="P241" s="499"/>
      <c r="Q241" s="499"/>
      <c r="R241" s="499"/>
      <c r="S241" s="499"/>
      <c r="T241" s="499"/>
      <c r="U241" s="499"/>
      <c r="V241" s="499"/>
      <c r="W241" s="499"/>
      <c r="X241" s="499"/>
      <c r="Y241" s="499"/>
      <c r="Z241" s="499"/>
      <c r="AA241" s="499"/>
      <c r="AB241" s="499"/>
      <c r="AC241" s="499"/>
      <c r="AD241" s="499"/>
      <c r="AE241" s="499"/>
      <c r="AF241" s="499"/>
      <c r="AG241" s="499"/>
      <c r="AH241" s="499"/>
      <c r="AI241" s="499"/>
      <c r="AJ241" s="499"/>
      <c r="AK241" s="499"/>
      <c r="AL241" s="499"/>
      <c r="AM241" s="499"/>
      <c r="AN241" s="499"/>
      <c r="AO241" s="499"/>
      <c r="AP241" s="499"/>
      <c r="AQ241" s="499"/>
      <c r="AR241" s="499"/>
      <c r="AS241" s="499"/>
      <c r="AT241" s="499"/>
      <c r="AU241" s="499"/>
      <c r="AV241" s="499"/>
      <c r="AW241" s="499"/>
      <c r="AX241" s="499"/>
      <c r="AY241" s="499"/>
      <c r="AZ241" s="499"/>
      <c r="BA241" s="499"/>
      <c r="BB241" s="499"/>
      <c r="BC241" s="499"/>
      <c r="BD241" s="499"/>
      <c r="BE241" s="499"/>
      <c r="BF241" s="499"/>
      <c r="BG241" s="499"/>
      <c r="BH241" s="499"/>
      <c r="BI241" s="499"/>
      <c r="BJ241" s="499"/>
      <c r="BK241" s="499"/>
      <c r="BL241" s="499"/>
      <c r="BM241" s="499"/>
      <c r="BN241" s="499"/>
      <c r="BO241" s="499"/>
      <c r="BP241" s="499"/>
      <c r="BQ241" s="499"/>
      <c r="BR241" s="499"/>
      <c r="BS241" s="499"/>
      <c r="BT241" s="499"/>
      <c r="BU241" s="499"/>
      <c r="BV241" s="499"/>
      <c r="BW241" s="499"/>
      <c r="BX241" s="499"/>
      <c r="BY241" s="499"/>
      <c r="BZ241" s="499"/>
      <c r="CA241" s="499"/>
      <c r="CB241" s="499"/>
      <c r="CC241" s="499"/>
      <c r="CD241" s="499"/>
      <c r="CE241" s="499"/>
      <c r="CF241" s="499"/>
      <c r="CG241" s="499"/>
      <c r="CH241" s="499"/>
      <c r="CI241" s="499"/>
      <c r="CJ241" s="499"/>
      <c r="CK241" s="499"/>
      <c r="CL241" s="499"/>
      <c r="CM241" s="499"/>
      <c r="CN241" s="499"/>
      <c r="CO241" s="499"/>
      <c r="CP241" s="499"/>
      <c r="CQ241" s="499"/>
      <c r="CR241" s="499"/>
      <c r="CS241" s="499"/>
      <c r="CT241" s="499"/>
      <c r="CU241" s="499"/>
      <c r="CV241" s="499"/>
      <c r="CW241" s="499"/>
      <c r="CX241" s="499"/>
      <c r="CY241" s="499"/>
      <c r="CZ241" s="499"/>
      <c r="DA241" s="499"/>
      <c r="DB241" s="499"/>
      <c r="DC241" s="499"/>
      <c r="DD241" s="499"/>
      <c r="DE241" s="499"/>
      <c r="DF241" s="499"/>
      <c r="DG241" s="499"/>
      <c r="DH241" s="499"/>
      <c r="DI241" s="499"/>
      <c r="DJ241" s="499"/>
      <c r="DK241" s="499"/>
      <c r="DL241" s="499"/>
      <c r="DM241" s="499"/>
      <c r="DN241" s="499"/>
      <c r="DO241" s="499"/>
      <c r="DP241" s="499"/>
      <c r="DQ241" s="499"/>
      <c r="DR241" s="499"/>
      <c r="DS241" s="499"/>
      <c r="DT241" s="499"/>
      <c r="DU241" s="499"/>
      <c r="DV241" s="499"/>
      <c r="DW241" s="499"/>
      <c r="DX241" s="499"/>
      <c r="DY241" s="499"/>
      <c r="DZ241" s="499"/>
      <c r="EA241" s="499"/>
      <c r="EB241" s="499"/>
    </row>
    <row r="242" spans="1:132">
      <c r="A242" s="196"/>
      <c r="B242" s="196"/>
      <c r="C242" s="196"/>
      <c r="D242" s="196"/>
      <c r="E242" s="196"/>
      <c r="F242" s="196"/>
      <c r="G242" s="499"/>
      <c r="H242" s="499"/>
      <c r="I242" s="499"/>
      <c r="J242" s="499"/>
      <c r="K242" s="499"/>
      <c r="L242" s="499"/>
      <c r="M242" s="499"/>
      <c r="N242" s="499"/>
      <c r="O242" s="499"/>
      <c r="P242" s="499"/>
      <c r="Q242" s="499"/>
      <c r="R242" s="499"/>
      <c r="S242" s="499"/>
      <c r="T242" s="499"/>
      <c r="U242" s="499"/>
      <c r="V242" s="499"/>
      <c r="W242" s="499"/>
      <c r="X242" s="499"/>
      <c r="Y242" s="499"/>
      <c r="Z242" s="499"/>
      <c r="AA242" s="499"/>
      <c r="AB242" s="499"/>
      <c r="AC242" s="499"/>
      <c r="AD242" s="499"/>
      <c r="AE242" s="499"/>
      <c r="AF242" s="499"/>
      <c r="AG242" s="499"/>
      <c r="AH242" s="499"/>
      <c r="AI242" s="499"/>
      <c r="AJ242" s="499"/>
      <c r="AK242" s="499"/>
      <c r="AL242" s="499"/>
      <c r="AM242" s="499"/>
      <c r="AN242" s="499"/>
      <c r="AO242" s="499"/>
      <c r="AP242" s="499"/>
      <c r="AQ242" s="499"/>
      <c r="AR242" s="499"/>
      <c r="AS242" s="499"/>
      <c r="AT242" s="499"/>
      <c r="AU242" s="499"/>
      <c r="AV242" s="499"/>
      <c r="AW242" s="499"/>
      <c r="AX242" s="499"/>
      <c r="AY242" s="499"/>
      <c r="AZ242" s="499"/>
      <c r="BA242" s="499"/>
      <c r="BB242" s="499"/>
      <c r="BC242" s="499"/>
      <c r="BD242" s="499"/>
      <c r="BE242" s="499"/>
      <c r="BF242" s="499"/>
      <c r="BG242" s="499"/>
      <c r="BH242" s="499"/>
      <c r="BI242" s="499"/>
      <c r="BJ242" s="499"/>
      <c r="BK242" s="499"/>
      <c r="BL242" s="499"/>
      <c r="BM242" s="499"/>
      <c r="BN242" s="499"/>
      <c r="BO242" s="499"/>
      <c r="BP242" s="499"/>
      <c r="BQ242" s="499"/>
      <c r="BR242" s="499"/>
      <c r="BS242" s="499"/>
      <c r="BT242" s="499"/>
      <c r="BU242" s="499"/>
      <c r="BV242" s="499"/>
      <c r="BW242" s="499"/>
      <c r="BX242" s="499"/>
      <c r="BY242" s="499"/>
      <c r="BZ242" s="499"/>
      <c r="CA242" s="499"/>
      <c r="CB242" s="499"/>
      <c r="CC242" s="499"/>
      <c r="CD242" s="499"/>
      <c r="CE242" s="499"/>
      <c r="CF242" s="499"/>
      <c r="CG242" s="499"/>
      <c r="CH242" s="499"/>
      <c r="CI242" s="499"/>
      <c r="CJ242" s="499"/>
      <c r="CK242" s="499"/>
      <c r="CL242" s="499"/>
      <c r="CM242" s="499"/>
      <c r="CN242" s="499"/>
      <c r="CO242" s="499"/>
      <c r="CP242" s="499"/>
      <c r="CQ242" s="499"/>
      <c r="CR242" s="499"/>
      <c r="CS242" s="499"/>
      <c r="CT242" s="499"/>
      <c r="CU242" s="499"/>
      <c r="CV242" s="499"/>
      <c r="CW242" s="499"/>
      <c r="CX242" s="499"/>
      <c r="CY242" s="499"/>
      <c r="CZ242" s="499"/>
      <c r="DA242" s="499"/>
      <c r="DB242" s="499"/>
      <c r="DC242" s="499"/>
      <c r="DD242" s="499"/>
      <c r="DE242" s="499"/>
      <c r="DF242" s="499"/>
      <c r="DG242" s="499"/>
      <c r="DH242" s="499"/>
      <c r="DI242" s="499"/>
      <c r="DJ242" s="499"/>
      <c r="DK242" s="499"/>
      <c r="DL242" s="499"/>
      <c r="DM242" s="499"/>
      <c r="DN242" s="499"/>
      <c r="DO242" s="499"/>
      <c r="DP242" s="499"/>
      <c r="DQ242" s="499"/>
      <c r="DR242" s="499"/>
      <c r="DS242" s="499"/>
      <c r="DT242" s="499"/>
      <c r="DU242" s="499"/>
      <c r="DV242" s="499"/>
      <c r="DW242" s="499"/>
      <c r="DX242" s="499"/>
      <c r="DY242" s="499"/>
      <c r="DZ242" s="499"/>
      <c r="EA242" s="499"/>
      <c r="EB242" s="499"/>
    </row>
    <row r="243" spans="1:132">
      <c r="A243" s="196"/>
      <c r="B243" s="196"/>
      <c r="C243" s="196"/>
      <c r="D243" s="196"/>
      <c r="E243" s="196"/>
      <c r="F243" s="196"/>
      <c r="G243" s="499"/>
      <c r="H243" s="499"/>
      <c r="I243" s="499"/>
      <c r="J243" s="499"/>
      <c r="K243" s="499"/>
      <c r="L243" s="499"/>
      <c r="M243" s="499"/>
      <c r="N243" s="499"/>
      <c r="O243" s="499"/>
      <c r="P243" s="499"/>
      <c r="Q243" s="499"/>
      <c r="R243" s="499"/>
      <c r="S243" s="499"/>
      <c r="T243" s="499"/>
      <c r="U243" s="499"/>
      <c r="V243" s="499"/>
      <c r="W243" s="499"/>
      <c r="X243" s="499"/>
      <c r="Y243" s="499"/>
      <c r="Z243" s="499"/>
      <c r="AA243" s="499"/>
      <c r="AB243" s="499"/>
      <c r="AC243" s="499"/>
      <c r="AD243" s="499"/>
      <c r="AE243" s="499"/>
      <c r="AF243" s="499"/>
      <c r="AG243" s="499"/>
      <c r="AH243" s="499"/>
      <c r="AI243" s="499"/>
      <c r="AJ243" s="499"/>
      <c r="AK243" s="499"/>
      <c r="AL243" s="499"/>
      <c r="AM243" s="499"/>
      <c r="AN243" s="499"/>
      <c r="AO243" s="499"/>
      <c r="AP243" s="499"/>
      <c r="AQ243" s="499"/>
      <c r="AR243" s="499"/>
      <c r="AS243" s="499"/>
      <c r="AT243" s="499"/>
      <c r="AU243" s="499"/>
      <c r="AV243" s="499"/>
      <c r="AW243" s="499"/>
      <c r="AX243" s="499"/>
      <c r="AY243" s="499"/>
      <c r="AZ243" s="499"/>
      <c r="BA243" s="499"/>
      <c r="BB243" s="499"/>
      <c r="BC243" s="499"/>
      <c r="BD243" s="499"/>
      <c r="BE243" s="499"/>
      <c r="BF243" s="499"/>
      <c r="BG243" s="499"/>
      <c r="BH243" s="499"/>
      <c r="BI243" s="499"/>
      <c r="BJ243" s="499"/>
      <c r="BK243" s="499"/>
      <c r="BL243" s="499"/>
      <c r="BM243" s="499"/>
      <c r="BN243" s="499"/>
      <c r="BO243" s="499"/>
      <c r="BP243" s="499"/>
      <c r="BQ243" s="499"/>
      <c r="BR243" s="499"/>
      <c r="BS243" s="499"/>
      <c r="BT243" s="499"/>
      <c r="BU243" s="499"/>
      <c r="BV243" s="499"/>
      <c r="BW243" s="499"/>
      <c r="BX243" s="499"/>
      <c r="BY243" s="499"/>
      <c r="BZ243" s="499"/>
      <c r="CA243" s="499"/>
      <c r="CB243" s="499"/>
      <c r="CC243" s="499"/>
      <c r="CD243" s="499"/>
      <c r="CE243" s="499"/>
      <c r="CF243" s="499"/>
      <c r="CG243" s="499"/>
      <c r="CH243" s="499"/>
      <c r="CI243" s="499"/>
      <c r="CJ243" s="499"/>
      <c r="CK243" s="499"/>
      <c r="CL243" s="499"/>
      <c r="CM243" s="499"/>
      <c r="CN243" s="499"/>
      <c r="CO243" s="499"/>
      <c r="CP243" s="499"/>
      <c r="CQ243" s="499"/>
      <c r="CR243" s="499"/>
      <c r="CS243" s="499"/>
      <c r="CT243" s="499"/>
      <c r="CU243" s="499"/>
      <c r="CV243" s="499"/>
      <c r="CW243" s="499"/>
      <c r="CX243" s="499"/>
      <c r="CY243" s="499"/>
      <c r="CZ243" s="499"/>
      <c r="DA243" s="499"/>
      <c r="DB243" s="499"/>
      <c r="DC243" s="499"/>
      <c r="DD243" s="499"/>
      <c r="DE243" s="499"/>
      <c r="DF243" s="499"/>
      <c r="DG243" s="499"/>
      <c r="DH243" s="499"/>
      <c r="DI243" s="499"/>
      <c r="DJ243" s="499"/>
      <c r="DK243" s="499"/>
      <c r="DL243" s="499"/>
      <c r="DM243" s="499"/>
      <c r="DN243" s="499"/>
      <c r="DO243" s="499"/>
      <c r="DP243" s="499"/>
      <c r="DQ243" s="499"/>
      <c r="DR243" s="499"/>
      <c r="DS243" s="499"/>
      <c r="DT243" s="499"/>
      <c r="DU243" s="499"/>
      <c r="DV243" s="499"/>
      <c r="DW243" s="499"/>
      <c r="DX243" s="499"/>
      <c r="DY243" s="499"/>
      <c r="DZ243" s="499"/>
      <c r="EA243" s="499"/>
      <c r="EB243" s="499"/>
    </row>
    <row r="244" spans="1:132">
      <c r="A244" s="196"/>
      <c r="B244" s="196"/>
      <c r="C244" s="196"/>
      <c r="D244" s="196"/>
      <c r="E244" s="196"/>
      <c r="F244" s="196"/>
      <c r="G244" s="499"/>
      <c r="H244" s="499"/>
      <c r="I244" s="499"/>
      <c r="J244" s="499"/>
      <c r="K244" s="499"/>
      <c r="L244" s="499"/>
      <c r="M244" s="499"/>
      <c r="N244" s="499"/>
      <c r="O244" s="499"/>
      <c r="P244" s="499"/>
      <c r="Q244" s="499"/>
      <c r="R244" s="499"/>
      <c r="S244" s="499"/>
      <c r="T244" s="499"/>
      <c r="U244" s="499"/>
      <c r="V244" s="499"/>
      <c r="W244" s="499"/>
      <c r="X244" s="499"/>
      <c r="Y244" s="499"/>
      <c r="Z244" s="499"/>
      <c r="AA244" s="499"/>
      <c r="AB244" s="499"/>
      <c r="AC244" s="499"/>
      <c r="AD244" s="499"/>
      <c r="AE244" s="499"/>
      <c r="AF244" s="499"/>
      <c r="AG244" s="499"/>
      <c r="AH244" s="499"/>
      <c r="AI244" s="499"/>
      <c r="AJ244" s="499"/>
      <c r="AK244" s="499"/>
      <c r="AL244" s="499"/>
      <c r="AM244" s="499"/>
      <c r="AN244" s="499"/>
      <c r="AO244" s="499"/>
      <c r="AP244" s="499"/>
      <c r="AQ244" s="499"/>
      <c r="AR244" s="499"/>
      <c r="AS244" s="499"/>
      <c r="AT244" s="499"/>
      <c r="AU244" s="499"/>
      <c r="AV244" s="499"/>
      <c r="AW244" s="499"/>
      <c r="AX244" s="499"/>
      <c r="AY244" s="499"/>
      <c r="AZ244" s="499"/>
      <c r="BA244" s="499"/>
      <c r="BB244" s="499"/>
      <c r="BC244" s="499"/>
      <c r="BD244" s="499"/>
      <c r="BE244" s="499"/>
      <c r="BF244" s="499"/>
      <c r="BG244" s="499"/>
      <c r="BH244" s="499"/>
      <c r="BI244" s="499"/>
      <c r="BJ244" s="499"/>
      <c r="BK244" s="499"/>
      <c r="BL244" s="499"/>
      <c r="BM244" s="499"/>
      <c r="BN244" s="499"/>
      <c r="BO244" s="499"/>
      <c r="BP244" s="499"/>
      <c r="BQ244" s="499"/>
      <c r="BR244" s="499"/>
      <c r="BS244" s="499"/>
      <c r="BT244" s="499"/>
      <c r="BU244" s="499"/>
      <c r="BV244" s="499"/>
      <c r="BW244" s="499"/>
      <c r="BX244" s="499"/>
      <c r="BY244" s="499"/>
      <c r="BZ244" s="499"/>
      <c r="CA244" s="499"/>
      <c r="CB244" s="499"/>
      <c r="CC244" s="499"/>
      <c r="CD244" s="499"/>
      <c r="CE244" s="499"/>
      <c r="CF244" s="499"/>
      <c r="CG244" s="499"/>
      <c r="CH244" s="499"/>
      <c r="CI244" s="499"/>
      <c r="CJ244" s="499"/>
      <c r="CK244" s="499"/>
      <c r="CL244" s="499"/>
      <c r="CM244" s="499"/>
      <c r="CN244" s="499"/>
      <c r="CO244" s="499"/>
      <c r="CP244" s="499"/>
      <c r="CQ244" s="499"/>
      <c r="CR244" s="499"/>
      <c r="CS244" s="499"/>
      <c r="CT244" s="499"/>
      <c r="CU244" s="499"/>
      <c r="CV244" s="499"/>
      <c r="CW244" s="499"/>
      <c r="CX244" s="499"/>
      <c r="CY244" s="499"/>
      <c r="CZ244" s="499"/>
      <c r="DA244" s="499"/>
      <c r="DB244" s="499"/>
      <c r="DC244" s="499"/>
      <c r="DD244" s="499"/>
      <c r="DE244" s="499"/>
      <c r="DF244" s="499"/>
      <c r="DG244" s="499"/>
      <c r="DH244" s="499"/>
      <c r="DI244" s="499"/>
      <c r="DJ244" s="499"/>
      <c r="DK244" s="499"/>
      <c r="DL244" s="499"/>
      <c r="DM244" s="499"/>
      <c r="DN244" s="499"/>
      <c r="DO244" s="499"/>
      <c r="DP244" s="499"/>
      <c r="DQ244" s="499"/>
      <c r="DR244" s="499"/>
      <c r="DS244" s="499"/>
      <c r="DT244" s="499"/>
      <c r="DU244" s="499"/>
      <c r="DV244" s="499"/>
      <c r="DW244" s="499"/>
      <c r="DX244" s="499"/>
      <c r="DY244" s="499"/>
      <c r="DZ244" s="499"/>
      <c r="EA244" s="499"/>
      <c r="EB244" s="499"/>
    </row>
    <row r="245" spans="1:132">
      <c r="A245" s="196"/>
      <c r="B245" s="196"/>
      <c r="C245" s="196"/>
      <c r="D245" s="196"/>
      <c r="E245" s="196"/>
      <c r="F245" s="196"/>
      <c r="G245" s="499"/>
      <c r="H245" s="499"/>
      <c r="I245" s="499"/>
      <c r="J245" s="499"/>
      <c r="K245" s="499"/>
      <c r="L245" s="499"/>
      <c r="M245" s="499"/>
      <c r="N245" s="499"/>
      <c r="O245" s="499"/>
      <c r="P245" s="499"/>
      <c r="Q245" s="499"/>
      <c r="R245" s="499"/>
      <c r="S245" s="499"/>
      <c r="T245" s="499"/>
      <c r="U245" s="499"/>
      <c r="V245" s="499"/>
      <c r="W245" s="499"/>
      <c r="X245" s="499"/>
      <c r="Y245" s="499"/>
      <c r="Z245" s="499"/>
      <c r="AA245" s="499"/>
      <c r="AB245" s="499"/>
      <c r="AC245" s="499"/>
      <c r="AD245" s="499"/>
      <c r="AE245" s="499"/>
      <c r="AF245" s="499"/>
      <c r="AG245" s="499"/>
      <c r="AH245" s="499"/>
      <c r="AI245" s="499"/>
      <c r="AJ245" s="499"/>
      <c r="AK245" s="499"/>
      <c r="AL245" s="499"/>
      <c r="AM245" s="499"/>
      <c r="AN245" s="499"/>
      <c r="AO245" s="499"/>
      <c r="AP245" s="499"/>
      <c r="AQ245" s="499"/>
      <c r="AR245" s="499"/>
      <c r="AS245" s="499"/>
      <c r="AT245" s="499"/>
      <c r="AU245" s="499"/>
      <c r="AV245" s="499"/>
      <c r="AW245" s="499"/>
      <c r="AX245" s="499"/>
      <c r="AY245" s="499"/>
      <c r="AZ245" s="499"/>
      <c r="BA245" s="499"/>
      <c r="BB245" s="499"/>
      <c r="BC245" s="499"/>
      <c r="BD245" s="499"/>
      <c r="BE245" s="499"/>
      <c r="BF245" s="499"/>
      <c r="BG245" s="499"/>
      <c r="BH245" s="499"/>
      <c r="BI245" s="499"/>
      <c r="BJ245" s="499"/>
      <c r="BK245" s="499"/>
      <c r="BL245" s="499"/>
      <c r="BM245" s="499"/>
      <c r="BN245" s="499"/>
      <c r="BO245" s="499"/>
      <c r="BP245" s="499"/>
      <c r="BQ245" s="499"/>
      <c r="BR245" s="499"/>
      <c r="BS245" s="499"/>
      <c r="BT245" s="499"/>
      <c r="BU245" s="499"/>
      <c r="BV245" s="499"/>
      <c r="BW245" s="499"/>
      <c r="BX245" s="499"/>
      <c r="BY245" s="499"/>
      <c r="BZ245" s="499"/>
      <c r="CA245" s="499"/>
      <c r="CB245" s="499"/>
      <c r="CC245" s="499"/>
      <c r="CD245" s="499"/>
      <c r="CE245" s="499"/>
      <c r="CF245" s="499"/>
      <c r="CG245" s="499"/>
      <c r="CH245" s="499"/>
      <c r="CI245" s="499"/>
      <c r="CJ245" s="499"/>
      <c r="CK245" s="499"/>
      <c r="CL245" s="499"/>
      <c r="CM245" s="499"/>
      <c r="CN245" s="499"/>
      <c r="CO245" s="499"/>
      <c r="CP245" s="499"/>
      <c r="CQ245" s="499"/>
      <c r="CR245" s="499"/>
      <c r="CS245" s="499"/>
      <c r="CT245" s="499"/>
      <c r="CU245" s="499"/>
      <c r="CV245" s="499"/>
      <c r="CW245" s="499"/>
      <c r="CX245" s="499"/>
      <c r="CY245" s="499"/>
      <c r="CZ245" s="499"/>
      <c r="DA245" s="499"/>
      <c r="DB245" s="499"/>
      <c r="DC245" s="499"/>
      <c r="DD245" s="499"/>
      <c r="DE245" s="499"/>
      <c r="DF245" s="499"/>
      <c r="DG245" s="499"/>
      <c r="DH245" s="499"/>
      <c r="DI245" s="499"/>
      <c r="DJ245" s="499"/>
      <c r="DK245" s="499"/>
      <c r="DL245" s="499"/>
      <c r="DM245" s="499"/>
      <c r="DN245" s="499"/>
      <c r="DO245" s="499"/>
      <c r="DP245" s="499"/>
      <c r="DQ245" s="499"/>
      <c r="DR245" s="499"/>
      <c r="DS245" s="499"/>
      <c r="DT245" s="499"/>
      <c r="DU245" s="499"/>
      <c r="DV245" s="499"/>
      <c r="DW245" s="499"/>
      <c r="DX245" s="499"/>
      <c r="DY245" s="499"/>
      <c r="DZ245" s="499"/>
      <c r="EA245" s="499"/>
      <c r="EB245" s="499"/>
    </row>
    <row r="246" spans="1:132">
      <c r="A246" s="196"/>
      <c r="B246" s="196"/>
      <c r="C246" s="196"/>
      <c r="D246" s="196"/>
      <c r="E246" s="196"/>
      <c r="F246" s="196"/>
      <c r="G246" s="499"/>
      <c r="H246" s="499"/>
      <c r="I246" s="499"/>
      <c r="J246" s="499"/>
      <c r="K246" s="499"/>
      <c r="L246" s="499"/>
      <c r="M246" s="499"/>
      <c r="N246" s="499"/>
      <c r="O246" s="499"/>
      <c r="P246" s="499"/>
      <c r="Q246" s="499"/>
      <c r="R246" s="499"/>
      <c r="S246" s="499"/>
      <c r="T246" s="499"/>
      <c r="U246" s="499"/>
      <c r="V246" s="499"/>
      <c r="W246" s="499"/>
      <c r="X246" s="499"/>
      <c r="Y246" s="499"/>
      <c r="Z246" s="499"/>
      <c r="AA246" s="499"/>
      <c r="AB246" s="499"/>
      <c r="AC246" s="499"/>
      <c r="AD246" s="499"/>
      <c r="AE246" s="499"/>
      <c r="AF246" s="499"/>
      <c r="AG246" s="499"/>
      <c r="AH246" s="499"/>
      <c r="AI246" s="499"/>
      <c r="AJ246" s="499"/>
      <c r="AK246" s="499"/>
      <c r="AL246" s="499"/>
      <c r="AM246" s="499"/>
      <c r="AN246" s="499"/>
      <c r="AO246" s="499"/>
      <c r="AP246" s="499"/>
      <c r="AQ246" s="499"/>
      <c r="AR246" s="499"/>
      <c r="AS246" s="499"/>
      <c r="AT246" s="499"/>
      <c r="AU246" s="499"/>
      <c r="AV246" s="499"/>
      <c r="AW246" s="499"/>
      <c r="AX246" s="499"/>
      <c r="AY246" s="499"/>
      <c r="AZ246" s="499"/>
      <c r="BA246" s="499"/>
      <c r="BB246" s="499"/>
      <c r="BC246" s="499"/>
      <c r="BD246" s="499"/>
      <c r="BE246" s="499"/>
      <c r="BF246" s="499"/>
      <c r="BG246" s="499"/>
      <c r="BH246" s="499"/>
      <c r="BI246" s="499"/>
      <c r="BJ246" s="499"/>
      <c r="BK246" s="499"/>
      <c r="BL246" s="499"/>
      <c r="BM246" s="499"/>
      <c r="BN246" s="499"/>
      <c r="BO246" s="499"/>
      <c r="BP246" s="499"/>
      <c r="BQ246" s="499"/>
      <c r="BR246" s="499"/>
      <c r="BS246" s="499"/>
      <c r="BT246" s="499"/>
      <c r="BU246" s="499"/>
      <c r="BV246" s="499"/>
      <c r="BW246" s="499"/>
      <c r="BX246" s="499"/>
      <c r="BY246" s="499"/>
      <c r="BZ246" s="499"/>
      <c r="CA246" s="499"/>
      <c r="CB246" s="499"/>
      <c r="CC246" s="499"/>
      <c r="CD246" s="499"/>
      <c r="CE246" s="499"/>
      <c r="CF246" s="499"/>
      <c r="CG246" s="499"/>
      <c r="CH246" s="499"/>
      <c r="CI246" s="499"/>
      <c r="CJ246" s="499"/>
      <c r="CK246" s="499"/>
      <c r="CL246" s="499"/>
      <c r="CM246" s="499"/>
      <c r="CN246" s="499"/>
      <c r="CO246" s="499"/>
      <c r="CP246" s="499"/>
      <c r="CQ246" s="499"/>
      <c r="CR246" s="499"/>
      <c r="CS246" s="499"/>
      <c r="CT246" s="499"/>
      <c r="CU246" s="499"/>
      <c r="CV246" s="499"/>
      <c r="CW246" s="499"/>
      <c r="CX246" s="499"/>
      <c r="CY246" s="499"/>
      <c r="CZ246" s="499"/>
      <c r="DA246" s="499"/>
      <c r="DB246" s="499"/>
      <c r="DC246" s="499"/>
      <c r="DD246" s="499"/>
      <c r="DE246" s="499"/>
      <c r="DF246" s="499"/>
      <c r="DG246" s="499"/>
      <c r="DH246" s="499"/>
      <c r="DI246" s="499"/>
      <c r="DJ246" s="499"/>
      <c r="DK246" s="499"/>
      <c r="DL246" s="499"/>
      <c r="DM246" s="499"/>
      <c r="DN246" s="499"/>
      <c r="DO246" s="499"/>
      <c r="DP246" s="499"/>
      <c r="DQ246" s="499"/>
      <c r="DR246" s="499"/>
      <c r="DS246" s="499"/>
      <c r="DT246" s="499"/>
      <c r="DU246" s="499"/>
      <c r="DV246" s="499"/>
      <c r="DW246" s="499"/>
      <c r="DX246" s="499"/>
      <c r="DY246" s="499"/>
      <c r="DZ246" s="499"/>
      <c r="EA246" s="499"/>
      <c r="EB246" s="499"/>
    </row>
    <row r="247" spans="1:132">
      <c r="A247" s="196"/>
      <c r="B247" s="196"/>
      <c r="C247" s="196"/>
      <c r="D247" s="196"/>
      <c r="E247" s="196"/>
      <c r="F247" s="196"/>
      <c r="G247" s="499"/>
      <c r="H247" s="499"/>
      <c r="I247" s="499"/>
      <c r="J247" s="499"/>
      <c r="K247" s="499"/>
      <c r="L247" s="499"/>
      <c r="M247" s="499"/>
      <c r="N247" s="499"/>
      <c r="O247" s="499"/>
      <c r="P247" s="499"/>
      <c r="Q247" s="499"/>
      <c r="R247" s="499"/>
      <c r="S247" s="499"/>
      <c r="T247" s="499"/>
      <c r="U247" s="499"/>
      <c r="V247" s="499"/>
      <c r="W247" s="499"/>
      <c r="X247" s="499"/>
      <c r="Y247" s="499"/>
      <c r="Z247" s="499"/>
      <c r="AA247" s="499"/>
      <c r="AB247" s="499"/>
      <c r="AC247" s="499"/>
      <c r="AD247" s="499"/>
      <c r="AE247" s="499"/>
      <c r="AF247" s="499"/>
      <c r="AG247" s="499"/>
      <c r="AH247" s="499"/>
      <c r="AI247" s="499"/>
      <c r="AJ247" s="499"/>
      <c r="AK247" s="499"/>
      <c r="AL247" s="499"/>
      <c r="AM247" s="499"/>
      <c r="AN247" s="499"/>
      <c r="AO247" s="499"/>
      <c r="AP247" s="499"/>
      <c r="AQ247" s="499"/>
      <c r="AR247" s="499"/>
      <c r="AS247" s="499"/>
      <c r="AT247" s="499"/>
      <c r="AU247" s="499"/>
      <c r="AV247" s="499"/>
      <c r="AW247" s="499"/>
      <c r="AX247" s="499"/>
      <c r="AY247" s="499"/>
      <c r="AZ247" s="499"/>
      <c r="BA247" s="499"/>
      <c r="BB247" s="499"/>
      <c r="BC247" s="499"/>
      <c r="BD247" s="499"/>
      <c r="BE247" s="499"/>
      <c r="BF247" s="499"/>
      <c r="BG247" s="499"/>
      <c r="BH247" s="499"/>
      <c r="BI247" s="499"/>
      <c r="BJ247" s="499"/>
      <c r="BK247" s="499"/>
      <c r="BL247" s="499"/>
      <c r="BM247" s="499"/>
      <c r="BN247" s="499"/>
      <c r="BO247" s="499"/>
      <c r="BP247" s="499"/>
      <c r="BQ247" s="499"/>
      <c r="BR247" s="499"/>
      <c r="BS247" s="499"/>
      <c r="BT247" s="499"/>
      <c r="BU247" s="499"/>
      <c r="BV247" s="499"/>
      <c r="BW247" s="499"/>
      <c r="BX247" s="499"/>
      <c r="BY247" s="499"/>
      <c r="BZ247" s="499"/>
      <c r="CA247" s="499"/>
      <c r="CB247" s="499"/>
      <c r="CC247" s="499"/>
      <c r="CD247" s="499"/>
      <c r="CE247" s="499"/>
      <c r="CF247" s="499"/>
      <c r="CG247" s="499"/>
      <c r="CH247" s="499"/>
      <c r="CI247" s="499"/>
      <c r="CJ247" s="499"/>
      <c r="CK247" s="499"/>
      <c r="CL247" s="499"/>
      <c r="CM247" s="499"/>
      <c r="CN247" s="499"/>
      <c r="CO247" s="499"/>
      <c r="CP247" s="499"/>
      <c r="CQ247" s="499"/>
      <c r="CR247" s="499"/>
      <c r="CS247" s="499"/>
      <c r="CT247" s="499"/>
      <c r="CU247" s="499"/>
      <c r="CV247" s="499"/>
      <c r="CW247" s="499"/>
      <c r="CX247" s="499"/>
      <c r="CY247" s="499"/>
      <c r="CZ247" s="499"/>
      <c r="DA247" s="499"/>
      <c r="DB247" s="499"/>
      <c r="DC247" s="499"/>
      <c r="DD247" s="499"/>
      <c r="DE247" s="499"/>
      <c r="DF247" s="499"/>
      <c r="DG247" s="499"/>
      <c r="DH247" s="499"/>
      <c r="DI247" s="499"/>
      <c r="DJ247" s="499"/>
      <c r="DK247" s="499"/>
      <c r="DL247" s="499"/>
      <c r="DM247" s="499"/>
      <c r="DN247" s="499"/>
      <c r="DO247" s="499"/>
      <c r="DP247" s="499"/>
      <c r="DQ247" s="499"/>
      <c r="DR247" s="499"/>
      <c r="DS247" s="499"/>
      <c r="DT247" s="499"/>
      <c r="DU247" s="499"/>
      <c r="DV247" s="499"/>
      <c r="DW247" s="499"/>
      <c r="DX247" s="499"/>
      <c r="DY247" s="499"/>
      <c r="DZ247" s="499"/>
      <c r="EA247" s="499"/>
      <c r="EB247" s="499"/>
    </row>
    <row r="248" spans="1:132">
      <c r="A248" s="196"/>
      <c r="B248" s="196"/>
      <c r="C248" s="196"/>
      <c r="D248" s="196"/>
      <c r="E248" s="196"/>
      <c r="F248" s="196"/>
      <c r="G248" s="499"/>
      <c r="H248" s="499"/>
      <c r="I248" s="499"/>
      <c r="J248" s="499"/>
      <c r="K248" s="499"/>
      <c r="L248" s="499"/>
      <c r="M248" s="499"/>
      <c r="N248" s="499"/>
      <c r="O248" s="499"/>
      <c r="P248" s="499"/>
      <c r="Q248" s="499"/>
      <c r="R248" s="499"/>
      <c r="S248" s="499"/>
      <c r="T248" s="499"/>
      <c r="U248" s="499"/>
      <c r="V248" s="499"/>
      <c r="W248" s="499"/>
      <c r="X248" s="499"/>
      <c r="Y248" s="499"/>
      <c r="Z248" s="499"/>
      <c r="AA248" s="499"/>
      <c r="AB248" s="499"/>
      <c r="AC248" s="499"/>
      <c r="AD248" s="499"/>
      <c r="AE248" s="499"/>
      <c r="AF248" s="499"/>
      <c r="AG248" s="499"/>
      <c r="AH248" s="499"/>
      <c r="AI248" s="499"/>
      <c r="AJ248" s="499"/>
      <c r="AK248" s="499"/>
      <c r="AL248" s="499"/>
      <c r="AM248" s="499"/>
      <c r="AN248" s="499"/>
      <c r="AO248" s="499"/>
      <c r="AP248" s="499"/>
      <c r="AQ248" s="499"/>
      <c r="AR248" s="499"/>
      <c r="AS248" s="499"/>
      <c r="AT248" s="499"/>
      <c r="AU248" s="499"/>
      <c r="AV248" s="499"/>
      <c r="AW248" s="499"/>
      <c r="AX248" s="499"/>
      <c r="AY248" s="499"/>
      <c r="AZ248" s="499"/>
      <c r="BA248" s="499"/>
      <c r="BB248" s="499"/>
      <c r="BC248" s="499"/>
      <c r="BD248" s="499"/>
      <c r="BE248" s="499"/>
      <c r="BF248" s="499"/>
      <c r="BG248" s="499"/>
      <c r="BH248" s="499"/>
      <c r="BI248" s="499"/>
      <c r="BJ248" s="499"/>
      <c r="BK248" s="499"/>
      <c r="BL248" s="499"/>
      <c r="BM248" s="499"/>
      <c r="BN248" s="499"/>
      <c r="BO248" s="499"/>
      <c r="BP248" s="499"/>
      <c r="BQ248" s="499"/>
      <c r="BR248" s="499"/>
      <c r="BS248" s="499"/>
      <c r="BT248" s="499"/>
      <c r="BU248" s="499"/>
      <c r="BV248" s="499"/>
      <c r="BW248" s="499"/>
      <c r="BX248" s="499"/>
      <c r="BY248" s="499"/>
      <c r="BZ248" s="499"/>
      <c r="CA248" s="499"/>
      <c r="CB248" s="499"/>
      <c r="CC248" s="499"/>
      <c r="CD248" s="499"/>
      <c r="CE248" s="499"/>
      <c r="CF248" s="499"/>
      <c r="CG248" s="499"/>
      <c r="CH248" s="499"/>
      <c r="CI248" s="499"/>
      <c r="CJ248" s="499"/>
      <c r="CK248" s="499"/>
      <c r="CL248" s="499"/>
      <c r="CM248" s="499"/>
      <c r="CN248" s="499"/>
      <c r="CO248" s="499"/>
      <c r="CP248" s="499"/>
      <c r="CQ248" s="499"/>
      <c r="CR248" s="499"/>
      <c r="CS248" s="499"/>
      <c r="CT248" s="499"/>
      <c r="CU248" s="499"/>
      <c r="CV248" s="499"/>
      <c r="CW248" s="499"/>
      <c r="CX248" s="499"/>
      <c r="CY248" s="499"/>
      <c r="CZ248" s="499"/>
      <c r="DA248" s="499"/>
      <c r="DB248" s="499"/>
      <c r="DC248" s="499"/>
      <c r="DD248" s="499"/>
      <c r="DE248" s="499"/>
      <c r="DF248" s="499"/>
      <c r="DG248" s="499"/>
      <c r="DH248" s="499"/>
      <c r="DI248" s="499"/>
      <c r="DJ248" s="499"/>
      <c r="DK248" s="499"/>
      <c r="DL248" s="499"/>
      <c r="DM248" s="499"/>
      <c r="DN248" s="499"/>
      <c r="DO248" s="499"/>
      <c r="DP248" s="499"/>
      <c r="DQ248" s="499"/>
      <c r="DR248" s="499"/>
      <c r="DS248" s="499"/>
      <c r="DT248" s="499"/>
      <c r="DU248" s="499"/>
      <c r="DV248" s="499"/>
      <c r="DW248" s="499"/>
      <c r="DX248" s="499"/>
      <c r="DY248" s="499"/>
      <c r="DZ248" s="499"/>
      <c r="EA248" s="499"/>
      <c r="EB248" s="499"/>
    </row>
    <row r="249" spans="1:132">
      <c r="A249" s="196"/>
      <c r="B249" s="196"/>
      <c r="C249" s="196"/>
      <c r="D249" s="196"/>
      <c r="E249" s="196"/>
      <c r="F249" s="196"/>
      <c r="G249" s="499"/>
      <c r="H249" s="499"/>
      <c r="I249" s="499"/>
      <c r="J249" s="499"/>
      <c r="K249" s="499"/>
      <c r="L249" s="499"/>
      <c r="M249" s="499"/>
      <c r="N249" s="499"/>
      <c r="O249" s="499"/>
      <c r="P249" s="499"/>
      <c r="Q249" s="499"/>
      <c r="R249" s="499"/>
      <c r="S249" s="499"/>
      <c r="T249" s="499"/>
      <c r="U249" s="499"/>
      <c r="V249" s="499"/>
      <c r="W249" s="499"/>
      <c r="X249" s="499"/>
      <c r="Y249" s="499"/>
      <c r="Z249" s="499"/>
      <c r="AA249" s="499"/>
      <c r="AB249" s="499"/>
      <c r="AC249" s="499"/>
      <c r="AD249" s="499"/>
      <c r="AE249" s="499"/>
      <c r="AF249" s="499"/>
      <c r="AG249" s="499"/>
      <c r="AH249" s="499"/>
      <c r="AI249" s="499"/>
      <c r="AJ249" s="499"/>
      <c r="AK249" s="499"/>
      <c r="AL249" s="499"/>
      <c r="AM249" s="499"/>
      <c r="AN249" s="499"/>
      <c r="AO249" s="499"/>
      <c r="AP249" s="499"/>
      <c r="AQ249" s="499"/>
      <c r="AR249" s="499"/>
      <c r="AS249" s="499"/>
      <c r="AT249" s="499"/>
      <c r="AU249" s="499"/>
      <c r="AV249" s="499"/>
      <c r="AW249" s="499"/>
      <c r="AX249" s="499"/>
      <c r="AY249" s="499"/>
      <c r="AZ249" s="499"/>
      <c r="BA249" s="499"/>
      <c r="BB249" s="499"/>
      <c r="BC249" s="499"/>
      <c r="BD249" s="499"/>
      <c r="BE249" s="499"/>
      <c r="BF249" s="499"/>
      <c r="BG249" s="499"/>
      <c r="BH249" s="499"/>
      <c r="BI249" s="499"/>
      <c r="BJ249" s="499"/>
      <c r="BK249" s="499"/>
      <c r="BL249" s="499"/>
      <c r="BM249" s="499"/>
      <c r="BN249" s="499"/>
      <c r="BO249" s="499"/>
      <c r="BP249" s="499"/>
      <c r="BQ249" s="499"/>
      <c r="BR249" s="499"/>
      <c r="BS249" s="499"/>
      <c r="BT249" s="499"/>
      <c r="BU249" s="499"/>
      <c r="BV249" s="499"/>
      <c r="BW249" s="499"/>
      <c r="BX249" s="499"/>
      <c r="BY249" s="499"/>
      <c r="BZ249" s="499"/>
      <c r="CA249" s="499"/>
      <c r="CB249" s="499"/>
      <c r="CC249" s="499"/>
      <c r="CD249" s="499"/>
      <c r="CE249" s="499"/>
      <c r="CF249" s="499"/>
      <c r="CG249" s="499"/>
      <c r="CH249" s="499"/>
      <c r="CI249" s="499"/>
      <c r="CJ249" s="499"/>
      <c r="CK249" s="499"/>
      <c r="CL249" s="499"/>
      <c r="CM249" s="499"/>
      <c r="CN249" s="499"/>
      <c r="CO249" s="499"/>
      <c r="CP249" s="499"/>
      <c r="CQ249" s="499"/>
      <c r="CR249" s="499"/>
      <c r="CS249" s="499"/>
      <c r="CT249" s="499"/>
      <c r="CU249" s="499"/>
      <c r="CV249" s="499"/>
      <c r="CW249" s="499"/>
      <c r="CX249" s="499"/>
      <c r="CY249" s="499"/>
      <c r="CZ249" s="499"/>
      <c r="DA249" s="499"/>
      <c r="DB249" s="499"/>
      <c r="DC249" s="499"/>
      <c r="DD249" s="499"/>
      <c r="DE249" s="499"/>
      <c r="DF249" s="499"/>
      <c r="DG249" s="499"/>
      <c r="DH249" s="499"/>
      <c r="DI249" s="499"/>
      <c r="DJ249" s="499"/>
      <c r="DK249" s="499"/>
      <c r="DL249" s="499"/>
      <c r="DM249" s="499"/>
      <c r="DN249" s="499"/>
      <c r="DO249" s="499"/>
      <c r="DP249" s="499"/>
      <c r="DQ249" s="499"/>
      <c r="DR249" s="499"/>
      <c r="DS249" s="499"/>
      <c r="DT249" s="499"/>
      <c r="DU249" s="499"/>
      <c r="DV249" s="499"/>
      <c r="DW249" s="499"/>
      <c r="DX249" s="499"/>
      <c r="DY249" s="499"/>
      <c r="DZ249" s="499"/>
      <c r="EA249" s="499"/>
      <c r="EB249" s="499"/>
    </row>
  </sheetData>
  <sheetProtection formatRows="0"/>
  <dataConsolidate/>
  <mergeCells count="11">
    <mergeCell ref="M2:Y2"/>
    <mergeCell ref="E172:F172"/>
    <mergeCell ref="B3:G3"/>
    <mergeCell ref="M3:Y4"/>
    <mergeCell ref="B118:G118"/>
    <mergeCell ref="B80:J80"/>
    <mergeCell ref="B132:V132"/>
    <mergeCell ref="B146:I146"/>
    <mergeCell ref="B162:I162"/>
    <mergeCell ref="B165:V165"/>
    <mergeCell ref="B168:I168"/>
  </mergeCells>
  <phoneticPr fontId="41" type="noConversion"/>
  <dataValidations xWindow="1023" yWindow="491" count="2">
    <dataValidation type="list" allowBlank="1" showInputMessage="1" showErrorMessage="1" sqref="G7:G20 C45:C58 G45:G58 K45:K58 O45:O58 S45:S58 G84:G97 C84:C97 C7:C20 G32:G37 C32:C37 C23:C29 G23:G29 C61:C67 G61:G67 K61:K67 O61:O67 S61:S67 G70:G75 C70:C75 O70:O75 K70:K75 S70:S75 G100:G106 C100:C106 G109:G114 C109:C114 C120:C129 G120:G129 C134:C143 G134:G143 K134:K143 O134:O143 S134:S143 C148:C157 G148:G157" xr:uid="{00000000-0002-0000-1700-000000000000}">
      <formula1>Agencieslist</formula1>
    </dataValidation>
    <dataValidation allowBlank="1" showInputMessage="1" showErrorMessage="1" promptTitle="Bias Correction" prompt="This should be entered as a percentage and always be positive or zero (see &quot;Confidence Grade - Costs&quot; page for the recommended percentage and an example)." sqref="D7:D20 H7:H20 H45:H58 L45:L58 P45:P58 T45:T58 H84:H97 D84:D97 H32:H37 D32:D37 D23:D29 H23:H29 D61:D67 H61:H67 L61:L67 P61:P67 T61:T67 D109:D114 H70:H75 D70:D75 P70:P75 L70:L75 T70:T75 H100:H106 D100:D106 H109:H114 D45:D58 D120:D129 H120:H129 D134:D143 H134:H143 L134:L143 P134:P143 T134:T143 D148:D157 H148:H157" xr:uid="{00000000-0002-0000-1700-000001000000}"/>
  </dataValidations>
  <pageMargins left="0.7" right="0.7" top="0.75" bottom="0.75" header="0.3" footer="0.3"/>
  <pageSetup paperSize="9" orientation="portrait" verticalDpi="0"/>
  <extLst>
    <ext xmlns:x14="http://schemas.microsoft.com/office/spreadsheetml/2009/9/main" uri="{CCE6A557-97BC-4b89-ADB6-D9C93CAAB3DF}">
      <x14:dataValidations xmlns:xm="http://schemas.microsoft.com/office/excel/2006/main" xWindow="1023" yWindow="491" count="176">
        <x14:dataValidation type="list" allowBlank="1" showInputMessage="1" xr:uid="{00000000-0002-0000-1700-000002000000}">
          <x14:formula1>
            <xm:f>'Home Office data - DO NOT EDIT'!$B$21</xm:f>
          </x14:formula1>
          <xm:sqref>B23</xm:sqref>
        </x14:dataValidation>
        <x14:dataValidation type="list" allowBlank="1" showInputMessage="1" xr:uid="{00000000-0002-0000-1700-000003000000}">
          <x14:formula1>
            <xm:f>'Home Office data - DO NOT EDIT'!$B$22</xm:f>
          </x14:formula1>
          <xm:sqref>B24</xm:sqref>
        </x14:dataValidation>
        <x14:dataValidation type="list" allowBlank="1" showInputMessage="1" xr:uid="{00000000-0002-0000-1700-000004000000}">
          <x14:formula1>
            <xm:f>'Home Office data - DO NOT EDIT'!$B$23</xm:f>
          </x14:formula1>
          <xm:sqref>B25</xm:sqref>
        </x14:dataValidation>
        <x14:dataValidation type="list" allowBlank="1" showInputMessage="1" xr:uid="{00000000-0002-0000-1700-000005000000}">
          <x14:formula1>
            <xm:f>'Home Office data - DO NOT EDIT'!$B$24</xm:f>
          </x14:formula1>
          <xm:sqref>B26</xm:sqref>
        </x14:dataValidation>
        <x14:dataValidation type="list" allowBlank="1" showInputMessage="1" xr:uid="{00000000-0002-0000-1700-000006000000}">
          <x14:formula1>
            <xm:f>'Home Office data - DO NOT EDIT'!$B$25</xm:f>
          </x14:formula1>
          <xm:sqref>B27</xm:sqref>
        </x14:dataValidation>
        <x14:dataValidation type="list" allowBlank="1" showInputMessage="1" xr:uid="{00000000-0002-0000-1700-000007000000}">
          <x14:formula1>
            <xm:f>'Home Office data - DO NOT EDIT'!$B$26</xm:f>
          </x14:formula1>
          <xm:sqref>B28</xm:sqref>
        </x14:dataValidation>
        <x14:dataValidation type="list" allowBlank="1" showInputMessage="1" xr:uid="{00000000-0002-0000-1700-000008000000}">
          <x14:formula1>
            <xm:f>'Home Office data - DO NOT EDIT'!$B$27</xm:f>
          </x14:formula1>
          <xm:sqref>B29</xm:sqref>
        </x14:dataValidation>
        <x14:dataValidation type="list" allowBlank="1" showInputMessage="1" xr:uid="{00000000-0002-0000-1700-000009000000}">
          <x14:formula1>
            <xm:f>'Home Office data - DO NOT EDIT'!$C$21</xm:f>
          </x14:formula1>
          <xm:sqref>F23</xm:sqref>
        </x14:dataValidation>
        <x14:dataValidation type="list" allowBlank="1" showInputMessage="1" xr:uid="{00000000-0002-0000-1700-00000A000000}">
          <x14:formula1>
            <xm:f>'Home Office data - DO NOT EDIT'!$C$22</xm:f>
          </x14:formula1>
          <xm:sqref>F24</xm:sqref>
        </x14:dataValidation>
        <x14:dataValidation type="list" allowBlank="1" showInputMessage="1" xr:uid="{00000000-0002-0000-1700-00000B000000}">
          <x14:formula1>
            <xm:f>'Home Office data - DO NOT EDIT'!$C$23</xm:f>
          </x14:formula1>
          <xm:sqref>F25</xm:sqref>
        </x14:dataValidation>
        <x14:dataValidation type="list" allowBlank="1" showInputMessage="1" xr:uid="{00000000-0002-0000-1700-00000C000000}">
          <x14:formula1>
            <xm:f>'Home Office data - DO NOT EDIT'!$C$24</xm:f>
          </x14:formula1>
          <xm:sqref>F26</xm:sqref>
        </x14:dataValidation>
        <x14:dataValidation type="list" allowBlank="1" showInputMessage="1" xr:uid="{00000000-0002-0000-1700-00000D000000}">
          <x14:formula1>
            <xm:f>'Home Office data - DO NOT EDIT'!$C$25</xm:f>
          </x14:formula1>
          <xm:sqref>F27</xm:sqref>
        </x14:dataValidation>
        <x14:dataValidation type="list" allowBlank="1" showInputMessage="1" xr:uid="{00000000-0002-0000-1700-00000E000000}">
          <x14:formula1>
            <xm:f>'Home Office data - DO NOT EDIT'!$C$26</xm:f>
          </x14:formula1>
          <xm:sqref>F28</xm:sqref>
        </x14:dataValidation>
        <x14:dataValidation type="list" allowBlank="1" showInputMessage="1" xr:uid="{00000000-0002-0000-1700-00000F000000}">
          <x14:formula1>
            <xm:f>'Home Office data - DO NOT EDIT'!$C$27</xm:f>
          </x14:formula1>
          <xm:sqref>F29</xm:sqref>
        </x14:dataValidation>
        <x14:dataValidation type="list" allowBlank="1" showInputMessage="1" xr:uid="{00000000-0002-0000-1700-000010000000}">
          <x14:formula1>
            <xm:f>'Home Office data - DO NOT EDIT'!$B$31</xm:f>
          </x14:formula1>
          <xm:sqref>B32</xm:sqref>
        </x14:dataValidation>
        <x14:dataValidation type="list" allowBlank="1" showInputMessage="1" showErrorMessage="1" xr:uid="{00000000-0002-0000-1700-000011000000}">
          <x14:formula1>
            <xm:f>'Home Office data - DO NOT EDIT'!$B$30</xm:f>
          </x14:formula1>
          <xm:sqref>B33</xm:sqref>
        </x14:dataValidation>
        <x14:dataValidation type="list" allowBlank="1" showInputMessage="1" xr:uid="{00000000-0002-0000-1700-000012000000}">
          <x14:formula1>
            <xm:f>'Home Office data - DO NOT EDIT'!$B$32</xm:f>
          </x14:formula1>
          <xm:sqref>B34</xm:sqref>
        </x14:dataValidation>
        <x14:dataValidation type="list" allowBlank="1" showInputMessage="1" xr:uid="{00000000-0002-0000-1700-000013000000}">
          <x14:formula1>
            <xm:f>'Home Office data - DO NOT EDIT'!$B$33</xm:f>
          </x14:formula1>
          <xm:sqref>B35</xm:sqref>
        </x14:dataValidation>
        <x14:dataValidation type="list" allowBlank="1" showInputMessage="1" xr:uid="{00000000-0002-0000-1700-000014000000}">
          <x14:formula1>
            <xm:f>'Home Office data - DO NOT EDIT'!$B$34</xm:f>
          </x14:formula1>
          <xm:sqref>B36</xm:sqref>
        </x14:dataValidation>
        <x14:dataValidation type="list" allowBlank="1" showInputMessage="1" xr:uid="{00000000-0002-0000-1700-000015000000}">
          <x14:formula1>
            <xm:f>'Home Office data - DO NOT EDIT'!$B$35</xm:f>
          </x14:formula1>
          <xm:sqref>B37</xm:sqref>
        </x14:dataValidation>
        <x14:dataValidation type="list" allowBlank="1" showInputMessage="1" xr:uid="{00000000-0002-0000-1700-000016000000}">
          <x14:formula1>
            <xm:f>'Home Office data - DO NOT EDIT'!$C$31</xm:f>
          </x14:formula1>
          <xm:sqref>F32</xm:sqref>
        </x14:dataValidation>
        <x14:dataValidation type="list" allowBlank="1" showInputMessage="1" xr:uid="{00000000-0002-0000-1700-000017000000}">
          <x14:formula1>
            <xm:f>'Home Office data - DO NOT EDIT'!$C$30</xm:f>
          </x14:formula1>
          <xm:sqref>F33</xm:sqref>
        </x14:dataValidation>
        <x14:dataValidation type="list" allowBlank="1" showInputMessage="1" xr:uid="{00000000-0002-0000-1700-000018000000}">
          <x14:formula1>
            <xm:f>'Home Office data - DO NOT EDIT'!$C$32</xm:f>
          </x14:formula1>
          <xm:sqref>F34</xm:sqref>
        </x14:dataValidation>
        <x14:dataValidation type="list" allowBlank="1" showInputMessage="1" xr:uid="{00000000-0002-0000-1700-000019000000}">
          <x14:formula1>
            <xm:f>'Home Office data - DO NOT EDIT'!$C$33</xm:f>
          </x14:formula1>
          <xm:sqref>F35</xm:sqref>
        </x14:dataValidation>
        <x14:dataValidation type="list" allowBlank="1" showInputMessage="1" xr:uid="{00000000-0002-0000-1700-00001A000000}">
          <x14:formula1>
            <xm:f>'Home Office data - DO NOT EDIT'!$C$34</xm:f>
          </x14:formula1>
          <xm:sqref>F36</xm:sqref>
        </x14:dataValidation>
        <x14:dataValidation type="list" allowBlank="1" showInputMessage="1" xr:uid="{00000000-0002-0000-1700-00001B000000}">
          <x14:formula1>
            <xm:f>'Home Office data - DO NOT EDIT'!$C$35</xm:f>
          </x14:formula1>
          <xm:sqref>F37</xm:sqref>
        </x14:dataValidation>
        <x14:dataValidation type="list" allowBlank="1" showInputMessage="1" xr:uid="{00000000-0002-0000-1700-00001C000000}">
          <x14:formula1>
            <xm:f>'Home Office data - DO NOT EDIT'!$B$43</xm:f>
          </x14:formula1>
          <xm:sqref>B45</xm:sqref>
        </x14:dataValidation>
        <x14:dataValidation type="list" allowBlank="1" showInputMessage="1" xr:uid="{00000000-0002-0000-1700-00001D000000}">
          <x14:formula1>
            <xm:f>'Home Office data - DO NOT EDIT'!$B$45</xm:f>
          </x14:formula1>
          <xm:sqref>B47</xm:sqref>
        </x14:dataValidation>
        <x14:dataValidation type="list" allowBlank="1" showInputMessage="1" xr:uid="{00000000-0002-0000-1700-00001E000000}">
          <x14:formula1>
            <xm:f>'Home Office data - DO NOT EDIT'!$B$46</xm:f>
          </x14:formula1>
          <xm:sqref>B48</xm:sqref>
        </x14:dataValidation>
        <x14:dataValidation type="list" allowBlank="1" showInputMessage="1" xr:uid="{00000000-0002-0000-1700-00001F000000}">
          <x14:formula1>
            <xm:f>'Home Office data - DO NOT EDIT'!$B$47</xm:f>
          </x14:formula1>
          <xm:sqref>B49</xm:sqref>
        </x14:dataValidation>
        <x14:dataValidation type="list" allowBlank="1" showInputMessage="1" xr:uid="{00000000-0002-0000-1700-000020000000}">
          <x14:formula1>
            <xm:f>'Home Office data - DO NOT EDIT'!$B$48</xm:f>
          </x14:formula1>
          <xm:sqref>B50</xm:sqref>
        </x14:dataValidation>
        <x14:dataValidation type="list" allowBlank="1" showInputMessage="1" xr:uid="{00000000-0002-0000-1700-000021000000}">
          <x14:formula1>
            <xm:f>'Home Office data - DO NOT EDIT'!$B$49</xm:f>
          </x14:formula1>
          <xm:sqref>B51</xm:sqref>
        </x14:dataValidation>
        <x14:dataValidation type="list" allowBlank="1" showInputMessage="1" xr:uid="{00000000-0002-0000-1700-000022000000}">
          <x14:formula1>
            <xm:f>'Home Office data - DO NOT EDIT'!$B$50</xm:f>
          </x14:formula1>
          <xm:sqref>B52</xm:sqref>
        </x14:dataValidation>
        <x14:dataValidation type="list" allowBlank="1" showInputMessage="1" xr:uid="{00000000-0002-0000-1700-000023000000}">
          <x14:formula1>
            <xm:f>'Home Office data - DO NOT EDIT'!$B$52</xm:f>
          </x14:formula1>
          <xm:sqref>B54</xm:sqref>
        </x14:dataValidation>
        <x14:dataValidation type="list" allowBlank="1" showInputMessage="1" xr:uid="{00000000-0002-0000-1700-000024000000}">
          <x14:formula1>
            <xm:f>'Home Office data - DO NOT EDIT'!$B$53</xm:f>
          </x14:formula1>
          <xm:sqref>B55</xm:sqref>
        </x14:dataValidation>
        <x14:dataValidation type="list" allowBlank="1" showInputMessage="1" xr:uid="{00000000-0002-0000-1700-000025000000}">
          <x14:formula1>
            <xm:f>'Home Office data - DO NOT EDIT'!$B$54</xm:f>
          </x14:formula1>
          <xm:sqref>B56</xm:sqref>
        </x14:dataValidation>
        <x14:dataValidation type="list" allowBlank="1" showInputMessage="1" xr:uid="{00000000-0002-0000-1700-000026000000}">
          <x14:formula1>
            <xm:f>'Home Office data - DO NOT EDIT'!$B$55</xm:f>
          </x14:formula1>
          <xm:sqref>B57</xm:sqref>
        </x14:dataValidation>
        <x14:dataValidation type="list" allowBlank="1" showInputMessage="1" xr:uid="{00000000-0002-0000-1700-000027000000}">
          <x14:formula1>
            <xm:f>'Home Office data - DO NOT EDIT'!$B$56</xm:f>
          </x14:formula1>
          <xm:sqref>B58</xm:sqref>
        </x14:dataValidation>
        <x14:dataValidation type="list" allowBlank="1" showInputMessage="1" xr:uid="{00000000-0002-0000-1700-000028000000}">
          <x14:formula1>
            <xm:f>'Home Office data - DO NOT EDIT'!$C$43</xm:f>
          </x14:formula1>
          <xm:sqref>F45</xm:sqref>
        </x14:dataValidation>
        <x14:dataValidation type="list" allowBlank="1" showInputMessage="1" xr:uid="{00000000-0002-0000-1700-000029000000}">
          <x14:formula1>
            <xm:f>'Home Office data - DO NOT EDIT'!$B$59</xm:f>
          </x14:formula1>
          <xm:sqref>B61</xm:sqref>
        </x14:dataValidation>
        <x14:dataValidation type="list" allowBlank="1" showInputMessage="1" xr:uid="{00000000-0002-0000-1700-00002A000000}">
          <x14:formula1>
            <xm:f>'Home Office data - DO NOT EDIT'!$B$60</xm:f>
          </x14:formula1>
          <xm:sqref>B62</xm:sqref>
        </x14:dataValidation>
        <x14:dataValidation type="list" allowBlank="1" showInputMessage="1" xr:uid="{00000000-0002-0000-1700-00002B000000}">
          <x14:formula1>
            <xm:f>'Home Office data - DO NOT EDIT'!$B$61</xm:f>
          </x14:formula1>
          <xm:sqref>B63</xm:sqref>
        </x14:dataValidation>
        <x14:dataValidation type="list" allowBlank="1" showInputMessage="1" xr:uid="{00000000-0002-0000-1700-00002C000000}">
          <x14:formula1>
            <xm:f>'Home Office data - DO NOT EDIT'!$B$62</xm:f>
          </x14:formula1>
          <xm:sqref>B64</xm:sqref>
        </x14:dataValidation>
        <x14:dataValidation type="list" allowBlank="1" showInputMessage="1" xr:uid="{00000000-0002-0000-1700-00002D000000}">
          <x14:formula1>
            <xm:f>'Home Office data - DO NOT EDIT'!$B$63</xm:f>
          </x14:formula1>
          <xm:sqref>B65</xm:sqref>
        </x14:dataValidation>
        <x14:dataValidation type="list" allowBlank="1" showInputMessage="1" xr:uid="{00000000-0002-0000-1700-00002E000000}">
          <x14:formula1>
            <xm:f>'Home Office data - DO NOT EDIT'!$B$64</xm:f>
          </x14:formula1>
          <xm:sqref>B66</xm:sqref>
        </x14:dataValidation>
        <x14:dataValidation type="list" allowBlank="1" showInputMessage="1" xr:uid="{00000000-0002-0000-1700-00002F000000}">
          <x14:formula1>
            <xm:f>'Home Office data - DO NOT EDIT'!$B$65</xm:f>
          </x14:formula1>
          <xm:sqref>B67</xm:sqref>
        </x14:dataValidation>
        <x14:dataValidation type="list" allowBlank="1" showInputMessage="1" xr:uid="{00000000-0002-0000-1700-000030000000}">
          <x14:formula1>
            <xm:f>'Home Office data - DO NOT EDIT'!$C$59</xm:f>
          </x14:formula1>
          <xm:sqref>F61</xm:sqref>
        </x14:dataValidation>
        <x14:dataValidation type="list" allowBlank="1" showInputMessage="1" xr:uid="{00000000-0002-0000-1700-000031000000}">
          <x14:formula1>
            <xm:f>'Home Office data - DO NOT EDIT'!$C$60</xm:f>
          </x14:formula1>
          <xm:sqref>F62</xm:sqref>
        </x14:dataValidation>
        <x14:dataValidation type="list" allowBlank="1" showInputMessage="1" xr:uid="{00000000-0002-0000-1700-000032000000}">
          <x14:formula1>
            <xm:f>'Home Office data - DO NOT EDIT'!$C$61</xm:f>
          </x14:formula1>
          <xm:sqref>F63</xm:sqref>
        </x14:dataValidation>
        <x14:dataValidation type="list" allowBlank="1" showInputMessage="1" xr:uid="{00000000-0002-0000-1700-000033000000}">
          <x14:formula1>
            <xm:f>'Home Office data - DO NOT EDIT'!$C$62</xm:f>
          </x14:formula1>
          <xm:sqref>F64</xm:sqref>
        </x14:dataValidation>
        <x14:dataValidation type="list" allowBlank="1" showInputMessage="1" xr:uid="{00000000-0002-0000-1700-000034000000}">
          <x14:formula1>
            <xm:f>'Home Office data - DO NOT EDIT'!$C$63</xm:f>
          </x14:formula1>
          <xm:sqref>F65</xm:sqref>
        </x14:dataValidation>
        <x14:dataValidation type="list" allowBlank="1" showInputMessage="1" xr:uid="{00000000-0002-0000-1700-000035000000}">
          <x14:formula1>
            <xm:f>'Home Office data - DO NOT EDIT'!$C$64</xm:f>
          </x14:formula1>
          <xm:sqref>F66</xm:sqref>
        </x14:dataValidation>
        <x14:dataValidation type="list" allowBlank="1" showInputMessage="1" xr:uid="{00000000-0002-0000-1700-000036000000}">
          <x14:formula1>
            <xm:f>'Home Office data - DO NOT EDIT'!$C$65</xm:f>
          </x14:formula1>
          <xm:sqref>F67</xm:sqref>
        </x14:dataValidation>
        <x14:dataValidation type="list" allowBlank="1" showInputMessage="1" xr:uid="{00000000-0002-0000-1700-000037000000}">
          <x14:formula1>
            <xm:f>'Home Office data - DO NOT EDIT'!$D$59</xm:f>
          </x14:formula1>
          <xm:sqref>J61</xm:sqref>
        </x14:dataValidation>
        <x14:dataValidation type="list" allowBlank="1" showInputMessage="1" xr:uid="{00000000-0002-0000-1700-000038000000}">
          <x14:formula1>
            <xm:f>'Home Office data - DO NOT EDIT'!$D$60</xm:f>
          </x14:formula1>
          <xm:sqref>J62</xm:sqref>
        </x14:dataValidation>
        <x14:dataValidation type="list" allowBlank="1" showInputMessage="1" xr:uid="{00000000-0002-0000-1700-000039000000}">
          <x14:formula1>
            <xm:f>'Home Office data - DO NOT EDIT'!$D$61</xm:f>
          </x14:formula1>
          <xm:sqref>J63</xm:sqref>
        </x14:dataValidation>
        <x14:dataValidation type="list" allowBlank="1" showInputMessage="1" xr:uid="{00000000-0002-0000-1700-00003A000000}">
          <x14:formula1>
            <xm:f>'Home Office data - DO NOT EDIT'!$D$62</xm:f>
          </x14:formula1>
          <xm:sqref>J64</xm:sqref>
        </x14:dataValidation>
        <x14:dataValidation type="list" allowBlank="1" showInputMessage="1" xr:uid="{00000000-0002-0000-1700-00003B000000}">
          <x14:formula1>
            <xm:f>'Home Office data - DO NOT EDIT'!$D$63</xm:f>
          </x14:formula1>
          <xm:sqref>J65</xm:sqref>
        </x14:dataValidation>
        <x14:dataValidation type="list" allowBlank="1" showInputMessage="1" xr:uid="{00000000-0002-0000-1700-00003C000000}">
          <x14:formula1>
            <xm:f>'Home Office data - DO NOT EDIT'!$D$64</xm:f>
          </x14:formula1>
          <xm:sqref>J66</xm:sqref>
        </x14:dataValidation>
        <x14:dataValidation type="list" allowBlank="1" showInputMessage="1" xr:uid="{00000000-0002-0000-1700-00003D000000}">
          <x14:formula1>
            <xm:f>'Home Office data - DO NOT EDIT'!$D$65</xm:f>
          </x14:formula1>
          <xm:sqref>J67</xm:sqref>
        </x14:dataValidation>
        <x14:dataValidation type="list" allowBlank="1" showInputMessage="1" xr:uid="{00000000-0002-0000-1700-00003E000000}">
          <x14:formula1>
            <xm:f>'Home Office data - DO NOT EDIT'!$E$59</xm:f>
          </x14:formula1>
          <xm:sqref>N61</xm:sqref>
        </x14:dataValidation>
        <x14:dataValidation type="list" allowBlank="1" showInputMessage="1" xr:uid="{00000000-0002-0000-1700-00003F000000}">
          <x14:formula1>
            <xm:f>'Home Office data - DO NOT EDIT'!$E$60</xm:f>
          </x14:formula1>
          <xm:sqref>N62</xm:sqref>
        </x14:dataValidation>
        <x14:dataValidation type="list" allowBlank="1" showInputMessage="1" xr:uid="{00000000-0002-0000-1700-000040000000}">
          <x14:formula1>
            <xm:f>'Home Office data - DO NOT EDIT'!$E$61</xm:f>
          </x14:formula1>
          <xm:sqref>N63</xm:sqref>
        </x14:dataValidation>
        <x14:dataValidation type="list" allowBlank="1" showInputMessage="1" xr:uid="{00000000-0002-0000-1700-000041000000}">
          <x14:formula1>
            <xm:f>'Home Office data - DO NOT EDIT'!$E$62</xm:f>
          </x14:formula1>
          <xm:sqref>N64</xm:sqref>
        </x14:dataValidation>
        <x14:dataValidation type="list" allowBlank="1" showInputMessage="1" xr:uid="{00000000-0002-0000-1700-000042000000}">
          <x14:formula1>
            <xm:f>'Home Office data - DO NOT EDIT'!$E$63</xm:f>
          </x14:formula1>
          <xm:sqref>N65</xm:sqref>
        </x14:dataValidation>
        <x14:dataValidation type="list" allowBlank="1" showInputMessage="1" xr:uid="{00000000-0002-0000-1700-000043000000}">
          <x14:formula1>
            <xm:f>'Home Office data - DO NOT EDIT'!$E$64</xm:f>
          </x14:formula1>
          <xm:sqref>N66</xm:sqref>
        </x14:dataValidation>
        <x14:dataValidation type="list" allowBlank="1" showInputMessage="1" xr:uid="{00000000-0002-0000-1700-000044000000}">
          <x14:formula1>
            <xm:f>'Home Office data - DO NOT EDIT'!$E$65</xm:f>
          </x14:formula1>
          <xm:sqref>N67</xm:sqref>
        </x14:dataValidation>
        <x14:dataValidation type="list" allowBlank="1" showInputMessage="1" xr:uid="{00000000-0002-0000-1700-000045000000}">
          <x14:formula1>
            <xm:f>'Home Office data - DO NOT EDIT'!$F$59</xm:f>
          </x14:formula1>
          <xm:sqref>R61</xm:sqref>
        </x14:dataValidation>
        <x14:dataValidation type="list" allowBlank="1" showInputMessage="1" xr:uid="{00000000-0002-0000-1700-000046000000}">
          <x14:formula1>
            <xm:f>'Home Office data - DO NOT EDIT'!$F$60</xm:f>
          </x14:formula1>
          <xm:sqref>R62</xm:sqref>
        </x14:dataValidation>
        <x14:dataValidation type="list" allowBlank="1" showInputMessage="1" xr:uid="{00000000-0002-0000-1700-000047000000}">
          <x14:formula1>
            <xm:f>'Home Office data - DO NOT EDIT'!$F$61</xm:f>
          </x14:formula1>
          <xm:sqref>R63</xm:sqref>
        </x14:dataValidation>
        <x14:dataValidation type="list" allowBlank="1" showInputMessage="1" xr:uid="{00000000-0002-0000-1700-000048000000}">
          <x14:formula1>
            <xm:f>'Home Office data - DO NOT EDIT'!$F$62</xm:f>
          </x14:formula1>
          <xm:sqref>R64</xm:sqref>
        </x14:dataValidation>
        <x14:dataValidation type="list" allowBlank="1" showInputMessage="1" xr:uid="{00000000-0002-0000-1700-000049000000}">
          <x14:formula1>
            <xm:f>'Home Office data - DO NOT EDIT'!$F$63</xm:f>
          </x14:formula1>
          <xm:sqref>R65</xm:sqref>
        </x14:dataValidation>
        <x14:dataValidation type="list" allowBlank="1" showInputMessage="1" xr:uid="{00000000-0002-0000-1700-00004A000000}">
          <x14:formula1>
            <xm:f>'Home Office data - DO NOT EDIT'!$F$64</xm:f>
          </x14:formula1>
          <xm:sqref>R66</xm:sqref>
        </x14:dataValidation>
        <x14:dataValidation type="list" allowBlank="1" showInputMessage="1" xr:uid="{00000000-0002-0000-1700-00004B000000}">
          <x14:formula1>
            <xm:f>'Home Office data - DO NOT EDIT'!$F$65</xm:f>
          </x14:formula1>
          <xm:sqref>R67</xm:sqref>
        </x14:dataValidation>
        <x14:dataValidation type="list" allowBlank="1" showInputMessage="1" xr:uid="{00000000-0002-0000-1700-00004C000000}">
          <x14:formula1>
            <xm:f>'Home Office data - DO NOT EDIT'!$B$68</xm:f>
          </x14:formula1>
          <xm:sqref>B70</xm:sqref>
        </x14:dataValidation>
        <x14:dataValidation type="list" allowBlank="1" showInputMessage="1" xr:uid="{00000000-0002-0000-1700-00004D000000}">
          <x14:formula1>
            <xm:f>'Home Office data - DO NOT EDIT'!$B$69</xm:f>
          </x14:formula1>
          <xm:sqref>B71</xm:sqref>
        </x14:dataValidation>
        <x14:dataValidation type="list" allowBlank="1" showInputMessage="1" xr:uid="{00000000-0002-0000-1700-00004E000000}">
          <x14:formula1>
            <xm:f>'Home Office data - DO NOT EDIT'!$B$70</xm:f>
          </x14:formula1>
          <xm:sqref>B72</xm:sqref>
        </x14:dataValidation>
        <x14:dataValidation type="list" allowBlank="1" showInputMessage="1" xr:uid="{00000000-0002-0000-1700-00004F000000}">
          <x14:formula1>
            <xm:f>'Home Office data - DO NOT EDIT'!$B$71</xm:f>
          </x14:formula1>
          <xm:sqref>B73</xm:sqref>
        </x14:dataValidation>
        <x14:dataValidation type="list" allowBlank="1" showInputMessage="1" xr:uid="{00000000-0002-0000-1700-000050000000}">
          <x14:formula1>
            <xm:f>'Home Office data - DO NOT EDIT'!$B$72</xm:f>
          </x14:formula1>
          <xm:sqref>B74</xm:sqref>
        </x14:dataValidation>
        <x14:dataValidation type="list" allowBlank="1" showInputMessage="1" xr:uid="{00000000-0002-0000-1700-000051000000}">
          <x14:formula1>
            <xm:f>'Home Office data - DO NOT EDIT'!$B$73</xm:f>
          </x14:formula1>
          <xm:sqref>B75</xm:sqref>
        </x14:dataValidation>
        <x14:dataValidation type="list" allowBlank="1" showInputMessage="1" xr:uid="{00000000-0002-0000-1700-000052000000}">
          <x14:formula1>
            <xm:f>'Home Office data - DO NOT EDIT'!$C$68</xm:f>
          </x14:formula1>
          <xm:sqref>F70</xm:sqref>
        </x14:dataValidation>
        <x14:dataValidation type="list" allowBlank="1" showInputMessage="1" xr:uid="{00000000-0002-0000-1700-000053000000}">
          <x14:formula1>
            <xm:f>'Home Office data - DO NOT EDIT'!$C$69</xm:f>
          </x14:formula1>
          <xm:sqref>F71</xm:sqref>
        </x14:dataValidation>
        <x14:dataValidation type="list" allowBlank="1" showInputMessage="1" xr:uid="{00000000-0002-0000-1700-000054000000}">
          <x14:formula1>
            <xm:f>'Home Office data - DO NOT EDIT'!$C$70</xm:f>
          </x14:formula1>
          <xm:sqref>F72</xm:sqref>
        </x14:dataValidation>
        <x14:dataValidation type="list" allowBlank="1" showInputMessage="1" xr:uid="{00000000-0002-0000-1700-000055000000}">
          <x14:formula1>
            <xm:f>'Home Office data - DO NOT EDIT'!$C$71</xm:f>
          </x14:formula1>
          <xm:sqref>F73</xm:sqref>
        </x14:dataValidation>
        <x14:dataValidation type="list" allowBlank="1" showInputMessage="1" xr:uid="{00000000-0002-0000-1700-000056000000}">
          <x14:formula1>
            <xm:f>'Home Office data - DO NOT EDIT'!$C$72</xm:f>
          </x14:formula1>
          <xm:sqref>F74</xm:sqref>
        </x14:dataValidation>
        <x14:dataValidation type="list" allowBlank="1" showInputMessage="1" xr:uid="{00000000-0002-0000-1700-000057000000}">
          <x14:formula1>
            <xm:f>'Home Office data - DO NOT EDIT'!$C$73</xm:f>
          </x14:formula1>
          <xm:sqref>F75</xm:sqref>
        </x14:dataValidation>
        <x14:dataValidation type="list" allowBlank="1" showInputMessage="1" xr:uid="{00000000-0002-0000-1700-000058000000}">
          <x14:formula1>
            <xm:f>'Home Office data - DO NOT EDIT'!$D$68</xm:f>
          </x14:formula1>
          <xm:sqref>J70</xm:sqref>
        </x14:dataValidation>
        <x14:dataValidation type="list" allowBlank="1" showInputMessage="1" xr:uid="{00000000-0002-0000-1700-000059000000}">
          <x14:formula1>
            <xm:f>'Home Office data - DO NOT EDIT'!$D$69</xm:f>
          </x14:formula1>
          <xm:sqref>J71</xm:sqref>
        </x14:dataValidation>
        <x14:dataValidation type="list" allowBlank="1" showInputMessage="1" xr:uid="{00000000-0002-0000-1700-00005A000000}">
          <x14:formula1>
            <xm:f>'Home Office data - DO NOT EDIT'!$D$70</xm:f>
          </x14:formula1>
          <xm:sqref>J72</xm:sqref>
        </x14:dataValidation>
        <x14:dataValidation type="list" allowBlank="1" showInputMessage="1" xr:uid="{00000000-0002-0000-1700-00005B000000}">
          <x14:formula1>
            <xm:f>'Home Office data - DO NOT EDIT'!$D$71</xm:f>
          </x14:formula1>
          <xm:sqref>J73</xm:sqref>
        </x14:dataValidation>
        <x14:dataValidation type="list" allowBlank="1" showInputMessage="1" xr:uid="{00000000-0002-0000-1700-00005C000000}">
          <x14:formula1>
            <xm:f>'Home Office data - DO NOT EDIT'!$D$72</xm:f>
          </x14:formula1>
          <xm:sqref>J74</xm:sqref>
        </x14:dataValidation>
        <x14:dataValidation type="list" allowBlank="1" showInputMessage="1" xr:uid="{00000000-0002-0000-1700-00005D000000}">
          <x14:formula1>
            <xm:f>'Home Office data - DO NOT EDIT'!$D$73</xm:f>
          </x14:formula1>
          <xm:sqref>J75</xm:sqref>
        </x14:dataValidation>
        <x14:dataValidation type="list" allowBlank="1" showInputMessage="1" xr:uid="{00000000-0002-0000-1700-00005E000000}">
          <x14:formula1>
            <xm:f>'Home Office data - DO NOT EDIT'!$E$68</xm:f>
          </x14:formula1>
          <xm:sqref>N70</xm:sqref>
        </x14:dataValidation>
        <x14:dataValidation type="list" allowBlank="1" showInputMessage="1" xr:uid="{00000000-0002-0000-1700-00005F000000}">
          <x14:formula1>
            <xm:f>'Home Office data - DO NOT EDIT'!$E$69</xm:f>
          </x14:formula1>
          <xm:sqref>N71</xm:sqref>
        </x14:dataValidation>
        <x14:dataValidation type="list" allowBlank="1" showInputMessage="1" xr:uid="{00000000-0002-0000-1700-000060000000}">
          <x14:formula1>
            <xm:f>'Home Office data - DO NOT EDIT'!$E$70</xm:f>
          </x14:formula1>
          <xm:sqref>N72</xm:sqref>
        </x14:dataValidation>
        <x14:dataValidation type="list" allowBlank="1" showInputMessage="1" xr:uid="{00000000-0002-0000-1700-000061000000}">
          <x14:formula1>
            <xm:f>'Home Office data - DO NOT EDIT'!$E$71</xm:f>
          </x14:formula1>
          <xm:sqref>N73</xm:sqref>
        </x14:dataValidation>
        <x14:dataValidation type="list" allowBlank="1" showInputMessage="1" xr:uid="{00000000-0002-0000-1700-000062000000}">
          <x14:formula1>
            <xm:f>'Home Office data - DO NOT EDIT'!$E$72</xm:f>
          </x14:formula1>
          <xm:sqref>N74</xm:sqref>
        </x14:dataValidation>
        <x14:dataValidation type="list" allowBlank="1" showInputMessage="1" xr:uid="{00000000-0002-0000-1700-000063000000}">
          <x14:formula1>
            <xm:f>'Home Office data - DO NOT EDIT'!$E$73</xm:f>
          </x14:formula1>
          <xm:sqref>N75</xm:sqref>
        </x14:dataValidation>
        <x14:dataValidation type="list" allowBlank="1" showInputMessage="1" xr:uid="{00000000-0002-0000-1700-000064000000}">
          <x14:formula1>
            <xm:f>'Home Office data - DO NOT EDIT'!$F$68</xm:f>
          </x14:formula1>
          <xm:sqref>R70</xm:sqref>
        </x14:dataValidation>
        <x14:dataValidation type="list" allowBlank="1" showInputMessage="1" xr:uid="{00000000-0002-0000-1700-000065000000}">
          <x14:formula1>
            <xm:f>'Home Office data - DO NOT EDIT'!$F$69</xm:f>
          </x14:formula1>
          <xm:sqref>R71</xm:sqref>
        </x14:dataValidation>
        <x14:dataValidation type="list" allowBlank="1" showInputMessage="1" xr:uid="{00000000-0002-0000-1700-000066000000}">
          <x14:formula1>
            <xm:f>'Home Office data - DO NOT EDIT'!$F$70</xm:f>
          </x14:formula1>
          <xm:sqref>R72</xm:sqref>
        </x14:dataValidation>
        <x14:dataValidation type="list" allowBlank="1" showInputMessage="1" xr:uid="{00000000-0002-0000-1700-000067000000}">
          <x14:formula1>
            <xm:f>'Home Office data - DO NOT EDIT'!$F$71</xm:f>
          </x14:formula1>
          <xm:sqref>R73</xm:sqref>
        </x14:dataValidation>
        <x14:dataValidation type="list" allowBlank="1" showInputMessage="1" xr:uid="{00000000-0002-0000-1700-000068000000}">
          <x14:formula1>
            <xm:f>'Home Office data - DO NOT EDIT'!$F$72</xm:f>
          </x14:formula1>
          <xm:sqref>R74</xm:sqref>
        </x14:dataValidation>
        <x14:dataValidation type="list" allowBlank="1" showInputMessage="1" xr:uid="{00000000-0002-0000-1700-000069000000}">
          <x14:formula1>
            <xm:f>'Home Office data - DO NOT EDIT'!$F$73</xm:f>
          </x14:formula1>
          <xm:sqref>R75</xm:sqref>
        </x14:dataValidation>
        <x14:dataValidation type="list" allowBlank="1" showInputMessage="1" xr:uid="{00000000-0002-0000-1700-00006A000000}">
          <x14:formula1>
            <xm:f>'Home Office data - DO NOT EDIT'!$B$98</xm:f>
          </x14:formula1>
          <xm:sqref>B100</xm:sqref>
        </x14:dataValidation>
        <x14:dataValidation type="list" allowBlank="1" showInputMessage="1" xr:uid="{00000000-0002-0000-1700-00006B000000}">
          <x14:formula1>
            <xm:f>'Home Office data - DO NOT EDIT'!$B$99</xm:f>
          </x14:formula1>
          <xm:sqref>B101</xm:sqref>
        </x14:dataValidation>
        <x14:dataValidation type="list" allowBlank="1" showInputMessage="1" xr:uid="{00000000-0002-0000-1700-00006C000000}">
          <x14:formula1>
            <xm:f>'Home Office data - DO NOT EDIT'!$B$100</xm:f>
          </x14:formula1>
          <xm:sqref>B102</xm:sqref>
        </x14:dataValidation>
        <x14:dataValidation type="list" allowBlank="1" showInputMessage="1" xr:uid="{00000000-0002-0000-1700-00006D000000}">
          <x14:formula1>
            <xm:f>'Home Office data - DO NOT EDIT'!$B$101</xm:f>
          </x14:formula1>
          <xm:sqref>B103</xm:sqref>
        </x14:dataValidation>
        <x14:dataValidation type="list" allowBlank="1" showInputMessage="1" xr:uid="{00000000-0002-0000-1700-00006E000000}">
          <x14:formula1>
            <xm:f>'Home Office data - DO NOT EDIT'!$B$102</xm:f>
          </x14:formula1>
          <xm:sqref>B104</xm:sqref>
        </x14:dataValidation>
        <x14:dataValidation type="list" allowBlank="1" showInputMessage="1" xr:uid="{00000000-0002-0000-1700-00006F000000}">
          <x14:formula1>
            <xm:f>'Home Office data - DO NOT EDIT'!$B$103</xm:f>
          </x14:formula1>
          <xm:sqref>B105</xm:sqref>
        </x14:dataValidation>
        <x14:dataValidation type="list" allowBlank="1" showInputMessage="1" xr:uid="{00000000-0002-0000-1700-000070000000}">
          <x14:formula1>
            <xm:f>'Home Office data - DO NOT EDIT'!$B$104</xm:f>
          </x14:formula1>
          <xm:sqref>B106</xm:sqref>
        </x14:dataValidation>
        <x14:dataValidation type="list" allowBlank="1" showInputMessage="1" xr:uid="{00000000-0002-0000-1700-000071000000}">
          <x14:formula1>
            <xm:f>'Home Office data - DO NOT EDIT'!$C$98</xm:f>
          </x14:formula1>
          <xm:sqref>F100</xm:sqref>
        </x14:dataValidation>
        <x14:dataValidation type="list" allowBlank="1" showInputMessage="1" xr:uid="{00000000-0002-0000-1700-000072000000}">
          <x14:formula1>
            <xm:f>'Home Office data - DO NOT EDIT'!$C$99</xm:f>
          </x14:formula1>
          <xm:sqref>F101</xm:sqref>
        </x14:dataValidation>
        <x14:dataValidation type="list" allowBlank="1" showInputMessage="1" xr:uid="{00000000-0002-0000-1700-000073000000}">
          <x14:formula1>
            <xm:f>'Home Office data - DO NOT EDIT'!$C$100</xm:f>
          </x14:formula1>
          <xm:sqref>F102</xm:sqref>
        </x14:dataValidation>
        <x14:dataValidation type="list" allowBlank="1" showInputMessage="1" xr:uid="{00000000-0002-0000-1700-000074000000}">
          <x14:formula1>
            <xm:f>'Home Office data - DO NOT EDIT'!$C$101</xm:f>
          </x14:formula1>
          <xm:sqref>F103</xm:sqref>
        </x14:dataValidation>
        <x14:dataValidation type="list" allowBlank="1" showInputMessage="1" xr:uid="{00000000-0002-0000-1700-000075000000}">
          <x14:formula1>
            <xm:f>'Home Office data - DO NOT EDIT'!$C$102</xm:f>
          </x14:formula1>
          <xm:sqref>F104</xm:sqref>
        </x14:dataValidation>
        <x14:dataValidation type="list" allowBlank="1" showInputMessage="1" xr:uid="{00000000-0002-0000-1700-000076000000}">
          <x14:formula1>
            <xm:f>'Home Office data - DO NOT EDIT'!$C$103</xm:f>
          </x14:formula1>
          <xm:sqref>F105</xm:sqref>
        </x14:dataValidation>
        <x14:dataValidation type="list" allowBlank="1" showInputMessage="1" xr:uid="{00000000-0002-0000-1700-000077000000}">
          <x14:formula1>
            <xm:f>'Home Office data - DO NOT EDIT'!$C$104</xm:f>
          </x14:formula1>
          <xm:sqref>F106</xm:sqref>
        </x14:dataValidation>
        <x14:dataValidation type="list" allowBlank="1" showInputMessage="1" xr:uid="{00000000-0002-0000-1700-000078000000}">
          <x14:formula1>
            <xm:f>'Home Office data - DO NOT EDIT'!$B$107</xm:f>
          </x14:formula1>
          <xm:sqref>B109</xm:sqref>
        </x14:dataValidation>
        <x14:dataValidation type="list" allowBlank="1" showInputMessage="1" xr:uid="{00000000-0002-0000-1700-000079000000}">
          <x14:formula1>
            <xm:f>'Home Office data - DO NOT EDIT'!$B$108</xm:f>
          </x14:formula1>
          <xm:sqref>B110</xm:sqref>
        </x14:dataValidation>
        <x14:dataValidation type="list" allowBlank="1" showInputMessage="1" xr:uid="{00000000-0002-0000-1700-00007A000000}">
          <x14:formula1>
            <xm:f>'Home Office data - DO NOT EDIT'!$B$109</xm:f>
          </x14:formula1>
          <xm:sqref>B111</xm:sqref>
        </x14:dataValidation>
        <x14:dataValidation type="list" allowBlank="1" showInputMessage="1" xr:uid="{00000000-0002-0000-1700-00007B000000}">
          <x14:formula1>
            <xm:f>'Home Office data - DO NOT EDIT'!$B$110</xm:f>
          </x14:formula1>
          <xm:sqref>B112</xm:sqref>
        </x14:dataValidation>
        <x14:dataValidation type="list" allowBlank="1" showInputMessage="1" xr:uid="{00000000-0002-0000-1700-00007C000000}">
          <x14:formula1>
            <xm:f>'Home Office data - DO NOT EDIT'!$B$111</xm:f>
          </x14:formula1>
          <xm:sqref>B113</xm:sqref>
        </x14:dataValidation>
        <x14:dataValidation type="list" allowBlank="1" showInputMessage="1" xr:uid="{00000000-0002-0000-1700-00007D000000}">
          <x14:formula1>
            <xm:f>'Home Office data - DO NOT EDIT'!$B$112</xm:f>
          </x14:formula1>
          <xm:sqref>B114</xm:sqref>
        </x14:dataValidation>
        <x14:dataValidation type="list" allowBlank="1" showInputMessage="1" xr:uid="{00000000-0002-0000-1700-00007E000000}">
          <x14:formula1>
            <xm:f>'Home Office data - DO NOT EDIT'!$C$107</xm:f>
          </x14:formula1>
          <xm:sqref>F109</xm:sqref>
        </x14:dataValidation>
        <x14:dataValidation type="list" allowBlank="1" showInputMessage="1" xr:uid="{00000000-0002-0000-1700-00007F000000}">
          <x14:formula1>
            <xm:f>'Home Office data - DO NOT EDIT'!$C$108</xm:f>
          </x14:formula1>
          <xm:sqref>F110</xm:sqref>
        </x14:dataValidation>
        <x14:dataValidation type="list" allowBlank="1" showInputMessage="1" xr:uid="{00000000-0002-0000-1700-000080000000}">
          <x14:formula1>
            <xm:f>'Home Office data - DO NOT EDIT'!$C$109</xm:f>
          </x14:formula1>
          <xm:sqref>F111</xm:sqref>
        </x14:dataValidation>
        <x14:dataValidation type="list" allowBlank="1" showInputMessage="1" xr:uid="{00000000-0002-0000-1700-000081000000}">
          <x14:formula1>
            <xm:f>'Home Office data - DO NOT EDIT'!$C$110</xm:f>
          </x14:formula1>
          <xm:sqref>F112</xm:sqref>
        </x14:dataValidation>
        <x14:dataValidation type="list" allowBlank="1" showInputMessage="1" xr:uid="{00000000-0002-0000-1700-000082000000}">
          <x14:formula1>
            <xm:f>'Home Office data - DO NOT EDIT'!$C$111</xm:f>
          </x14:formula1>
          <xm:sqref>F113</xm:sqref>
        </x14:dataValidation>
        <x14:dataValidation type="list" allowBlank="1" showInputMessage="1" xr:uid="{00000000-0002-0000-1700-000083000000}">
          <x14:formula1>
            <xm:f>'Home Office data - DO NOT EDIT'!$C$112</xm:f>
          </x14:formula1>
          <xm:sqref>F114</xm:sqref>
        </x14:dataValidation>
        <x14:dataValidation type="list" allowBlank="1" showInputMessage="1" xr:uid="{00000000-0002-0000-1700-000084000000}">
          <x14:formula1>
            <xm:f>'Home Office data - DO NOT EDIT'!$B$5</xm:f>
          </x14:formula1>
          <xm:sqref>B7</xm:sqref>
        </x14:dataValidation>
        <x14:dataValidation type="list" allowBlank="1" showInputMessage="1" xr:uid="{00000000-0002-0000-1700-000085000000}">
          <x14:formula1>
            <xm:f>'Home Office data - DO NOT EDIT'!$B$8</xm:f>
          </x14:formula1>
          <xm:sqref>B10</xm:sqref>
        </x14:dataValidation>
        <x14:dataValidation type="list" allowBlank="1" showInputMessage="1" showErrorMessage="1" xr:uid="{00000000-0002-0000-1700-000086000000}">
          <x14:formula1>
            <xm:f>'Home Office data - DO NOT EDIT'!$B$9</xm:f>
          </x14:formula1>
          <xm:sqref>B11</xm:sqref>
        </x14:dataValidation>
        <x14:dataValidation type="list" allowBlank="1" showInputMessage="1" xr:uid="{00000000-0002-0000-1700-000087000000}">
          <x14:formula1>
            <xm:f>'Home Office data - DO NOT EDIT'!$B$10</xm:f>
          </x14:formula1>
          <xm:sqref>B12</xm:sqref>
        </x14:dataValidation>
        <x14:dataValidation type="list" allowBlank="1" showInputMessage="1" xr:uid="{00000000-0002-0000-1700-000088000000}">
          <x14:formula1>
            <xm:f>'Home Office data - DO NOT EDIT'!$B$11</xm:f>
          </x14:formula1>
          <xm:sqref>B13</xm:sqref>
        </x14:dataValidation>
        <x14:dataValidation type="list" allowBlank="1" showInputMessage="1" xr:uid="{00000000-0002-0000-1700-000089000000}">
          <x14:formula1>
            <xm:f>'Home Office data - DO NOT EDIT'!$B$12</xm:f>
          </x14:formula1>
          <xm:sqref>B14</xm:sqref>
        </x14:dataValidation>
        <x14:dataValidation type="list" allowBlank="1" showInputMessage="1" xr:uid="{00000000-0002-0000-1700-00008A000000}">
          <x14:formula1>
            <xm:f>'Home Office data - DO NOT EDIT'!$B$13</xm:f>
          </x14:formula1>
          <xm:sqref>B15</xm:sqref>
        </x14:dataValidation>
        <x14:dataValidation type="list" allowBlank="1" showInputMessage="1" xr:uid="{00000000-0002-0000-1700-00008B000000}">
          <x14:formula1>
            <xm:f>'Home Office data - DO NOT EDIT'!$B$15</xm:f>
          </x14:formula1>
          <xm:sqref>B16:B17</xm:sqref>
        </x14:dataValidation>
        <x14:dataValidation type="list" allowBlank="1" showInputMessage="1" xr:uid="{00000000-0002-0000-1700-00008C000000}">
          <x14:formula1>
            <xm:f>'Home Office data - DO NOT EDIT'!$B$16</xm:f>
          </x14:formula1>
          <xm:sqref>B18</xm:sqref>
        </x14:dataValidation>
        <x14:dataValidation type="list" allowBlank="1" showInputMessage="1" xr:uid="{00000000-0002-0000-1700-00008D000000}">
          <x14:formula1>
            <xm:f>'Home Office data - DO NOT EDIT'!$B$17</xm:f>
          </x14:formula1>
          <xm:sqref>B19</xm:sqref>
        </x14:dataValidation>
        <x14:dataValidation type="list" allowBlank="1" showInputMessage="1" xr:uid="{00000000-0002-0000-1700-00008E000000}">
          <x14:formula1>
            <xm:f>'Home Office data - DO NOT EDIT'!$B$18</xm:f>
          </x14:formula1>
          <xm:sqref>B20</xm:sqref>
        </x14:dataValidation>
        <x14:dataValidation type="list" allowBlank="1" showInputMessage="1" xr:uid="{00000000-0002-0000-1700-00008F000000}">
          <x14:formula1>
            <xm:f>'Home Office data - DO NOT EDIT'!$C$6</xm:f>
          </x14:formula1>
          <xm:sqref>F8</xm:sqref>
        </x14:dataValidation>
        <x14:dataValidation type="list" allowBlank="1" showInputMessage="1" xr:uid="{00000000-0002-0000-1700-000090000000}">
          <x14:formula1>
            <xm:f>'Home Office data - DO NOT EDIT'!$C$8</xm:f>
          </x14:formula1>
          <xm:sqref>F9:F10</xm:sqref>
        </x14:dataValidation>
        <x14:dataValidation type="list" allowBlank="1" showInputMessage="1" xr:uid="{00000000-0002-0000-1700-000091000000}">
          <x14:formula1>
            <xm:f>'Home Office data - DO NOT EDIT'!$C$9</xm:f>
          </x14:formula1>
          <xm:sqref>F11</xm:sqref>
        </x14:dataValidation>
        <x14:dataValidation type="list" allowBlank="1" showInputMessage="1" xr:uid="{00000000-0002-0000-1700-000092000000}">
          <x14:formula1>
            <xm:f>'Home Office data - DO NOT EDIT'!$C$10</xm:f>
          </x14:formula1>
          <xm:sqref>F12</xm:sqref>
        </x14:dataValidation>
        <x14:dataValidation type="list" allowBlank="1" showInputMessage="1" xr:uid="{00000000-0002-0000-1700-000093000000}">
          <x14:formula1>
            <xm:f>'Home Office data - DO NOT EDIT'!$C$11</xm:f>
          </x14:formula1>
          <xm:sqref>F13</xm:sqref>
        </x14:dataValidation>
        <x14:dataValidation type="list" allowBlank="1" showInputMessage="1" xr:uid="{00000000-0002-0000-1700-000094000000}">
          <x14:formula1>
            <xm:f>'Home Office data - DO NOT EDIT'!$C$12</xm:f>
          </x14:formula1>
          <xm:sqref>F14</xm:sqref>
        </x14:dataValidation>
        <x14:dataValidation type="list" allowBlank="1" showInputMessage="1" xr:uid="{00000000-0002-0000-1700-000095000000}">
          <x14:formula1>
            <xm:f>'Home Office data - DO NOT EDIT'!$C$13</xm:f>
          </x14:formula1>
          <xm:sqref>F15</xm:sqref>
        </x14:dataValidation>
        <x14:dataValidation type="list" allowBlank="1" showInputMessage="1" xr:uid="{00000000-0002-0000-1700-000096000000}">
          <x14:formula1>
            <xm:f>'Home Office data - DO NOT EDIT'!$C$15</xm:f>
          </x14:formula1>
          <xm:sqref>F17</xm:sqref>
        </x14:dataValidation>
        <x14:dataValidation type="list" allowBlank="1" showInputMessage="1" xr:uid="{00000000-0002-0000-1700-000097000000}">
          <x14:formula1>
            <xm:f>'Home Office data - DO NOT EDIT'!$C$16</xm:f>
          </x14:formula1>
          <xm:sqref>F18</xm:sqref>
        </x14:dataValidation>
        <x14:dataValidation type="list" allowBlank="1" showInputMessage="1" xr:uid="{00000000-0002-0000-1700-000098000000}">
          <x14:formula1>
            <xm:f>'Home Office data - DO NOT EDIT'!$C$17</xm:f>
          </x14:formula1>
          <xm:sqref>F19</xm:sqref>
        </x14:dataValidation>
        <x14:dataValidation type="list" allowBlank="1" showInputMessage="1" xr:uid="{00000000-0002-0000-1700-000099000000}">
          <x14:formula1>
            <xm:f>'Home Office data - DO NOT EDIT'!$C$18</xm:f>
          </x14:formula1>
          <xm:sqref>F20</xm:sqref>
        </x14:dataValidation>
        <x14:dataValidation type="list" allowBlank="1" showInputMessage="1" xr:uid="{00000000-0002-0000-1700-00009A000000}">
          <x14:formula1>
            <xm:f>'Home Office data - DO NOT EDIT'!$C$48</xm:f>
          </x14:formula1>
          <xm:sqref>F50</xm:sqref>
        </x14:dataValidation>
        <x14:dataValidation type="list" allowBlank="1" showInputMessage="1" xr:uid="{00000000-0002-0000-1700-00009B000000}">
          <x14:formula1>
            <xm:f>'Home Office data - DO NOT EDIT'!$C$49</xm:f>
          </x14:formula1>
          <xm:sqref>F51</xm:sqref>
        </x14:dataValidation>
        <x14:dataValidation type="list" allowBlank="1" showInputMessage="1" xr:uid="{00000000-0002-0000-1700-00009C000000}">
          <x14:formula1>
            <xm:f>'Home Office data - DO NOT EDIT'!$C$51</xm:f>
          </x14:formula1>
          <xm:sqref>F53</xm:sqref>
        </x14:dataValidation>
        <x14:dataValidation type="list" allowBlank="1" showInputMessage="1" xr:uid="{00000000-0002-0000-1700-00009D000000}">
          <x14:formula1>
            <xm:f>'Home Office data - DO NOT EDIT'!$C$52</xm:f>
          </x14:formula1>
          <xm:sqref>F54</xm:sqref>
        </x14:dataValidation>
        <x14:dataValidation type="list" allowBlank="1" showInputMessage="1" xr:uid="{00000000-0002-0000-1700-00009E000000}">
          <x14:formula1>
            <xm:f>'Home Office data - DO NOT EDIT'!$C$54</xm:f>
          </x14:formula1>
          <xm:sqref>F56</xm:sqref>
        </x14:dataValidation>
        <x14:dataValidation type="list" allowBlank="1" showInputMessage="1" xr:uid="{00000000-0002-0000-1700-00009F000000}">
          <x14:formula1>
            <xm:f>'Home Office data - DO NOT EDIT'!$C$55</xm:f>
          </x14:formula1>
          <xm:sqref>F57</xm:sqref>
        </x14:dataValidation>
        <x14:dataValidation type="list" allowBlank="1" showInputMessage="1" xr:uid="{00000000-0002-0000-1700-0000A0000000}">
          <x14:formula1>
            <xm:f>'Home Office data - DO NOT EDIT'!$C$53</xm:f>
          </x14:formula1>
          <xm:sqref>F55</xm:sqref>
        </x14:dataValidation>
        <x14:dataValidation type="list" allowBlank="1" showInputMessage="1" xr:uid="{00000000-0002-0000-1700-0000A1000000}">
          <x14:formula1>
            <xm:f>'Home Office data - DO NOT EDIT'!$B$6</xm:f>
          </x14:formula1>
          <xm:sqref>B8</xm:sqref>
        </x14:dataValidation>
        <x14:dataValidation type="list" allowBlank="1" showInputMessage="1" xr:uid="{00000000-0002-0000-1700-0000A2000000}">
          <x14:formula1>
            <xm:f>'Home Office data - DO NOT EDIT'!$B$7</xm:f>
          </x14:formula1>
          <xm:sqref>B9</xm:sqref>
        </x14:dataValidation>
        <x14:dataValidation type="list" allowBlank="1" showInputMessage="1" xr:uid="{00000000-0002-0000-1700-0000A3000000}">
          <x14:formula1>
            <xm:f>'Home Office data - DO NOT EDIT'!$C$14</xm:f>
          </x14:formula1>
          <xm:sqref>F16</xm:sqref>
        </x14:dataValidation>
        <x14:dataValidation type="list" allowBlank="1" showInputMessage="1" xr:uid="{00000000-0002-0000-1700-0000A4000000}">
          <x14:formula1>
            <xm:f>'Home Office data - DO NOT EDIT'!$C$5</xm:f>
          </x14:formula1>
          <xm:sqref>F7</xm:sqref>
        </x14:dataValidation>
        <x14:dataValidation type="list" allowBlank="1" showInputMessage="1" xr:uid="{00000000-0002-0000-1700-0000A5000000}">
          <x14:formula1>
            <xm:f>'Home Office data - DO NOT EDIT'!$B$51</xm:f>
          </x14:formula1>
          <xm:sqref>B53</xm:sqref>
        </x14:dataValidation>
        <x14:dataValidation type="list" allowBlank="1" showInputMessage="1" xr:uid="{00000000-0002-0000-1700-0000A6000000}">
          <x14:formula1>
            <xm:f>'Home Office data - DO NOT EDIT'!$B$44</xm:f>
          </x14:formula1>
          <xm:sqref>B46</xm:sqref>
        </x14:dataValidation>
        <x14:dataValidation type="list" allowBlank="1" showInputMessage="1" xr:uid="{00000000-0002-0000-1700-0000A7000000}">
          <x14:formula1>
            <xm:f>'Home Office data - DO NOT EDIT'!$C$44</xm:f>
          </x14:formula1>
          <xm:sqref>F46</xm:sqref>
        </x14:dataValidation>
        <x14:dataValidation type="list" allowBlank="1" showInputMessage="1" xr:uid="{00000000-0002-0000-1700-0000A8000000}">
          <x14:formula1>
            <xm:f>'Home Office data - DO NOT EDIT'!$C$45</xm:f>
          </x14:formula1>
          <xm:sqref>F47</xm:sqref>
        </x14:dataValidation>
        <x14:dataValidation type="list" allowBlank="1" showInputMessage="1" xr:uid="{00000000-0002-0000-1700-0000A9000000}">
          <x14:formula1>
            <xm:f>'Home Office data - DO NOT EDIT'!$C$46</xm:f>
          </x14:formula1>
          <xm:sqref>F48</xm:sqref>
        </x14:dataValidation>
        <x14:dataValidation type="list" allowBlank="1" showInputMessage="1" xr:uid="{00000000-0002-0000-1700-0000AA000000}">
          <x14:formula1>
            <xm:f>'Home Office data - DO NOT EDIT'!$C$47</xm:f>
          </x14:formula1>
          <xm:sqref>F49</xm:sqref>
        </x14:dataValidation>
        <x14:dataValidation type="list" allowBlank="1" showInputMessage="1" xr:uid="{00000000-0002-0000-1700-0000AB000000}">
          <x14:formula1>
            <xm:f>'Home Office data - DO NOT EDIT'!$C$50</xm:f>
          </x14:formula1>
          <xm:sqref>F52</xm:sqref>
        </x14:dataValidation>
        <x14:dataValidation type="list" allowBlank="1" showInputMessage="1" xr:uid="{00000000-0002-0000-1700-0000AC000000}">
          <x14:formula1>
            <xm:f>'Home Office data - DO NOT EDIT'!$C$56</xm:f>
          </x14:formula1>
          <xm:sqref>F58</xm:sqref>
        </x14:dataValidation>
        <x14:dataValidation type="list" allowBlank="1" showInputMessage="1" xr:uid="{00000000-0002-0000-1700-0000AD000000}">
          <x14:formula1>
            <xm:f>'Home Office data - DO NOT EDIT'!$F43</xm:f>
          </x14:formula1>
          <xm:sqref>R45:R58</xm:sqref>
        </x14:dataValidation>
        <x14:dataValidation type="list" allowBlank="1" showInputMessage="1" xr:uid="{00000000-0002-0000-1700-0000AE000000}">
          <x14:formula1>
            <xm:f>'Home Office data - DO NOT EDIT'!$B82</xm:f>
          </x14:formula1>
          <xm:sqref>B84:B97</xm:sqref>
        </x14:dataValidation>
        <x14:dataValidation type="list" allowBlank="1" showInputMessage="1" xr:uid="{00000000-0002-0000-1700-0000AF000000}">
          <x14:formula1>
            <xm:f>'Home Office data - DO NOT EDIT'!$C82</xm:f>
          </x14:formula1>
          <xm:sqref>F84:F97</xm:sqref>
        </x14:dataValidation>
        <x14:dataValidation type="list" allowBlank="1" showInputMessage="1" xr:uid="{00000000-0002-0000-1700-0000B0000000}">
          <x14:formula1>
            <xm:f>'Home Office data - DO NOT EDIT'!$D43</xm:f>
          </x14:formula1>
          <xm:sqref>J45:J58</xm:sqref>
        </x14:dataValidation>
        <x14:dataValidation type="list" allowBlank="1" showInputMessage="1" xr:uid="{00000000-0002-0000-1700-0000B1000000}">
          <x14:formula1>
            <xm:f>'Home Office data - DO NOT EDIT'!$E43</xm:f>
          </x14:formula1>
          <xm:sqref>N45:N58</xm:sqref>
        </x14:dataValidation>
      </x14:dataValidations>
    </ex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tabColor theme="2" tint="-0.249977111117893"/>
  </sheetPr>
  <dimension ref="A1:BU71"/>
  <sheetViews>
    <sheetView workbookViewId="0"/>
  </sheetViews>
  <sheetFormatPr defaultColWidth="8.69140625" defaultRowHeight="15.5"/>
  <cols>
    <col min="1" max="1" width="52.23046875" style="114" customWidth="1"/>
    <col min="2" max="2" width="8.69140625" style="114"/>
    <col min="3" max="3" width="8.69140625" style="114" customWidth="1"/>
    <col min="4" max="4" width="8.61328125" style="114" bestFit="1" customWidth="1"/>
    <col min="5" max="6" width="8.69140625" style="114" customWidth="1"/>
    <col min="7" max="7" width="8.69140625" style="114" hidden="1" customWidth="1"/>
    <col min="8" max="26" width="8.921875" style="114" hidden="1" customWidth="1"/>
    <col min="27" max="27" width="9.4609375" style="114" customWidth="1"/>
    <col min="28" max="28" width="20.61328125" style="114" customWidth="1"/>
    <col min="29" max="29" width="10.15234375" style="114" customWidth="1"/>
    <col min="30" max="30" width="28.84375" style="114" bestFit="1" customWidth="1"/>
    <col min="31" max="31" width="38.23046875" style="114" bestFit="1" customWidth="1"/>
    <col min="32" max="32" width="13.07421875" style="114" customWidth="1"/>
    <col min="33" max="33" width="9.921875" style="114" customWidth="1"/>
    <col min="34" max="34" width="13.4609375" style="114" hidden="1" customWidth="1"/>
    <col min="35" max="35" width="25.921875" style="114" customWidth="1"/>
    <col min="36" max="36" width="2.23046875" style="114" customWidth="1"/>
    <col min="37" max="37" width="12.61328125" style="114" customWidth="1"/>
    <col min="38" max="38" width="13.69140625" style="114" customWidth="1"/>
    <col min="39" max="39" width="11.921875" style="114" customWidth="1"/>
    <col min="40" max="40" width="13.69140625" style="114" customWidth="1"/>
    <col min="41" max="41" width="10.61328125" style="114" customWidth="1"/>
    <col min="42" max="61" width="15.23046875" style="114" hidden="1" customWidth="1"/>
    <col min="62" max="62" width="11.61328125" style="114" customWidth="1"/>
    <col min="63" max="63" width="13.61328125" style="114" customWidth="1"/>
    <col min="64" max="65" width="10.61328125" style="114" hidden="1" customWidth="1"/>
    <col min="66" max="66" width="8.69140625" style="114"/>
    <col min="67" max="67" width="9.4609375" style="114" hidden="1" customWidth="1"/>
    <col min="68" max="68" width="8.69140625" style="114" hidden="1" customWidth="1"/>
    <col min="69" max="69" width="9.4609375" style="114" hidden="1" customWidth="1"/>
    <col min="70" max="73" width="8.69140625" style="114" hidden="1" customWidth="1"/>
    <col min="74" max="78" width="0" style="114" hidden="1" customWidth="1"/>
    <col min="79" max="16384" width="8.69140625" style="114"/>
  </cols>
  <sheetData>
    <row r="1" spans="1:71" ht="43.25" customHeight="1" thickBot="1">
      <c r="A1" s="965" t="s">
        <v>486</v>
      </c>
      <c r="B1" s="1192" t="s">
        <v>341</v>
      </c>
      <c r="C1" s="1192"/>
      <c r="D1" s="1192"/>
      <c r="E1" s="1192"/>
      <c r="F1" s="1192"/>
      <c r="G1" s="1192"/>
      <c r="H1" s="1192"/>
      <c r="I1" s="1192"/>
      <c r="J1" s="1192"/>
      <c r="K1" s="1192"/>
      <c r="L1" s="1192"/>
      <c r="M1" s="1192"/>
      <c r="N1" s="1192"/>
      <c r="O1" s="1192"/>
      <c r="P1" s="1192"/>
      <c r="Q1" s="1192"/>
      <c r="R1" s="1192"/>
      <c r="S1" s="1192"/>
      <c r="T1" s="1192"/>
      <c r="U1" s="1192"/>
      <c r="V1" s="1192"/>
      <c r="W1" s="1192"/>
      <c r="X1" s="1192"/>
      <c r="Y1" s="1192"/>
      <c r="Z1" s="1192"/>
      <c r="AA1" s="1192"/>
      <c r="AB1" s="1193"/>
      <c r="AC1" s="802"/>
      <c r="AD1" s="1192" t="s">
        <v>369</v>
      </c>
      <c r="AE1" s="1192"/>
      <c r="AF1" s="1192"/>
      <c r="AG1" s="1192"/>
      <c r="AH1" s="1192"/>
    </row>
    <row r="2" spans="1:71" ht="197.9" customHeight="1" thickBot="1">
      <c r="A2" s="472"/>
      <c r="B2" s="1107" t="s">
        <v>805</v>
      </c>
      <c r="C2" s="1107"/>
      <c r="D2" s="1107"/>
      <c r="E2" s="1107"/>
      <c r="F2" s="1107"/>
      <c r="G2" s="1107"/>
      <c r="H2" s="1107"/>
      <c r="I2" s="1107"/>
      <c r="J2" s="1107"/>
      <c r="K2" s="1107"/>
      <c r="L2" s="1107"/>
      <c r="M2" s="1107"/>
      <c r="N2" s="1107"/>
      <c r="O2" s="1107"/>
      <c r="P2" s="1107"/>
      <c r="Q2" s="1107"/>
      <c r="R2" s="1107"/>
      <c r="S2" s="1107"/>
      <c r="T2" s="1107"/>
      <c r="U2" s="1107"/>
      <c r="V2" s="1107"/>
      <c r="W2" s="1107"/>
      <c r="X2" s="1107"/>
      <c r="Y2" s="1107"/>
      <c r="Z2" s="1107"/>
      <c r="AA2" s="1107"/>
      <c r="AB2" s="1194"/>
      <c r="AD2" s="1198" t="s">
        <v>806</v>
      </c>
      <c r="AE2" s="1199"/>
      <c r="AF2" s="518"/>
      <c r="AG2" s="518"/>
      <c r="AH2" s="518"/>
      <c r="AI2" s="519"/>
      <c r="AJ2" s="519"/>
      <c r="AK2" s="519"/>
      <c r="AL2" s="519"/>
      <c r="AM2" s="519"/>
      <c r="AN2" s="519"/>
      <c r="AO2" s="519"/>
      <c r="AP2" s="519"/>
      <c r="AQ2" s="519"/>
      <c r="AR2" s="519"/>
      <c r="AS2" s="519"/>
      <c r="AT2" s="519"/>
      <c r="AU2" s="519"/>
      <c r="AV2" s="519"/>
      <c r="AW2" s="519"/>
      <c r="AX2" s="519"/>
      <c r="AY2" s="519"/>
      <c r="AZ2" s="519"/>
      <c r="BA2" s="519"/>
      <c r="BB2" s="519"/>
      <c r="BC2" s="519"/>
      <c r="BD2" s="519"/>
      <c r="BE2" s="519"/>
      <c r="BF2" s="519"/>
      <c r="BG2" s="519"/>
      <c r="BH2" s="519"/>
      <c r="BI2" s="519"/>
      <c r="BJ2" s="519"/>
      <c r="BK2" s="519"/>
      <c r="BL2" s="519"/>
      <c r="BM2" s="520"/>
    </row>
    <row r="3" spans="1:71" ht="93.5" thickBot="1">
      <c r="A3" s="966" t="s">
        <v>393</v>
      </c>
      <c r="B3" s="801" t="s">
        <v>309</v>
      </c>
      <c r="C3" s="801" t="s">
        <v>310</v>
      </c>
      <c r="D3" s="801" t="s">
        <v>311</v>
      </c>
      <c r="E3" s="801" t="s">
        <v>312</v>
      </c>
      <c r="F3" s="801" t="s">
        <v>313</v>
      </c>
      <c r="G3" s="801" t="s">
        <v>314</v>
      </c>
      <c r="H3" s="801" t="s">
        <v>315</v>
      </c>
      <c r="I3" s="801" t="s">
        <v>316</v>
      </c>
      <c r="J3" s="801" t="s">
        <v>317</v>
      </c>
      <c r="K3" s="801" t="s">
        <v>318</v>
      </c>
      <c r="L3" s="801" t="s">
        <v>319</v>
      </c>
      <c r="M3" s="801" t="s">
        <v>320</v>
      </c>
      <c r="N3" s="801" t="s">
        <v>321</v>
      </c>
      <c r="O3" s="801" t="s">
        <v>322</v>
      </c>
      <c r="P3" s="801" t="s">
        <v>323</v>
      </c>
      <c r="Q3" s="801" t="s">
        <v>324</v>
      </c>
      <c r="R3" s="801" t="s">
        <v>325</v>
      </c>
      <c r="S3" s="801" t="s">
        <v>326</v>
      </c>
      <c r="T3" s="801" t="s">
        <v>327</v>
      </c>
      <c r="U3" s="801" t="s">
        <v>328</v>
      </c>
      <c r="V3" s="801" t="s">
        <v>329</v>
      </c>
      <c r="W3" s="801" t="s">
        <v>330</v>
      </c>
      <c r="X3" s="801" t="s">
        <v>331</v>
      </c>
      <c r="Y3" s="801" t="s">
        <v>332</v>
      </c>
      <c r="Z3" s="801" t="s">
        <v>333</v>
      </c>
      <c r="AA3" s="801" t="s">
        <v>403</v>
      </c>
      <c r="AB3" s="967" t="s">
        <v>404</v>
      </c>
      <c r="AC3" s="892"/>
      <c r="AD3" s="968"/>
      <c r="AE3" s="969" t="str">
        <f>CONCATENATE("Financial benefits of the intervention - average benefits per unit of measurement (e.g. enhancement in people' quality of life/well-being, improvement of the physical environment, facilitation in business activity)"," ", "(",'Proposition Summary'!$B$76,")")</f>
        <v>Financial benefits of the intervention - average benefits per unit of measurement (e.g. enhancement in people' quality of life/well-being, improvement of the physical environment, facilitation in business activity) (GBP (£))</v>
      </c>
      <c r="AF3" s="801" t="s">
        <v>382</v>
      </c>
      <c r="AG3" s="801" t="s">
        <v>297</v>
      </c>
      <c r="AH3" s="801" t="s">
        <v>296</v>
      </c>
      <c r="AI3" s="970" t="str">
        <f>CONCATENATE("Benefits per unit of measurement (without inflation and discount)"," ", "(",'Proposition Summary'!$B$76,")")</f>
        <v>Benefits per unit of measurement (without inflation and discount) (GBP (£))</v>
      </c>
      <c r="AJ3" s="971"/>
      <c r="AK3" s="972" t="str">
        <f>CONCATENATE("Financial benefits of the intervention in Year 1"," ", "(",'Proposition Summary'!$B$76,")")</f>
        <v>Financial benefits of the intervention in Year 1 (GBP (£))</v>
      </c>
      <c r="AL3" s="972" t="str">
        <f>CONCATENATE("Financial benefits of the intervention in Year 2"," ", "(",'Proposition Summary'!$B$76,")")</f>
        <v>Financial benefits of the intervention in Year 2 (GBP (£))</v>
      </c>
      <c r="AM3" s="972" t="str">
        <f>CONCATENATE("Financial benefits of the intervention in Year 3"," ", "(",'Proposition Summary'!$B$76,")")</f>
        <v>Financial benefits of the intervention in Year 3 (GBP (£))</v>
      </c>
      <c r="AN3" s="972" t="str">
        <f>CONCATENATE("Financial benefits of the intervention in Year 4"," ", "(",'Proposition Summary'!$B$76,")")</f>
        <v>Financial benefits of the intervention in Year 4 (GBP (£))</v>
      </c>
      <c r="AO3" s="972" t="str">
        <f>CONCATENATE("Financial benefits of the intervention in Year 5"," ", "(",'Proposition Summary'!$B$76,")")</f>
        <v>Financial benefits of the intervention in Year 5 (GBP (£))</v>
      </c>
      <c r="AP3" s="972" t="str">
        <f>CONCATENATE("Financial benefits of the intervention in Year 6"," ", "(",'Proposition Summary'!$B$76,")")</f>
        <v>Financial benefits of the intervention in Year 6 (GBP (£))</v>
      </c>
      <c r="AQ3" s="972" t="str">
        <f>CONCATENATE("Financial benefits of the intervention in Year 7"," ", "(",'Proposition Summary'!$B$76,")")</f>
        <v>Financial benefits of the intervention in Year 7 (GBP (£))</v>
      </c>
      <c r="AR3" s="972" t="str">
        <f>CONCATENATE("Financial benefits of the intervention in Year 8"," ", "(",'Proposition Summary'!$B$76,")")</f>
        <v>Financial benefits of the intervention in Year 8 (GBP (£))</v>
      </c>
      <c r="AS3" s="972" t="str">
        <f>CONCATENATE("Financial benefits of the intervention in Year 9"," ", "(",'Proposition Summary'!$B$76,")")</f>
        <v>Financial benefits of the intervention in Year 9 (GBP (£))</v>
      </c>
      <c r="AT3" s="972" t="str">
        <f>CONCATENATE("Financial benefits of the intervention in Year 10"," ", "(",'Proposition Summary'!$B$76,")")</f>
        <v>Financial benefits of the intervention in Year 10 (GBP (£))</v>
      </c>
      <c r="AU3" s="972" t="str">
        <f>CONCATENATE("Financial benefits of the intervention in Year 11"," ", "(",'Proposition Summary'!$B$76,")")</f>
        <v>Financial benefits of the intervention in Year 11 (GBP (£))</v>
      </c>
      <c r="AV3" s="972" t="str">
        <f>CONCATENATE("Financial benefits of the intervention in Year 12"," ", "(",'Proposition Summary'!$B$76,")")</f>
        <v>Financial benefits of the intervention in Year 12 (GBP (£))</v>
      </c>
      <c r="AW3" s="972" t="str">
        <f>CONCATENATE("Financial benefits of the intervention in Year 13"," ", "(",'Proposition Summary'!$B$76,")")</f>
        <v>Financial benefits of the intervention in Year 13 (GBP (£))</v>
      </c>
      <c r="AX3" s="972" t="str">
        <f>CONCATENATE("Financial benefits of the intervention in Year 14"," ", "(",'Proposition Summary'!$B$76,")")</f>
        <v>Financial benefits of the intervention in Year 14 (GBP (£))</v>
      </c>
      <c r="AY3" s="972" t="str">
        <f>CONCATENATE("Financial benefits of the intervention in Year 15"," ", "(",'Proposition Summary'!$B$76,")")</f>
        <v>Financial benefits of the intervention in Year 15 (GBP (£))</v>
      </c>
      <c r="AZ3" s="972" t="str">
        <f>CONCATENATE("Financial benefits of the intervention in Year 16"," ", "(",'Proposition Summary'!$B$76,")")</f>
        <v>Financial benefits of the intervention in Year 16 (GBP (£))</v>
      </c>
      <c r="BA3" s="972" t="str">
        <f>CONCATENATE("Financial benefits of the intervention in Year 17"," ", "(",'Proposition Summary'!$B$76,")")</f>
        <v>Financial benefits of the intervention in Year 17 (GBP (£))</v>
      </c>
      <c r="BB3" s="972" t="str">
        <f>CONCATENATE("Financial benefits of the intervention in Year 18"," ", "(",'Proposition Summary'!$B$76,")")</f>
        <v>Financial benefits of the intervention in Year 18 (GBP (£))</v>
      </c>
      <c r="BC3" s="972" t="str">
        <f>CONCATENATE("Financial benefits of the intervention in Year 19"," ", "(",'Proposition Summary'!$B$76,")")</f>
        <v>Financial benefits of the intervention in Year 19 (GBP (£))</v>
      </c>
      <c r="BD3" s="972" t="str">
        <f>CONCATENATE("Financial benefits of the intervention in Year 20"," ", "(",'Proposition Summary'!$B$76,")")</f>
        <v>Financial benefits of the intervention in Year 20 (GBP (£))</v>
      </c>
      <c r="BE3" s="972" t="str">
        <f>CONCATENATE("Financial benefits of the intervention in Year 21"," ", "(",'Proposition Summary'!$B$76,")")</f>
        <v>Financial benefits of the intervention in Year 21 (GBP (£))</v>
      </c>
      <c r="BF3" s="972" t="str">
        <f>CONCATENATE("Financial benefits of the intervention in Year 22"," ", "(",'Proposition Summary'!$B$76,")")</f>
        <v>Financial benefits of the intervention in Year 22 (GBP (£))</v>
      </c>
      <c r="BG3" s="972" t="str">
        <f>CONCATENATE("Financial benefits of the intervention in Year 23"," ", "(",'Proposition Summary'!$B$76,")")</f>
        <v>Financial benefits of the intervention in Year 23 (GBP (£))</v>
      </c>
      <c r="BH3" s="972" t="str">
        <f>CONCATENATE("Financial benefits of the intervention in Year 24"," ", "(",'Proposition Summary'!$B$76,")")</f>
        <v>Financial benefits of the intervention in Year 24 (GBP (£))</v>
      </c>
      <c r="BI3" s="972" t="str">
        <f>CONCATENATE("Financial benefits of the intervention in Year 25"," ", "(",'Proposition Summary'!$B$76,")")</f>
        <v>Financial benefits of the intervention in Year 25 (GBP (£))</v>
      </c>
      <c r="BJ3" s="970" t="str">
        <f>CONCATENATE("Total Benefits"," ", "(",'Proposition Summary'!$B$76,")")</f>
        <v>Total Benefits (GBP (£))</v>
      </c>
      <c r="BK3" s="970" t="str">
        <f>CONCATENATE("Annual Benefits"," ", "(",'Proposition Summary'!$B$76,")")</f>
        <v>Annual Benefits (GBP (£))</v>
      </c>
      <c r="BL3" s="970" t="str">
        <f>CONCATENATE("Worst-case Estimate"," ", "(",'Proposition Summary'!$B$76,")")</f>
        <v>Worst-case Estimate (GBP (£))</v>
      </c>
      <c r="BM3" s="973" t="str">
        <f>CONCATENATE("Best-case Estimate"," ", "(",'Proposition Summary'!$B$76,")")</f>
        <v>Best-case Estimate (GBP (£))</v>
      </c>
      <c r="BO3" s="176" t="s">
        <v>271</v>
      </c>
      <c r="BP3" s="176" t="s">
        <v>272</v>
      </c>
      <c r="BQ3" s="521" t="s">
        <v>273</v>
      </c>
      <c r="BR3" s="176"/>
    </row>
    <row r="4" spans="1:71" ht="16.5" hidden="1" thickTop="1" thickBot="1">
      <c r="A4" s="522"/>
      <c r="B4" s="523"/>
      <c r="C4" s="523"/>
      <c r="D4" s="523"/>
      <c r="E4" s="523"/>
      <c r="F4" s="523"/>
      <c r="G4" s="524"/>
      <c r="H4" s="524"/>
      <c r="I4" s="524"/>
      <c r="J4" s="524"/>
      <c r="K4" s="524"/>
      <c r="L4" s="524"/>
      <c r="M4" s="524"/>
      <c r="N4" s="524"/>
      <c r="O4" s="524"/>
      <c r="P4" s="524"/>
      <c r="Q4" s="524"/>
      <c r="R4" s="524"/>
      <c r="S4" s="524"/>
      <c r="T4" s="524"/>
      <c r="U4" s="524"/>
      <c r="V4" s="524"/>
      <c r="W4" s="524"/>
      <c r="X4" s="524"/>
      <c r="Y4" s="524"/>
      <c r="Z4" s="524"/>
      <c r="AA4" s="525">
        <f t="array" ref="AA4">(SUM( IF(ISERROR(B4:Z4),"", B4:Z4)))</f>
        <v>0</v>
      </c>
      <c r="AB4" s="134">
        <f t="array" ref="AB4">(SUM( IF(ISERROR(B4:Z4),"", B4:Z4)))/time</f>
        <v>0</v>
      </c>
      <c r="AC4" s="526"/>
      <c r="AD4" s="202"/>
      <c r="AE4" s="523"/>
      <c r="AF4" s="270"/>
      <c r="AG4" s="527"/>
      <c r="AH4" s="528"/>
      <c r="AI4" s="276">
        <f t="shared" ref="AI4:AI13" si="0">AE4*(1-AH4)</f>
        <v>0</v>
      </c>
      <c r="AJ4" s="529">
        <v>1</v>
      </c>
      <c r="AK4" s="276">
        <f t="shared" ref="AK4:AK13" si="1">IF(AK$69&lt;=time,B4*$AI4,"")</f>
        <v>0</v>
      </c>
      <c r="AL4" s="276">
        <f t="shared" ref="AL4:AL13" si="2">IF(AL$69&lt;=time,C4*$AI4,"")</f>
        <v>0</v>
      </c>
      <c r="AM4" s="276">
        <f t="shared" ref="AM4:AM13" si="3">IF(AM$69&lt;=time,D4*$AI4,"")</f>
        <v>0</v>
      </c>
      <c r="AN4" s="276">
        <f t="shared" ref="AN4:AN13" si="4">IF(AN$69&lt;=time,E4*$AI4,"")</f>
        <v>0</v>
      </c>
      <c r="AO4" s="276">
        <f t="shared" ref="AO4:AO13" si="5">IF(AO$69&lt;=time,F4*$AI4,"")</f>
        <v>0</v>
      </c>
      <c r="AP4" s="276" t="str">
        <f t="shared" ref="AP4:AP13" si="6">IF(AP$69&lt;=time,G4*$AI4,"")</f>
        <v/>
      </c>
      <c r="AQ4" s="276" t="str">
        <f t="shared" ref="AQ4:AQ13" si="7">IF(AQ$69&lt;=time,H4*$AI4,"")</f>
        <v/>
      </c>
      <c r="AR4" s="276" t="str">
        <f t="shared" ref="AR4:AR13" si="8">IF(AR$69&lt;=time,I4*$AI4,"")</f>
        <v/>
      </c>
      <c r="AS4" s="276" t="str">
        <f t="shared" ref="AS4:AS13" si="9">IF(AS$69&lt;=time,J4*$AI4,"")</f>
        <v/>
      </c>
      <c r="AT4" s="276" t="str">
        <f t="shared" ref="AT4:AT13" si="10">IF(AT$69&lt;=time,K4*$AI4,"")</f>
        <v/>
      </c>
      <c r="AU4" s="276" t="str">
        <f t="shared" ref="AU4:AU13" si="11">IF(AU$69&lt;=time,L4*$AI4,"")</f>
        <v/>
      </c>
      <c r="AV4" s="276" t="str">
        <f t="shared" ref="AV4:AV13" si="12">IF(AV$69&lt;=time,M4*$AI4,"")</f>
        <v/>
      </c>
      <c r="AW4" s="276" t="str">
        <f t="shared" ref="AW4:AW13" si="13">IF(AW$69&lt;=time,N4*$AI4,"")</f>
        <v/>
      </c>
      <c r="AX4" s="276" t="str">
        <f t="shared" ref="AX4:AX13" si="14">IF(AX$69&lt;=time,O4*$AI4,"")</f>
        <v/>
      </c>
      <c r="AY4" s="276" t="str">
        <f t="shared" ref="AY4:AY13" si="15">IF(AY$69&lt;=time,P4*$AI4,"")</f>
        <v/>
      </c>
      <c r="AZ4" s="276" t="str">
        <f t="shared" ref="AZ4:AZ13" si="16">IF(AZ$69&lt;=time,Q4*$AI4,"")</f>
        <v/>
      </c>
      <c r="BA4" s="276" t="str">
        <f t="shared" ref="BA4:BA13" si="17">IF(BA$69&lt;=time,R4*$AI4,"")</f>
        <v/>
      </c>
      <c r="BB4" s="276" t="str">
        <f t="shared" ref="BB4:BB13" si="18">IF(BB$69&lt;=time,S4*$AI4,"")</f>
        <v/>
      </c>
      <c r="BC4" s="276" t="str">
        <f t="shared" ref="BC4:BC13" si="19">IF(BC$69&lt;=time,T4*$AI4,"")</f>
        <v/>
      </c>
      <c r="BD4" s="276" t="str">
        <f t="shared" ref="BD4:BD13" si="20">IF(BD$69&lt;=time,U4*$AI4,"")</f>
        <v/>
      </c>
      <c r="BE4" s="276" t="str">
        <f t="shared" ref="BE4:BE13" si="21">IF(BE$69&lt;=time,V4*$AI4,"")</f>
        <v/>
      </c>
      <c r="BF4" s="276" t="str">
        <f t="shared" ref="BF4:BF13" si="22">IF(BF$69&lt;=time,W4*$AI4,"")</f>
        <v/>
      </c>
      <c r="BG4" s="276" t="str">
        <f t="shared" ref="BG4:BG13" si="23">IF(BG$69&lt;=time,X4*$AI4,"")</f>
        <v/>
      </c>
      <c r="BH4" s="276" t="str">
        <f t="shared" ref="BH4:BH13" si="24">IF(BH$69&lt;=time,Y4*$AI4,"")</f>
        <v/>
      </c>
      <c r="BI4" s="276" t="str">
        <f t="shared" ref="BI4:BI13" si="25">IF(BI$69&lt;=time,Z4*$AI4,"")</f>
        <v/>
      </c>
      <c r="BJ4" s="276">
        <f t="array" ref="BJ4">(SUM( IF(ISERROR(AK4:BI4),"", AK4:BI4)))</f>
        <v>0</v>
      </c>
      <c r="BK4" s="142">
        <f t="array" ref="BK4">(SUM( IF(ISERROR(AK4:BI4),"", AK4:BI4)))/time</f>
        <v>0</v>
      </c>
      <c r="BL4" s="142">
        <f>IF(BR4&gt;0,IF(BK4-BQ4&gt;0, BK4-BQ4, 0),BK4)</f>
        <v>0</v>
      </c>
      <c r="BM4" s="143">
        <f t="shared" ref="BM4:BM13" si="26">IF(BR4&gt;0,BK4+BQ4,BK4)</f>
        <v>0</v>
      </c>
      <c r="BO4" s="176" t="e">
        <f t="array" ref="BO4">STDEV(IF(AK4:BI4&lt;&gt;0,AK4:BI4))</f>
        <v>#DIV/0!</v>
      </c>
      <c r="BP4" s="176">
        <v>1.96</v>
      </c>
      <c r="BQ4" s="176" t="e">
        <f>(BP4*BO4)/(time^0.5)</f>
        <v>#DIV/0!</v>
      </c>
      <c r="BR4" s="176">
        <f>IFERROR(BO4,0)</f>
        <v>0</v>
      </c>
      <c r="BS4" s="176">
        <v>1</v>
      </c>
    </row>
    <row r="5" spans="1:71" hidden="1">
      <c r="A5" s="522" t="s">
        <v>394</v>
      </c>
      <c r="B5" s="523"/>
      <c r="C5" s="524"/>
      <c r="D5" s="524"/>
      <c r="E5" s="524"/>
      <c r="F5" s="524"/>
      <c r="G5" s="524"/>
      <c r="H5" s="524"/>
      <c r="I5" s="524"/>
      <c r="J5" s="524"/>
      <c r="K5" s="524"/>
      <c r="L5" s="524"/>
      <c r="M5" s="524"/>
      <c r="N5" s="524"/>
      <c r="O5" s="524"/>
      <c r="P5" s="524"/>
      <c r="Q5" s="524"/>
      <c r="R5" s="524"/>
      <c r="S5" s="524"/>
      <c r="T5" s="524"/>
      <c r="U5" s="524"/>
      <c r="V5" s="524"/>
      <c r="W5" s="524"/>
      <c r="X5" s="524"/>
      <c r="Y5" s="524"/>
      <c r="Z5" s="524"/>
      <c r="AA5" s="525">
        <f t="array" ref="AA5">(SUM( IF(ISERROR(B5:Z5),"", B5:Z5)))</f>
        <v>0</v>
      </c>
      <c r="AB5" s="134">
        <f t="array" ref="AB5">(SUM( IF(ISERROR(B5:Z5),"", B5:Z5)))/time</f>
        <v>0</v>
      </c>
      <c r="AC5" s="526"/>
      <c r="AD5" s="472"/>
      <c r="AE5" s="523"/>
      <c r="AF5" s="270"/>
      <c r="AG5" s="527"/>
      <c r="AH5" s="528"/>
      <c r="AI5" s="276">
        <f t="shared" si="0"/>
        <v>0</v>
      </c>
      <c r="AJ5" s="529">
        <v>2</v>
      </c>
      <c r="AK5" s="276">
        <f t="shared" si="1"/>
        <v>0</v>
      </c>
      <c r="AL5" s="276">
        <f t="shared" si="2"/>
        <v>0</v>
      </c>
      <c r="AM5" s="276">
        <f t="shared" si="3"/>
        <v>0</v>
      </c>
      <c r="AN5" s="276">
        <f t="shared" si="4"/>
        <v>0</v>
      </c>
      <c r="AO5" s="276">
        <f t="shared" si="5"/>
        <v>0</v>
      </c>
      <c r="AP5" s="276" t="str">
        <f t="shared" si="6"/>
        <v/>
      </c>
      <c r="AQ5" s="276" t="str">
        <f t="shared" si="7"/>
        <v/>
      </c>
      <c r="AR5" s="276" t="str">
        <f t="shared" si="8"/>
        <v/>
      </c>
      <c r="AS5" s="276" t="str">
        <f t="shared" si="9"/>
        <v/>
      </c>
      <c r="AT5" s="276" t="str">
        <f t="shared" si="10"/>
        <v/>
      </c>
      <c r="AU5" s="276" t="str">
        <f t="shared" si="11"/>
        <v/>
      </c>
      <c r="AV5" s="276" t="str">
        <f t="shared" si="12"/>
        <v/>
      </c>
      <c r="AW5" s="276" t="str">
        <f t="shared" si="13"/>
        <v/>
      </c>
      <c r="AX5" s="276" t="str">
        <f t="shared" si="14"/>
        <v/>
      </c>
      <c r="AY5" s="276" t="str">
        <f t="shared" si="15"/>
        <v/>
      </c>
      <c r="AZ5" s="276" t="str">
        <f t="shared" si="16"/>
        <v/>
      </c>
      <c r="BA5" s="276" t="str">
        <f t="shared" si="17"/>
        <v/>
      </c>
      <c r="BB5" s="276" t="str">
        <f t="shared" si="18"/>
        <v/>
      </c>
      <c r="BC5" s="276" t="str">
        <f t="shared" si="19"/>
        <v/>
      </c>
      <c r="BD5" s="276" t="str">
        <f t="shared" si="20"/>
        <v/>
      </c>
      <c r="BE5" s="276" t="str">
        <f t="shared" si="21"/>
        <v/>
      </c>
      <c r="BF5" s="276" t="str">
        <f t="shared" si="22"/>
        <v/>
      </c>
      <c r="BG5" s="276" t="str">
        <f t="shared" si="23"/>
        <v/>
      </c>
      <c r="BH5" s="276" t="str">
        <f t="shared" si="24"/>
        <v/>
      </c>
      <c r="BI5" s="276" t="str">
        <f t="shared" si="25"/>
        <v/>
      </c>
      <c r="BJ5" s="276">
        <f t="array" ref="BJ5">(SUM( IF(ISERROR(AK5:BI5),"", AK5:BI5)))</f>
        <v>0</v>
      </c>
      <c r="BK5" s="142">
        <f t="array" ref="BK5">(SUM( IF(ISERROR(AK5:BI5),"", AK5:BI5)))/time</f>
        <v>0</v>
      </c>
      <c r="BL5" s="142">
        <f t="shared" ref="BL5:BL13" si="27">IF(BR5&gt;0,IF(BK5-BQ5&gt;0, BK5-BQ5, 0),BK5)</f>
        <v>0</v>
      </c>
      <c r="BM5" s="143">
        <f t="shared" si="26"/>
        <v>0</v>
      </c>
      <c r="BO5" s="176" t="e">
        <f t="array" ref="BO5">STDEV(IF(AK5:BI5&lt;&gt;0,AK5:BI5))</f>
        <v>#DIV/0!</v>
      </c>
      <c r="BP5" s="176">
        <v>1.96</v>
      </c>
      <c r="BQ5" s="176" t="e">
        <f>(BP5*BO5)/(time^0.5)</f>
        <v>#DIV/0!</v>
      </c>
      <c r="BR5" s="176">
        <f t="shared" ref="BR5:BR13" si="28">IFERROR(BO5,0)</f>
        <v>0</v>
      </c>
      <c r="BS5" s="176">
        <v>2</v>
      </c>
    </row>
    <row r="6" spans="1:71" hidden="1">
      <c r="A6" s="522" t="s">
        <v>395</v>
      </c>
      <c r="B6" s="523"/>
      <c r="C6" s="524"/>
      <c r="D6" s="524"/>
      <c r="E6" s="524"/>
      <c r="F6" s="524"/>
      <c r="G6" s="524"/>
      <c r="H6" s="524"/>
      <c r="I6" s="524"/>
      <c r="J6" s="524"/>
      <c r="K6" s="524"/>
      <c r="L6" s="524"/>
      <c r="M6" s="524"/>
      <c r="N6" s="524"/>
      <c r="O6" s="524"/>
      <c r="P6" s="524"/>
      <c r="Q6" s="524"/>
      <c r="R6" s="524"/>
      <c r="S6" s="524"/>
      <c r="T6" s="524"/>
      <c r="U6" s="524"/>
      <c r="V6" s="524"/>
      <c r="W6" s="524"/>
      <c r="X6" s="524"/>
      <c r="Y6" s="524"/>
      <c r="Z6" s="524"/>
      <c r="AA6" s="525">
        <f t="array" ref="AA6">(SUM( IF(ISERROR(B6:Z6),"", B6:Z6)))</f>
        <v>0</v>
      </c>
      <c r="AB6" s="134">
        <f t="array" ref="AB6">(SUM( IF(ISERROR(B6:Z6),"", B6:Z6)))/time</f>
        <v>0</v>
      </c>
      <c r="AC6" s="526"/>
      <c r="AD6" s="472"/>
      <c r="AE6" s="523"/>
      <c r="AF6" s="270"/>
      <c r="AG6" s="527"/>
      <c r="AH6" s="528"/>
      <c r="AI6" s="276">
        <f t="shared" si="0"/>
        <v>0</v>
      </c>
      <c r="AJ6" s="529">
        <v>3</v>
      </c>
      <c r="AK6" s="276">
        <f t="shared" si="1"/>
        <v>0</v>
      </c>
      <c r="AL6" s="276">
        <f t="shared" si="2"/>
        <v>0</v>
      </c>
      <c r="AM6" s="276">
        <f t="shared" si="3"/>
        <v>0</v>
      </c>
      <c r="AN6" s="276">
        <f t="shared" si="4"/>
        <v>0</v>
      </c>
      <c r="AO6" s="276">
        <f t="shared" si="5"/>
        <v>0</v>
      </c>
      <c r="AP6" s="276" t="str">
        <f t="shared" si="6"/>
        <v/>
      </c>
      <c r="AQ6" s="276" t="str">
        <f t="shared" si="7"/>
        <v/>
      </c>
      <c r="AR6" s="276" t="str">
        <f t="shared" si="8"/>
        <v/>
      </c>
      <c r="AS6" s="276" t="str">
        <f t="shared" si="9"/>
        <v/>
      </c>
      <c r="AT6" s="276" t="str">
        <f t="shared" si="10"/>
        <v/>
      </c>
      <c r="AU6" s="276" t="str">
        <f t="shared" si="11"/>
        <v/>
      </c>
      <c r="AV6" s="276" t="str">
        <f t="shared" si="12"/>
        <v/>
      </c>
      <c r="AW6" s="276" t="str">
        <f t="shared" si="13"/>
        <v/>
      </c>
      <c r="AX6" s="276" t="str">
        <f t="shared" si="14"/>
        <v/>
      </c>
      <c r="AY6" s="276" t="str">
        <f t="shared" si="15"/>
        <v/>
      </c>
      <c r="AZ6" s="276" t="str">
        <f t="shared" si="16"/>
        <v/>
      </c>
      <c r="BA6" s="276" t="str">
        <f t="shared" si="17"/>
        <v/>
      </c>
      <c r="BB6" s="276" t="str">
        <f t="shared" si="18"/>
        <v/>
      </c>
      <c r="BC6" s="276" t="str">
        <f t="shared" si="19"/>
        <v/>
      </c>
      <c r="BD6" s="276" t="str">
        <f t="shared" si="20"/>
        <v/>
      </c>
      <c r="BE6" s="276" t="str">
        <f t="shared" si="21"/>
        <v/>
      </c>
      <c r="BF6" s="276" t="str">
        <f t="shared" si="22"/>
        <v/>
      </c>
      <c r="BG6" s="276" t="str">
        <f t="shared" si="23"/>
        <v/>
      </c>
      <c r="BH6" s="276" t="str">
        <f t="shared" si="24"/>
        <v/>
      </c>
      <c r="BI6" s="276" t="str">
        <f t="shared" si="25"/>
        <v/>
      </c>
      <c r="BJ6" s="276">
        <f t="array" ref="BJ6">(SUM( IF(ISERROR(AK6:BI6),"", AK6:BI6)))</f>
        <v>0</v>
      </c>
      <c r="BK6" s="142">
        <f t="array" ref="BK6">(SUM( IF(ISERROR(AK6:BI6),"", AK6:BI6)))/time</f>
        <v>0</v>
      </c>
      <c r="BL6" s="142">
        <f t="shared" si="27"/>
        <v>0</v>
      </c>
      <c r="BM6" s="143">
        <f t="shared" si="26"/>
        <v>0</v>
      </c>
      <c r="BO6" s="176" t="e">
        <f t="array" ref="BO6">STDEV(IF(AK6:BI6&lt;&gt;0,AK6:BI6))</f>
        <v>#DIV/0!</v>
      </c>
      <c r="BP6" s="176">
        <v>1.96</v>
      </c>
      <c r="BQ6" s="176" t="e">
        <f t="shared" ref="BQ6:BQ13" si="29">(BP6*BO6)/(time^0.5)</f>
        <v>#DIV/0!</v>
      </c>
      <c r="BR6" s="176">
        <f t="shared" si="28"/>
        <v>0</v>
      </c>
      <c r="BS6" s="176">
        <v>3</v>
      </c>
    </row>
    <row r="7" spans="1:71" hidden="1">
      <c r="A7" s="522" t="s">
        <v>396</v>
      </c>
      <c r="B7" s="523"/>
      <c r="C7" s="524"/>
      <c r="D7" s="524"/>
      <c r="E7" s="524"/>
      <c r="F7" s="524"/>
      <c r="G7" s="524"/>
      <c r="H7" s="524"/>
      <c r="I7" s="524"/>
      <c r="J7" s="524"/>
      <c r="K7" s="524"/>
      <c r="L7" s="524"/>
      <c r="M7" s="524"/>
      <c r="N7" s="524"/>
      <c r="O7" s="524"/>
      <c r="P7" s="524"/>
      <c r="Q7" s="524"/>
      <c r="R7" s="524"/>
      <c r="S7" s="524"/>
      <c r="T7" s="524"/>
      <c r="U7" s="524"/>
      <c r="V7" s="524"/>
      <c r="W7" s="524"/>
      <c r="X7" s="524"/>
      <c r="Y7" s="524"/>
      <c r="Z7" s="524"/>
      <c r="AA7" s="525">
        <f t="array" ref="AA7">(SUM( IF(ISERROR(B7:Z7),"", B7:Z7)))</f>
        <v>0</v>
      </c>
      <c r="AB7" s="134">
        <f t="array" ref="AB7">(SUM( IF(ISERROR(B7:Z7),"", B7:Z7)))/time</f>
        <v>0</v>
      </c>
      <c r="AC7" s="526"/>
      <c r="AD7" s="472"/>
      <c r="AE7" s="523"/>
      <c r="AF7" s="270"/>
      <c r="AG7" s="527"/>
      <c r="AH7" s="528"/>
      <c r="AI7" s="276">
        <f t="shared" si="0"/>
        <v>0</v>
      </c>
      <c r="AJ7" s="529">
        <v>4</v>
      </c>
      <c r="AK7" s="276">
        <f t="shared" si="1"/>
        <v>0</v>
      </c>
      <c r="AL7" s="276">
        <f t="shared" si="2"/>
        <v>0</v>
      </c>
      <c r="AM7" s="276">
        <f t="shared" si="3"/>
        <v>0</v>
      </c>
      <c r="AN7" s="276">
        <f t="shared" si="4"/>
        <v>0</v>
      </c>
      <c r="AO7" s="276">
        <f t="shared" si="5"/>
        <v>0</v>
      </c>
      <c r="AP7" s="276" t="str">
        <f t="shared" si="6"/>
        <v/>
      </c>
      <c r="AQ7" s="276" t="str">
        <f t="shared" si="7"/>
        <v/>
      </c>
      <c r="AR7" s="276" t="str">
        <f t="shared" si="8"/>
        <v/>
      </c>
      <c r="AS7" s="276" t="str">
        <f t="shared" si="9"/>
        <v/>
      </c>
      <c r="AT7" s="276" t="str">
        <f t="shared" si="10"/>
        <v/>
      </c>
      <c r="AU7" s="276" t="str">
        <f t="shared" si="11"/>
        <v/>
      </c>
      <c r="AV7" s="276" t="str">
        <f t="shared" si="12"/>
        <v/>
      </c>
      <c r="AW7" s="276" t="str">
        <f t="shared" si="13"/>
        <v/>
      </c>
      <c r="AX7" s="276" t="str">
        <f t="shared" si="14"/>
        <v/>
      </c>
      <c r="AY7" s="276" t="str">
        <f t="shared" si="15"/>
        <v/>
      </c>
      <c r="AZ7" s="276" t="str">
        <f t="shared" si="16"/>
        <v/>
      </c>
      <c r="BA7" s="276" t="str">
        <f t="shared" si="17"/>
        <v/>
      </c>
      <c r="BB7" s="276" t="str">
        <f t="shared" si="18"/>
        <v/>
      </c>
      <c r="BC7" s="276" t="str">
        <f t="shared" si="19"/>
        <v/>
      </c>
      <c r="BD7" s="276" t="str">
        <f t="shared" si="20"/>
        <v/>
      </c>
      <c r="BE7" s="276" t="str">
        <f t="shared" si="21"/>
        <v/>
      </c>
      <c r="BF7" s="276" t="str">
        <f t="shared" si="22"/>
        <v/>
      </c>
      <c r="BG7" s="276" t="str">
        <f t="shared" si="23"/>
        <v/>
      </c>
      <c r="BH7" s="276" t="str">
        <f t="shared" si="24"/>
        <v/>
      </c>
      <c r="BI7" s="276" t="str">
        <f t="shared" si="25"/>
        <v/>
      </c>
      <c r="BJ7" s="276">
        <f t="array" ref="BJ7">(SUM( IF(ISERROR(AK7:BI7),"", AK7:BI7)))</f>
        <v>0</v>
      </c>
      <c r="BK7" s="142">
        <f t="array" ref="BK7">(SUM( IF(ISERROR(AK7:BI7),"", AK7:BI7)))/time</f>
        <v>0</v>
      </c>
      <c r="BL7" s="142">
        <f t="shared" si="27"/>
        <v>0</v>
      </c>
      <c r="BM7" s="143">
        <f t="shared" si="26"/>
        <v>0</v>
      </c>
      <c r="BO7" s="176" t="e">
        <f t="array" ref="BO7">STDEV(IF(AK7:BI7&lt;&gt;0,AK7:BI7))</f>
        <v>#DIV/0!</v>
      </c>
      <c r="BP7" s="176">
        <v>1.96</v>
      </c>
      <c r="BQ7" s="176" t="e">
        <f t="shared" si="29"/>
        <v>#DIV/0!</v>
      </c>
      <c r="BR7" s="176">
        <f t="shared" si="28"/>
        <v>0</v>
      </c>
      <c r="BS7" s="176">
        <v>4</v>
      </c>
    </row>
    <row r="8" spans="1:71" hidden="1">
      <c r="A8" s="522" t="s">
        <v>397</v>
      </c>
      <c r="B8" s="523"/>
      <c r="C8" s="524"/>
      <c r="D8" s="524"/>
      <c r="E8" s="524"/>
      <c r="F8" s="524"/>
      <c r="G8" s="524"/>
      <c r="H8" s="524"/>
      <c r="I8" s="524"/>
      <c r="J8" s="524"/>
      <c r="K8" s="524"/>
      <c r="L8" s="524"/>
      <c r="M8" s="524"/>
      <c r="N8" s="524"/>
      <c r="O8" s="524"/>
      <c r="P8" s="524"/>
      <c r="Q8" s="524"/>
      <c r="R8" s="524"/>
      <c r="S8" s="524"/>
      <c r="T8" s="524"/>
      <c r="U8" s="524"/>
      <c r="V8" s="524"/>
      <c r="W8" s="524"/>
      <c r="X8" s="524"/>
      <c r="Y8" s="524"/>
      <c r="Z8" s="524"/>
      <c r="AA8" s="525">
        <f t="array" ref="AA8">(SUM( IF(ISERROR(B8:Z8),"", B8:Z8)))</f>
        <v>0</v>
      </c>
      <c r="AB8" s="134">
        <f t="array" ref="AB8">(SUM( IF(ISERROR(B8:Z8),"", B8:Z8)))/time</f>
        <v>0</v>
      </c>
      <c r="AC8" s="526"/>
      <c r="AD8" s="472"/>
      <c r="AE8" s="523"/>
      <c r="AF8" s="270"/>
      <c r="AG8" s="527"/>
      <c r="AH8" s="528"/>
      <c r="AI8" s="276">
        <f t="shared" si="0"/>
        <v>0</v>
      </c>
      <c r="AJ8" s="529">
        <v>5</v>
      </c>
      <c r="AK8" s="276">
        <f t="shared" si="1"/>
        <v>0</v>
      </c>
      <c r="AL8" s="276">
        <f t="shared" si="2"/>
        <v>0</v>
      </c>
      <c r="AM8" s="276">
        <f t="shared" si="3"/>
        <v>0</v>
      </c>
      <c r="AN8" s="276">
        <f t="shared" si="4"/>
        <v>0</v>
      </c>
      <c r="AO8" s="276">
        <f t="shared" si="5"/>
        <v>0</v>
      </c>
      <c r="AP8" s="276" t="str">
        <f t="shared" si="6"/>
        <v/>
      </c>
      <c r="AQ8" s="276" t="str">
        <f t="shared" si="7"/>
        <v/>
      </c>
      <c r="AR8" s="276" t="str">
        <f t="shared" si="8"/>
        <v/>
      </c>
      <c r="AS8" s="276" t="str">
        <f t="shared" si="9"/>
        <v/>
      </c>
      <c r="AT8" s="276" t="str">
        <f t="shared" si="10"/>
        <v/>
      </c>
      <c r="AU8" s="276" t="str">
        <f t="shared" si="11"/>
        <v/>
      </c>
      <c r="AV8" s="276" t="str">
        <f t="shared" si="12"/>
        <v/>
      </c>
      <c r="AW8" s="276" t="str">
        <f t="shared" si="13"/>
        <v/>
      </c>
      <c r="AX8" s="276" t="str">
        <f t="shared" si="14"/>
        <v/>
      </c>
      <c r="AY8" s="276" t="str">
        <f t="shared" si="15"/>
        <v/>
      </c>
      <c r="AZ8" s="276" t="str">
        <f t="shared" si="16"/>
        <v/>
      </c>
      <c r="BA8" s="276" t="str">
        <f t="shared" si="17"/>
        <v/>
      </c>
      <c r="BB8" s="276" t="str">
        <f t="shared" si="18"/>
        <v/>
      </c>
      <c r="BC8" s="276" t="str">
        <f t="shared" si="19"/>
        <v/>
      </c>
      <c r="BD8" s="276" t="str">
        <f t="shared" si="20"/>
        <v/>
      </c>
      <c r="BE8" s="276" t="str">
        <f t="shared" si="21"/>
        <v/>
      </c>
      <c r="BF8" s="276" t="str">
        <f t="shared" si="22"/>
        <v/>
      </c>
      <c r="BG8" s="276" t="str">
        <f t="shared" si="23"/>
        <v/>
      </c>
      <c r="BH8" s="276" t="str">
        <f t="shared" si="24"/>
        <v/>
      </c>
      <c r="BI8" s="276" t="str">
        <f t="shared" si="25"/>
        <v/>
      </c>
      <c r="BJ8" s="276">
        <f t="array" ref="BJ8">(SUM( IF(ISERROR(AK8:BI8),"", AK8:BI8)))</f>
        <v>0</v>
      </c>
      <c r="BK8" s="142">
        <f t="array" ref="BK8">(SUM( IF(ISERROR(AK8:BI8),"", AK8:BI8)))/time</f>
        <v>0</v>
      </c>
      <c r="BL8" s="142">
        <f t="shared" si="27"/>
        <v>0</v>
      </c>
      <c r="BM8" s="143">
        <f t="shared" si="26"/>
        <v>0</v>
      </c>
      <c r="BO8" s="176" t="e">
        <f t="array" ref="BO8">STDEV(IF(AK8:BI8&lt;&gt;0,AK8:BI8))</f>
        <v>#DIV/0!</v>
      </c>
      <c r="BP8" s="176">
        <v>1.96</v>
      </c>
      <c r="BQ8" s="176" t="e">
        <f t="shared" si="29"/>
        <v>#DIV/0!</v>
      </c>
      <c r="BR8" s="176">
        <f t="shared" si="28"/>
        <v>0</v>
      </c>
      <c r="BS8" s="176">
        <v>5</v>
      </c>
    </row>
    <row r="9" spans="1:71" hidden="1">
      <c r="A9" s="522" t="s">
        <v>398</v>
      </c>
      <c r="B9" s="523"/>
      <c r="C9" s="524"/>
      <c r="D9" s="524"/>
      <c r="E9" s="524"/>
      <c r="F9" s="524"/>
      <c r="G9" s="524"/>
      <c r="H9" s="524"/>
      <c r="I9" s="524"/>
      <c r="J9" s="524"/>
      <c r="K9" s="524"/>
      <c r="L9" s="524"/>
      <c r="M9" s="524"/>
      <c r="N9" s="524"/>
      <c r="O9" s="524"/>
      <c r="P9" s="524"/>
      <c r="Q9" s="524"/>
      <c r="R9" s="524"/>
      <c r="S9" s="524"/>
      <c r="T9" s="524"/>
      <c r="U9" s="524"/>
      <c r="V9" s="524"/>
      <c r="W9" s="524"/>
      <c r="X9" s="524"/>
      <c r="Y9" s="524"/>
      <c r="Z9" s="524"/>
      <c r="AA9" s="525">
        <f t="array" ref="AA9">(SUM( IF(ISERROR(B9:Z9),"", B9:Z9)))</f>
        <v>0</v>
      </c>
      <c r="AB9" s="134">
        <f t="array" ref="AB9">(SUM( IF(ISERROR(B9:Z9),"", B9:Z9)))/time</f>
        <v>0</v>
      </c>
      <c r="AC9" s="526"/>
      <c r="AD9" s="472"/>
      <c r="AE9" s="523"/>
      <c r="AF9" s="270"/>
      <c r="AG9" s="527"/>
      <c r="AH9" s="528"/>
      <c r="AI9" s="276">
        <f t="shared" si="0"/>
        <v>0</v>
      </c>
      <c r="AJ9" s="529">
        <v>6</v>
      </c>
      <c r="AK9" s="276">
        <f t="shared" si="1"/>
        <v>0</v>
      </c>
      <c r="AL9" s="276">
        <f t="shared" si="2"/>
        <v>0</v>
      </c>
      <c r="AM9" s="276">
        <f t="shared" si="3"/>
        <v>0</v>
      </c>
      <c r="AN9" s="276">
        <f t="shared" si="4"/>
        <v>0</v>
      </c>
      <c r="AO9" s="276">
        <f t="shared" si="5"/>
        <v>0</v>
      </c>
      <c r="AP9" s="276" t="str">
        <f t="shared" si="6"/>
        <v/>
      </c>
      <c r="AQ9" s="276" t="str">
        <f t="shared" si="7"/>
        <v/>
      </c>
      <c r="AR9" s="276" t="str">
        <f t="shared" si="8"/>
        <v/>
      </c>
      <c r="AS9" s="276" t="str">
        <f t="shared" si="9"/>
        <v/>
      </c>
      <c r="AT9" s="276" t="str">
        <f t="shared" si="10"/>
        <v/>
      </c>
      <c r="AU9" s="276" t="str">
        <f t="shared" si="11"/>
        <v/>
      </c>
      <c r="AV9" s="276" t="str">
        <f t="shared" si="12"/>
        <v/>
      </c>
      <c r="AW9" s="276" t="str">
        <f t="shared" si="13"/>
        <v/>
      </c>
      <c r="AX9" s="276" t="str">
        <f t="shared" si="14"/>
        <v/>
      </c>
      <c r="AY9" s="276" t="str">
        <f t="shared" si="15"/>
        <v/>
      </c>
      <c r="AZ9" s="276" t="str">
        <f t="shared" si="16"/>
        <v/>
      </c>
      <c r="BA9" s="276" t="str">
        <f t="shared" si="17"/>
        <v/>
      </c>
      <c r="BB9" s="276" t="str">
        <f t="shared" si="18"/>
        <v/>
      </c>
      <c r="BC9" s="276" t="str">
        <f t="shared" si="19"/>
        <v/>
      </c>
      <c r="BD9" s="276" t="str">
        <f t="shared" si="20"/>
        <v/>
      </c>
      <c r="BE9" s="276" t="str">
        <f t="shared" si="21"/>
        <v/>
      </c>
      <c r="BF9" s="276" t="str">
        <f t="shared" si="22"/>
        <v/>
      </c>
      <c r="BG9" s="276" t="str">
        <f t="shared" si="23"/>
        <v/>
      </c>
      <c r="BH9" s="276" t="str">
        <f t="shared" si="24"/>
        <v/>
      </c>
      <c r="BI9" s="276" t="str">
        <f t="shared" si="25"/>
        <v/>
      </c>
      <c r="BJ9" s="276">
        <f t="array" ref="BJ9">(SUM( IF(ISERROR(AK9:BI9),"", AK9:BI9)))</f>
        <v>0</v>
      </c>
      <c r="BK9" s="142">
        <f t="array" ref="BK9">(SUM( IF(ISERROR(AK9:BI9),"", AK9:BI9)))/time</f>
        <v>0</v>
      </c>
      <c r="BL9" s="142">
        <f t="shared" si="27"/>
        <v>0</v>
      </c>
      <c r="BM9" s="143">
        <f t="shared" si="26"/>
        <v>0</v>
      </c>
      <c r="BO9" s="176" t="e">
        <f t="array" ref="BO9">STDEV(IF(AK9:BI9&lt;&gt;0,AK9:BI9))</f>
        <v>#DIV/0!</v>
      </c>
      <c r="BP9" s="176">
        <v>1.96</v>
      </c>
      <c r="BQ9" s="176" t="e">
        <f t="shared" si="29"/>
        <v>#DIV/0!</v>
      </c>
      <c r="BR9" s="176">
        <f t="shared" si="28"/>
        <v>0</v>
      </c>
      <c r="BS9" s="176">
        <v>6</v>
      </c>
    </row>
    <row r="10" spans="1:71" hidden="1">
      <c r="A10" s="522" t="s">
        <v>399</v>
      </c>
      <c r="B10" s="523"/>
      <c r="C10" s="524"/>
      <c r="D10" s="524"/>
      <c r="E10" s="524"/>
      <c r="F10" s="524"/>
      <c r="G10" s="524"/>
      <c r="H10" s="524"/>
      <c r="I10" s="524"/>
      <c r="J10" s="524"/>
      <c r="K10" s="524"/>
      <c r="L10" s="524"/>
      <c r="M10" s="524"/>
      <c r="N10" s="524"/>
      <c r="O10" s="524"/>
      <c r="P10" s="524"/>
      <c r="Q10" s="524"/>
      <c r="R10" s="524"/>
      <c r="S10" s="524"/>
      <c r="T10" s="524"/>
      <c r="U10" s="524"/>
      <c r="V10" s="524"/>
      <c r="W10" s="524"/>
      <c r="X10" s="524"/>
      <c r="Y10" s="524"/>
      <c r="Z10" s="524"/>
      <c r="AA10" s="525">
        <f t="array" ref="AA10">(SUM( IF(ISERROR(B10:Z10),"", B10:Z10)))</f>
        <v>0</v>
      </c>
      <c r="AB10" s="134">
        <f t="array" ref="AB10">(SUM( IF(ISERROR(B10:Z10),"", B10:Z10)))/time</f>
        <v>0</v>
      </c>
      <c r="AC10" s="526"/>
      <c r="AD10" s="472"/>
      <c r="AE10" s="523"/>
      <c r="AF10" s="270"/>
      <c r="AG10" s="527"/>
      <c r="AH10" s="528"/>
      <c r="AI10" s="276">
        <f t="shared" si="0"/>
        <v>0</v>
      </c>
      <c r="AJ10" s="529">
        <v>7</v>
      </c>
      <c r="AK10" s="276">
        <f t="shared" si="1"/>
        <v>0</v>
      </c>
      <c r="AL10" s="276">
        <f t="shared" si="2"/>
        <v>0</v>
      </c>
      <c r="AM10" s="276">
        <f t="shared" si="3"/>
        <v>0</v>
      </c>
      <c r="AN10" s="276">
        <f t="shared" si="4"/>
        <v>0</v>
      </c>
      <c r="AO10" s="276">
        <f t="shared" si="5"/>
        <v>0</v>
      </c>
      <c r="AP10" s="276" t="str">
        <f t="shared" si="6"/>
        <v/>
      </c>
      <c r="AQ10" s="276" t="str">
        <f t="shared" si="7"/>
        <v/>
      </c>
      <c r="AR10" s="276" t="str">
        <f t="shared" si="8"/>
        <v/>
      </c>
      <c r="AS10" s="276" t="str">
        <f t="shared" si="9"/>
        <v/>
      </c>
      <c r="AT10" s="276" t="str">
        <f t="shared" si="10"/>
        <v/>
      </c>
      <c r="AU10" s="276" t="str">
        <f t="shared" si="11"/>
        <v/>
      </c>
      <c r="AV10" s="276" t="str">
        <f t="shared" si="12"/>
        <v/>
      </c>
      <c r="AW10" s="276" t="str">
        <f t="shared" si="13"/>
        <v/>
      </c>
      <c r="AX10" s="276" t="str">
        <f t="shared" si="14"/>
        <v/>
      </c>
      <c r="AY10" s="276" t="str">
        <f t="shared" si="15"/>
        <v/>
      </c>
      <c r="AZ10" s="276" t="str">
        <f t="shared" si="16"/>
        <v/>
      </c>
      <c r="BA10" s="276" t="str">
        <f t="shared" si="17"/>
        <v/>
      </c>
      <c r="BB10" s="276" t="str">
        <f t="shared" si="18"/>
        <v/>
      </c>
      <c r="BC10" s="276" t="str">
        <f t="shared" si="19"/>
        <v/>
      </c>
      <c r="BD10" s="276" t="str">
        <f t="shared" si="20"/>
        <v/>
      </c>
      <c r="BE10" s="276" t="str">
        <f t="shared" si="21"/>
        <v/>
      </c>
      <c r="BF10" s="276" t="str">
        <f t="shared" si="22"/>
        <v/>
      </c>
      <c r="BG10" s="276" t="str">
        <f t="shared" si="23"/>
        <v/>
      </c>
      <c r="BH10" s="276" t="str">
        <f t="shared" si="24"/>
        <v/>
      </c>
      <c r="BI10" s="276" t="str">
        <f t="shared" si="25"/>
        <v/>
      </c>
      <c r="BJ10" s="276">
        <f t="array" ref="BJ10">(SUM( IF(ISERROR(AK10:BI10),"", AK10:BI10)))</f>
        <v>0</v>
      </c>
      <c r="BK10" s="142">
        <f t="array" ref="BK10">(SUM( IF(ISERROR(AK10:BI10),"", AK10:BI10)))/time</f>
        <v>0</v>
      </c>
      <c r="BL10" s="142">
        <f t="shared" si="27"/>
        <v>0</v>
      </c>
      <c r="BM10" s="143">
        <f t="shared" si="26"/>
        <v>0</v>
      </c>
      <c r="BO10" s="176" t="e">
        <f t="array" ref="BO10">STDEV(IF(AK10:BI10&lt;&gt;0,AK10:BI10))</f>
        <v>#DIV/0!</v>
      </c>
      <c r="BP10" s="176">
        <v>1.96</v>
      </c>
      <c r="BQ10" s="176" t="e">
        <f t="shared" si="29"/>
        <v>#DIV/0!</v>
      </c>
      <c r="BR10" s="176">
        <f t="shared" si="28"/>
        <v>0</v>
      </c>
      <c r="BS10" s="176">
        <v>7</v>
      </c>
    </row>
    <row r="11" spans="1:71" hidden="1">
      <c r="A11" s="522" t="s">
        <v>400</v>
      </c>
      <c r="B11" s="523"/>
      <c r="C11" s="524"/>
      <c r="D11" s="524"/>
      <c r="E11" s="524"/>
      <c r="F11" s="524"/>
      <c r="G11" s="524"/>
      <c r="H11" s="524"/>
      <c r="I11" s="524"/>
      <c r="J11" s="524"/>
      <c r="K11" s="524"/>
      <c r="L11" s="524"/>
      <c r="M11" s="524"/>
      <c r="N11" s="524"/>
      <c r="O11" s="524"/>
      <c r="P11" s="524"/>
      <c r="Q11" s="524"/>
      <c r="R11" s="524"/>
      <c r="S11" s="524"/>
      <c r="T11" s="524"/>
      <c r="U11" s="524"/>
      <c r="V11" s="524"/>
      <c r="W11" s="524"/>
      <c r="X11" s="524"/>
      <c r="Y11" s="524"/>
      <c r="Z11" s="524"/>
      <c r="AA11" s="525">
        <f t="array" ref="AA11">(SUM( IF(ISERROR(B11:Z11),"", B11:Z11)))</f>
        <v>0</v>
      </c>
      <c r="AB11" s="134">
        <f t="array" ref="AB11">(SUM( IF(ISERROR(B11:Z11),"", B11:Z11)))/time</f>
        <v>0</v>
      </c>
      <c r="AC11" s="526"/>
      <c r="AD11" s="472"/>
      <c r="AE11" s="523"/>
      <c r="AF11" s="270"/>
      <c r="AG11" s="527"/>
      <c r="AH11" s="528"/>
      <c r="AI11" s="276">
        <f t="shared" si="0"/>
        <v>0</v>
      </c>
      <c r="AJ11" s="529">
        <v>8</v>
      </c>
      <c r="AK11" s="276">
        <f t="shared" si="1"/>
        <v>0</v>
      </c>
      <c r="AL11" s="276">
        <f t="shared" si="2"/>
        <v>0</v>
      </c>
      <c r="AM11" s="276">
        <f t="shared" si="3"/>
        <v>0</v>
      </c>
      <c r="AN11" s="276">
        <f t="shared" si="4"/>
        <v>0</v>
      </c>
      <c r="AO11" s="276">
        <f t="shared" si="5"/>
        <v>0</v>
      </c>
      <c r="AP11" s="276" t="str">
        <f t="shared" si="6"/>
        <v/>
      </c>
      <c r="AQ11" s="276" t="str">
        <f t="shared" si="7"/>
        <v/>
      </c>
      <c r="AR11" s="276" t="str">
        <f t="shared" si="8"/>
        <v/>
      </c>
      <c r="AS11" s="276" t="str">
        <f t="shared" si="9"/>
        <v/>
      </c>
      <c r="AT11" s="276" t="str">
        <f t="shared" si="10"/>
        <v/>
      </c>
      <c r="AU11" s="276" t="str">
        <f t="shared" si="11"/>
        <v/>
      </c>
      <c r="AV11" s="276" t="str">
        <f t="shared" si="12"/>
        <v/>
      </c>
      <c r="AW11" s="276" t="str">
        <f t="shared" si="13"/>
        <v/>
      </c>
      <c r="AX11" s="276" t="str">
        <f t="shared" si="14"/>
        <v/>
      </c>
      <c r="AY11" s="276" t="str">
        <f t="shared" si="15"/>
        <v/>
      </c>
      <c r="AZ11" s="276" t="str">
        <f t="shared" si="16"/>
        <v/>
      </c>
      <c r="BA11" s="276" t="str">
        <f t="shared" si="17"/>
        <v/>
      </c>
      <c r="BB11" s="276" t="str">
        <f t="shared" si="18"/>
        <v/>
      </c>
      <c r="BC11" s="276" t="str">
        <f t="shared" si="19"/>
        <v/>
      </c>
      <c r="BD11" s="276" t="str">
        <f t="shared" si="20"/>
        <v/>
      </c>
      <c r="BE11" s="276" t="str">
        <f t="shared" si="21"/>
        <v/>
      </c>
      <c r="BF11" s="276" t="str">
        <f t="shared" si="22"/>
        <v/>
      </c>
      <c r="BG11" s="276" t="str">
        <f t="shared" si="23"/>
        <v/>
      </c>
      <c r="BH11" s="276" t="str">
        <f t="shared" si="24"/>
        <v/>
      </c>
      <c r="BI11" s="276" t="str">
        <f t="shared" si="25"/>
        <v/>
      </c>
      <c r="BJ11" s="276">
        <f t="array" ref="BJ11">(SUM( IF(ISERROR(AK11:BI11),"", AK11:BI11)))</f>
        <v>0</v>
      </c>
      <c r="BK11" s="142">
        <f t="array" ref="BK11">(SUM( IF(ISERROR(AK11:BI11),"", AK11:BI11)))/time</f>
        <v>0</v>
      </c>
      <c r="BL11" s="142">
        <f t="shared" si="27"/>
        <v>0</v>
      </c>
      <c r="BM11" s="143">
        <f t="shared" si="26"/>
        <v>0</v>
      </c>
      <c r="BO11" s="176" t="e">
        <f t="array" ref="BO11">STDEV(IF(AK11:BI11&lt;&gt;0,AK11:BI11))</f>
        <v>#DIV/0!</v>
      </c>
      <c r="BP11" s="176">
        <v>1.96</v>
      </c>
      <c r="BQ11" s="176" t="e">
        <f t="shared" si="29"/>
        <v>#DIV/0!</v>
      </c>
      <c r="BR11" s="176">
        <f t="shared" si="28"/>
        <v>0</v>
      </c>
      <c r="BS11" s="176">
        <v>8</v>
      </c>
    </row>
    <row r="12" spans="1:71" hidden="1">
      <c r="A12" s="522" t="s">
        <v>401</v>
      </c>
      <c r="B12" s="523"/>
      <c r="C12" s="524"/>
      <c r="D12" s="524"/>
      <c r="E12" s="524"/>
      <c r="F12" s="524"/>
      <c r="G12" s="524"/>
      <c r="H12" s="524"/>
      <c r="I12" s="524"/>
      <c r="J12" s="524"/>
      <c r="K12" s="524"/>
      <c r="L12" s="524"/>
      <c r="M12" s="524"/>
      <c r="N12" s="524"/>
      <c r="O12" s="524"/>
      <c r="P12" s="524"/>
      <c r="Q12" s="524"/>
      <c r="R12" s="524"/>
      <c r="S12" s="524"/>
      <c r="T12" s="524"/>
      <c r="U12" s="524"/>
      <c r="V12" s="524"/>
      <c r="W12" s="524"/>
      <c r="X12" s="524"/>
      <c r="Y12" s="524"/>
      <c r="Z12" s="524"/>
      <c r="AA12" s="525">
        <f t="array" ref="AA12">(SUM( IF(ISERROR(B12:Z12),"", B12:Z12)))</f>
        <v>0</v>
      </c>
      <c r="AB12" s="134">
        <f t="array" ref="AB12">(SUM( IF(ISERROR(B12:Z12),"", B12:Z12)))/time</f>
        <v>0</v>
      </c>
      <c r="AC12" s="526"/>
      <c r="AD12" s="472"/>
      <c r="AE12" s="523"/>
      <c r="AF12" s="270"/>
      <c r="AG12" s="527"/>
      <c r="AH12" s="528"/>
      <c r="AI12" s="276">
        <f t="shared" si="0"/>
        <v>0</v>
      </c>
      <c r="AJ12" s="529">
        <v>9</v>
      </c>
      <c r="AK12" s="276">
        <f t="shared" si="1"/>
        <v>0</v>
      </c>
      <c r="AL12" s="276">
        <f t="shared" si="2"/>
        <v>0</v>
      </c>
      <c r="AM12" s="276">
        <f t="shared" si="3"/>
        <v>0</v>
      </c>
      <c r="AN12" s="276">
        <f t="shared" si="4"/>
        <v>0</v>
      </c>
      <c r="AO12" s="276">
        <f t="shared" si="5"/>
        <v>0</v>
      </c>
      <c r="AP12" s="276" t="str">
        <f t="shared" si="6"/>
        <v/>
      </c>
      <c r="AQ12" s="276" t="str">
        <f t="shared" si="7"/>
        <v/>
      </c>
      <c r="AR12" s="276" t="str">
        <f t="shared" si="8"/>
        <v/>
      </c>
      <c r="AS12" s="276" t="str">
        <f t="shared" si="9"/>
        <v/>
      </c>
      <c r="AT12" s="276" t="str">
        <f t="shared" si="10"/>
        <v/>
      </c>
      <c r="AU12" s="276" t="str">
        <f t="shared" si="11"/>
        <v/>
      </c>
      <c r="AV12" s="276" t="str">
        <f t="shared" si="12"/>
        <v/>
      </c>
      <c r="AW12" s="276" t="str">
        <f t="shared" si="13"/>
        <v/>
      </c>
      <c r="AX12" s="276" t="str">
        <f t="shared" si="14"/>
        <v/>
      </c>
      <c r="AY12" s="276" t="str">
        <f t="shared" si="15"/>
        <v/>
      </c>
      <c r="AZ12" s="276" t="str">
        <f t="shared" si="16"/>
        <v/>
      </c>
      <c r="BA12" s="276" t="str">
        <f t="shared" si="17"/>
        <v/>
      </c>
      <c r="BB12" s="276" t="str">
        <f t="shared" si="18"/>
        <v/>
      </c>
      <c r="BC12" s="276" t="str">
        <f t="shared" si="19"/>
        <v/>
      </c>
      <c r="BD12" s="276" t="str">
        <f t="shared" si="20"/>
        <v/>
      </c>
      <c r="BE12" s="276" t="str">
        <f t="shared" si="21"/>
        <v/>
      </c>
      <c r="BF12" s="276" t="str">
        <f t="shared" si="22"/>
        <v/>
      </c>
      <c r="BG12" s="276" t="str">
        <f t="shared" si="23"/>
        <v/>
      </c>
      <c r="BH12" s="276" t="str">
        <f t="shared" si="24"/>
        <v/>
      </c>
      <c r="BI12" s="276" t="str">
        <f t="shared" si="25"/>
        <v/>
      </c>
      <c r="BJ12" s="276">
        <f t="array" ref="BJ12">(SUM( IF(ISERROR(AK12:BI12),"", AK12:BI12)))</f>
        <v>0</v>
      </c>
      <c r="BK12" s="142">
        <f t="array" ref="BK12">(SUM( IF(ISERROR(AK12:BI12),"", AK12:BI12)))/time</f>
        <v>0</v>
      </c>
      <c r="BL12" s="142">
        <f t="shared" si="27"/>
        <v>0</v>
      </c>
      <c r="BM12" s="143">
        <f t="shared" si="26"/>
        <v>0</v>
      </c>
      <c r="BO12" s="176" t="e">
        <f t="array" ref="BO12">STDEV(IF(AK12:BI12&lt;&gt;0,AK12:BI12))</f>
        <v>#DIV/0!</v>
      </c>
      <c r="BP12" s="176">
        <v>1.96</v>
      </c>
      <c r="BQ12" s="176" t="e">
        <f t="shared" si="29"/>
        <v>#DIV/0!</v>
      </c>
      <c r="BR12" s="176">
        <f t="shared" si="28"/>
        <v>0</v>
      </c>
      <c r="BS12" s="176">
        <v>9</v>
      </c>
    </row>
    <row r="13" spans="1:71" ht="16" hidden="1" thickBot="1">
      <c r="A13" s="522" t="s">
        <v>402</v>
      </c>
      <c r="B13" s="530"/>
      <c r="C13" s="531"/>
      <c r="D13" s="531"/>
      <c r="E13" s="531"/>
      <c r="F13" s="531"/>
      <c r="G13" s="531"/>
      <c r="H13" s="531"/>
      <c r="I13" s="531"/>
      <c r="J13" s="531"/>
      <c r="K13" s="531"/>
      <c r="L13" s="531"/>
      <c r="M13" s="531"/>
      <c r="N13" s="531"/>
      <c r="O13" s="531"/>
      <c r="P13" s="531"/>
      <c r="Q13" s="531"/>
      <c r="R13" s="531"/>
      <c r="S13" s="531"/>
      <c r="T13" s="531"/>
      <c r="U13" s="531"/>
      <c r="V13" s="531"/>
      <c r="W13" s="531"/>
      <c r="X13" s="531"/>
      <c r="Y13" s="531"/>
      <c r="Z13" s="531"/>
      <c r="AA13" s="532">
        <f t="array" ref="AA13">(SUM( IF(ISERROR(B13:Z13),"", B13:Z13)))</f>
        <v>0</v>
      </c>
      <c r="AB13" s="146">
        <f t="array" ref="AB13">(SUM( IF(ISERROR(B13:Z13),"", B13:Z13)))/time</f>
        <v>0</v>
      </c>
      <c r="AC13" s="526"/>
      <c r="AD13" s="472"/>
      <c r="AE13" s="523"/>
      <c r="AF13" s="270"/>
      <c r="AG13" s="527"/>
      <c r="AH13" s="528"/>
      <c r="AI13" s="533">
        <f t="shared" si="0"/>
        <v>0</v>
      </c>
      <c r="AJ13" s="529">
        <v>10</v>
      </c>
      <c r="AK13" s="533">
        <f t="shared" si="1"/>
        <v>0</v>
      </c>
      <c r="AL13" s="533">
        <f t="shared" si="2"/>
        <v>0</v>
      </c>
      <c r="AM13" s="533">
        <f t="shared" si="3"/>
        <v>0</v>
      </c>
      <c r="AN13" s="533">
        <f t="shared" si="4"/>
        <v>0</v>
      </c>
      <c r="AO13" s="533">
        <f t="shared" si="5"/>
        <v>0</v>
      </c>
      <c r="AP13" s="533" t="str">
        <f t="shared" si="6"/>
        <v/>
      </c>
      <c r="AQ13" s="533" t="str">
        <f t="shared" si="7"/>
        <v/>
      </c>
      <c r="AR13" s="533" t="str">
        <f t="shared" si="8"/>
        <v/>
      </c>
      <c r="AS13" s="533" t="str">
        <f t="shared" si="9"/>
        <v/>
      </c>
      <c r="AT13" s="533" t="str">
        <f t="shared" si="10"/>
        <v/>
      </c>
      <c r="AU13" s="533" t="str">
        <f t="shared" si="11"/>
        <v/>
      </c>
      <c r="AV13" s="533" t="str">
        <f t="shared" si="12"/>
        <v/>
      </c>
      <c r="AW13" s="533" t="str">
        <f t="shared" si="13"/>
        <v/>
      </c>
      <c r="AX13" s="533" t="str">
        <f t="shared" si="14"/>
        <v/>
      </c>
      <c r="AY13" s="533" t="str">
        <f t="shared" si="15"/>
        <v/>
      </c>
      <c r="AZ13" s="533" t="str">
        <f t="shared" si="16"/>
        <v/>
      </c>
      <c r="BA13" s="533" t="str">
        <f t="shared" si="17"/>
        <v/>
      </c>
      <c r="BB13" s="533" t="str">
        <f t="shared" si="18"/>
        <v/>
      </c>
      <c r="BC13" s="533" t="str">
        <f t="shared" si="19"/>
        <v/>
      </c>
      <c r="BD13" s="533" t="str">
        <f t="shared" si="20"/>
        <v/>
      </c>
      <c r="BE13" s="533" t="str">
        <f t="shared" si="21"/>
        <v/>
      </c>
      <c r="BF13" s="533" t="str">
        <f t="shared" si="22"/>
        <v/>
      </c>
      <c r="BG13" s="533" t="str">
        <f t="shared" si="23"/>
        <v/>
      </c>
      <c r="BH13" s="533" t="str">
        <f t="shared" si="24"/>
        <v/>
      </c>
      <c r="BI13" s="533" t="str">
        <f t="shared" si="25"/>
        <v/>
      </c>
      <c r="BJ13" s="533">
        <f t="array" ref="BJ13">(SUM( IF(ISERROR(AK13:BI13),"", AK13:BI13)))</f>
        <v>0</v>
      </c>
      <c r="BK13" s="381">
        <f t="array" ref="BK13">(SUM( IF(ISERROR(AK13:BI13),"", AK13:BI13)))/time</f>
        <v>0</v>
      </c>
      <c r="BL13" s="381">
        <f t="shared" si="27"/>
        <v>0</v>
      </c>
      <c r="BM13" s="382">
        <f t="shared" si="26"/>
        <v>0</v>
      </c>
      <c r="BO13" s="176" t="e">
        <f t="array" ref="BO13">STDEV(IF(AK13:BI13&lt;&gt;0,AK13:BI13))</f>
        <v>#DIV/0!</v>
      </c>
      <c r="BP13" s="176">
        <v>1.96</v>
      </c>
      <c r="BQ13" s="176" t="e">
        <f t="shared" si="29"/>
        <v>#DIV/0!</v>
      </c>
      <c r="BR13" s="176">
        <f t="shared" si="28"/>
        <v>0</v>
      </c>
      <c r="BS13" s="176">
        <v>10</v>
      </c>
    </row>
    <row r="14" spans="1:71" ht="47.9" hidden="1" customHeight="1" thickTop="1" thickBot="1">
      <c r="A14" s="974" t="str">
        <f>CONCATENATE("SUM OF ALL BENEFITS"," ", "(",'Proposition Summary'!$B$76,")",":")</f>
        <v>SUM OF ALL BENEFITS (GBP (£)):</v>
      </c>
      <c r="AB14" s="535"/>
      <c r="AC14" s="526"/>
      <c r="AD14" s="534" t="str">
        <f>CONCATENATE("SUM OF ALL BENEFITS"," ", "(",'Proposition Summary'!$B$76,")",":")</f>
        <v>SUM OF ALL BENEFITS (GBP (£)):</v>
      </c>
      <c r="AE14" s="536">
        <f>SUM(AE4:AE13)</f>
        <v>0</v>
      </c>
      <c r="AI14" s="975">
        <f>SUM(AI4:AI13)</f>
        <v>0</v>
      </c>
      <c r="AJ14" s="976"/>
      <c r="AK14" s="977">
        <f t="shared" ref="AK14:BI14" si="30">IF(AK$69&lt;=time, SUM(AK4:AK13), "")</f>
        <v>0</v>
      </c>
      <c r="AL14" s="977">
        <f t="shared" si="30"/>
        <v>0</v>
      </c>
      <c r="AM14" s="977">
        <f t="shared" si="30"/>
        <v>0</v>
      </c>
      <c r="AN14" s="977">
        <f t="shared" si="30"/>
        <v>0</v>
      </c>
      <c r="AO14" s="977">
        <f t="shared" si="30"/>
        <v>0</v>
      </c>
      <c r="AP14" s="977" t="str">
        <f t="shared" si="30"/>
        <v/>
      </c>
      <c r="AQ14" s="977" t="str">
        <f t="shared" si="30"/>
        <v/>
      </c>
      <c r="AR14" s="977" t="str">
        <f t="shared" si="30"/>
        <v/>
      </c>
      <c r="AS14" s="977" t="str">
        <f t="shared" si="30"/>
        <v/>
      </c>
      <c r="AT14" s="977" t="str">
        <f t="shared" si="30"/>
        <v/>
      </c>
      <c r="AU14" s="977" t="str">
        <f t="shared" si="30"/>
        <v/>
      </c>
      <c r="AV14" s="977" t="str">
        <f t="shared" si="30"/>
        <v/>
      </c>
      <c r="AW14" s="977" t="str">
        <f t="shared" si="30"/>
        <v/>
      </c>
      <c r="AX14" s="977" t="str">
        <f t="shared" si="30"/>
        <v/>
      </c>
      <c r="AY14" s="977" t="str">
        <f t="shared" si="30"/>
        <v/>
      </c>
      <c r="AZ14" s="977" t="str">
        <f t="shared" si="30"/>
        <v/>
      </c>
      <c r="BA14" s="977" t="str">
        <f t="shared" si="30"/>
        <v/>
      </c>
      <c r="BB14" s="977" t="str">
        <f t="shared" si="30"/>
        <v/>
      </c>
      <c r="BC14" s="977" t="str">
        <f t="shared" si="30"/>
        <v/>
      </c>
      <c r="BD14" s="977" t="str">
        <f t="shared" si="30"/>
        <v/>
      </c>
      <c r="BE14" s="977" t="str">
        <f t="shared" si="30"/>
        <v/>
      </c>
      <c r="BF14" s="977" t="str">
        <f t="shared" si="30"/>
        <v/>
      </c>
      <c r="BG14" s="977" t="str">
        <f t="shared" si="30"/>
        <v/>
      </c>
      <c r="BH14" s="977" t="str">
        <f t="shared" si="30"/>
        <v/>
      </c>
      <c r="BI14" s="977" t="str">
        <f t="shared" si="30"/>
        <v/>
      </c>
      <c r="BJ14" s="977">
        <f t="array" ref="BJ14">(SUM( IF(ISERROR(AK14:BI14),"", AK14:BI14)))</f>
        <v>0</v>
      </c>
      <c r="BK14" s="978">
        <f t="array" ref="BK14">(SUM( IF(ISERROR(AK14:BI14),"", AK14:BI14)))/time</f>
        <v>0</v>
      </c>
      <c r="BL14" s="977">
        <f t="shared" ref="BL14" si="31">SUM(BL4:BL13)</f>
        <v>0</v>
      </c>
      <c r="BM14" s="979">
        <f t="shared" ref="BM14" si="32">SUM(BM4:BM13)</f>
        <v>0</v>
      </c>
    </row>
    <row r="15" spans="1:71" ht="169.65" customHeight="1" thickTop="1" thickBot="1">
      <c r="A15" s="537"/>
      <c r="B15" s="1200" t="s">
        <v>807</v>
      </c>
      <c r="C15" s="1201"/>
      <c r="D15" s="1201"/>
      <c r="E15" s="1201"/>
      <c r="F15" s="1201"/>
      <c r="G15" s="1201"/>
      <c r="H15" s="1201"/>
      <c r="I15" s="1201"/>
      <c r="J15" s="1201"/>
      <c r="K15" s="1201"/>
      <c r="L15" s="1201"/>
      <c r="M15" s="1201"/>
      <c r="N15" s="1201"/>
      <c r="O15" s="1201"/>
      <c r="P15" s="1201"/>
      <c r="Q15" s="1201"/>
      <c r="R15" s="1201"/>
      <c r="S15" s="1201"/>
      <c r="T15" s="1201"/>
      <c r="U15" s="1201"/>
      <c r="V15" s="1201"/>
      <c r="W15" s="1201"/>
      <c r="X15" s="1201"/>
      <c r="Y15" s="1201"/>
      <c r="Z15" s="1201"/>
      <c r="AA15" s="1201"/>
      <c r="AB15" s="1202"/>
      <c r="AC15" s="526"/>
      <c r="AD15" s="538"/>
      <c r="AE15" s="539"/>
      <c r="AF15" s="196"/>
      <c r="AG15" s="196"/>
      <c r="AH15" s="196"/>
      <c r="AI15" s="540"/>
      <c r="AJ15" s="541"/>
      <c r="AK15" s="540"/>
      <c r="AL15" s="540"/>
      <c r="AM15" s="540"/>
      <c r="AN15" s="540"/>
      <c r="AO15" s="540"/>
      <c r="AP15" s="540"/>
      <c r="AQ15" s="540"/>
      <c r="AR15" s="540"/>
      <c r="AS15" s="540"/>
      <c r="AT15" s="540"/>
      <c r="AU15" s="540"/>
      <c r="AV15" s="540"/>
      <c r="AW15" s="540"/>
      <c r="AX15" s="540"/>
      <c r="AY15" s="540"/>
      <c r="AZ15" s="540"/>
      <c r="BA15" s="540"/>
      <c r="BB15" s="540"/>
      <c r="BC15" s="540"/>
      <c r="BD15" s="540"/>
      <c r="BE15" s="540"/>
      <c r="BF15" s="540"/>
      <c r="BG15" s="540"/>
      <c r="BH15" s="540"/>
      <c r="BI15" s="540"/>
      <c r="BJ15" s="540"/>
      <c r="BK15" s="542"/>
      <c r="BL15" s="540"/>
      <c r="BM15" s="543"/>
    </row>
    <row r="16" spans="1:71" ht="93.5" thickBot="1">
      <c r="A16" s="969" t="s">
        <v>308</v>
      </c>
      <c r="B16" s="801" t="s">
        <v>343</v>
      </c>
      <c r="C16" s="801" t="s">
        <v>344</v>
      </c>
      <c r="D16" s="801" t="s">
        <v>345</v>
      </c>
      <c r="E16" s="801" t="s">
        <v>346</v>
      </c>
      <c r="F16" s="801" t="s">
        <v>347</v>
      </c>
      <c r="G16" s="801" t="s">
        <v>348</v>
      </c>
      <c r="H16" s="801" t="s">
        <v>349</v>
      </c>
      <c r="I16" s="801" t="s">
        <v>350</v>
      </c>
      <c r="J16" s="801" t="s">
        <v>351</v>
      </c>
      <c r="K16" s="801" t="s">
        <v>352</v>
      </c>
      <c r="L16" s="801" t="s">
        <v>353</v>
      </c>
      <c r="M16" s="801" t="s">
        <v>354</v>
      </c>
      <c r="N16" s="801" t="s">
        <v>355</v>
      </c>
      <c r="O16" s="801" t="s">
        <v>356</v>
      </c>
      <c r="P16" s="801" t="s">
        <v>357</v>
      </c>
      <c r="Q16" s="801" t="s">
        <v>358</v>
      </c>
      <c r="R16" s="801" t="s">
        <v>359</v>
      </c>
      <c r="S16" s="801" t="s">
        <v>360</v>
      </c>
      <c r="T16" s="801" t="s">
        <v>361</v>
      </c>
      <c r="U16" s="801" t="s">
        <v>362</v>
      </c>
      <c r="V16" s="801" t="s">
        <v>363</v>
      </c>
      <c r="W16" s="801" t="s">
        <v>364</v>
      </c>
      <c r="X16" s="801" t="s">
        <v>365</v>
      </c>
      <c r="Y16" s="801" t="s">
        <v>366</v>
      </c>
      <c r="Z16" s="801" t="s">
        <v>367</v>
      </c>
      <c r="AA16" s="801" t="s">
        <v>337</v>
      </c>
      <c r="AB16" s="967" t="s">
        <v>368</v>
      </c>
      <c r="AC16" s="113"/>
      <c r="AD16" s="1190"/>
      <c r="AE16" s="1191"/>
      <c r="AF16" s="196"/>
      <c r="AG16" s="196"/>
      <c r="AH16" s="196"/>
      <c r="AI16" s="969" t="str">
        <f>CONCATENATE("Financial savings for each category of avoided offence - average costs per incident (not including the costs in anticipation of crime)"," ", "(",'Proposition Summary'!$B$76,")")</f>
        <v>Financial savings for each category of avoided offence - average costs per incident (not including the costs in anticipation of crime) (GBP (£))</v>
      </c>
      <c r="AJ16" s="980"/>
      <c r="AK16" s="972" t="str">
        <f>CONCATENATE("Financial savings due to avoided crime in Year 1"," ", "(",'Proposition Summary'!$B$76,")")</f>
        <v>Financial savings due to avoided crime in Year 1 (GBP (£))</v>
      </c>
      <c r="AL16" s="972" t="str">
        <f>CONCATENATE("Financial savings due to avoided crime in Year 2"," ", "(",'Proposition Summary'!$B$76,")")</f>
        <v>Financial savings due to avoided crime in Year 2 (GBP (£))</v>
      </c>
      <c r="AM16" s="972" t="str">
        <f>CONCATENATE("Financial savings due to avoided crime in Year 3"," ", "(",'Proposition Summary'!$B$76,")")</f>
        <v>Financial savings due to avoided crime in Year 3 (GBP (£))</v>
      </c>
      <c r="AN16" s="972" t="str">
        <f>CONCATENATE("Financial savings due to avoided crime in Year 4"," ", "(",'Proposition Summary'!$B$76,")")</f>
        <v>Financial savings due to avoided crime in Year 4 (GBP (£))</v>
      </c>
      <c r="AO16" s="972" t="str">
        <f>CONCATENATE("Financial savings due to avoided crime in Year 5"," ", "(",'Proposition Summary'!$B$76,")")</f>
        <v>Financial savings due to avoided crime in Year 5 (GBP (£))</v>
      </c>
      <c r="AP16" s="972" t="str">
        <f>CONCATENATE("Financial savings due to avoided crime in Year 6"," ", "(",'Proposition Summary'!$B$76,")")</f>
        <v>Financial savings due to avoided crime in Year 6 (GBP (£))</v>
      </c>
      <c r="AQ16" s="972" t="str">
        <f>CONCATENATE("Financial savings due to avoided crime in Year 7"," ", "(",'Proposition Summary'!$B$76,")")</f>
        <v>Financial savings due to avoided crime in Year 7 (GBP (£))</v>
      </c>
      <c r="AR16" s="972" t="str">
        <f>CONCATENATE("Financial savings due to avoided crime in Year 8"," ", "(",'Proposition Summary'!$B$76,")")</f>
        <v>Financial savings due to avoided crime in Year 8 (GBP (£))</v>
      </c>
      <c r="AS16" s="972" t="str">
        <f>CONCATENATE("Financial savings due to avoided crime in Year 9"," ", "(",'Proposition Summary'!$B$76,")")</f>
        <v>Financial savings due to avoided crime in Year 9 (GBP (£))</v>
      </c>
      <c r="AT16" s="972" t="str">
        <f>CONCATENATE("Financial savings due to avoided crime in Year 10"," ", "(",'Proposition Summary'!$B$76,")")</f>
        <v>Financial savings due to avoided crime in Year 10 (GBP (£))</v>
      </c>
      <c r="AU16" s="972" t="str">
        <f>CONCATENATE("Financial savings due to avoided crime in Year 11"," ", "(",'Proposition Summary'!$B$76,")")</f>
        <v>Financial savings due to avoided crime in Year 11 (GBP (£))</v>
      </c>
      <c r="AV16" s="972" t="str">
        <f>CONCATENATE("Financial savings due to avoided crime in Year 12"," ", "(",'Proposition Summary'!$B$76,")")</f>
        <v>Financial savings due to avoided crime in Year 12 (GBP (£))</v>
      </c>
      <c r="AW16" s="972" t="str">
        <f>CONCATENATE("Financial savings due to avoided crime in Year 13"," ", "(",'Proposition Summary'!$B$76,")")</f>
        <v>Financial savings due to avoided crime in Year 13 (GBP (£))</v>
      </c>
      <c r="AX16" s="972" t="str">
        <f>CONCATENATE("Financial savings due to avoided crime in Year 14"," ", "(",'Proposition Summary'!$B$76,")")</f>
        <v>Financial savings due to avoided crime in Year 14 (GBP (£))</v>
      </c>
      <c r="AY16" s="972" t="str">
        <f>CONCATENATE("Financial savings due to avoided crime in Year 15"," ", "(",'Proposition Summary'!$B$76,")")</f>
        <v>Financial savings due to avoided crime in Year 15 (GBP (£))</v>
      </c>
      <c r="AZ16" s="972" t="str">
        <f>CONCATENATE("Financial savings due to avoided crime in Year 16"," ", "(",'Proposition Summary'!$B$76,")")</f>
        <v>Financial savings due to avoided crime in Year 16 (GBP (£))</v>
      </c>
      <c r="BA16" s="972" t="str">
        <f>CONCATENATE("Financial savings due to avoided crime in Year 17"," ", "(",'Proposition Summary'!$B$76,")")</f>
        <v>Financial savings due to avoided crime in Year 17 (GBP (£))</v>
      </c>
      <c r="BB16" s="972" t="str">
        <f>CONCATENATE("Financial savings due to avoided crime in Year 18"," ", "(",'Proposition Summary'!$B$76,")")</f>
        <v>Financial savings due to avoided crime in Year 18 (GBP (£))</v>
      </c>
      <c r="BC16" s="972" t="str">
        <f>CONCATENATE("Financial savings due to avoided crime in Year 19"," ", "(",'Proposition Summary'!$B$76,")")</f>
        <v>Financial savings due to avoided crime in Year 19 (GBP (£))</v>
      </c>
      <c r="BD16" s="972" t="str">
        <f>CONCATENATE("Financial savings due to avoided crime in Year 20"," ", "(",'Proposition Summary'!$B$76,")")</f>
        <v>Financial savings due to avoided crime in Year 20 (GBP (£))</v>
      </c>
      <c r="BE16" s="972" t="str">
        <f>CONCATENATE("Financial savings due to avoided crime in Year 21"," ", "(",'Proposition Summary'!$B$76,")")</f>
        <v>Financial savings due to avoided crime in Year 21 (GBP (£))</v>
      </c>
      <c r="BF16" s="972" t="str">
        <f>CONCATENATE("Financial savings due to avoided crime in Year 22"," ", "(",'Proposition Summary'!$B$76,")")</f>
        <v>Financial savings due to avoided crime in Year 22 (GBP (£))</v>
      </c>
      <c r="BG16" s="972" t="str">
        <f>CONCATENATE("Financial savings due to avoided crime in Year 23"," ", "(",'Proposition Summary'!$B$76,")")</f>
        <v>Financial savings due to avoided crime in Year 23 (GBP (£))</v>
      </c>
      <c r="BH16" s="972" t="str">
        <f>CONCATENATE("Financial savings due to avoided crime in Year 24"," ", "(",'Proposition Summary'!$B$76,")")</f>
        <v>Financial savings due to avoided crime in Year 24 (GBP (£))</v>
      </c>
      <c r="BI16" s="972" t="str">
        <f>CONCATENATE("Financial savings due to avoided crime in Year 25"," ", "(",'Proposition Summary'!$B$76,")")</f>
        <v>Financial savings due to avoided crime in Year 25 (GBP (£))</v>
      </c>
      <c r="BJ16" s="970" t="str">
        <f>CONCATENATE("Total Savings"," ", "(",'Proposition Summary'!$B$76,")")</f>
        <v>Total Savings (GBP (£))</v>
      </c>
      <c r="BK16" s="970" t="str">
        <f>CONCATENATE("Annual Savings"," ", "(",'Proposition Summary'!$B$76,")")</f>
        <v>Annual Savings (GBP (£))</v>
      </c>
      <c r="BL16" s="970" t="str">
        <f>CONCATENATE("Worst-case Estimate"," ", "(",'Proposition Summary'!$B$76,")")</f>
        <v>Worst-case Estimate (GBP (£))</v>
      </c>
      <c r="BM16" s="973" t="str">
        <f>CONCATENATE("Best-case Estimate"," ", "(",'Proposition Summary'!$B$76,")")</f>
        <v>Best-case Estimate (GBP (£))</v>
      </c>
      <c r="BO16" s="176" t="s">
        <v>271</v>
      </c>
      <c r="BP16" s="176" t="s">
        <v>272</v>
      </c>
      <c r="BQ16" s="521" t="s">
        <v>273</v>
      </c>
      <c r="BR16" s="176"/>
    </row>
    <row r="17" spans="1:72" ht="19" thickTop="1" thickBot="1">
      <c r="A17" s="544"/>
      <c r="B17" s="545">
        <v>0</v>
      </c>
      <c r="C17" s="546">
        <v>1</v>
      </c>
      <c r="D17" s="546">
        <v>2</v>
      </c>
      <c r="E17" s="546">
        <v>3</v>
      </c>
      <c r="F17" s="546">
        <v>4</v>
      </c>
      <c r="G17" s="546"/>
      <c r="H17" s="546"/>
      <c r="I17" s="546"/>
      <c r="J17" s="546"/>
      <c r="K17" s="546"/>
      <c r="L17" s="546"/>
      <c r="M17" s="546"/>
      <c r="N17" s="546"/>
      <c r="O17" s="546"/>
      <c r="P17" s="546"/>
      <c r="Q17" s="546"/>
      <c r="R17" s="546"/>
      <c r="S17" s="546"/>
      <c r="T17" s="546"/>
      <c r="U17" s="546"/>
      <c r="V17" s="546"/>
      <c r="W17" s="546"/>
      <c r="X17" s="546"/>
      <c r="Y17" s="546"/>
      <c r="Z17" s="546"/>
      <c r="AA17" s="547"/>
      <c r="AB17" s="548"/>
      <c r="AC17" s="113"/>
      <c r="AD17" s="549"/>
      <c r="AE17" s="550"/>
      <c r="AF17" s="196"/>
      <c r="AG17" s="196"/>
      <c r="AH17" s="196"/>
      <c r="AI17" s="545"/>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8"/>
      <c r="BQ17" s="551"/>
    </row>
    <row r="18" spans="1:72" ht="18">
      <c r="A18" s="552" t="s">
        <v>553</v>
      </c>
      <c r="B18" s="287"/>
      <c r="C18" s="287"/>
      <c r="D18" s="287"/>
      <c r="E18" s="287"/>
      <c r="F18" s="287"/>
      <c r="G18" s="287"/>
      <c r="H18" s="287"/>
      <c r="I18" s="287"/>
      <c r="J18" s="287"/>
      <c r="K18" s="287"/>
      <c r="L18" s="287"/>
      <c r="M18" s="287"/>
      <c r="N18" s="287"/>
      <c r="O18" s="287"/>
      <c r="P18" s="287"/>
      <c r="Q18" s="287"/>
      <c r="R18" s="287"/>
      <c r="S18" s="287"/>
      <c r="T18" s="287"/>
      <c r="U18" s="287"/>
      <c r="V18" s="287"/>
      <c r="W18" s="287"/>
      <c r="X18" s="287"/>
      <c r="Y18" s="287"/>
      <c r="Z18" s="287"/>
      <c r="AA18" s="287"/>
      <c r="AB18" s="553"/>
      <c r="AC18" s="526"/>
      <c r="AD18" s="554"/>
      <c r="AE18" s="555"/>
      <c r="AF18" s="196"/>
      <c r="AG18" s="196"/>
      <c r="AH18" s="196"/>
      <c r="AI18" s="556"/>
      <c r="AJ18" s="287"/>
      <c r="AK18" s="557"/>
      <c r="AL18" s="557"/>
      <c r="AM18" s="557"/>
      <c r="AN18" s="557"/>
      <c r="AO18" s="557"/>
      <c r="AP18" s="557"/>
      <c r="AQ18" s="557"/>
      <c r="AR18" s="557"/>
      <c r="AS18" s="557"/>
      <c r="AT18" s="557"/>
      <c r="AU18" s="557"/>
      <c r="AV18" s="557"/>
      <c r="AW18" s="557"/>
      <c r="AX18" s="557"/>
      <c r="AY18" s="557"/>
      <c r="AZ18" s="557"/>
      <c r="BA18" s="557"/>
      <c r="BB18" s="557"/>
      <c r="BC18" s="557"/>
      <c r="BD18" s="557"/>
      <c r="BE18" s="557"/>
      <c r="BF18" s="557"/>
      <c r="BG18" s="557"/>
      <c r="BH18" s="557"/>
      <c r="BI18" s="557"/>
      <c r="BJ18" s="557"/>
      <c r="BK18" s="557"/>
      <c r="BL18" s="557"/>
      <c r="BM18" s="558"/>
      <c r="BO18" s="176"/>
      <c r="BP18" s="176"/>
      <c r="BQ18" s="176"/>
      <c r="BR18" s="176"/>
    </row>
    <row r="19" spans="1:72" ht="18.75" customHeight="1">
      <c r="A19" s="559" t="s">
        <v>290</v>
      </c>
      <c r="B19" s="999">
        <v>0</v>
      </c>
      <c r="C19" s="999">
        <v>0</v>
      </c>
      <c r="D19" s="999">
        <v>0</v>
      </c>
      <c r="E19" s="999">
        <v>0</v>
      </c>
      <c r="F19" s="999">
        <v>0</v>
      </c>
      <c r="G19" s="707"/>
      <c r="H19" s="707"/>
      <c r="I19" s="707"/>
      <c r="J19" s="707"/>
      <c r="K19" s="707"/>
      <c r="L19" s="707"/>
      <c r="M19" s="707"/>
      <c r="N19" s="707"/>
      <c r="O19" s="707"/>
      <c r="P19" s="707"/>
      <c r="Q19" s="707"/>
      <c r="R19" s="707"/>
      <c r="S19" s="707"/>
      <c r="T19" s="707"/>
      <c r="U19" s="707"/>
      <c r="V19" s="707"/>
      <c r="W19" s="707"/>
      <c r="X19" s="707"/>
      <c r="Y19" s="707"/>
      <c r="Z19" s="707"/>
      <c r="AA19" s="708">
        <f t="array" ref="AA19">(SUM( IF(ISERROR(B19:Z19),"", B19:Z19)))</f>
        <v>0</v>
      </c>
      <c r="AB19" s="709">
        <f t="array" ref="AB19">(SUM( IF(ISERROR(B19:Z19),"", B19:Z19)))/time</f>
        <v>0</v>
      </c>
      <c r="AC19" s="710"/>
      <c r="AD19" s="711"/>
      <c r="AE19" s="712"/>
      <c r="AF19" s="713"/>
      <c r="AG19" s="713"/>
      <c r="AH19" s="713"/>
      <c r="AI19" s="714">
        <f>'Savings of avoided crimes'!E176</f>
        <v>3591961.9032447101</v>
      </c>
      <c r="AJ19" s="367"/>
      <c r="AK19" s="560">
        <f t="shared" ref="AK19:AT25" si="33">IF(AK$69&lt;=time,B19*$AI19,"")</f>
        <v>0</v>
      </c>
      <c r="AL19" s="560">
        <f t="shared" si="33"/>
        <v>0</v>
      </c>
      <c r="AM19" s="560">
        <f t="shared" si="33"/>
        <v>0</v>
      </c>
      <c r="AN19" s="560">
        <f t="shared" si="33"/>
        <v>0</v>
      </c>
      <c r="AO19" s="560">
        <f t="shared" si="33"/>
        <v>0</v>
      </c>
      <c r="AP19" s="560" t="str">
        <f t="shared" si="33"/>
        <v/>
      </c>
      <c r="AQ19" s="560" t="str">
        <f t="shared" si="33"/>
        <v/>
      </c>
      <c r="AR19" s="560" t="str">
        <f t="shared" si="33"/>
        <v/>
      </c>
      <c r="AS19" s="560" t="str">
        <f t="shared" si="33"/>
        <v/>
      </c>
      <c r="AT19" s="560" t="str">
        <f t="shared" si="33"/>
        <v/>
      </c>
      <c r="AU19" s="560" t="str">
        <f t="shared" ref="AU19:BD25" si="34">IF(AU$69&lt;=time,L19*$AI19,"")</f>
        <v/>
      </c>
      <c r="AV19" s="560" t="str">
        <f t="shared" si="34"/>
        <v/>
      </c>
      <c r="AW19" s="560" t="str">
        <f t="shared" si="34"/>
        <v/>
      </c>
      <c r="AX19" s="560" t="str">
        <f t="shared" si="34"/>
        <v/>
      </c>
      <c r="AY19" s="560" t="str">
        <f t="shared" si="34"/>
        <v/>
      </c>
      <c r="AZ19" s="560" t="str">
        <f t="shared" si="34"/>
        <v/>
      </c>
      <c r="BA19" s="560" t="str">
        <f t="shared" si="34"/>
        <v/>
      </c>
      <c r="BB19" s="560" t="str">
        <f t="shared" si="34"/>
        <v/>
      </c>
      <c r="BC19" s="560" t="str">
        <f t="shared" si="34"/>
        <v/>
      </c>
      <c r="BD19" s="560" t="str">
        <f t="shared" si="34"/>
        <v/>
      </c>
      <c r="BE19" s="560" t="str">
        <f t="shared" ref="BE19:BI25" si="35">IF(BE$69&lt;=time,V19*$AI19,"")</f>
        <v/>
      </c>
      <c r="BF19" s="560" t="str">
        <f t="shared" si="35"/>
        <v/>
      </c>
      <c r="BG19" s="560" t="str">
        <f t="shared" si="35"/>
        <v/>
      </c>
      <c r="BH19" s="560" t="str">
        <f t="shared" si="35"/>
        <v/>
      </c>
      <c r="BI19" s="560" t="str">
        <f t="shared" si="35"/>
        <v/>
      </c>
      <c r="BJ19" s="560">
        <f t="array" ref="BJ19">(SUM( IF(ISERROR(AK19:BI19),"", AK19:BI19)))</f>
        <v>0</v>
      </c>
      <c r="BK19" s="561">
        <f t="array" ref="BK19">(SUM( IF(ISERROR(AK19:BI19),"", AK19:BI19)))/time</f>
        <v>0</v>
      </c>
      <c r="BL19" s="561">
        <f>IF(BR19&gt;0,IF(BK19-BQ19&gt;0, BK19-BQ19, 0),BK19)</f>
        <v>0</v>
      </c>
      <c r="BM19" s="562">
        <f t="shared" ref="BM19:BM26" si="36">IF(BR19&gt;0,BK19+BQ19,BK19)</f>
        <v>0</v>
      </c>
      <c r="BO19" s="176" t="e">
        <f t="array" ref="BO19">STDEV(IF(AK19:BI19&lt;&gt;0,AK19:BI19))</f>
        <v>#DIV/0!</v>
      </c>
      <c r="BP19" s="176">
        <v>1.96</v>
      </c>
      <c r="BQ19" s="176" t="e">
        <f>(BP19*BO19)/(time^0.5)</f>
        <v>#DIV/0!</v>
      </c>
      <c r="BR19" s="176">
        <f t="shared" ref="BR19:BR31" si="37">IFERROR(BO19,0)</f>
        <v>0</v>
      </c>
      <c r="BT19" s="529">
        <v>1</v>
      </c>
    </row>
    <row r="20" spans="1:72" ht="19.649999999999999" customHeight="1">
      <c r="A20" s="559" t="s">
        <v>542</v>
      </c>
      <c r="B20" s="998">
        <f>Reoffending_inputs!Q594</f>
        <v>0</v>
      </c>
      <c r="C20" s="998">
        <f>Reoffending_inputs!R595</f>
        <v>6.9592887958401184E-2</v>
      </c>
      <c r="D20" s="998">
        <f>Reoffending_inputs!S595</f>
        <v>0</v>
      </c>
      <c r="E20" s="998">
        <f>Reoffending_inputs!T595</f>
        <v>0</v>
      </c>
      <c r="F20" s="998">
        <f>Reoffending_inputs!U595</f>
        <v>0</v>
      </c>
      <c r="G20" s="998">
        <f>Reoffending_inputs!V595</f>
        <v>0</v>
      </c>
      <c r="H20" s="998">
        <f>Reoffending_inputs!W595</f>
        <v>0</v>
      </c>
      <c r="I20" s="998">
        <f>Reoffending_inputs!X595</f>
        <v>0</v>
      </c>
      <c r="J20" s="998">
        <f>Reoffending_inputs!Y595</f>
        <v>0</v>
      </c>
      <c r="K20" s="998">
        <f>Reoffending_inputs!Z595</f>
        <v>0</v>
      </c>
      <c r="L20" s="998">
        <f>Reoffending_inputs!AA595</f>
        <v>0</v>
      </c>
      <c r="M20" s="998">
        <f>Reoffending_inputs!AB595</f>
        <v>0</v>
      </c>
      <c r="N20" s="998">
        <f>Reoffending_inputs!AC595</f>
        <v>0</v>
      </c>
      <c r="O20" s="998">
        <f>Reoffending_inputs!AD595</f>
        <v>0</v>
      </c>
      <c r="P20" s="998">
        <f>Reoffending_inputs!AE595</f>
        <v>0</v>
      </c>
      <c r="Q20" s="998">
        <f>Reoffending_inputs!AF595</f>
        <v>0</v>
      </c>
      <c r="R20" s="998">
        <f>Reoffending_inputs!AG595</f>
        <v>0</v>
      </c>
      <c r="S20" s="998">
        <f>Reoffending_inputs!AH595</f>
        <v>0</v>
      </c>
      <c r="T20" s="998">
        <f>Reoffending_inputs!AI595</f>
        <v>0</v>
      </c>
      <c r="U20" s="998">
        <f>Reoffending_inputs!AJ595</f>
        <v>0</v>
      </c>
      <c r="V20" s="998">
        <f>Reoffending_inputs!AK595</f>
        <v>0</v>
      </c>
      <c r="W20" s="998">
        <f>Reoffending_inputs!AL595</f>
        <v>0</v>
      </c>
      <c r="X20" s="998">
        <f>Reoffending_inputs!AM595</f>
        <v>0</v>
      </c>
      <c r="Y20" s="998">
        <f>Reoffending_inputs!AN595</f>
        <v>0</v>
      </c>
      <c r="Z20" s="998">
        <f>Reoffending_inputs!AO595</f>
        <v>0</v>
      </c>
      <c r="AA20" s="716">
        <f t="array" ref="AA20">(SUM( IF(ISERROR(B20:Z20),"", B20:Z20)))</f>
        <v>6.9592887958401184E-2</v>
      </c>
      <c r="AB20" s="717">
        <f t="array" ref="AB20">(SUM( IF(ISERROR(B20:Z20),"", B20:Z20)))/time</f>
        <v>1.3918577591680237E-2</v>
      </c>
      <c r="AC20" s="710"/>
      <c r="AD20" s="718"/>
      <c r="AE20" s="712"/>
      <c r="AF20" s="713"/>
      <c r="AG20" s="713"/>
      <c r="AH20" s="713"/>
      <c r="AI20" s="719">
        <f>'Savings of avoided crimes'!E177</f>
        <v>15611.931976582106</v>
      </c>
      <c r="AJ20" s="367"/>
      <c r="AK20" s="355">
        <f t="shared" si="33"/>
        <v>0</v>
      </c>
      <c r="AL20" s="355">
        <f t="shared" si="33"/>
        <v>1086.4794328604592</v>
      </c>
      <c r="AM20" s="355">
        <f t="shared" si="33"/>
        <v>0</v>
      </c>
      <c r="AN20" s="355">
        <f t="shared" si="33"/>
        <v>0</v>
      </c>
      <c r="AO20" s="355">
        <f t="shared" si="33"/>
        <v>0</v>
      </c>
      <c r="AP20" s="355" t="str">
        <f t="shared" si="33"/>
        <v/>
      </c>
      <c r="AQ20" s="355" t="str">
        <f t="shared" si="33"/>
        <v/>
      </c>
      <c r="AR20" s="355" t="str">
        <f t="shared" si="33"/>
        <v/>
      </c>
      <c r="AS20" s="355" t="str">
        <f t="shared" si="33"/>
        <v/>
      </c>
      <c r="AT20" s="355" t="str">
        <f t="shared" si="33"/>
        <v/>
      </c>
      <c r="AU20" s="355" t="str">
        <f t="shared" si="34"/>
        <v/>
      </c>
      <c r="AV20" s="355" t="str">
        <f t="shared" si="34"/>
        <v/>
      </c>
      <c r="AW20" s="355" t="str">
        <f t="shared" si="34"/>
        <v/>
      </c>
      <c r="AX20" s="355" t="str">
        <f t="shared" si="34"/>
        <v/>
      </c>
      <c r="AY20" s="355" t="str">
        <f t="shared" si="34"/>
        <v/>
      </c>
      <c r="AZ20" s="355" t="str">
        <f t="shared" si="34"/>
        <v/>
      </c>
      <c r="BA20" s="355" t="str">
        <f t="shared" si="34"/>
        <v/>
      </c>
      <c r="BB20" s="355" t="str">
        <f t="shared" si="34"/>
        <v/>
      </c>
      <c r="BC20" s="355" t="str">
        <f t="shared" si="34"/>
        <v/>
      </c>
      <c r="BD20" s="355" t="str">
        <f t="shared" si="34"/>
        <v/>
      </c>
      <c r="BE20" s="355" t="str">
        <f t="shared" si="35"/>
        <v/>
      </c>
      <c r="BF20" s="355" t="str">
        <f t="shared" si="35"/>
        <v/>
      </c>
      <c r="BG20" s="355" t="str">
        <f t="shared" si="35"/>
        <v/>
      </c>
      <c r="BH20" s="355" t="str">
        <f t="shared" si="35"/>
        <v/>
      </c>
      <c r="BI20" s="355" t="str">
        <f t="shared" si="35"/>
        <v/>
      </c>
      <c r="BJ20" s="1047">
        <f t="array" ref="BJ20">(SUM( IF(ISERROR(AK20:BI20),"", AK20:BI20)))</f>
        <v>1086.4794328604592</v>
      </c>
      <c r="BK20" s="1048">
        <f t="array" ref="BK20">(SUM( IF(ISERROR(AK20:BI20),"", AK20:BI20)))/time</f>
        <v>217.29588657209183</v>
      </c>
      <c r="BL20" s="1048">
        <f t="shared" ref="BL20:BL25" si="38">IF(BR20&gt;0,IF(BK20-BQ20&gt;0, BK20-BQ20, 0),BK20)</f>
        <v>217.29588657209183</v>
      </c>
      <c r="BM20" s="1049">
        <f t="shared" ref="BM20:BM25" si="39">IF(BR20&gt;0,BK20+BQ20,BK20)</f>
        <v>217.29588657209183</v>
      </c>
      <c r="BO20" s="176" t="e">
        <f t="array" ref="BO20">STDEV(IF(AK20:BI20&lt;&gt;0,AK20:BI20))</f>
        <v>#DIV/0!</v>
      </c>
      <c r="BP20" s="176">
        <v>1.96</v>
      </c>
      <c r="BQ20" s="176" t="e">
        <f t="shared" ref="BQ20:BQ32" si="40">(BP20*BO20)/(time^0.5)</f>
        <v>#DIV/0!</v>
      </c>
      <c r="BR20" s="176">
        <f t="shared" si="37"/>
        <v>0</v>
      </c>
      <c r="BT20" s="529">
        <v>1</v>
      </c>
    </row>
    <row r="21" spans="1:72" ht="19.649999999999999" customHeight="1">
      <c r="A21" s="559" t="s">
        <v>543</v>
      </c>
      <c r="B21" s="998">
        <f>Reoffending_inputs!Q595</f>
        <v>0</v>
      </c>
      <c r="C21" s="998">
        <f>Reoffending_inputs!R596</f>
        <v>3.2061374033714819E-2</v>
      </c>
      <c r="D21" s="998">
        <f>Reoffending_inputs!S596</f>
        <v>0</v>
      </c>
      <c r="E21" s="998">
        <f>Reoffending_inputs!T596</f>
        <v>0</v>
      </c>
      <c r="F21" s="998">
        <f>Reoffending_inputs!U596</f>
        <v>0</v>
      </c>
      <c r="G21" s="715"/>
      <c r="H21" s="715"/>
      <c r="I21" s="715"/>
      <c r="J21" s="715"/>
      <c r="K21" s="715"/>
      <c r="L21" s="715"/>
      <c r="M21" s="715"/>
      <c r="N21" s="715"/>
      <c r="O21" s="715"/>
      <c r="P21" s="715"/>
      <c r="Q21" s="715"/>
      <c r="R21" s="715"/>
      <c r="S21" s="715"/>
      <c r="T21" s="715"/>
      <c r="U21" s="715"/>
      <c r="V21" s="715"/>
      <c r="W21" s="715"/>
      <c r="X21" s="715"/>
      <c r="Y21" s="715"/>
      <c r="Z21" s="715"/>
      <c r="AA21" s="716">
        <f t="array" ref="AA21">(SUM( IF(ISERROR(B21:Z21),"", B21:Z21)))</f>
        <v>3.2061374033714819E-2</v>
      </c>
      <c r="AB21" s="717">
        <f t="array" ref="AB21">(SUM( IF(ISERROR(B21:Z21),"", B21:Z21)))/time</f>
        <v>6.412274806742964E-3</v>
      </c>
      <c r="AC21" s="710"/>
      <c r="AD21" s="718"/>
      <c r="AE21" s="712"/>
      <c r="AF21" s="713"/>
      <c r="AG21" s="713"/>
      <c r="AH21" s="713"/>
      <c r="AI21" s="719">
        <f>'Savings of avoided crimes'!E178</f>
        <v>6622.5542349641273</v>
      </c>
      <c r="AJ21" s="367"/>
      <c r="AK21" s="355">
        <f t="shared" si="33"/>
        <v>0</v>
      </c>
      <c r="AL21" s="355">
        <f t="shared" si="33"/>
        <v>212.32818838574698</v>
      </c>
      <c r="AM21" s="355">
        <f t="shared" si="33"/>
        <v>0</v>
      </c>
      <c r="AN21" s="355">
        <f t="shared" si="33"/>
        <v>0</v>
      </c>
      <c r="AO21" s="355">
        <f t="shared" si="33"/>
        <v>0</v>
      </c>
      <c r="AP21" s="355" t="str">
        <f t="shared" si="33"/>
        <v/>
      </c>
      <c r="AQ21" s="355" t="str">
        <f t="shared" si="33"/>
        <v/>
      </c>
      <c r="AR21" s="355" t="str">
        <f t="shared" si="33"/>
        <v/>
      </c>
      <c r="AS21" s="355" t="str">
        <f t="shared" si="33"/>
        <v/>
      </c>
      <c r="AT21" s="355" t="str">
        <f t="shared" si="33"/>
        <v/>
      </c>
      <c r="AU21" s="355" t="str">
        <f t="shared" si="34"/>
        <v/>
      </c>
      <c r="AV21" s="355" t="str">
        <f t="shared" si="34"/>
        <v/>
      </c>
      <c r="AW21" s="355" t="str">
        <f t="shared" si="34"/>
        <v/>
      </c>
      <c r="AX21" s="355" t="str">
        <f t="shared" si="34"/>
        <v/>
      </c>
      <c r="AY21" s="355" t="str">
        <f t="shared" si="34"/>
        <v/>
      </c>
      <c r="AZ21" s="355" t="str">
        <f t="shared" si="34"/>
        <v/>
      </c>
      <c r="BA21" s="355" t="str">
        <f t="shared" si="34"/>
        <v/>
      </c>
      <c r="BB21" s="355" t="str">
        <f t="shared" si="34"/>
        <v/>
      </c>
      <c r="BC21" s="355" t="str">
        <f t="shared" si="34"/>
        <v/>
      </c>
      <c r="BD21" s="355" t="str">
        <f t="shared" si="34"/>
        <v/>
      </c>
      <c r="BE21" s="355" t="str">
        <f t="shared" si="35"/>
        <v/>
      </c>
      <c r="BF21" s="355" t="str">
        <f t="shared" si="35"/>
        <v/>
      </c>
      <c r="BG21" s="355" t="str">
        <f t="shared" si="35"/>
        <v/>
      </c>
      <c r="BH21" s="355" t="str">
        <f t="shared" si="35"/>
        <v/>
      </c>
      <c r="BI21" s="355" t="str">
        <f t="shared" si="35"/>
        <v/>
      </c>
      <c r="BJ21" s="1047">
        <f t="array" ref="BJ21">(SUM( IF(ISERROR(AK21:BI21),"", AK21:BI21)))</f>
        <v>212.32818838574698</v>
      </c>
      <c r="BK21" s="1048">
        <f t="array" ref="BK21">(SUM( IF(ISERROR(AK21:BI21),"", AK21:BI21)))/time</f>
        <v>42.465637677149395</v>
      </c>
      <c r="BL21" s="1048">
        <f t="shared" si="38"/>
        <v>42.465637677149395</v>
      </c>
      <c r="BM21" s="1049">
        <f t="shared" si="39"/>
        <v>42.465637677149395</v>
      </c>
      <c r="BO21" s="176" t="e">
        <f t="array" ref="BO21">STDEV(IF(AK21:BI21&lt;&gt;0,AK21:BI21))</f>
        <v>#DIV/0!</v>
      </c>
      <c r="BP21" s="176">
        <v>1.96</v>
      </c>
      <c r="BQ21" s="176" t="e">
        <f t="shared" si="40"/>
        <v>#DIV/0!</v>
      </c>
      <c r="BR21" s="176">
        <f t="shared" si="37"/>
        <v>0</v>
      </c>
      <c r="BT21" s="529">
        <v>1</v>
      </c>
    </row>
    <row r="22" spans="1:72" ht="19.649999999999999" customHeight="1">
      <c r="A22" s="559" t="s">
        <v>544</v>
      </c>
      <c r="B22" s="998">
        <f>Reoffending_inputs!Q596</f>
        <v>0</v>
      </c>
      <c r="C22" s="998">
        <f>Reoffending_inputs!R597</f>
        <v>7.606122166307881E-4</v>
      </c>
      <c r="D22" s="998">
        <f>Reoffending_inputs!S597</f>
        <v>0</v>
      </c>
      <c r="E22" s="998">
        <f>Reoffending_inputs!T597</f>
        <v>0</v>
      </c>
      <c r="F22" s="998">
        <f>Reoffending_inputs!U597</f>
        <v>0</v>
      </c>
      <c r="G22" s="715"/>
      <c r="H22" s="715"/>
      <c r="I22" s="715"/>
      <c r="J22" s="715"/>
      <c r="K22" s="715"/>
      <c r="L22" s="715"/>
      <c r="M22" s="715"/>
      <c r="N22" s="715"/>
      <c r="O22" s="715"/>
      <c r="P22" s="715"/>
      <c r="Q22" s="715"/>
      <c r="R22" s="715"/>
      <c r="S22" s="715"/>
      <c r="T22" s="715"/>
      <c r="U22" s="715"/>
      <c r="V22" s="715"/>
      <c r="W22" s="715"/>
      <c r="X22" s="715"/>
      <c r="Y22" s="715"/>
      <c r="Z22" s="715"/>
      <c r="AA22" s="716">
        <f t="array" ref="AA22">(SUM( IF(ISERROR(B22:Z22),"", B22:Z22)))</f>
        <v>7.606122166307881E-4</v>
      </c>
      <c r="AB22" s="717">
        <f t="array" ref="AB22">(SUM( IF(ISERROR(B22:Z22),"", B22:Z22)))/time</f>
        <v>1.5212244332615761E-4</v>
      </c>
      <c r="AC22" s="710"/>
      <c r="AD22" s="718"/>
      <c r="AE22" s="712"/>
      <c r="AF22" s="713"/>
      <c r="AG22" s="713"/>
      <c r="AH22" s="713"/>
      <c r="AI22" s="719">
        <f>'Savings of avoided crimes'!E179</f>
        <v>43672.445281430104</v>
      </c>
      <c r="AJ22" s="367"/>
      <c r="AK22" s="355">
        <f t="shared" si="33"/>
        <v>0</v>
      </c>
      <c r="AL22" s="355">
        <f t="shared" si="33"/>
        <v>33.217795411195354</v>
      </c>
      <c r="AM22" s="355">
        <f t="shared" si="33"/>
        <v>0</v>
      </c>
      <c r="AN22" s="355">
        <f t="shared" si="33"/>
        <v>0</v>
      </c>
      <c r="AO22" s="355">
        <f t="shared" si="33"/>
        <v>0</v>
      </c>
      <c r="AP22" s="355" t="str">
        <f t="shared" si="33"/>
        <v/>
      </c>
      <c r="AQ22" s="355" t="str">
        <f t="shared" si="33"/>
        <v/>
      </c>
      <c r="AR22" s="355" t="str">
        <f t="shared" si="33"/>
        <v/>
      </c>
      <c r="AS22" s="355" t="str">
        <f t="shared" si="33"/>
        <v/>
      </c>
      <c r="AT22" s="355" t="str">
        <f t="shared" si="33"/>
        <v/>
      </c>
      <c r="AU22" s="355" t="str">
        <f t="shared" si="34"/>
        <v/>
      </c>
      <c r="AV22" s="355" t="str">
        <f t="shared" si="34"/>
        <v/>
      </c>
      <c r="AW22" s="355" t="str">
        <f t="shared" si="34"/>
        <v/>
      </c>
      <c r="AX22" s="355" t="str">
        <f t="shared" si="34"/>
        <v/>
      </c>
      <c r="AY22" s="355" t="str">
        <f t="shared" si="34"/>
        <v/>
      </c>
      <c r="AZ22" s="355" t="str">
        <f t="shared" si="34"/>
        <v/>
      </c>
      <c r="BA22" s="355" t="str">
        <f t="shared" si="34"/>
        <v/>
      </c>
      <c r="BB22" s="355" t="str">
        <f t="shared" si="34"/>
        <v/>
      </c>
      <c r="BC22" s="355" t="str">
        <f t="shared" si="34"/>
        <v/>
      </c>
      <c r="BD22" s="355" t="str">
        <f t="shared" si="34"/>
        <v/>
      </c>
      <c r="BE22" s="355" t="str">
        <f t="shared" si="35"/>
        <v/>
      </c>
      <c r="BF22" s="355" t="str">
        <f t="shared" si="35"/>
        <v/>
      </c>
      <c r="BG22" s="355" t="str">
        <f t="shared" si="35"/>
        <v/>
      </c>
      <c r="BH22" s="355" t="str">
        <f t="shared" si="35"/>
        <v/>
      </c>
      <c r="BI22" s="355" t="str">
        <f t="shared" si="35"/>
        <v/>
      </c>
      <c r="BJ22" s="1047">
        <f t="array" ref="BJ22">(SUM( IF(ISERROR(AK22:BI22),"", AK22:BI22)))</f>
        <v>33.217795411195354</v>
      </c>
      <c r="BK22" s="1048">
        <f t="array" ref="BK22">(SUM( IF(ISERROR(AK22:BI22),"", AK22:BI22)))/time</f>
        <v>6.6435590822390704</v>
      </c>
      <c r="BL22" s="1048">
        <f t="shared" si="38"/>
        <v>6.6435590822390704</v>
      </c>
      <c r="BM22" s="1049">
        <f t="shared" si="39"/>
        <v>6.6435590822390704</v>
      </c>
      <c r="BO22" s="176" t="e">
        <f t="array" ref="BO22">STDEV(IF(AK22:BI22&lt;&gt;0,AK22:BI22))</f>
        <v>#DIV/0!</v>
      </c>
      <c r="BP22" s="176">
        <v>1.96</v>
      </c>
      <c r="BQ22" s="176" t="e">
        <f t="shared" si="40"/>
        <v>#DIV/0!</v>
      </c>
      <c r="BR22" s="176">
        <f t="shared" si="37"/>
        <v>0</v>
      </c>
      <c r="BT22" s="529">
        <v>1</v>
      </c>
    </row>
    <row r="23" spans="1:72" ht="19.649999999999999" customHeight="1">
      <c r="A23" s="559" t="s">
        <v>545</v>
      </c>
      <c r="B23" s="998">
        <f>Reoffending_inputs!Q597</f>
        <v>0</v>
      </c>
      <c r="C23" s="998">
        <f>Reoffending_inputs!R598</f>
        <v>3.434108934753384E-2</v>
      </c>
      <c r="D23" s="998">
        <f>Reoffending_inputs!S598</f>
        <v>0</v>
      </c>
      <c r="E23" s="998">
        <f>Reoffending_inputs!T598</f>
        <v>0</v>
      </c>
      <c r="F23" s="998">
        <f>Reoffending_inputs!U598</f>
        <v>0</v>
      </c>
      <c r="G23" s="715"/>
      <c r="H23" s="715"/>
      <c r="I23" s="715"/>
      <c r="J23" s="715"/>
      <c r="K23" s="715"/>
      <c r="L23" s="715"/>
      <c r="M23" s="715"/>
      <c r="N23" s="715"/>
      <c r="O23" s="715"/>
      <c r="P23" s="715"/>
      <c r="Q23" s="715"/>
      <c r="R23" s="715"/>
      <c r="S23" s="715"/>
      <c r="T23" s="715"/>
      <c r="U23" s="715"/>
      <c r="V23" s="715"/>
      <c r="W23" s="715"/>
      <c r="X23" s="715"/>
      <c r="Y23" s="715"/>
      <c r="Z23" s="715"/>
      <c r="AA23" s="716">
        <f t="array" ref="AA23">(SUM( IF(ISERROR(B23:Z23),"", B23:Z23)))</f>
        <v>3.434108934753384E-2</v>
      </c>
      <c r="AB23" s="717">
        <f t="array" ref="AB23">(SUM( IF(ISERROR(B23:Z23),"", B23:Z23)))/time</f>
        <v>6.868217869506768E-3</v>
      </c>
      <c r="AC23" s="710"/>
      <c r="AD23" s="718"/>
      <c r="AE23" s="712"/>
      <c r="AF23" s="713"/>
      <c r="AG23" s="713"/>
      <c r="AH23" s="713"/>
      <c r="AI23" s="719">
        <f>'Savings of avoided crimes'!E180</f>
        <v>7248.3969891274046</v>
      </c>
      <c r="AJ23" s="367"/>
      <c r="AK23" s="355">
        <f t="shared" si="33"/>
        <v>0</v>
      </c>
      <c r="AL23" s="355">
        <f t="shared" si="33"/>
        <v>248.91784863001948</v>
      </c>
      <c r="AM23" s="355">
        <f t="shared" si="33"/>
        <v>0</v>
      </c>
      <c r="AN23" s="355">
        <f t="shared" si="33"/>
        <v>0</v>
      </c>
      <c r="AO23" s="355">
        <f t="shared" si="33"/>
        <v>0</v>
      </c>
      <c r="AP23" s="355" t="str">
        <f t="shared" si="33"/>
        <v/>
      </c>
      <c r="AQ23" s="355" t="str">
        <f t="shared" si="33"/>
        <v/>
      </c>
      <c r="AR23" s="355" t="str">
        <f t="shared" si="33"/>
        <v/>
      </c>
      <c r="AS23" s="355" t="str">
        <f t="shared" si="33"/>
        <v/>
      </c>
      <c r="AT23" s="355" t="str">
        <f t="shared" si="33"/>
        <v/>
      </c>
      <c r="AU23" s="355" t="str">
        <f t="shared" si="34"/>
        <v/>
      </c>
      <c r="AV23" s="355" t="str">
        <f t="shared" si="34"/>
        <v/>
      </c>
      <c r="AW23" s="355" t="str">
        <f t="shared" si="34"/>
        <v/>
      </c>
      <c r="AX23" s="355" t="str">
        <f t="shared" si="34"/>
        <v/>
      </c>
      <c r="AY23" s="355" t="str">
        <f t="shared" si="34"/>
        <v/>
      </c>
      <c r="AZ23" s="355" t="str">
        <f t="shared" si="34"/>
        <v/>
      </c>
      <c r="BA23" s="355" t="str">
        <f t="shared" si="34"/>
        <v/>
      </c>
      <c r="BB23" s="355" t="str">
        <f t="shared" si="34"/>
        <v/>
      </c>
      <c r="BC23" s="355" t="str">
        <f t="shared" si="34"/>
        <v/>
      </c>
      <c r="BD23" s="355" t="str">
        <f t="shared" si="34"/>
        <v/>
      </c>
      <c r="BE23" s="355" t="str">
        <f t="shared" si="35"/>
        <v/>
      </c>
      <c r="BF23" s="355" t="str">
        <f t="shared" si="35"/>
        <v/>
      </c>
      <c r="BG23" s="355" t="str">
        <f t="shared" si="35"/>
        <v/>
      </c>
      <c r="BH23" s="355" t="str">
        <f t="shared" si="35"/>
        <v/>
      </c>
      <c r="BI23" s="355" t="str">
        <f t="shared" si="35"/>
        <v/>
      </c>
      <c r="BJ23" s="1047">
        <f t="array" ref="BJ23">(SUM( IF(ISERROR(AK23:BI23),"", AK23:BI23)))</f>
        <v>248.91784863001948</v>
      </c>
      <c r="BK23" s="1048">
        <f t="array" ref="BK23">(SUM( IF(ISERROR(AK23:BI23),"", AK23:BI23)))/time</f>
        <v>49.783569726003897</v>
      </c>
      <c r="BL23" s="1048">
        <f t="shared" si="38"/>
        <v>49.783569726003897</v>
      </c>
      <c r="BM23" s="1049">
        <f t="shared" si="39"/>
        <v>49.783569726003897</v>
      </c>
      <c r="BO23" s="176" t="e">
        <f t="array" ref="BO23">STDEV(IF(AK23:BI23&lt;&gt;0,AK23:BI23))</f>
        <v>#DIV/0!</v>
      </c>
      <c r="BP23" s="176">
        <v>1.96</v>
      </c>
      <c r="BQ23" s="176" t="e">
        <f t="shared" si="40"/>
        <v>#DIV/0!</v>
      </c>
      <c r="BR23" s="176">
        <f t="shared" si="37"/>
        <v>0</v>
      </c>
      <c r="BT23" s="529">
        <v>1</v>
      </c>
    </row>
    <row r="24" spans="1:72" ht="19.649999999999999" customHeight="1">
      <c r="A24" s="559" t="s">
        <v>292</v>
      </c>
      <c r="B24" s="998">
        <f>Reoffending_inputs!Q598</f>
        <v>0</v>
      </c>
      <c r="C24" s="998">
        <f>Reoffending_inputs!R599</f>
        <v>2.9541700125743284E-2</v>
      </c>
      <c r="D24" s="998">
        <f>Reoffending_inputs!S599</f>
        <v>0</v>
      </c>
      <c r="E24" s="998">
        <f>Reoffending_inputs!T599</f>
        <v>0</v>
      </c>
      <c r="F24" s="998">
        <f>Reoffending_inputs!U599</f>
        <v>0</v>
      </c>
      <c r="G24" s="715"/>
      <c r="H24" s="715"/>
      <c r="I24" s="715"/>
      <c r="J24" s="715"/>
      <c r="K24" s="715"/>
      <c r="L24" s="715"/>
      <c r="M24" s="715"/>
      <c r="N24" s="715"/>
      <c r="O24" s="715"/>
      <c r="P24" s="715"/>
      <c r="Q24" s="715"/>
      <c r="R24" s="715"/>
      <c r="S24" s="715"/>
      <c r="T24" s="715"/>
      <c r="U24" s="715"/>
      <c r="V24" s="715"/>
      <c r="W24" s="715"/>
      <c r="X24" s="715"/>
      <c r="Y24" s="715"/>
      <c r="Z24" s="715"/>
      <c r="AA24" s="716">
        <f t="array" ref="AA24">(SUM( IF(ISERROR(B24:Z24),"", B24:Z24)))</f>
        <v>2.9541700125743284E-2</v>
      </c>
      <c r="AB24" s="717">
        <f t="array" ref="AB24">(SUM( IF(ISERROR(B24:Z24),"", B24:Z24)))/time</f>
        <v>5.9083400251486572E-3</v>
      </c>
      <c r="AC24" s="710"/>
      <c r="AD24" s="718"/>
      <c r="AE24" s="712"/>
      <c r="AF24" s="713"/>
      <c r="AG24" s="713"/>
      <c r="AH24" s="713"/>
      <c r="AI24" s="719">
        <f>'Savings of avoided crimes'!E181</f>
        <v>12505.476124098928</v>
      </c>
      <c r="AJ24" s="367"/>
      <c r="AK24" s="355">
        <f t="shared" si="33"/>
        <v>0</v>
      </c>
      <c r="AL24" s="355">
        <f t="shared" si="33"/>
        <v>369.43302558777293</v>
      </c>
      <c r="AM24" s="355">
        <f t="shared" si="33"/>
        <v>0</v>
      </c>
      <c r="AN24" s="355">
        <f t="shared" si="33"/>
        <v>0</v>
      </c>
      <c r="AO24" s="355">
        <f t="shared" si="33"/>
        <v>0</v>
      </c>
      <c r="AP24" s="355" t="str">
        <f t="shared" si="33"/>
        <v/>
      </c>
      <c r="AQ24" s="355" t="str">
        <f t="shared" si="33"/>
        <v/>
      </c>
      <c r="AR24" s="355" t="str">
        <f t="shared" si="33"/>
        <v/>
      </c>
      <c r="AS24" s="355" t="str">
        <f t="shared" si="33"/>
        <v/>
      </c>
      <c r="AT24" s="355" t="str">
        <f t="shared" si="33"/>
        <v/>
      </c>
      <c r="AU24" s="355" t="str">
        <f t="shared" si="34"/>
        <v/>
      </c>
      <c r="AV24" s="355" t="str">
        <f t="shared" si="34"/>
        <v/>
      </c>
      <c r="AW24" s="355" t="str">
        <f t="shared" si="34"/>
        <v/>
      </c>
      <c r="AX24" s="355" t="str">
        <f t="shared" si="34"/>
        <v/>
      </c>
      <c r="AY24" s="355" t="str">
        <f t="shared" si="34"/>
        <v/>
      </c>
      <c r="AZ24" s="355" t="str">
        <f t="shared" si="34"/>
        <v/>
      </c>
      <c r="BA24" s="355" t="str">
        <f t="shared" si="34"/>
        <v/>
      </c>
      <c r="BB24" s="355" t="str">
        <f t="shared" si="34"/>
        <v/>
      </c>
      <c r="BC24" s="355" t="str">
        <f t="shared" si="34"/>
        <v/>
      </c>
      <c r="BD24" s="355" t="str">
        <f t="shared" si="34"/>
        <v/>
      </c>
      <c r="BE24" s="355" t="str">
        <f t="shared" si="35"/>
        <v/>
      </c>
      <c r="BF24" s="355" t="str">
        <f t="shared" si="35"/>
        <v/>
      </c>
      <c r="BG24" s="355" t="str">
        <f t="shared" si="35"/>
        <v/>
      </c>
      <c r="BH24" s="355" t="str">
        <f t="shared" si="35"/>
        <v/>
      </c>
      <c r="BI24" s="355" t="str">
        <f t="shared" si="35"/>
        <v/>
      </c>
      <c r="BJ24" s="1047">
        <f t="array" ref="BJ24">(SUM( IF(ISERROR(AK24:BI24),"", AK24:BI24)))</f>
        <v>369.43302558777293</v>
      </c>
      <c r="BK24" s="1048">
        <f t="array" ref="BK24">(SUM( IF(ISERROR(AK24:BI24),"", AK24:BI24)))/time</f>
        <v>73.886605117554581</v>
      </c>
      <c r="BL24" s="1048">
        <f t="shared" si="38"/>
        <v>73.886605117554581</v>
      </c>
      <c r="BM24" s="1049">
        <f>IF(BR24&gt;0,BK24+BQ24,BK24)</f>
        <v>73.886605117554581</v>
      </c>
      <c r="BO24" s="176" t="e">
        <f t="array" ref="BO24">STDEV(IF(AK24:BI24&lt;&gt;0,AK24:BI24))</f>
        <v>#DIV/0!</v>
      </c>
      <c r="BP24" s="176">
        <v>1.96</v>
      </c>
      <c r="BQ24" s="176" t="e">
        <f t="shared" si="40"/>
        <v>#DIV/0!</v>
      </c>
      <c r="BR24" s="176">
        <f t="shared" si="37"/>
        <v>0</v>
      </c>
      <c r="BT24" s="529">
        <v>1</v>
      </c>
    </row>
    <row r="25" spans="1:72" ht="19.649999999999999" customHeight="1">
      <c r="A25" s="559" t="s">
        <v>546</v>
      </c>
      <c r="B25" s="998">
        <f>Reoffending_inputs!Q599</f>
        <v>0</v>
      </c>
      <c r="C25" s="998">
        <f>Reoffending_inputs!R600</f>
        <v>0.14542276962942172</v>
      </c>
      <c r="D25" s="998">
        <f>Reoffending_inputs!S600</f>
        <v>0</v>
      </c>
      <c r="E25" s="998">
        <f>Reoffending_inputs!T600</f>
        <v>0</v>
      </c>
      <c r="F25" s="998">
        <f>Reoffending_inputs!U600</f>
        <v>0</v>
      </c>
      <c r="G25" s="715"/>
      <c r="H25" s="715"/>
      <c r="I25" s="715"/>
      <c r="J25" s="715"/>
      <c r="K25" s="715"/>
      <c r="L25" s="715"/>
      <c r="M25" s="715"/>
      <c r="N25" s="715"/>
      <c r="O25" s="715"/>
      <c r="P25" s="715"/>
      <c r="Q25" s="715"/>
      <c r="R25" s="715"/>
      <c r="S25" s="715"/>
      <c r="T25" s="715"/>
      <c r="U25" s="715"/>
      <c r="V25" s="715"/>
      <c r="W25" s="715"/>
      <c r="X25" s="715"/>
      <c r="Y25" s="715"/>
      <c r="Z25" s="715"/>
      <c r="AA25" s="716">
        <f t="array" ref="AA25">(SUM( IF(ISERROR(B25:Z25),"", B25:Z25)))</f>
        <v>0.14542276962942172</v>
      </c>
      <c r="AB25" s="717">
        <f t="array" ref="AB25">(SUM( IF(ISERROR(B25:Z25),"", B25:Z25)))/time</f>
        <v>2.9084553925884344E-2</v>
      </c>
      <c r="AC25" s="710"/>
      <c r="AD25" s="718"/>
      <c r="AE25" s="712"/>
      <c r="AF25" s="713"/>
      <c r="AG25" s="713"/>
      <c r="AH25" s="713"/>
      <c r="AI25" s="719">
        <f>'Savings of avoided crimes'!E182</f>
        <v>5928.4377258012209</v>
      </c>
      <c r="AJ25" s="367"/>
      <c r="AK25" s="355">
        <f t="shared" si="33"/>
        <v>0</v>
      </c>
      <c r="AL25" s="355">
        <f t="shared" si="33"/>
        <v>862.12983366156379</v>
      </c>
      <c r="AM25" s="355">
        <f t="shared" si="33"/>
        <v>0</v>
      </c>
      <c r="AN25" s="355">
        <f t="shared" si="33"/>
        <v>0</v>
      </c>
      <c r="AO25" s="355">
        <f t="shared" si="33"/>
        <v>0</v>
      </c>
      <c r="AP25" s="355" t="str">
        <f t="shared" si="33"/>
        <v/>
      </c>
      <c r="AQ25" s="355" t="str">
        <f t="shared" si="33"/>
        <v/>
      </c>
      <c r="AR25" s="355" t="str">
        <f t="shared" si="33"/>
        <v/>
      </c>
      <c r="AS25" s="355" t="str">
        <f t="shared" si="33"/>
        <v/>
      </c>
      <c r="AT25" s="355" t="str">
        <f t="shared" si="33"/>
        <v/>
      </c>
      <c r="AU25" s="355" t="str">
        <f t="shared" si="34"/>
        <v/>
      </c>
      <c r="AV25" s="355" t="str">
        <f t="shared" si="34"/>
        <v/>
      </c>
      <c r="AW25" s="355" t="str">
        <f t="shared" si="34"/>
        <v/>
      </c>
      <c r="AX25" s="355" t="str">
        <f t="shared" si="34"/>
        <v/>
      </c>
      <c r="AY25" s="355" t="str">
        <f t="shared" si="34"/>
        <v/>
      </c>
      <c r="AZ25" s="355" t="str">
        <f t="shared" si="34"/>
        <v/>
      </c>
      <c r="BA25" s="355" t="str">
        <f t="shared" si="34"/>
        <v/>
      </c>
      <c r="BB25" s="355" t="str">
        <f t="shared" si="34"/>
        <v/>
      </c>
      <c r="BC25" s="355" t="str">
        <f t="shared" si="34"/>
        <v/>
      </c>
      <c r="BD25" s="355" t="str">
        <f t="shared" si="34"/>
        <v/>
      </c>
      <c r="BE25" s="355" t="str">
        <f t="shared" si="35"/>
        <v/>
      </c>
      <c r="BF25" s="355" t="str">
        <f t="shared" si="35"/>
        <v/>
      </c>
      <c r="BG25" s="355" t="str">
        <f t="shared" si="35"/>
        <v/>
      </c>
      <c r="BH25" s="355" t="str">
        <f t="shared" si="35"/>
        <v/>
      </c>
      <c r="BI25" s="355" t="str">
        <f t="shared" si="35"/>
        <v/>
      </c>
      <c r="BJ25" s="1047">
        <f t="array" ref="BJ25">(SUM( IF(ISERROR(AK25:BI25),"", AK25:BI25)))</f>
        <v>862.12983366156379</v>
      </c>
      <c r="BK25" s="1048">
        <f t="array" ref="BK25">(SUM( IF(ISERROR(AK25:BI25),"", AK25:BI25)))/time</f>
        <v>172.42596673231276</v>
      </c>
      <c r="BL25" s="1048">
        <f t="shared" si="38"/>
        <v>172.42596673231276</v>
      </c>
      <c r="BM25" s="1049">
        <f t="shared" si="39"/>
        <v>172.42596673231276</v>
      </c>
      <c r="BO25" s="176" t="e">
        <f t="array" ref="BO25">STDEV(IF(AK25:BI25&lt;&gt;0,AK25:BI25))</f>
        <v>#DIV/0!</v>
      </c>
      <c r="BP25" s="176">
        <v>1.96</v>
      </c>
      <c r="BQ25" s="176" t="e">
        <f t="shared" si="40"/>
        <v>#DIV/0!</v>
      </c>
      <c r="BR25" s="176">
        <f t="shared" si="37"/>
        <v>0</v>
      </c>
      <c r="BT25" s="529">
        <v>1</v>
      </c>
    </row>
    <row r="26" spans="1:72" ht="19.649999999999999" customHeight="1">
      <c r="A26" s="559" t="s">
        <v>547</v>
      </c>
      <c r="B26" s="998">
        <f>Reoffending_inputs!Q600</f>
        <v>0</v>
      </c>
      <c r="C26" s="998">
        <f>Reoffending_inputs!R601</f>
        <v>3.3138791957893639E-3</v>
      </c>
      <c r="D26" s="998">
        <f>Reoffending_inputs!S601</f>
        <v>0</v>
      </c>
      <c r="E26" s="998">
        <f>Reoffending_inputs!T601</f>
        <v>0</v>
      </c>
      <c r="F26" s="998">
        <f>Reoffending_inputs!U601</f>
        <v>0</v>
      </c>
      <c r="G26" s="715"/>
      <c r="H26" s="715"/>
      <c r="I26" s="715"/>
      <c r="J26" s="715"/>
      <c r="K26" s="715"/>
      <c r="L26" s="715"/>
      <c r="M26" s="715"/>
      <c r="N26" s="715"/>
      <c r="O26" s="715"/>
      <c r="P26" s="715"/>
      <c r="Q26" s="715"/>
      <c r="R26" s="715"/>
      <c r="S26" s="715"/>
      <c r="T26" s="715"/>
      <c r="U26" s="715"/>
      <c r="V26" s="715"/>
      <c r="W26" s="715"/>
      <c r="X26" s="715"/>
      <c r="Y26" s="715"/>
      <c r="Z26" s="715"/>
      <c r="AA26" s="716">
        <f t="array" ref="AA26">(SUM( IF(ISERROR(B26:Z26),"", B26:Z26)))</f>
        <v>3.3138791957893639E-3</v>
      </c>
      <c r="AB26" s="717">
        <f t="array" ref="AB26">(SUM( IF(ISERROR(B26:Z26),"", B26:Z26)))/time</f>
        <v>6.6277583915787274E-4</v>
      </c>
      <c r="AC26" s="710"/>
      <c r="AD26" s="718"/>
      <c r="AE26" s="712"/>
      <c r="AF26" s="713"/>
      <c r="AG26" s="713"/>
      <c r="AH26" s="713"/>
      <c r="AI26" s="719">
        <f>'Savings of avoided crimes'!E183</f>
        <v>9740.3890466139055</v>
      </c>
      <c r="AJ26" s="367"/>
      <c r="AK26" s="355">
        <f t="shared" ref="AK26:AT26" si="41">IF(AK$69&lt;=time,B26*$AI26,"")</f>
        <v>0</v>
      </c>
      <c r="AL26" s="355">
        <f t="shared" si="41"/>
        <v>32.27847262046842</v>
      </c>
      <c r="AM26" s="355">
        <f t="shared" si="41"/>
        <v>0</v>
      </c>
      <c r="AN26" s="355">
        <f t="shared" si="41"/>
        <v>0</v>
      </c>
      <c r="AO26" s="355">
        <f t="shared" si="41"/>
        <v>0</v>
      </c>
      <c r="AP26" s="355" t="str">
        <f t="shared" si="41"/>
        <v/>
      </c>
      <c r="AQ26" s="355" t="str">
        <f t="shared" si="41"/>
        <v/>
      </c>
      <c r="AR26" s="355" t="str">
        <f t="shared" si="41"/>
        <v/>
      </c>
      <c r="AS26" s="355" t="str">
        <f t="shared" si="41"/>
        <v/>
      </c>
      <c r="AT26" s="355" t="str">
        <f t="shared" si="41"/>
        <v/>
      </c>
      <c r="AU26" s="355" t="str">
        <f t="shared" ref="AU26:BD26" si="42">IF(AU$69&lt;=time,L26*$AI26,"")</f>
        <v/>
      </c>
      <c r="AV26" s="355" t="str">
        <f t="shared" si="42"/>
        <v/>
      </c>
      <c r="AW26" s="355" t="str">
        <f t="shared" si="42"/>
        <v/>
      </c>
      <c r="AX26" s="355" t="str">
        <f t="shared" si="42"/>
        <v/>
      </c>
      <c r="AY26" s="355" t="str">
        <f t="shared" si="42"/>
        <v/>
      </c>
      <c r="AZ26" s="355" t="str">
        <f t="shared" si="42"/>
        <v/>
      </c>
      <c r="BA26" s="355" t="str">
        <f t="shared" si="42"/>
        <v/>
      </c>
      <c r="BB26" s="355" t="str">
        <f t="shared" si="42"/>
        <v/>
      </c>
      <c r="BC26" s="355" t="str">
        <f t="shared" si="42"/>
        <v/>
      </c>
      <c r="BD26" s="355" t="str">
        <f t="shared" si="42"/>
        <v/>
      </c>
      <c r="BE26" s="355" t="str">
        <f t="shared" ref="BE26:BI26" si="43">IF(BE$69&lt;=time,V26*$AI26,"")</f>
        <v/>
      </c>
      <c r="BF26" s="355" t="str">
        <f t="shared" si="43"/>
        <v/>
      </c>
      <c r="BG26" s="355" t="str">
        <f t="shared" si="43"/>
        <v/>
      </c>
      <c r="BH26" s="355" t="str">
        <f t="shared" si="43"/>
        <v/>
      </c>
      <c r="BI26" s="355" t="str">
        <f t="shared" si="43"/>
        <v/>
      </c>
      <c r="BJ26" s="1047">
        <f t="array" ref="BJ26">(SUM( IF(ISERROR(AK26:BI26),"", AK26:BI26)))</f>
        <v>32.27847262046842</v>
      </c>
      <c r="BK26" s="1048">
        <f t="array" ref="BK26">(SUM( IF(ISERROR(AK26:BI26),"", AK26:BI26)))/time</f>
        <v>6.4556945240936843</v>
      </c>
      <c r="BL26" s="1048">
        <f t="shared" ref="BL26" si="44">IF(BR26&gt;0,IF(BK26-BQ26&gt;0, BK26-BQ26, 0),BK26)</f>
        <v>6.4556945240936843</v>
      </c>
      <c r="BM26" s="1049">
        <f t="shared" si="36"/>
        <v>6.4556945240936843</v>
      </c>
      <c r="BO26" s="176" t="e">
        <f t="array" ref="BO26">STDEV(IF(AK26:BI26&lt;&gt;0,AK26:BI26))</f>
        <v>#DIV/0!</v>
      </c>
      <c r="BP26" s="176">
        <v>1.96</v>
      </c>
      <c r="BQ26" s="176" t="e">
        <f t="shared" si="40"/>
        <v>#DIV/0!</v>
      </c>
      <c r="BR26" s="176">
        <f t="shared" si="37"/>
        <v>0</v>
      </c>
      <c r="BT26" s="529">
        <v>1</v>
      </c>
    </row>
    <row r="27" spans="1:72" ht="19.649999999999999" customHeight="1">
      <c r="A27" s="559" t="s">
        <v>548</v>
      </c>
      <c r="B27" s="998">
        <f>Reoffending_inputs!Q601</f>
        <v>0</v>
      </c>
      <c r="C27" s="998">
        <f>Reoffending_inputs!R602</f>
        <v>8.6143112429670946E-2</v>
      </c>
      <c r="D27" s="998">
        <f>Reoffending_inputs!S602</f>
        <v>0</v>
      </c>
      <c r="E27" s="998">
        <f>Reoffending_inputs!T602</f>
        <v>0</v>
      </c>
      <c r="F27" s="998">
        <f>Reoffending_inputs!U602</f>
        <v>0</v>
      </c>
      <c r="G27" s="715"/>
      <c r="H27" s="715"/>
      <c r="I27" s="715"/>
      <c r="J27" s="715"/>
      <c r="K27" s="715"/>
      <c r="L27" s="715"/>
      <c r="M27" s="715"/>
      <c r="N27" s="715"/>
      <c r="O27" s="715"/>
      <c r="P27" s="715"/>
      <c r="Q27" s="715"/>
      <c r="R27" s="715"/>
      <c r="S27" s="715"/>
      <c r="T27" s="715"/>
      <c r="U27" s="715"/>
      <c r="V27" s="715"/>
      <c r="W27" s="715"/>
      <c r="X27" s="715"/>
      <c r="Y27" s="715"/>
      <c r="Z27" s="715"/>
      <c r="AA27" s="716">
        <f t="array" ref="AA27">(SUM( IF(ISERROR(B27:Z27),"", B27:Z27)))</f>
        <v>8.6143112429670946E-2</v>
      </c>
      <c r="AB27" s="717">
        <f t="array" ref="AB27">(SUM( IF(ISERROR(B27:Z27),"", B27:Z27)))/time</f>
        <v>1.7228622485934188E-2</v>
      </c>
      <c r="AC27" s="710"/>
      <c r="AD27" s="718"/>
      <c r="AE27" s="712"/>
      <c r="AF27" s="713"/>
      <c r="AG27" s="713"/>
      <c r="AH27" s="713"/>
      <c r="AI27" s="719">
        <f>'Savings of avoided crimes'!E184</f>
        <v>876.17985582858728</v>
      </c>
      <c r="AJ27" s="367"/>
      <c r="AK27" s="355">
        <f t="shared" ref="AK27" si="45">IF(AK$69&lt;=time,B27*$AI27,"")</f>
        <v>0</v>
      </c>
      <c r="AL27" s="355">
        <f t="shared" ref="AL27" si="46">IF(AL$69&lt;=time,C27*$AI27,"")</f>
        <v>75.476859829254877</v>
      </c>
      <c r="AM27" s="355">
        <f t="shared" ref="AM27" si="47">IF(AM$69&lt;=time,D27*$AI27,"")</f>
        <v>0</v>
      </c>
      <c r="AN27" s="355">
        <f t="shared" ref="AN27" si="48">IF(AN$69&lt;=time,E27*$AI27,"")</f>
        <v>0</v>
      </c>
      <c r="AO27" s="355">
        <f t="shared" ref="AO27" si="49">IF(AO$69&lt;=time,F27*$AI27,"")</f>
        <v>0</v>
      </c>
      <c r="AP27" s="355" t="str">
        <f t="shared" ref="AP27" si="50">IF(AP$69&lt;=time,G27*$AI27,"")</f>
        <v/>
      </c>
      <c r="AQ27" s="355" t="str">
        <f t="shared" ref="AQ27" si="51">IF(AQ$69&lt;=time,H27*$AI27,"")</f>
        <v/>
      </c>
      <c r="AR27" s="355" t="str">
        <f t="shared" ref="AR27" si="52">IF(AR$69&lt;=time,I27*$AI27,"")</f>
        <v/>
      </c>
      <c r="AS27" s="355" t="str">
        <f t="shared" ref="AS27" si="53">IF(AS$69&lt;=time,J27*$AI27,"")</f>
        <v/>
      </c>
      <c r="AT27" s="355" t="str">
        <f t="shared" ref="AT27" si="54">IF(AT$69&lt;=time,K27*$AI27,"")</f>
        <v/>
      </c>
      <c r="AU27" s="355" t="str">
        <f t="shared" ref="AU27" si="55">IF(AU$69&lt;=time,L27*$AI27,"")</f>
        <v/>
      </c>
      <c r="AV27" s="355" t="str">
        <f t="shared" ref="AV27" si="56">IF(AV$69&lt;=time,M27*$AI27,"")</f>
        <v/>
      </c>
      <c r="AW27" s="355" t="str">
        <f t="shared" ref="AW27" si="57">IF(AW$69&lt;=time,N27*$AI27,"")</f>
        <v/>
      </c>
      <c r="AX27" s="355" t="str">
        <f t="shared" ref="AX27" si="58">IF(AX$69&lt;=time,O27*$AI27,"")</f>
        <v/>
      </c>
      <c r="AY27" s="355" t="str">
        <f t="shared" ref="AY27" si="59">IF(AY$69&lt;=time,P27*$AI27,"")</f>
        <v/>
      </c>
      <c r="AZ27" s="355" t="str">
        <f t="shared" ref="AZ27" si="60">IF(AZ$69&lt;=time,Q27*$AI27,"")</f>
        <v/>
      </c>
      <c r="BA27" s="355" t="str">
        <f t="shared" ref="BA27" si="61">IF(BA$69&lt;=time,R27*$AI27,"")</f>
        <v/>
      </c>
      <c r="BB27" s="355" t="str">
        <f t="shared" ref="BB27" si="62">IF(BB$69&lt;=time,S27*$AI27,"")</f>
        <v/>
      </c>
      <c r="BC27" s="355" t="str">
        <f t="shared" ref="BC27" si="63">IF(BC$69&lt;=time,T27*$AI27,"")</f>
        <v/>
      </c>
      <c r="BD27" s="355" t="str">
        <f t="shared" ref="BD27" si="64">IF(BD$69&lt;=time,U27*$AI27,"")</f>
        <v/>
      </c>
      <c r="BE27" s="355" t="str">
        <f t="shared" ref="BE27" si="65">IF(BE$69&lt;=time,V27*$AI27,"")</f>
        <v/>
      </c>
      <c r="BF27" s="355" t="str">
        <f t="shared" ref="BF27" si="66">IF(BF$69&lt;=time,W27*$AI27,"")</f>
        <v/>
      </c>
      <c r="BG27" s="355" t="str">
        <f t="shared" ref="BG27" si="67">IF(BG$69&lt;=time,X27*$AI27,"")</f>
        <v/>
      </c>
      <c r="BH27" s="355" t="str">
        <f t="shared" ref="BH27" si="68">IF(BH$69&lt;=time,Y27*$AI27,"")</f>
        <v/>
      </c>
      <c r="BI27" s="355" t="str">
        <f t="shared" ref="BI27" si="69">IF(BI$69&lt;=time,Z27*$AI27,"")</f>
        <v/>
      </c>
      <c r="BJ27" s="1047">
        <f t="array" ref="BJ27">(SUM( IF(ISERROR(AK27:BI27),"", AK27:BI27)))</f>
        <v>75.476859829254877</v>
      </c>
      <c r="BK27" s="1048">
        <f t="array" ref="BK27">(SUM( IF(ISERROR(AK27:BI27),"", AK27:BI27)))/time</f>
        <v>15.095371965850976</v>
      </c>
      <c r="BL27" s="1048">
        <f t="shared" ref="BL27" si="70">IF(BR27&gt;0,IF(BK27-BQ27&gt;0, BK27-BQ27, 0),BK27)</f>
        <v>15.095371965850976</v>
      </c>
      <c r="BM27" s="1049">
        <f t="shared" ref="BM27" si="71">IF(BR27&gt;0,BK27+BQ27,BK27)</f>
        <v>15.095371965850976</v>
      </c>
      <c r="BO27" s="176" t="e">
        <f t="array" ref="BO27">STDEV(IF(AK27:BI27&lt;&gt;0,AK27:BI27))</f>
        <v>#DIV/0!</v>
      </c>
      <c r="BP27" s="176">
        <v>1.96</v>
      </c>
      <c r="BQ27" s="176" t="e">
        <f t="shared" si="40"/>
        <v>#DIV/0!</v>
      </c>
      <c r="BR27" s="176">
        <f t="shared" si="37"/>
        <v>0</v>
      </c>
      <c r="BT27" s="529">
        <v>1</v>
      </c>
    </row>
    <row r="28" spans="1:72" ht="19.649999999999999" customHeight="1">
      <c r="A28" s="559" t="s">
        <v>549</v>
      </c>
      <c r="B28" s="998">
        <f>Reoffending_inputs!Q602</f>
        <v>0</v>
      </c>
      <c r="C28" s="998">
        <f>Reoffending_inputs!R603</f>
        <v>0.15874664933012753</v>
      </c>
      <c r="D28" s="998">
        <f>Reoffending_inputs!S603</f>
        <v>0</v>
      </c>
      <c r="E28" s="998">
        <f>Reoffending_inputs!T603</f>
        <v>0</v>
      </c>
      <c r="F28" s="998">
        <f>Reoffending_inputs!U603</f>
        <v>0</v>
      </c>
      <c r="G28" s="715"/>
      <c r="H28" s="715"/>
      <c r="I28" s="715"/>
      <c r="J28" s="715"/>
      <c r="K28" s="715"/>
      <c r="L28" s="715"/>
      <c r="M28" s="715"/>
      <c r="N28" s="715"/>
      <c r="O28" s="715"/>
      <c r="P28" s="715"/>
      <c r="Q28" s="715"/>
      <c r="R28" s="715"/>
      <c r="S28" s="715"/>
      <c r="T28" s="715"/>
      <c r="U28" s="715"/>
      <c r="V28" s="715"/>
      <c r="W28" s="715"/>
      <c r="X28" s="715"/>
      <c r="Y28" s="715"/>
      <c r="Z28" s="715"/>
      <c r="AA28" s="716">
        <f t="array" ref="AA28">(SUM( IF(ISERROR(B28:Z28),"", B28:Z28)))</f>
        <v>0.15874664933012753</v>
      </c>
      <c r="AB28" s="717">
        <f t="array" ref="AB28">(SUM( IF(ISERROR(B28:Z28),"", B28:Z28)))/time</f>
        <v>3.1749329866025508E-2</v>
      </c>
      <c r="AC28" s="710"/>
      <c r="AD28" s="718"/>
      <c r="AE28" s="712"/>
      <c r="AF28" s="713"/>
      <c r="AG28" s="713"/>
      <c r="AH28" s="713"/>
      <c r="AI28" s="719">
        <f>'Savings of avoided crimes'!E185</f>
        <v>1536.1594874916791</v>
      </c>
      <c r="AJ28" s="367"/>
      <c r="AK28" s="355">
        <f t="shared" ref="AK28:AT32" si="72">IF(AK$69&lt;=time,B28*$AI28,"")</f>
        <v>0</v>
      </c>
      <c r="AL28" s="355">
        <f t="shared" si="72"/>
        <v>243.86017147599</v>
      </c>
      <c r="AM28" s="355">
        <f t="shared" si="72"/>
        <v>0</v>
      </c>
      <c r="AN28" s="355">
        <f t="shared" si="72"/>
        <v>0</v>
      </c>
      <c r="AO28" s="355">
        <f t="shared" si="72"/>
        <v>0</v>
      </c>
      <c r="AP28" s="355" t="str">
        <f t="shared" si="72"/>
        <v/>
      </c>
      <c r="AQ28" s="355" t="str">
        <f t="shared" si="72"/>
        <v/>
      </c>
      <c r="AR28" s="355" t="str">
        <f t="shared" si="72"/>
        <v/>
      </c>
      <c r="AS28" s="355" t="str">
        <f t="shared" si="72"/>
        <v/>
      </c>
      <c r="AT28" s="355" t="str">
        <f t="shared" si="72"/>
        <v/>
      </c>
      <c r="AU28" s="355" t="str">
        <f t="shared" ref="AU28:BD32" si="73">IF(AU$69&lt;=time,L28*$AI28,"")</f>
        <v/>
      </c>
      <c r="AV28" s="355" t="str">
        <f t="shared" si="73"/>
        <v/>
      </c>
      <c r="AW28" s="355" t="str">
        <f t="shared" si="73"/>
        <v/>
      </c>
      <c r="AX28" s="355" t="str">
        <f t="shared" si="73"/>
        <v/>
      </c>
      <c r="AY28" s="355" t="str">
        <f t="shared" si="73"/>
        <v/>
      </c>
      <c r="AZ28" s="355" t="str">
        <f t="shared" si="73"/>
        <v/>
      </c>
      <c r="BA28" s="355" t="str">
        <f t="shared" si="73"/>
        <v/>
      </c>
      <c r="BB28" s="355" t="str">
        <f t="shared" si="73"/>
        <v/>
      </c>
      <c r="BC28" s="355" t="str">
        <f t="shared" si="73"/>
        <v/>
      </c>
      <c r="BD28" s="355" t="str">
        <f t="shared" si="73"/>
        <v/>
      </c>
      <c r="BE28" s="355" t="str">
        <f t="shared" ref="BE28:BI32" si="74">IF(BE$69&lt;=time,V28*$AI28,"")</f>
        <v/>
      </c>
      <c r="BF28" s="355" t="str">
        <f t="shared" si="74"/>
        <v/>
      </c>
      <c r="BG28" s="355" t="str">
        <f t="shared" si="74"/>
        <v/>
      </c>
      <c r="BH28" s="355" t="str">
        <f t="shared" si="74"/>
        <v/>
      </c>
      <c r="BI28" s="355" t="str">
        <f t="shared" si="74"/>
        <v/>
      </c>
      <c r="BJ28" s="1047">
        <f t="array" ref="BJ28">(SUM( IF(ISERROR(AK28:BI28),"", AK28:BI28)))</f>
        <v>243.86017147599</v>
      </c>
      <c r="BK28" s="1048">
        <f t="array" ref="BK28">(SUM( IF(ISERROR(AK28:BI28),"", AK28:BI28)))/time</f>
        <v>48.772034295197997</v>
      </c>
      <c r="BL28" s="1048">
        <f>IF(BR28&gt;0,IF(BK28-BQ28&gt;0, BK28-BQ28, 0),BK28)</f>
        <v>48.772034295197997</v>
      </c>
      <c r="BM28" s="1049">
        <f t="shared" ref="BM28:BM32" si="75">IF(BR28&gt;0,BK28+BQ28,BK28)</f>
        <v>48.772034295197997</v>
      </c>
      <c r="BO28" s="176" t="e">
        <f t="array" ref="BO28">STDEV(IF(AK28:BI28&lt;&gt;0,AK28:BI28))</f>
        <v>#DIV/0!</v>
      </c>
      <c r="BP28" s="176">
        <v>1.96</v>
      </c>
      <c r="BQ28" s="176" t="e">
        <f t="shared" si="40"/>
        <v>#DIV/0!</v>
      </c>
      <c r="BR28" s="176">
        <f t="shared" si="37"/>
        <v>0</v>
      </c>
      <c r="BT28" s="529">
        <v>1</v>
      </c>
    </row>
    <row r="29" spans="1:72" ht="19.649999999999999" customHeight="1">
      <c r="A29" s="559" t="s">
        <v>550</v>
      </c>
      <c r="B29" s="998">
        <f>Reoffending_inputs!Q603</f>
        <v>0</v>
      </c>
      <c r="C29" s="998">
        <f>Reoffending_inputs!R604</f>
        <v>2.4320022569465059E-5</v>
      </c>
      <c r="D29" s="998">
        <f>Reoffending_inputs!S604</f>
        <v>0</v>
      </c>
      <c r="E29" s="998">
        <f>Reoffending_inputs!T604</f>
        <v>0</v>
      </c>
      <c r="F29" s="998">
        <f>Reoffending_inputs!U604</f>
        <v>0</v>
      </c>
      <c r="G29" s="715"/>
      <c r="H29" s="715"/>
      <c r="I29" s="715"/>
      <c r="J29" s="715"/>
      <c r="K29" s="715"/>
      <c r="L29" s="715"/>
      <c r="M29" s="715"/>
      <c r="N29" s="715"/>
      <c r="O29" s="715"/>
      <c r="P29" s="715"/>
      <c r="Q29" s="715"/>
      <c r="R29" s="715"/>
      <c r="S29" s="715"/>
      <c r="T29" s="715"/>
      <c r="U29" s="715"/>
      <c r="V29" s="715"/>
      <c r="W29" s="715"/>
      <c r="X29" s="715"/>
      <c r="Y29" s="715"/>
      <c r="Z29" s="715"/>
      <c r="AA29" s="716">
        <f t="array" ref="AA29">(SUM( IF(ISERROR(B29:Z29),"", B29:Z29)))</f>
        <v>2.4320022569465059E-5</v>
      </c>
      <c r="AB29" s="717">
        <f t="array" ref="AB29">(SUM( IF(ISERROR(B29:Z29),"", B29:Z29)))/time</f>
        <v>4.8640045138930117E-6</v>
      </c>
      <c r="AC29" s="710"/>
      <c r="AD29" s="718"/>
      <c r="AE29" s="712"/>
      <c r="AF29" s="713"/>
      <c r="AG29" s="713"/>
      <c r="AH29" s="713"/>
      <c r="AI29" s="719">
        <f>'Savings of avoided crimes'!E186</f>
        <v>9205.5779657834682</v>
      </c>
      <c r="AJ29" s="367"/>
      <c r="AK29" s="355">
        <f t="shared" si="72"/>
        <v>0</v>
      </c>
      <c r="AL29" s="355">
        <f t="shared" si="72"/>
        <v>0.22387986389282419</v>
      </c>
      <c r="AM29" s="355">
        <f t="shared" si="72"/>
        <v>0</v>
      </c>
      <c r="AN29" s="355">
        <f t="shared" si="72"/>
        <v>0</v>
      </c>
      <c r="AO29" s="355">
        <f t="shared" si="72"/>
        <v>0</v>
      </c>
      <c r="AP29" s="355" t="str">
        <f t="shared" si="72"/>
        <v/>
      </c>
      <c r="AQ29" s="355" t="str">
        <f t="shared" si="72"/>
        <v/>
      </c>
      <c r="AR29" s="355" t="str">
        <f t="shared" si="72"/>
        <v/>
      </c>
      <c r="AS29" s="355" t="str">
        <f t="shared" si="72"/>
        <v/>
      </c>
      <c r="AT29" s="355" t="str">
        <f t="shared" si="72"/>
        <v/>
      </c>
      <c r="AU29" s="355" t="str">
        <f t="shared" si="73"/>
        <v/>
      </c>
      <c r="AV29" s="355" t="str">
        <f t="shared" si="73"/>
        <v/>
      </c>
      <c r="AW29" s="355" t="str">
        <f t="shared" si="73"/>
        <v/>
      </c>
      <c r="AX29" s="355" t="str">
        <f t="shared" si="73"/>
        <v/>
      </c>
      <c r="AY29" s="355" t="str">
        <f t="shared" si="73"/>
        <v/>
      </c>
      <c r="AZ29" s="355" t="str">
        <f t="shared" si="73"/>
        <v/>
      </c>
      <c r="BA29" s="355" t="str">
        <f t="shared" si="73"/>
        <v/>
      </c>
      <c r="BB29" s="355" t="str">
        <f t="shared" si="73"/>
        <v/>
      </c>
      <c r="BC29" s="355" t="str">
        <f t="shared" si="73"/>
        <v/>
      </c>
      <c r="BD29" s="355" t="str">
        <f t="shared" si="73"/>
        <v/>
      </c>
      <c r="BE29" s="355" t="str">
        <f t="shared" si="74"/>
        <v/>
      </c>
      <c r="BF29" s="355" t="str">
        <f t="shared" si="74"/>
        <v/>
      </c>
      <c r="BG29" s="355" t="str">
        <f t="shared" si="74"/>
        <v/>
      </c>
      <c r="BH29" s="355" t="str">
        <f t="shared" si="74"/>
        <v/>
      </c>
      <c r="BI29" s="355" t="str">
        <f t="shared" si="74"/>
        <v/>
      </c>
      <c r="BJ29" s="1047">
        <f t="array" ref="BJ29">(SUM( IF(ISERROR(AK29:BI29),"", AK29:BI29)))</f>
        <v>0.22387986389282419</v>
      </c>
      <c r="BK29" s="1048">
        <f t="array" ref="BK29">(SUM( IF(ISERROR(AK29:BI29),"", AK29:BI29)))/time</f>
        <v>4.4775972778564835E-2</v>
      </c>
      <c r="BL29" s="1048">
        <f t="shared" ref="BL29:BL32" si="76">IF(BR29&gt;0,IF(BK29-BQ29&gt;0, BK29-BQ29, 0),BK29)</f>
        <v>4.4775972778564835E-2</v>
      </c>
      <c r="BM29" s="1049">
        <f t="shared" si="75"/>
        <v>4.4775972778564835E-2</v>
      </c>
      <c r="BO29" s="176" t="e">
        <f t="array" ref="BO29">STDEV(IF(AK29:BI29&lt;&gt;0,AK29:BI29))</f>
        <v>#DIV/0!</v>
      </c>
      <c r="BP29" s="176">
        <v>1.96</v>
      </c>
      <c r="BQ29" s="176" t="e">
        <f t="shared" si="40"/>
        <v>#DIV/0!</v>
      </c>
      <c r="BR29" s="176">
        <f t="shared" si="37"/>
        <v>0</v>
      </c>
      <c r="BT29" s="529">
        <v>1</v>
      </c>
    </row>
    <row r="30" spans="1:72">
      <c r="A30" s="559" t="s">
        <v>551</v>
      </c>
      <c r="B30" s="998">
        <f>Reoffending_inputs!Q604</f>
        <v>0</v>
      </c>
      <c r="C30" s="998">
        <f>Reoffending_inputs!R605</f>
        <v>2.0599646704049738E-3</v>
      </c>
      <c r="D30" s="998">
        <f>Reoffending_inputs!S605</f>
        <v>0</v>
      </c>
      <c r="E30" s="998">
        <f>Reoffending_inputs!T605</f>
        <v>0</v>
      </c>
      <c r="F30" s="998">
        <f>Reoffending_inputs!U605</f>
        <v>0</v>
      </c>
      <c r="G30" s="715"/>
      <c r="H30" s="715"/>
      <c r="I30" s="715"/>
      <c r="J30" s="715"/>
      <c r="K30" s="715"/>
      <c r="L30" s="715"/>
      <c r="M30" s="715"/>
      <c r="N30" s="715"/>
      <c r="O30" s="715"/>
      <c r="P30" s="715"/>
      <c r="Q30" s="715"/>
      <c r="R30" s="715"/>
      <c r="S30" s="715"/>
      <c r="T30" s="715"/>
      <c r="U30" s="715"/>
      <c r="V30" s="715"/>
      <c r="W30" s="715"/>
      <c r="X30" s="715"/>
      <c r="Y30" s="715"/>
      <c r="Z30" s="715"/>
      <c r="AA30" s="716">
        <f t="array" ref="AA30">(SUM( IF(ISERROR(B30:Z30),"", B30:Z30)))</f>
        <v>2.0599646704049738E-3</v>
      </c>
      <c r="AB30" s="717">
        <f t="array" ref="AB30">(SUM( IF(ISERROR(B30:Z30),"", B30:Z30)))/time</f>
        <v>4.1199293408099476E-4</v>
      </c>
      <c r="AC30" s="710"/>
      <c r="AD30" s="720"/>
      <c r="AE30" s="721"/>
      <c r="AF30" s="713"/>
      <c r="AG30" s="713"/>
      <c r="AH30" s="713"/>
      <c r="AI30" s="719">
        <f>'Savings of avoided crimes'!E187</f>
        <v>1445.1278141588391</v>
      </c>
      <c r="AJ30" s="367"/>
      <c r="AK30" s="355">
        <f t="shared" si="72"/>
        <v>0</v>
      </c>
      <c r="AL30" s="355">
        <f t="shared" si="72"/>
        <v>2.9769122413867732</v>
      </c>
      <c r="AM30" s="355">
        <f t="shared" si="72"/>
        <v>0</v>
      </c>
      <c r="AN30" s="355">
        <f t="shared" si="72"/>
        <v>0</v>
      </c>
      <c r="AO30" s="355">
        <f t="shared" si="72"/>
        <v>0</v>
      </c>
      <c r="AP30" s="355" t="str">
        <f t="shared" si="72"/>
        <v/>
      </c>
      <c r="AQ30" s="355" t="str">
        <f t="shared" si="72"/>
        <v/>
      </c>
      <c r="AR30" s="355" t="str">
        <f t="shared" si="72"/>
        <v/>
      </c>
      <c r="AS30" s="355" t="str">
        <f t="shared" si="72"/>
        <v/>
      </c>
      <c r="AT30" s="355" t="str">
        <f t="shared" si="72"/>
        <v/>
      </c>
      <c r="AU30" s="355" t="str">
        <f t="shared" si="73"/>
        <v/>
      </c>
      <c r="AV30" s="355" t="str">
        <f t="shared" si="73"/>
        <v/>
      </c>
      <c r="AW30" s="355" t="str">
        <f t="shared" si="73"/>
        <v/>
      </c>
      <c r="AX30" s="355" t="str">
        <f t="shared" si="73"/>
        <v/>
      </c>
      <c r="AY30" s="355" t="str">
        <f t="shared" si="73"/>
        <v/>
      </c>
      <c r="AZ30" s="355" t="str">
        <f t="shared" si="73"/>
        <v/>
      </c>
      <c r="BA30" s="355" t="str">
        <f t="shared" si="73"/>
        <v/>
      </c>
      <c r="BB30" s="355" t="str">
        <f t="shared" si="73"/>
        <v/>
      </c>
      <c r="BC30" s="355" t="str">
        <f t="shared" si="73"/>
        <v/>
      </c>
      <c r="BD30" s="355" t="str">
        <f t="shared" si="73"/>
        <v/>
      </c>
      <c r="BE30" s="355" t="str">
        <f t="shared" si="74"/>
        <v/>
      </c>
      <c r="BF30" s="355" t="str">
        <f t="shared" si="74"/>
        <v/>
      </c>
      <c r="BG30" s="355" t="str">
        <f t="shared" si="74"/>
        <v/>
      </c>
      <c r="BH30" s="355" t="str">
        <f t="shared" si="74"/>
        <v/>
      </c>
      <c r="BI30" s="355" t="str">
        <f t="shared" si="74"/>
        <v/>
      </c>
      <c r="BJ30" s="1047">
        <f t="array" ref="BJ30">(SUM( IF(ISERROR(AK30:BI30),"", AK30:BI30)))</f>
        <v>2.9769122413867732</v>
      </c>
      <c r="BK30" s="1048">
        <f t="array" ref="BK30">(SUM( IF(ISERROR(AK30:BI30),"", AK30:BI30)))/time</f>
        <v>0.59538244827735465</v>
      </c>
      <c r="BL30" s="1048">
        <f t="shared" si="76"/>
        <v>0.59538244827735465</v>
      </c>
      <c r="BM30" s="1049">
        <f t="shared" si="75"/>
        <v>0.59538244827735465</v>
      </c>
      <c r="BO30" s="176" t="e">
        <f t="array" ref="BO30">STDEV(IF(AK30:BI30&lt;&gt;0,AK30:BI30))</f>
        <v>#DIV/0!</v>
      </c>
      <c r="BP30" s="176">
        <v>1.96</v>
      </c>
      <c r="BQ30" s="176" t="e">
        <f t="shared" si="40"/>
        <v>#DIV/0!</v>
      </c>
      <c r="BR30" s="176">
        <f t="shared" si="37"/>
        <v>0</v>
      </c>
      <c r="BT30" s="529">
        <v>1</v>
      </c>
    </row>
    <row r="31" spans="1:72">
      <c r="A31" s="559" t="s">
        <v>424</v>
      </c>
      <c r="B31" s="999">
        <v>0</v>
      </c>
      <c r="C31" s="999">
        <v>0</v>
      </c>
      <c r="D31" s="999">
        <v>0</v>
      </c>
      <c r="E31" s="999">
        <v>0</v>
      </c>
      <c r="F31" s="999">
        <v>0</v>
      </c>
      <c r="G31" s="706">
        <v>0</v>
      </c>
      <c r="H31" s="706">
        <v>0</v>
      </c>
      <c r="I31" s="706">
        <v>0</v>
      </c>
      <c r="J31" s="706">
        <v>0</v>
      </c>
      <c r="K31" s="706">
        <v>0</v>
      </c>
      <c r="L31" s="706">
        <v>0</v>
      </c>
      <c r="M31" s="706">
        <v>0</v>
      </c>
      <c r="N31" s="706">
        <v>0</v>
      </c>
      <c r="O31" s="706">
        <v>0</v>
      </c>
      <c r="P31" s="706">
        <v>0</v>
      </c>
      <c r="Q31" s="706">
        <v>0</v>
      </c>
      <c r="R31" s="706">
        <v>0</v>
      </c>
      <c r="S31" s="706">
        <v>0</v>
      </c>
      <c r="T31" s="706">
        <v>0</v>
      </c>
      <c r="U31" s="706">
        <v>0</v>
      </c>
      <c r="V31" s="706">
        <v>0</v>
      </c>
      <c r="W31" s="706">
        <v>0</v>
      </c>
      <c r="X31" s="706">
        <v>0</v>
      </c>
      <c r="Y31" s="706">
        <v>0</v>
      </c>
      <c r="Z31" s="706">
        <v>0</v>
      </c>
      <c r="AA31" s="716">
        <f t="array" ref="AA31">(SUM( IF(ISERROR(B31:Z31),"", B31:Z31)))</f>
        <v>0</v>
      </c>
      <c r="AB31" s="717">
        <f t="array" ref="AB31">(SUM( IF(ISERROR(B31:Z31),"", B31:Z31)))/time</f>
        <v>0</v>
      </c>
      <c r="AC31" s="710"/>
      <c r="AD31" s="720"/>
      <c r="AE31" s="721"/>
      <c r="AF31" s="713"/>
      <c r="AG31" s="713"/>
      <c r="AH31" s="713"/>
      <c r="AI31" s="719">
        <f>'Savings of avoided crimes'!E188</f>
        <v>1206.1696716601332</v>
      </c>
      <c r="AJ31" s="367"/>
      <c r="AK31" s="355">
        <f t="shared" si="72"/>
        <v>0</v>
      </c>
      <c r="AL31" s="355">
        <f t="shared" si="72"/>
        <v>0</v>
      </c>
      <c r="AM31" s="355">
        <f t="shared" si="72"/>
        <v>0</v>
      </c>
      <c r="AN31" s="355">
        <f t="shared" si="72"/>
        <v>0</v>
      </c>
      <c r="AO31" s="355">
        <f t="shared" si="72"/>
        <v>0</v>
      </c>
      <c r="AP31" s="355" t="str">
        <f t="shared" si="72"/>
        <v/>
      </c>
      <c r="AQ31" s="355" t="str">
        <f t="shared" si="72"/>
        <v/>
      </c>
      <c r="AR31" s="355" t="str">
        <f t="shared" si="72"/>
        <v/>
      </c>
      <c r="AS31" s="355" t="str">
        <f t="shared" si="72"/>
        <v/>
      </c>
      <c r="AT31" s="355" t="str">
        <f t="shared" si="72"/>
        <v/>
      </c>
      <c r="AU31" s="355" t="str">
        <f t="shared" si="73"/>
        <v/>
      </c>
      <c r="AV31" s="355" t="str">
        <f t="shared" si="73"/>
        <v/>
      </c>
      <c r="AW31" s="355" t="str">
        <f t="shared" si="73"/>
        <v/>
      </c>
      <c r="AX31" s="355" t="str">
        <f t="shared" si="73"/>
        <v/>
      </c>
      <c r="AY31" s="355" t="str">
        <f t="shared" si="73"/>
        <v/>
      </c>
      <c r="AZ31" s="355" t="str">
        <f t="shared" si="73"/>
        <v/>
      </c>
      <c r="BA31" s="355" t="str">
        <f t="shared" si="73"/>
        <v/>
      </c>
      <c r="BB31" s="355" t="str">
        <f t="shared" si="73"/>
        <v/>
      </c>
      <c r="BC31" s="355" t="str">
        <f t="shared" si="73"/>
        <v/>
      </c>
      <c r="BD31" s="355" t="str">
        <f t="shared" si="73"/>
        <v/>
      </c>
      <c r="BE31" s="355" t="str">
        <f t="shared" si="74"/>
        <v/>
      </c>
      <c r="BF31" s="355" t="str">
        <f t="shared" si="74"/>
        <v/>
      </c>
      <c r="BG31" s="355" t="str">
        <f t="shared" si="74"/>
        <v/>
      </c>
      <c r="BH31" s="355" t="str">
        <f t="shared" si="74"/>
        <v/>
      </c>
      <c r="BI31" s="355" t="str">
        <f t="shared" si="74"/>
        <v/>
      </c>
      <c r="BJ31" s="1047">
        <f t="array" ref="BJ31">(SUM( IF(ISERROR(AK31:BI31),"", AK31:BI31)))</f>
        <v>0</v>
      </c>
      <c r="BK31" s="1048">
        <f t="array" ref="BK31">(SUM( IF(ISERROR(AK31:BI31),"", AK31:BI31)))/time</f>
        <v>0</v>
      </c>
      <c r="BL31" s="1048">
        <f t="shared" si="76"/>
        <v>0</v>
      </c>
      <c r="BM31" s="1049">
        <f t="shared" si="75"/>
        <v>0</v>
      </c>
      <c r="BO31" s="176" t="e">
        <f t="array" ref="BO31">STDEV(IF(AK31:BI31&lt;&gt;0,AK31:BI31))</f>
        <v>#DIV/0!</v>
      </c>
      <c r="BP31" s="176">
        <v>1.96</v>
      </c>
      <c r="BQ31" s="176" t="e">
        <f t="shared" si="40"/>
        <v>#DIV/0!</v>
      </c>
      <c r="BR31" s="176">
        <f t="shared" si="37"/>
        <v>0</v>
      </c>
      <c r="BT31" s="529">
        <v>1</v>
      </c>
    </row>
    <row r="32" spans="1:72" ht="16" thickBot="1">
      <c r="A32" s="563" t="s">
        <v>552</v>
      </c>
      <c r="B32" s="999">
        <v>0</v>
      </c>
      <c r="C32" s="999">
        <v>0</v>
      </c>
      <c r="D32" s="999">
        <v>0</v>
      </c>
      <c r="E32" s="999">
        <v>0</v>
      </c>
      <c r="F32" s="999">
        <v>0</v>
      </c>
      <c r="G32" s="706">
        <v>0</v>
      </c>
      <c r="H32" s="706">
        <v>0</v>
      </c>
      <c r="I32" s="706">
        <v>0</v>
      </c>
      <c r="J32" s="706">
        <v>0</v>
      </c>
      <c r="K32" s="706">
        <v>0</v>
      </c>
      <c r="L32" s="706">
        <v>0</v>
      </c>
      <c r="M32" s="706">
        <v>0</v>
      </c>
      <c r="N32" s="706">
        <v>0</v>
      </c>
      <c r="O32" s="706">
        <v>0</v>
      </c>
      <c r="P32" s="706">
        <v>0</v>
      </c>
      <c r="Q32" s="706">
        <v>0</v>
      </c>
      <c r="R32" s="706">
        <v>0</v>
      </c>
      <c r="S32" s="706">
        <v>0</v>
      </c>
      <c r="T32" s="706">
        <v>0</v>
      </c>
      <c r="U32" s="706">
        <v>0</v>
      </c>
      <c r="V32" s="706">
        <v>0</v>
      </c>
      <c r="W32" s="706">
        <v>0</v>
      </c>
      <c r="X32" s="706">
        <v>0</v>
      </c>
      <c r="Y32" s="706">
        <v>0</v>
      </c>
      <c r="Z32" s="706">
        <v>0</v>
      </c>
      <c r="AA32" s="723">
        <f t="array" ref="AA32">(SUM( IF(ISERROR(B32:Z32),"", B32:Z32)))</f>
        <v>0</v>
      </c>
      <c r="AB32" s="724">
        <f t="array" ref="AB32">(SUM( IF(ISERROR(B32:Z32),"", B32:Z32)))/time</f>
        <v>0</v>
      </c>
      <c r="AC32" s="710"/>
      <c r="AD32" s="720"/>
      <c r="AE32" s="721"/>
      <c r="AF32" s="713"/>
      <c r="AG32" s="713"/>
      <c r="AH32" s="713"/>
      <c r="AI32" s="725">
        <f>'Savings of avoided crimes'!E189</f>
        <v>295.8529383317308</v>
      </c>
      <c r="AJ32" s="367"/>
      <c r="AK32" s="533">
        <f t="shared" si="72"/>
        <v>0</v>
      </c>
      <c r="AL32" s="533">
        <f t="shared" si="72"/>
        <v>0</v>
      </c>
      <c r="AM32" s="533">
        <f t="shared" si="72"/>
        <v>0</v>
      </c>
      <c r="AN32" s="533">
        <f t="shared" si="72"/>
        <v>0</v>
      </c>
      <c r="AO32" s="533">
        <f t="shared" si="72"/>
        <v>0</v>
      </c>
      <c r="AP32" s="533" t="str">
        <f t="shared" si="72"/>
        <v/>
      </c>
      <c r="AQ32" s="533" t="str">
        <f t="shared" si="72"/>
        <v/>
      </c>
      <c r="AR32" s="533" t="str">
        <f t="shared" si="72"/>
        <v/>
      </c>
      <c r="AS32" s="533" t="str">
        <f t="shared" si="72"/>
        <v/>
      </c>
      <c r="AT32" s="533" t="str">
        <f t="shared" si="72"/>
        <v/>
      </c>
      <c r="AU32" s="533" t="str">
        <f t="shared" si="73"/>
        <v/>
      </c>
      <c r="AV32" s="533" t="str">
        <f t="shared" si="73"/>
        <v/>
      </c>
      <c r="AW32" s="533" t="str">
        <f t="shared" si="73"/>
        <v/>
      </c>
      <c r="AX32" s="533" t="str">
        <f t="shared" si="73"/>
        <v/>
      </c>
      <c r="AY32" s="533" t="str">
        <f t="shared" si="73"/>
        <v/>
      </c>
      <c r="AZ32" s="533" t="str">
        <f t="shared" si="73"/>
        <v/>
      </c>
      <c r="BA32" s="533" t="str">
        <f t="shared" si="73"/>
        <v/>
      </c>
      <c r="BB32" s="533" t="str">
        <f t="shared" si="73"/>
        <v/>
      </c>
      <c r="BC32" s="533" t="str">
        <f t="shared" si="73"/>
        <v/>
      </c>
      <c r="BD32" s="533" t="str">
        <f t="shared" si="73"/>
        <v/>
      </c>
      <c r="BE32" s="533" t="str">
        <f t="shared" si="74"/>
        <v/>
      </c>
      <c r="BF32" s="533" t="str">
        <f t="shared" si="74"/>
        <v/>
      </c>
      <c r="BG32" s="533" t="str">
        <f t="shared" si="74"/>
        <v/>
      </c>
      <c r="BH32" s="533" t="str">
        <f t="shared" si="74"/>
        <v/>
      </c>
      <c r="BI32" s="533" t="str">
        <f t="shared" si="74"/>
        <v/>
      </c>
      <c r="BJ32" s="1050">
        <f t="array" ref="BJ32">(SUM( IF(ISERROR(AK32:BI32),"", AK32:BI32)))</f>
        <v>0</v>
      </c>
      <c r="BK32" s="1051">
        <f t="array" ref="BK32">(SUM( IF(ISERROR(AK32:BI32),"", AK32:BI32)))/time</f>
        <v>0</v>
      </c>
      <c r="BL32" s="1051">
        <f t="shared" si="76"/>
        <v>0</v>
      </c>
      <c r="BM32" s="1052">
        <f t="shared" si="75"/>
        <v>0</v>
      </c>
      <c r="BO32" s="176" t="e">
        <f t="array" ref="BO32">STDEV(IF(AK32:BI32&lt;&gt;0,AK32:BI32))</f>
        <v>#DIV/0!</v>
      </c>
      <c r="BP32" s="176">
        <v>1.96</v>
      </c>
      <c r="BQ32" s="176" t="e">
        <f t="shared" si="40"/>
        <v>#DIV/0!</v>
      </c>
      <c r="BR32" s="176">
        <f>IFERROR(BO32,0)</f>
        <v>0</v>
      </c>
      <c r="BT32" s="529">
        <v>1</v>
      </c>
    </row>
    <row r="33" spans="1:72" ht="52.5" customHeight="1" thickBot="1">
      <c r="A33" s="902" t="s">
        <v>554</v>
      </c>
      <c r="B33" s="981">
        <f>SUM(B20:B32)</f>
        <v>0</v>
      </c>
      <c r="C33" s="981">
        <f t="shared" ref="C33:Z33" si="77">SUM(C20:C32)</f>
        <v>0.56200835896000778</v>
      </c>
      <c r="D33" s="981">
        <f t="shared" si="77"/>
        <v>0</v>
      </c>
      <c r="E33" s="981">
        <f>SUM(E20:E32)</f>
        <v>0</v>
      </c>
      <c r="F33" s="981">
        <f t="shared" si="77"/>
        <v>0</v>
      </c>
      <c r="G33" s="981">
        <f t="shared" si="77"/>
        <v>0</v>
      </c>
      <c r="H33" s="981">
        <f t="shared" si="77"/>
        <v>0</v>
      </c>
      <c r="I33" s="981">
        <f t="shared" si="77"/>
        <v>0</v>
      </c>
      <c r="J33" s="981">
        <f t="shared" si="77"/>
        <v>0</v>
      </c>
      <c r="K33" s="981">
        <f t="shared" si="77"/>
        <v>0</v>
      </c>
      <c r="L33" s="981">
        <f t="shared" si="77"/>
        <v>0</v>
      </c>
      <c r="M33" s="981">
        <f t="shared" si="77"/>
        <v>0</v>
      </c>
      <c r="N33" s="981">
        <f t="shared" si="77"/>
        <v>0</v>
      </c>
      <c r="O33" s="981">
        <f t="shared" si="77"/>
        <v>0</v>
      </c>
      <c r="P33" s="981">
        <f t="shared" si="77"/>
        <v>0</v>
      </c>
      <c r="Q33" s="981">
        <f t="shared" si="77"/>
        <v>0</v>
      </c>
      <c r="R33" s="981">
        <f t="shared" si="77"/>
        <v>0</v>
      </c>
      <c r="S33" s="981">
        <f t="shared" si="77"/>
        <v>0</v>
      </c>
      <c r="T33" s="981">
        <f t="shared" si="77"/>
        <v>0</v>
      </c>
      <c r="U33" s="981">
        <f t="shared" si="77"/>
        <v>0</v>
      </c>
      <c r="V33" s="981">
        <f t="shared" si="77"/>
        <v>0</v>
      </c>
      <c r="W33" s="981">
        <f t="shared" si="77"/>
        <v>0</v>
      </c>
      <c r="X33" s="981">
        <f t="shared" si="77"/>
        <v>0</v>
      </c>
      <c r="Y33" s="981">
        <f t="shared" si="77"/>
        <v>0</v>
      </c>
      <c r="Z33" s="981">
        <f t="shared" si="77"/>
        <v>0</v>
      </c>
      <c r="AA33" s="981">
        <f>SUM(AA20:AA32)</f>
        <v>0.56200835896000778</v>
      </c>
      <c r="AB33" s="982">
        <f>SUM(AB19:AB32)</f>
        <v>0.1124016717920016</v>
      </c>
      <c r="AC33" s="710"/>
      <c r="AD33" s="726"/>
      <c r="AE33" s="713"/>
      <c r="AF33" s="713"/>
      <c r="AG33" s="713"/>
      <c r="AH33" s="713"/>
      <c r="AI33" s="983">
        <f>'Savings of avoided crimes'!E190</f>
        <v>3707856.6023565819</v>
      </c>
      <c r="AJ33" s="976"/>
      <c r="AK33" s="977">
        <f>SUM(AK19:AK32)</f>
        <v>0</v>
      </c>
      <c r="AL33" s="977">
        <f t="shared" ref="AL33:BI33" si="78">SUM(AL19:AL32)</f>
        <v>3167.3224205677502</v>
      </c>
      <c r="AM33" s="977">
        <f t="shared" si="78"/>
        <v>0</v>
      </c>
      <c r="AN33" s="977">
        <f t="shared" si="78"/>
        <v>0</v>
      </c>
      <c r="AO33" s="977">
        <f t="shared" si="78"/>
        <v>0</v>
      </c>
      <c r="AP33" s="977">
        <f t="shared" si="78"/>
        <v>0</v>
      </c>
      <c r="AQ33" s="977">
        <f t="shared" si="78"/>
        <v>0</v>
      </c>
      <c r="AR33" s="977">
        <f t="shared" si="78"/>
        <v>0</v>
      </c>
      <c r="AS33" s="977">
        <f t="shared" si="78"/>
        <v>0</v>
      </c>
      <c r="AT33" s="977">
        <f t="shared" si="78"/>
        <v>0</v>
      </c>
      <c r="AU33" s="977">
        <f t="shared" si="78"/>
        <v>0</v>
      </c>
      <c r="AV33" s="977">
        <f t="shared" si="78"/>
        <v>0</v>
      </c>
      <c r="AW33" s="977">
        <f t="shared" si="78"/>
        <v>0</v>
      </c>
      <c r="AX33" s="977">
        <f t="shared" si="78"/>
        <v>0</v>
      </c>
      <c r="AY33" s="977">
        <f t="shared" si="78"/>
        <v>0</v>
      </c>
      <c r="AZ33" s="977">
        <f t="shared" si="78"/>
        <v>0</v>
      </c>
      <c r="BA33" s="977">
        <f t="shared" si="78"/>
        <v>0</v>
      </c>
      <c r="BB33" s="977">
        <f t="shared" si="78"/>
        <v>0</v>
      </c>
      <c r="BC33" s="977">
        <f t="shared" si="78"/>
        <v>0</v>
      </c>
      <c r="BD33" s="977">
        <f t="shared" si="78"/>
        <v>0</v>
      </c>
      <c r="BE33" s="977">
        <f t="shared" si="78"/>
        <v>0</v>
      </c>
      <c r="BF33" s="977">
        <f t="shared" si="78"/>
        <v>0</v>
      </c>
      <c r="BG33" s="977">
        <f t="shared" si="78"/>
        <v>0</v>
      </c>
      <c r="BH33" s="977">
        <f t="shared" si="78"/>
        <v>0</v>
      </c>
      <c r="BI33" s="977">
        <f t="shared" si="78"/>
        <v>0</v>
      </c>
      <c r="BJ33" s="1053">
        <f>SUM(BJ19:BJ32)</f>
        <v>3167.3224205677502</v>
      </c>
      <c r="BK33" s="1053">
        <f>SUM(BK19:BK32)</f>
        <v>633.46448411355016</v>
      </c>
      <c r="BL33" s="1053">
        <f>SUM(BL19:BL32)</f>
        <v>633.46448411355016</v>
      </c>
      <c r="BM33" s="1054">
        <f>SUM(BM19:BM32)</f>
        <v>633.46448411355016</v>
      </c>
      <c r="BN33" s="526"/>
      <c r="BO33" s="526"/>
      <c r="BT33" s="529">
        <v>0</v>
      </c>
    </row>
    <row r="34" spans="1:72">
      <c r="A34" s="566" t="s">
        <v>569</v>
      </c>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567"/>
      <c r="AD34" s="202"/>
      <c r="AE34" s="196"/>
      <c r="AF34" s="196"/>
      <c r="AG34" s="196"/>
      <c r="AH34" s="196"/>
      <c r="AI34" s="568"/>
      <c r="AJ34" s="196"/>
      <c r="AK34" s="196"/>
      <c r="AL34" s="196"/>
      <c r="AM34" s="196"/>
      <c r="AN34" s="196"/>
      <c r="AO34" s="196"/>
      <c r="AP34" s="196"/>
      <c r="AQ34" s="196"/>
      <c r="AR34" s="196"/>
      <c r="AS34" s="196"/>
      <c r="AT34" s="196"/>
      <c r="AU34" s="196"/>
      <c r="AV34" s="196"/>
      <c r="AW34" s="196"/>
      <c r="AX34" s="196"/>
      <c r="AY34" s="196"/>
      <c r="AZ34" s="196"/>
      <c r="BA34" s="196"/>
      <c r="BB34" s="196"/>
      <c r="BC34" s="196"/>
      <c r="BD34" s="196"/>
      <c r="BE34" s="196"/>
      <c r="BF34" s="196"/>
      <c r="BG34" s="196"/>
      <c r="BH34" s="196"/>
      <c r="BI34" s="196"/>
      <c r="BJ34" s="196"/>
      <c r="BK34" s="196"/>
      <c r="BL34" s="196"/>
      <c r="BM34" s="203"/>
      <c r="BT34" s="529">
        <v>0</v>
      </c>
    </row>
    <row r="35" spans="1:72">
      <c r="A35" s="559" t="s">
        <v>555</v>
      </c>
      <c r="B35" s="1000">
        <f>Reoffending_inputs!Q606</f>
        <v>0</v>
      </c>
      <c r="C35" s="1000">
        <f>Reoffending_inputs!R606</f>
        <v>1.5661819309957557E-2</v>
      </c>
      <c r="D35" s="1000">
        <f>Reoffending_inputs!S606</f>
        <v>0</v>
      </c>
      <c r="E35" s="1000">
        <f>Reoffending_inputs!T606</f>
        <v>0</v>
      </c>
      <c r="F35" s="1000">
        <f>Reoffending_inputs!U606</f>
        <v>0</v>
      </c>
      <c r="G35" s="1000">
        <f>Reoffending_inputs!V606</f>
        <v>0</v>
      </c>
      <c r="H35" s="1000">
        <f>Reoffending_inputs!W606</f>
        <v>0</v>
      </c>
      <c r="I35" s="1000">
        <f>Reoffending_inputs!X606</f>
        <v>0</v>
      </c>
      <c r="J35" s="1000">
        <f>Reoffending_inputs!Y606</f>
        <v>0</v>
      </c>
      <c r="K35" s="1000">
        <f>Reoffending_inputs!Z606</f>
        <v>0</v>
      </c>
      <c r="L35" s="1000">
        <f>Reoffending_inputs!AA606</f>
        <v>0</v>
      </c>
      <c r="M35" s="1000">
        <f>Reoffending_inputs!AB606</f>
        <v>0</v>
      </c>
      <c r="N35" s="1000">
        <f>Reoffending_inputs!AC606</f>
        <v>0</v>
      </c>
      <c r="O35" s="1000">
        <f>Reoffending_inputs!AD606</f>
        <v>0</v>
      </c>
      <c r="P35" s="1000">
        <f>Reoffending_inputs!AE606</f>
        <v>0</v>
      </c>
      <c r="Q35" s="1000">
        <f>Reoffending_inputs!AF606</f>
        <v>0</v>
      </c>
      <c r="R35" s="1000">
        <f>Reoffending_inputs!AG606</f>
        <v>0</v>
      </c>
      <c r="S35" s="1000">
        <f>Reoffending_inputs!AH606</f>
        <v>0</v>
      </c>
      <c r="T35" s="1000">
        <f>Reoffending_inputs!AI606</f>
        <v>0</v>
      </c>
      <c r="U35" s="1000">
        <f>Reoffending_inputs!AJ606</f>
        <v>0</v>
      </c>
      <c r="V35" s="1000">
        <f>Reoffending_inputs!AK606</f>
        <v>0</v>
      </c>
      <c r="W35" s="1000">
        <f>Reoffending_inputs!AL606</f>
        <v>0</v>
      </c>
      <c r="X35" s="1000">
        <f>Reoffending_inputs!AM606</f>
        <v>0</v>
      </c>
      <c r="Y35" s="1000">
        <f>Reoffending_inputs!AN606</f>
        <v>0</v>
      </c>
      <c r="Z35" s="1000">
        <f>Reoffending_inputs!AO606</f>
        <v>0</v>
      </c>
      <c r="AA35" s="716">
        <f t="array" ref="AA35">(SUM( IF(ISERROR(B35:Z35),"", B35:Z35)))</f>
        <v>1.5661819309957557E-2</v>
      </c>
      <c r="AB35" s="717">
        <f t="array" ref="AB35">(SUM( IF(ISERROR(B35:Z35),"", B35:Z35)))/time</f>
        <v>3.1323638619915111E-3</v>
      </c>
      <c r="AC35" s="710"/>
      <c r="AD35" s="726"/>
      <c r="AE35" s="713"/>
      <c r="AF35" s="713"/>
      <c r="AG35" s="713"/>
      <c r="AH35" s="713"/>
      <c r="AI35" s="729">
        <f>'Savings of avoided crimes'!E192</f>
        <v>14451.709700800535</v>
      </c>
      <c r="AJ35" s="367"/>
      <c r="AK35" s="276">
        <f t="shared" ref="AK35:AT41" si="79">IF(AK$69&lt;=time,B35*$AI35,"")</f>
        <v>0</v>
      </c>
      <c r="AL35" s="276">
        <f t="shared" si="79"/>
        <v>226.34006605389877</v>
      </c>
      <c r="AM35" s="276">
        <f t="shared" si="79"/>
        <v>0</v>
      </c>
      <c r="AN35" s="276">
        <f t="shared" si="79"/>
        <v>0</v>
      </c>
      <c r="AO35" s="276">
        <f t="shared" si="79"/>
        <v>0</v>
      </c>
      <c r="AP35" s="276" t="str">
        <f t="shared" si="79"/>
        <v/>
      </c>
      <c r="AQ35" s="276" t="str">
        <f t="shared" si="79"/>
        <v/>
      </c>
      <c r="AR35" s="276" t="str">
        <f t="shared" si="79"/>
        <v/>
      </c>
      <c r="AS35" s="276" t="str">
        <f t="shared" si="79"/>
        <v/>
      </c>
      <c r="AT35" s="276" t="str">
        <f t="shared" si="79"/>
        <v/>
      </c>
      <c r="AU35" s="276" t="str">
        <f t="shared" ref="AU35:BD41" si="80">IF(AU$69&lt;=time,L35*$AI35,"")</f>
        <v/>
      </c>
      <c r="AV35" s="276" t="str">
        <f t="shared" si="80"/>
        <v/>
      </c>
      <c r="AW35" s="276" t="str">
        <f t="shared" si="80"/>
        <v/>
      </c>
      <c r="AX35" s="276" t="str">
        <f t="shared" si="80"/>
        <v/>
      </c>
      <c r="AY35" s="276" t="str">
        <f t="shared" si="80"/>
        <v/>
      </c>
      <c r="AZ35" s="276" t="str">
        <f t="shared" si="80"/>
        <v/>
      </c>
      <c r="BA35" s="276" t="str">
        <f t="shared" si="80"/>
        <v/>
      </c>
      <c r="BB35" s="276" t="str">
        <f t="shared" si="80"/>
        <v/>
      </c>
      <c r="BC35" s="276" t="str">
        <f t="shared" si="80"/>
        <v/>
      </c>
      <c r="BD35" s="276" t="str">
        <f t="shared" si="80"/>
        <v/>
      </c>
      <c r="BE35" s="276" t="str">
        <f t="shared" ref="BE35:BI41" si="81">IF(BE$69&lt;=time,V35*$AI35,"")</f>
        <v/>
      </c>
      <c r="BF35" s="276" t="str">
        <f t="shared" si="81"/>
        <v/>
      </c>
      <c r="BG35" s="276" t="str">
        <f t="shared" si="81"/>
        <v/>
      </c>
      <c r="BH35" s="276" t="str">
        <f t="shared" si="81"/>
        <v/>
      </c>
      <c r="BI35" s="276" t="str">
        <f t="shared" si="81"/>
        <v/>
      </c>
      <c r="BJ35" s="276">
        <f t="array" ref="BJ35">(SUM( IF(ISERROR(AK35:BI35),"", AK35:BI35)))</f>
        <v>226.34006605389877</v>
      </c>
      <c r="BK35" s="142">
        <f t="array" ref="BK35">(SUM( IF(ISERROR(AK35:BI35),"", AK35:BI35)))/time</f>
        <v>45.268013210779756</v>
      </c>
      <c r="BL35" s="142">
        <f>IF(BR35&gt;0,IF(BK35-BQ35&gt;0, BK35-BQ35, 0),BK35)</f>
        <v>45.268013210779756</v>
      </c>
      <c r="BM35" s="143">
        <f t="shared" ref="BM35:BM40" si="82">IF(BR35&gt;0,BK35+BQ35,BK35)</f>
        <v>45.268013210779756</v>
      </c>
      <c r="BO35" s="176" t="e">
        <f t="array" ref="BO35">STDEV(IF(AK35:BI35&lt;&gt;0,AK35:BI35))</f>
        <v>#DIV/0!</v>
      </c>
      <c r="BP35" s="176">
        <v>1.96</v>
      </c>
      <c r="BQ35" s="176" t="e">
        <f t="shared" ref="BQ35:BQ40" si="83">(BP35*BO35)/(time^0.5)</f>
        <v>#DIV/0!</v>
      </c>
      <c r="BR35" s="176">
        <f t="shared" ref="BR35:BR40" si="84">IFERROR(BO35,0)</f>
        <v>0</v>
      </c>
      <c r="BT35" s="529">
        <v>1</v>
      </c>
    </row>
    <row r="36" spans="1:72">
      <c r="A36" s="559" t="s">
        <v>556</v>
      </c>
      <c r="B36" s="1000">
        <f>Reoffending_inputs!Q607</f>
        <v>0</v>
      </c>
      <c r="C36" s="1000">
        <f>Reoffending_inputs!R607</f>
        <v>6.5011301473181779E-2</v>
      </c>
      <c r="D36" s="1000">
        <f>Reoffending_inputs!S607</f>
        <v>0</v>
      </c>
      <c r="E36" s="1000">
        <f>Reoffending_inputs!T607</f>
        <v>0</v>
      </c>
      <c r="F36" s="1000">
        <f>Reoffending_inputs!U607</f>
        <v>0</v>
      </c>
      <c r="G36" s="715"/>
      <c r="H36" s="715"/>
      <c r="I36" s="715"/>
      <c r="J36" s="715"/>
      <c r="K36" s="715"/>
      <c r="L36" s="715"/>
      <c r="M36" s="715"/>
      <c r="N36" s="715"/>
      <c r="O36" s="715"/>
      <c r="P36" s="715"/>
      <c r="Q36" s="715"/>
      <c r="R36" s="715"/>
      <c r="S36" s="715"/>
      <c r="T36" s="715"/>
      <c r="U36" s="715"/>
      <c r="V36" s="715"/>
      <c r="W36" s="715"/>
      <c r="X36" s="715"/>
      <c r="Y36" s="715"/>
      <c r="Z36" s="715"/>
      <c r="AA36" s="716">
        <f t="array" ref="AA36">(SUM( IF(ISERROR(B36:Z36),"", B36:Z36)))</f>
        <v>6.5011301473181779E-2</v>
      </c>
      <c r="AB36" s="717">
        <f t="array" ref="AB36">(SUM( IF(ISERROR(B36:Z36),"", B36:Z36)))/time</f>
        <v>1.3002260294636355E-2</v>
      </c>
      <c r="AC36" s="710"/>
      <c r="AD36" s="726"/>
      <c r="AE36" s="713"/>
      <c r="AF36" s="713"/>
      <c r="AG36" s="713"/>
      <c r="AH36" s="713"/>
      <c r="AI36" s="729">
        <f>'Savings of avoided crimes'!E193</f>
        <v>8443.1877016209328</v>
      </c>
      <c r="AJ36" s="367"/>
      <c r="AK36" s="276">
        <f t="shared" si="79"/>
        <v>0</v>
      </c>
      <c r="AL36" s="276">
        <f t="shared" si="79"/>
        <v>548.90262106473926</v>
      </c>
      <c r="AM36" s="276">
        <f t="shared" si="79"/>
        <v>0</v>
      </c>
      <c r="AN36" s="276">
        <f t="shared" si="79"/>
        <v>0</v>
      </c>
      <c r="AO36" s="276">
        <f t="shared" si="79"/>
        <v>0</v>
      </c>
      <c r="AP36" s="276" t="str">
        <f t="shared" si="79"/>
        <v/>
      </c>
      <c r="AQ36" s="276" t="str">
        <f t="shared" si="79"/>
        <v/>
      </c>
      <c r="AR36" s="276" t="str">
        <f t="shared" si="79"/>
        <v/>
      </c>
      <c r="AS36" s="276" t="str">
        <f t="shared" si="79"/>
        <v/>
      </c>
      <c r="AT36" s="276" t="str">
        <f t="shared" si="79"/>
        <v/>
      </c>
      <c r="AU36" s="276" t="str">
        <f t="shared" si="80"/>
        <v/>
      </c>
      <c r="AV36" s="276" t="str">
        <f t="shared" si="80"/>
        <v/>
      </c>
      <c r="AW36" s="276" t="str">
        <f t="shared" si="80"/>
        <v/>
      </c>
      <c r="AX36" s="276" t="str">
        <f t="shared" si="80"/>
        <v/>
      </c>
      <c r="AY36" s="276" t="str">
        <f t="shared" si="80"/>
        <v/>
      </c>
      <c r="AZ36" s="276" t="str">
        <f t="shared" si="80"/>
        <v/>
      </c>
      <c r="BA36" s="276" t="str">
        <f t="shared" si="80"/>
        <v/>
      </c>
      <c r="BB36" s="276" t="str">
        <f t="shared" si="80"/>
        <v/>
      </c>
      <c r="BC36" s="276" t="str">
        <f t="shared" si="80"/>
        <v/>
      </c>
      <c r="BD36" s="276" t="str">
        <f t="shared" si="80"/>
        <v/>
      </c>
      <c r="BE36" s="276" t="str">
        <f t="shared" si="81"/>
        <v/>
      </c>
      <c r="BF36" s="276" t="str">
        <f t="shared" si="81"/>
        <v/>
      </c>
      <c r="BG36" s="276" t="str">
        <f t="shared" si="81"/>
        <v/>
      </c>
      <c r="BH36" s="276" t="str">
        <f t="shared" si="81"/>
        <v/>
      </c>
      <c r="BI36" s="276" t="str">
        <f t="shared" si="81"/>
        <v/>
      </c>
      <c r="BJ36" s="276">
        <f t="array" ref="BJ36">(SUM( IF(ISERROR(AK36:BI36),"", AK36:BI36)))</f>
        <v>548.90262106473926</v>
      </c>
      <c r="BK36" s="142">
        <f t="array" ref="BK36">(SUM( IF(ISERROR(AK36:BI36),"", AK36:BI36)))/time</f>
        <v>109.78052421294785</v>
      </c>
      <c r="BL36" s="142">
        <f t="shared" ref="BL36:BL41" si="85">IF(BR36&gt;0,IF(BK36-BQ36&gt;0, BK36-BQ36, 0),BK36)</f>
        <v>109.78052421294785</v>
      </c>
      <c r="BM36" s="143">
        <f t="shared" si="82"/>
        <v>109.78052421294785</v>
      </c>
      <c r="BO36" s="176" t="e">
        <f t="array" ref="BO36">STDEV(IF(AK36:BI36&lt;&gt;0,AK36:BI36))</f>
        <v>#DIV/0!</v>
      </c>
      <c r="BP36" s="176">
        <v>1.96</v>
      </c>
      <c r="BQ36" s="176" t="e">
        <f t="shared" si="83"/>
        <v>#DIV/0!</v>
      </c>
      <c r="BR36" s="176">
        <f t="shared" si="84"/>
        <v>0</v>
      </c>
      <c r="BT36" s="529">
        <v>1</v>
      </c>
    </row>
    <row r="37" spans="1:72">
      <c r="A37" s="559" t="s">
        <v>557</v>
      </c>
      <c r="B37" s="1000">
        <f>Reoffending_inputs!Q608</f>
        <v>0</v>
      </c>
      <c r="C37" s="1000">
        <f>Reoffending_inputs!R608</f>
        <v>2.9036491907783978E-3</v>
      </c>
      <c r="D37" s="1000">
        <f>Reoffending_inputs!S608</f>
        <v>0</v>
      </c>
      <c r="E37" s="1000">
        <f>Reoffending_inputs!T608</f>
        <v>0</v>
      </c>
      <c r="F37" s="1000">
        <f>Reoffending_inputs!U608</f>
        <v>0</v>
      </c>
      <c r="G37" s="715"/>
      <c r="H37" s="715"/>
      <c r="I37" s="715"/>
      <c r="J37" s="715"/>
      <c r="K37" s="715"/>
      <c r="L37" s="715"/>
      <c r="M37" s="715"/>
      <c r="N37" s="715"/>
      <c r="O37" s="715"/>
      <c r="P37" s="715"/>
      <c r="Q37" s="715"/>
      <c r="R37" s="715"/>
      <c r="S37" s="715"/>
      <c r="T37" s="715"/>
      <c r="U37" s="715"/>
      <c r="V37" s="715"/>
      <c r="W37" s="715"/>
      <c r="X37" s="715"/>
      <c r="Y37" s="715"/>
      <c r="Z37" s="715"/>
      <c r="AA37" s="716">
        <f t="array" ref="AA37">(SUM( IF(ISERROR(B37:Z37),"", B37:Z37)))</f>
        <v>2.9036491907783978E-3</v>
      </c>
      <c r="AB37" s="717">
        <f t="array" ref="AB37">(SUM( IF(ISERROR(B37:Z37),"", B37:Z37)))/time</f>
        <v>5.8072983815567951E-4</v>
      </c>
      <c r="AC37" s="710"/>
      <c r="AD37" s="726"/>
      <c r="AE37" s="713"/>
      <c r="AF37" s="713"/>
      <c r="AG37" s="713"/>
      <c r="AH37" s="713"/>
      <c r="AI37" s="729">
        <f>'Savings of avoided crimes'!E194</f>
        <v>853.42193749537716</v>
      </c>
      <c r="AJ37" s="367"/>
      <c r="AK37" s="276">
        <f t="shared" si="79"/>
        <v>0</v>
      </c>
      <c r="AL37" s="276">
        <f t="shared" si="79"/>
        <v>2.4780379182009842</v>
      </c>
      <c r="AM37" s="276">
        <f t="shared" si="79"/>
        <v>0</v>
      </c>
      <c r="AN37" s="276">
        <f t="shared" si="79"/>
        <v>0</v>
      </c>
      <c r="AO37" s="276">
        <f t="shared" si="79"/>
        <v>0</v>
      </c>
      <c r="AP37" s="276" t="str">
        <f t="shared" si="79"/>
        <v/>
      </c>
      <c r="AQ37" s="276" t="str">
        <f t="shared" si="79"/>
        <v/>
      </c>
      <c r="AR37" s="276" t="str">
        <f t="shared" si="79"/>
        <v/>
      </c>
      <c r="AS37" s="276" t="str">
        <f t="shared" si="79"/>
        <v/>
      </c>
      <c r="AT37" s="276" t="str">
        <f t="shared" si="79"/>
        <v/>
      </c>
      <c r="AU37" s="276" t="str">
        <f t="shared" si="80"/>
        <v/>
      </c>
      <c r="AV37" s="276" t="str">
        <f t="shared" si="80"/>
        <v/>
      </c>
      <c r="AW37" s="276" t="str">
        <f t="shared" si="80"/>
        <v/>
      </c>
      <c r="AX37" s="276" t="str">
        <f t="shared" si="80"/>
        <v/>
      </c>
      <c r="AY37" s="276" t="str">
        <f t="shared" si="80"/>
        <v/>
      </c>
      <c r="AZ37" s="276" t="str">
        <f t="shared" si="80"/>
        <v/>
      </c>
      <c r="BA37" s="276" t="str">
        <f t="shared" si="80"/>
        <v/>
      </c>
      <c r="BB37" s="276" t="str">
        <f t="shared" si="80"/>
        <v/>
      </c>
      <c r="BC37" s="276" t="str">
        <f t="shared" si="80"/>
        <v/>
      </c>
      <c r="BD37" s="276" t="str">
        <f t="shared" si="80"/>
        <v/>
      </c>
      <c r="BE37" s="276" t="str">
        <f t="shared" si="81"/>
        <v/>
      </c>
      <c r="BF37" s="276" t="str">
        <f t="shared" si="81"/>
        <v/>
      </c>
      <c r="BG37" s="276" t="str">
        <f t="shared" si="81"/>
        <v/>
      </c>
      <c r="BH37" s="276" t="str">
        <f t="shared" si="81"/>
        <v/>
      </c>
      <c r="BI37" s="276" t="str">
        <f t="shared" si="81"/>
        <v/>
      </c>
      <c r="BJ37" s="276">
        <f t="array" ref="BJ37">(SUM( IF(ISERROR(AK37:BI37),"", AK37:BI37)))</f>
        <v>2.4780379182009842</v>
      </c>
      <c r="BK37" s="142">
        <f t="array" ref="BK37">(SUM( IF(ISERROR(AK37:BI37),"", AK37:BI37)))/time</f>
        <v>0.49560758364019686</v>
      </c>
      <c r="BL37" s="142">
        <f t="shared" si="85"/>
        <v>0.49560758364019686</v>
      </c>
      <c r="BM37" s="143">
        <f t="shared" si="82"/>
        <v>0.49560758364019686</v>
      </c>
      <c r="BO37" s="176" t="e">
        <f t="array" ref="BO37">STDEV(IF(AK37:BI37&lt;&gt;0,AK37:BI37))</f>
        <v>#DIV/0!</v>
      </c>
      <c r="BP37" s="176">
        <v>1.96</v>
      </c>
      <c r="BQ37" s="176" t="e">
        <f t="shared" si="83"/>
        <v>#DIV/0!</v>
      </c>
      <c r="BR37" s="176">
        <f t="shared" si="84"/>
        <v>0</v>
      </c>
      <c r="BT37" s="529">
        <v>1</v>
      </c>
    </row>
    <row r="38" spans="1:72">
      <c r="A38" s="559" t="s">
        <v>408</v>
      </c>
      <c r="B38" s="1000">
        <f>Reoffending_inputs!Q609</f>
        <v>0</v>
      </c>
      <c r="C38" s="1000">
        <f>Reoffending_inputs!R609</f>
        <v>2.9186503681738968E-3</v>
      </c>
      <c r="D38" s="1000">
        <f>Reoffending_inputs!S609</f>
        <v>0</v>
      </c>
      <c r="E38" s="1000">
        <f>Reoffending_inputs!T609</f>
        <v>0</v>
      </c>
      <c r="F38" s="1000">
        <f>Reoffending_inputs!U609</f>
        <v>0</v>
      </c>
      <c r="G38" s="715"/>
      <c r="H38" s="715"/>
      <c r="I38" s="715"/>
      <c r="J38" s="715"/>
      <c r="K38" s="715"/>
      <c r="L38" s="715"/>
      <c r="M38" s="715"/>
      <c r="N38" s="715"/>
      <c r="O38" s="715"/>
      <c r="P38" s="715"/>
      <c r="Q38" s="715"/>
      <c r="R38" s="715"/>
      <c r="S38" s="715"/>
      <c r="T38" s="715"/>
      <c r="U38" s="715"/>
      <c r="V38" s="715"/>
      <c r="W38" s="715"/>
      <c r="X38" s="715"/>
      <c r="Y38" s="715"/>
      <c r="Z38" s="715"/>
      <c r="AA38" s="716">
        <f t="array" ref="AA38">(SUM( IF(ISERROR(B38:Z38),"", B38:Z38)))</f>
        <v>2.9186503681738968E-3</v>
      </c>
      <c r="AB38" s="717">
        <f t="array" ref="AB38">(SUM( IF(ISERROR(B38:Z38),"", B38:Z38)))/time</f>
        <v>5.8373007363477934E-4</v>
      </c>
      <c r="AC38" s="710"/>
      <c r="AD38" s="726"/>
      <c r="AE38" s="713"/>
      <c r="AF38" s="713"/>
      <c r="AG38" s="713"/>
      <c r="AH38" s="713"/>
      <c r="AI38" s="729">
        <f>'Savings of avoided crimes'!E195</f>
        <v>33294.834521486315</v>
      </c>
      <c r="AJ38" s="367"/>
      <c r="AK38" s="276">
        <f t="shared" si="79"/>
        <v>0</v>
      </c>
      <c r="AL38" s="276">
        <f t="shared" si="79"/>
        <v>97.175981034425007</v>
      </c>
      <c r="AM38" s="276">
        <f t="shared" si="79"/>
        <v>0</v>
      </c>
      <c r="AN38" s="276">
        <f t="shared" si="79"/>
        <v>0</v>
      </c>
      <c r="AO38" s="276">
        <f t="shared" si="79"/>
        <v>0</v>
      </c>
      <c r="AP38" s="276" t="str">
        <f t="shared" si="79"/>
        <v/>
      </c>
      <c r="AQ38" s="276" t="str">
        <f t="shared" si="79"/>
        <v/>
      </c>
      <c r="AR38" s="276" t="str">
        <f t="shared" si="79"/>
        <v/>
      </c>
      <c r="AS38" s="276" t="str">
        <f t="shared" si="79"/>
        <v/>
      </c>
      <c r="AT38" s="276" t="str">
        <f t="shared" si="79"/>
        <v/>
      </c>
      <c r="AU38" s="276" t="str">
        <f t="shared" si="80"/>
        <v/>
      </c>
      <c r="AV38" s="276" t="str">
        <f t="shared" si="80"/>
        <v/>
      </c>
      <c r="AW38" s="276" t="str">
        <f t="shared" si="80"/>
        <v/>
      </c>
      <c r="AX38" s="276" t="str">
        <f t="shared" si="80"/>
        <v/>
      </c>
      <c r="AY38" s="276" t="str">
        <f t="shared" si="80"/>
        <v/>
      </c>
      <c r="AZ38" s="276" t="str">
        <f t="shared" si="80"/>
        <v/>
      </c>
      <c r="BA38" s="276" t="str">
        <f t="shared" si="80"/>
        <v/>
      </c>
      <c r="BB38" s="276" t="str">
        <f t="shared" si="80"/>
        <v/>
      </c>
      <c r="BC38" s="276" t="str">
        <f t="shared" si="80"/>
        <v/>
      </c>
      <c r="BD38" s="276" t="str">
        <f t="shared" si="80"/>
        <v/>
      </c>
      <c r="BE38" s="276" t="str">
        <f t="shared" si="81"/>
        <v/>
      </c>
      <c r="BF38" s="276" t="str">
        <f t="shared" si="81"/>
        <v/>
      </c>
      <c r="BG38" s="276" t="str">
        <f t="shared" si="81"/>
        <v/>
      </c>
      <c r="BH38" s="276" t="str">
        <f t="shared" si="81"/>
        <v/>
      </c>
      <c r="BI38" s="276" t="str">
        <f t="shared" si="81"/>
        <v/>
      </c>
      <c r="BJ38" s="276">
        <f t="array" ref="BJ38">(SUM( IF(ISERROR(AK38:BI38),"", AK38:BI38)))</f>
        <v>97.175981034425007</v>
      </c>
      <c r="BK38" s="142">
        <f t="array" ref="BK38">(SUM( IF(ISERROR(AK38:BI38),"", AK38:BI38)))/time</f>
        <v>19.435196206885003</v>
      </c>
      <c r="BL38" s="142">
        <f t="shared" si="85"/>
        <v>19.435196206885003</v>
      </c>
      <c r="BM38" s="143">
        <f t="shared" si="82"/>
        <v>19.435196206885003</v>
      </c>
      <c r="BO38" s="176" t="e">
        <f t="array" ref="BO38">STDEV(IF(AK38:BI38&lt;&gt;0,AK38:BI38))</f>
        <v>#DIV/0!</v>
      </c>
      <c r="BP38" s="176">
        <v>1.96</v>
      </c>
      <c r="BQ38" s="176" t="e">
        <f t="shared" si="83"/>
        <v>#DIV/0!</v>
      </c>
      <c r="BR38" s="176">
        <f t="shared" si="84"/>
        <v>0</v>
      </c>
      <c r="BT38" s="529">
        <v>1</v>
      </c>
    </row>
    <row r="39" spans="1:72">
      <c r="A39" s="559" t="s">
        <v>409</v>
      </c>
      <c r="B39" s="1000">
        <f>Reoffending_inputs!Q610</f>
        <v>0</v>
      </c>
      <c r="C39" s="1000">
        <f>Reoffending_inputs!R610</f>
        <v>2.0428811129051396E-2</v>
      </c>
      <c r="D39" s="1000">
        <f>Reoffending_inputs!S610</f>
        <v>0</v>
      </c>
      <c r="E39" s="1000">
        <f>Reoffending_inputs!T610</f>
        <v>0</v>
      </c>
      <c r="F39" s="1000">
        <f>Reoffending_inputs!U610</f>
        <v>0</v>
      </c>
      <c r="G39" s="715"/>
      <c r="H39" s="715"/>
      <c r="I39" s="715"/>
      <c r="J39" s="715"/>
      <c r="K39" s="715"/>
      <c r="L39" s="715"/>
      <c r="M39" s="715"/>
      <c r="N39" s="715"/>
      <c r="O39" s="715"/>
      <c r="P39" s="715"/>
      <c r="Q39" s="715"/>
      <c r="R39" s="715"/>
      <c r="S39" s="715"/>
      <c r="T39" s="715"/>
      <c r="U39" s="715"/>
      <c r="V39" s="715"/>
      <c r="W39" s="715"/>
      <c r="X39" s="715"/>
      <c r="Y39" s="715"/>
      <c r="Z39" s="715"/>
      <c r="AA39" s="716">
        <f t="array" ref="AA39">(SUM( IF(ISERROR(B39:Z39),"", B39:Z39)))</f>
        <v>2.0428811129051396E-2</v>
      </c>
      <c r="AB39" s="717">
        <f t="array" ref="AB39">(SUM( IF(ISERROR(B39:Z39),"", B39:Z39)))/time</f>
        <v>4.0857622258102791E-3</v>
      </c>
      <c r="AC39" s="710"/>
      <c r="AD39" s="726"/>
      <c r="AE39" s="713"/>
      <c r="AF39" s="713"/>
      <c r="AG39" s="713"/>
      <c r="AH39" s="713"/>
      <c r="AI39" s="729">
        <f>'Savings of avoided crimes'!E196</f>
        <v>1866.1493033232246</v>
      </c>
      <c r="AJ39" s="367"/>
      <c r="AK39" s="276">
        <f t="shared" si="79"/>
        <v>0</v>
      </c>
      <c r="AL39" s="276">
        <f t="shared" si="79"/>
        <v>38.123211656201001</v>
      </c>
      <c r="AM39" s="276">
        <f t="shared" si="79"/>
        <v>0</v>
      </c>
      <c r="AN39" s="276">
        <f t="shared" si="79"/>
        <v>0</v>
      </c>
      <c r="AO39" s="276">
        <f t="shared" si="79"/>
        <v>0</v>
      </c>
      <c r="AP39" s="276" t="str">
        <f t="shared" si="79"/>
        <v/>
      </c>
      <c r="AQ39" s="276" t="str">
        <f t="shared" si="79"/>
        <v/>
      </c>
      <c r="AR39" s="276" t="str">
        <f t="shared" si="79"/>
        <v/>
      </c>
      <c r="AS39" s="276" t="str">
        <f t="shared" si="79"/>
        <v/>
      </c>
      <c r="AT39" s="276" t="str">
        <f t="shared" si="79"/>
        <v/>
      </c>
      <c r="AU39" s="276" t="str">
        <f t="shared" si="80"/>
        <v/>
      </c>
      <c r="AV39" s="276" t="str">
        <f t="shared" si="80"/>
        <v/>
      </c>
      <c r="AW39" s="276" t="str">
        <f t="shared" si="80"/>
        <v/>
      </c>
      <c r="AX39" s="276" t="str">
        <f t="shared" si="80"/>
        <v/>
      </c>
      <c r="AY39" s="276" t="str">
        <f t="shared" si="80"/>
        <v/>
      </c>
      <c r="AZ39" s="276" t="str">
        <f t="shared" si="80"/>
        <v/>
      </c>
      <c r="BA39" s="276" t="str">
        <f t="shared" si="80"/>
        <v/>
      </c>
      <c r="BB39" s="276" t="str">
        <f t="shared" si="80"/>
        <v/>
      </c>
      <c r="BC39" s="276" t="str">
        <f t="shared" si="80"/>
        <v/>
      </c>
      <c r="BD39" s="276" t="str">
        <f t="shared" si="80"/>
        <v/>
      </c>
      <c r="BE39" s="276" t="str">
        <f t="shared" si="81"/>
        <v/>
      </c>
      <c r="BF39" s="276" t="str">
        <f t="shared" si="81"/>
        <v/>
      </c>
      <c r="BG39" s="276" t="str">
        <f t="shared" si="81"/>
        <v/>
      </c>
      <c r="BH39" s="276" t="str">
        <f t="shared" si="81"/>
        <v/>
      </c>
      <c r="BI39" s="276" t="str">
        <f t="shared" si="81"/>
        <v/>
      </c>
      <c r="BJ39" s="276">
        <f t="array" ref="BJ39">(SUM( IF(ISERROR(AK39:BI39),"", AK39:BI39)))</f>
        <v>38.123211656201001</v>
      </c>
      <c r="BK39" s="142">
        <f t="array" ref="BK39">(SUM( IF(ISERROR(AK39:BI39),"", AK39:BI39)))/time</f>
        <v>7.6246423312402003</v>
      </c>
      <c r="BL39" s="142">
        <f t="shared" si="85"/>
        <v>7.6246423312402003</v>
      </c>
      <c r="BM39" s="143">
        <f t="shared" si="82"/>
        <v>7.6246423312402003</v>
      </c>
      <c r="BO39" s="176" t="e">
        <f t="array" ref="BO39">STDEV(IF(AK39:BI39&lt;&gt;0,AK39:BI39))</f>
        <v>#DIV/0!</v>
      </c>
      <c r="BP39" s="176">
        <v>1.96</v>
      </c>
      <c r="BQ39" s="176" t="e">
        <f t="shared" si="83"/>
        <v>#DIV/0!</v>
      </c>
      <c r="BR39" s="176">
        <f t="shared" si="84"/>
        <v>0</v>
      </c>
      <c r="BT39" s="529">
        <v>1</v>
      </c>
    </row>
    <row r="40" spans="1:72">
      <c r="A40" s="559" t="s">
        <v>558</v>
      </c>
      <c r="B40" s="1000">
        <f>Reoffending_inputs!Q611</f>
        <v>0</v>
      </c>
      <c r="C40" s="1000">
        <f>Reoffending_inputs!R611</f>
        <v>1.1027872303050529E-4</v>
      </c>
      <c r="D40" s="1000">
        <f>Reoffending_inputs!S611</f>
        <v>0</v>
      </c>
      <c r="E40" s="1000">
        <f>Reoffending_inputs!T611</f>
        <v>0</v>
      </c>
      <c r="F40" s="1000">
        <f>Reoffending_inputs!U611</f>
        <v>0</v>
      </c>
      <c r="G40" s="715"/>
      <c r="H40" s="715"/>
      <c r="I40" s="715"/>
      <c r="J40" s="715"/>
      <c r="K40" s="715"/>
      <c r="L40" s="715"/>
      <c r="M40" s="715"/>
      <c r="N40" s="715"/>
      <c r="O40" s="715"/>
      <c r="P40" s="715"/>
      <c r="Q40" s="715"/>
      <c r="R40" s="715"/>
      <c r="S40" s="715"/>
      <c r="T40" s="715"/>
      <c r="U40" s="715"/>
      <c r="V40" s="715"/>
      <c r="W40" s="715"/>
      <c r="X40" s="715"/>
      <c r="Y40" s="715"/>
      <c r="Z40" s="715"/>
      <c r="AA40" s="716">
        <f t="array" ref="AA40">(SUM( IF(ISERROR(B40:Z40),"", B40:Z40)))</f>
        <v>1.1027872303050529E-4</v>
      </c>
      <c r="AB40" s="717">
        <f t="array" ref="AB40">(SUM( IF(ISERROR(B40:Z40),"", B40:Z40)))/time</f>
        <v>2.2055744606101059E-5</v>
      </c>
      <c r="AC40" s="710"/>
      <c r="AD40" s="726"/>
      <c r="AE40" s="713"/>
      <c r="AF40" s="713"/>
      <c r="AG40" s="713"/>
      <c r="AH40" s="713"/>
      <c r="AI40" s="729">
        <f>'Savings of avoided crimes'!E197</f>
        <v>10332.31070288344</v>
      </c>
      <c r="AJ40" s="367"/>
      <c r="AK40" s="276">
        <f t="shared" si="79"/>
        <v>0</v>
      </c>
      <c r="AL40" s="276">
        <f t="shared" si="79"/>
        <v>1.1394340302684083</v>
      </c>
      <c r="AM40" s="276">
        <f t="shared" si="79"/>
        <v>0</v>
      </c>
      <c r="AN40" s="276">
        <f t="shared" si="79"/>
        <v>0</v>
      </c>
      <c r="AO40" s="276">
        <f t="shared" si="79"/>
        <v>0</v>
      </c>
      <c r="AP40" s="276" t="str">
        <f t="shared" si="79"/>
        <v/>
      </c>
      <c r="AQ40" s="276" t="str">
        <f t="shared" si="79"/>
        <v/>
      </c>
      <c r="AR40" s="276" t="str">
        <f t="shared" si="79"/>
        <v/>
      </c>
      <c r="AS40" s="276" t="str">
        <f t="shared" si="79"/>
        <v/>
      </c>
      <c r="AT40" s="276" t="str">
        <f t="shared" si="79"/>
        <v/>
      </c>
      <c r="AU40" s="276" t="str">
        <f t="shared" si="80"/>
        <v/>
      </c>
      <c r="AV40" s="276" t="str">
        <f t="shared" si="80"/>
        <v/>
      </c>
      <c r="AW40" s="276" t="str">
        <f t="shared" si="80"/>
        <v/>
      </c>
      <c r="AX40" s="276" t="str">
        <f t="shared" si="80"/>
        <v/>
      </c>
      <c r="AY40" s="276" t="str">
        <f t="shared" si="80"/>
        <v/>
      </c>
      <c r="AZ40" s="276" t="str">
        <f t="shared" si="80"/>
        <v/>
      </c>
      <c r="BA40" s="276" t="str">
        <f t="shared" si="80"/>
        <v/>
      </c>
      <c r="BB40" s="276" t="str">
        <f t="shared" si="80"/>
        <v/>
      </c>
      <c r="BC40" s="276" t="str">
        <f t="shared" si="80"/>
        <v/>
      </c>
      <c r="BD40" s="276" t="str">
        <f t="shared" si="80"/>
        <v/>
      </c>
      <c r="BE40" s="276" t="str">
        <f t="shared" si="81"/>
        <v/>
      </c>
      <c r="BF40" s="276" t="str">
        <f t="shared" si="81"/>
        <v/>
      </c>
      <c r="BG40" s="276" t="str">
        <f t="shared" si="81"/>
        <v/>
      </c>
      <c r="BH40" s="276" t="str">
        <f t="shared" si="81"/>
        <v/>
      </c>
      <c r="BI40" s="276" t="str">
        <f t="shared" si="81"/>
        <v/>
      </c>
      <c r="BJ40" s="276">
        <f t="array" ref="BJ40">(SUM( IF(ISERROR(AK40:BI40),"", AK40:BI40)))</f>
        <v>1.1394340302684083</v>
      </c>
      <c r="BK40" s="142">
        <f t="array" ref="BK40">(SUM( IF(ISERROR(AK40:BI40),"", AK40:BI40)))/time</f>
        <v>0.22788680605368167</v>
      </c>
      <c r="BL40" s="142">
        <f t="shared" si="85"/>
        <v>0.22788680605368167</v>
      </c>
      <c r="BM40" s="143">
        <f t="shared" si="82"/>
        <v>0.22788680605368167</v>
      </c>
      <c r="BO40" s="176" t="e">
        <f t="array" ref="BO40">STDEV(IF(AK40:BI40&lt;&gt;0,AK40:BI40))</f>
        <v>#DIV/0!</v>
      </c>
      <c r="BP40" s="176">
        <v>1.96</v>
      </c>
      <c r="BQ40" s="176" t="e">
        <f t="shared" si="83"/>
        <v>#DIV/0!</v>
      </c>
      <c r="BR40" s="176">
        <f t="shared" si="84"/>
        <v>0</v>
      </c>
      <c r="BT40" s="529">
        <v>1</v>
      </c>
    </row>
    <row r="41" spans="1:72" ht="16" thickBot="1">
      <c r="A41" s="563" t="s">
        <v>559</v>
      </c>
      <c r="B41" s="1000">
        <f>Reoffending_inputs!Q612</f>
        <v>0</v>
      </c>
      <c r="C41" s="1000">
        <f>Reoffending_inputs!R612</f>
        <v>8.8214045678110167E-3</v>
      </c>
      <c r="D41" s="1000">
        <f>Reoffending_inputs!S612</f>
        <v>0</v>
      </c>
      <c r="E41" s="1000">
        <f>Reoffending_inputs!T612</f>
        <v>0</v>
      </c>
      <c r="F41" s="1000">
        <f>Reoffending_inputs!U612</f>
        <v>0</v>
      </c>
      <c r="G41" s="722"/>
      <c r="H41" s="722"/>
      <c r="I41" s="722"/>
      <c r="J41" s="722"/>
      <c r="K41" s="722"/>
      <c r="L41" s="722"/>
      <c r="M41" s="722"/>
      <c r="N41" s="722"/>
      <c r="O41" s="722"/>
      <c r="P41" s="722"/>
      <c r="Q41" s="722"/>
      <c r="R41" s="722"/>
      <c r="S41" s="722"/>
      <c r="T41" s="722"/>
      <c r="U41" s="722"/>
      <c r="V41" s="722"/>
      <c r="W41" s="722"/>
      <c r="X41" s="722"/>
      <c r="Y41" s="722"/>
      <c r="Z41" s="722"/>
      <c r="AA41" s="723">
        <f t="array" ref="AA41">(SUM( IF(ISERROR(B41:Z41),"", B41:Z41)))</f>
        <v>8.8214045678110167E-3</v>
      </c>
      <c r="AB41" s="724">
        <f t="array" ref="AB41">(SUM( IF(ISERROR(B41:Z41),"", B41:Z41)))/time</f>
        <v>1.7642809135622033E-3</v>
      </c>
      <c r="AC41" s="710"/>
      <c r="AD41" s="726"/>
      <c r="AE41" s="713"/>
      <c r="AF41" s="713"/>
      <c r="AG41" s="713"/>
      <c r="AH41" s="713"/>
      <c r="AI41" s="725">
        <f>'Savings of avoided crimes'!E198</f>
        <v>1240.3065491599484</v>
      </c>
      <c r="AJ41" s="367"/>
      <c r="AK41" s="533">
        <f t="shared" si="79"/>
        <v>0</v>
      </c>
      <c r="AL41" s="533">
        <f t="shared" si="79"/>
        <v>10.941245858245487</v>
      </c>
      <c r="AM41" s="533">
        <f t="shared" si="79"/>
        <v>0</v>
      </c>
      <c r="AN41" s="533">
        <f t="shared" si="79"/>
        <v>0</v>
      </c>
      <c r="AO41" s="533">
        <f t="shared" si="79"/>
        <v>0</v>
      </c>
      <c r="AP41" s="533" t="str">
        <f t="shared" si="79"/>
        <v/>
      </c>
      <c r="AQ41" s="533" t="str">
        <f t="shared" si="79"/>
        <v/>
      </c>
      <c r="AR41" s="533" t="str">
        <f t="shared" si="79"/>
        <v/>
      </c>
      <c r="AS41" s="533" t="str">
        <f t="shared" si="79"/>
        <v/>
      </c>
      <c r="AT41" s="533" t="str">
        <f t="shared" si="79"/>
        <v/>
      </c>
      <c r="AU41" s="533" t="str">
        <f t="shared" si="80"/>
        <v/>
      </c>
      <c r="AV41" s="533" t="str">
        <f t="shared" si="80"/>
        <v/>
      </c>
      <c r="AW41" s="533" t="str">
        <f t="shared" si="80"/>
        <v/>
      </c>
      <c r="AX41" s="533" t="str">
        <f t="shared" si="80"/>
        <v/>
      </c>
      <c r="AY41" s="533" t="str">
        <f t="shared" si="80"/>
        <v/>
      </c>
      <c r="AZ41" s="533" t="str">
        <f t="shared" si="80"/>
        <v/>
      </c>
      <c r="BA41" s="533" t="str">
        <f t="shared" si="80"/>
        <v/>
      </c>
      <c r="BB41" s="533" t="str">
        <f t="shared" si="80"/>
        <v/>
      </c>
      <c r="BC41" s="533" t="str">
        <f t="shared" si="80"/>
        <v/>
      </c>
      <c r="BD41" s="533" t="str">
        <f t="shared" si="80"/>
        <v/>
      </c>
      <c r="BE41" s="533" t="str">
        <f t="shared" si="81"/>
        <v/>
      </c>
      <c r="BF41" s="533" t="str">
        <f t="shared" si="81"/>
        <v/>
      </c>
      <c r="BG41" s="533" t="str">
        <f t="shared" si="81"/>
        <v/>
      </c>
      <c r="BH41" s="533" t="str">
        <f t="shared" si="81"/>
        <v/>
      </c>
      <c r="BI41" s="533" t="str">
        <f t="shared" si="81"/>
        <v/>
      </c>
      <c r="BJ41" s="533">
        <f t="array" ref="BJ41">(SUM( IF(ISERROR(AK41:BI41),"", AK41:BI41)))</f>
        <v>10.941245858245487</v>
      </c>
      <c r="BK41" s="381">
        <f t="array" ref="BK41">(SUM( IF(ISERROR(AK41:BI41),"", AK41:BI41)))/time</f>
        <v>2.1882491716490975</v>
      </c>
      <c r="BL41" s="381">
        <f t="shared" si="85"/>
        <v>2.1882491716490975</v>
      </c>
      <c r="BM41" s="382">
        <f t="shared" ref="BM41" si="86">IF(BR41&gt;0,BK41+BQ41,BK41)</f>
        <v>2.1882491716490975</v>
      </c>
      <c r="BO41" s="176" t="e">
        <f t="array" ref="BO41">STDEV(IF(AK41:BI41&lt;&gt;0,AK41:BI41))</f>
        <v>#DIV/0!</v>
      </c>
      <c r="BP41" s="176">
        <v>1.96</v>
      </c>
      <c r="BQ41" s="176" t="e">
        <f t="shared" ref="BQ41" si="87">(BP41*BO41)/(time^0.5)</f>
        <v>#DIV/0!</v>
      </c>
      <c r="BR41" s="176">
        <f t="shared" ref="BR41" si="88">IFERROR(BO41,0)</f>
        <v>0</v>
      </c>
      <c r="BT41" s="529">
        <v>1</v>
      </c>
    </row>
    <row r="42" spans="1:72" ht="16" thickBot="1">
      <c r="A42" s="984" t="s">
        <v>560</v>
      </c>
      <c r="B42" s="981">
        <f>SUM(B35:B41)</f>
        <v>0</v>
      </c>
      <c r="C42" s="981">
        <f t="shared" ref="C42:Z42" si="89">SUM(C35:C41)</f>
        <v>0.11585591476198455</v>
      </c>
      <c r="D42" s="981">
        <f t="shared" si="89"/>
        <v>0</v>
      </c>
      <c r="E42" s="981">
        <f t="shared" si="89"/>
        <v>0</v>
      </c>
      <c r="F42" s="981">
        <f t="shared" si="89"/>
        <v>0</v>
      </c>
      <c r="G42" s="981">
        <f t="shared" si="89"/>
        <v>0</v>
      </c>
      <c r="H42" s="981">
        <f t="shared" si="89"/>
        <v>0</v>
      </c>
      <c r="I42" s="981">
        <f t="shared" si="89"/>
        <v>0</v>
      </c>
      <c r="J42" s="981">
        <f t="shared" si="89"/>
        <v>0</v>
      </c>
      <c r="K42" s="981">
        <f t="shared" si="89"/>
        <v>0</v>
      </c>
      <c r="L42" s="981">
        <f t="shared" si="89"/>
        <v>0</v>
      </c>
      <c r="M42" s="981">
        <f t="shared" si="89"/>
        <v>0</v>
      </c>
      <c r="N42" s="981">
        <f t="shared" si="89"/>
        <v>0</v>
      </c>
      <c r="O42" s="981">
        <f t="shared" si="89"/>
        <v>0</v>
      </c>
      <c r="P42" s="981">
        <f t="shared" si="89"/>
        <v>0</v>
      </c>
      <c r="Q42" s="981">
        <f t="shared" si="89"/>
        <v>0</v>
      </c>
      <c r="R42" s="981">
        <f t="shared" si="89"/>
        <v>0</v>
      </c>
      <c r="S42" s="981">
        <f t="shared" si="89"/>
        <v>0</v>
      </c>
      <c r="T42" s="981">
        <f t="shared" si="89"/>
        <v>0</v>
      </c>
      <c r="U42" s="981">
        <f t="shared" si="89"/>
        <v>0</v>
      </c>
      <c r="V42" s="981">
        <f t="shared" si="89"/>
        <v>0</v>
      </c>
      <c r="W42" s="981">
        <f t="shared" si="89"/>
        <v>0</v>
      </c>
      <c r="X42" s="981">
        <f t="shared" si="89"/>
        <v>0</v>
      </c>
      <c r="Y42" s="981">
        <f t="shared" si="89"/>
        <v>0</v>
      </c>
      <c r="Z42" s="981">
        <f t="shared" si="89"/>
        <v>0</v>
      </c>
      <c r="AA42" s="981">
        <f>SUM(AA35:AA41)</f>
        <v>0.11585591476198455</v>
      </c>
      <c r="AB42" s="982">
        <f>SUM(AB35:AB41)</f>
        <v>2.317118295239691E-2</v>
      </c>
      <c r="AC42" s="710"/>
      <c r="AD42" s="726"/>
      <c r="AE42" s="713"/>
      <c r="AF42" s="713"/>
      <c r="AG42" s="713"/>
      <c r="AH42" s="713"/>
      <c r="AI42" s="983">
        <f>'Savings of avoided crimes'!E199</f>
        <v>70481.920416769775</v>
      </c>
      <c r="AJ42" s="976"/>
      <c r="AK42" s="985">
        <f>SUM(AK35:AK41)</f>
        <v>0</v>
      </c>
      <c r="AL42" s="985">
        <f t="shared" ref="AL42:BM42" si="90">SUM(AL35:AL41)</f>
        <v>925.10059761597893</v>
      </c>
      <c r="AM42" s="985">
        <f t="shared" si="90"/>
        <v>0</v>
      </c>
      <c r="AN42" s="985">
        <f t="shared" si="90"/>
        <v>0</v>
      </c>
      <c r="AO42" s="985">
        <f t="shared" si="90"/>
        <v>0</v>
      </c>
      <c r="AP42" s="985">
        <f>SUM(AP35:AP41)</f>
        <v>0</v>
      </c>
      <c r="AQ42" s="985">
        <f t="shared" si="90"/>
        <v>0</v>
      </c>
      <c r="AR42" s="985">
        <f t="shared" si="90"/>
        <v>0</v>
      </c>
      <c r="AS42" s="985">
        <f t="shared" si="90"/>
        <v>0</v>
      </c>
      <c r="AT42" s="985">
        <f t="shared" si="90"/>
        <v>0</v>
      </c>
      <c r="AU42" s="985">
        <f t="shared" si="90"/>
        <v>0</v>
      </c>
      <c r="AV42" s="985">
        <f t="shared" si="90"/>
        <v>0</v>
      </c>
      <c r="AW42" s="985">
        <f t="shared" si="90"/>
        <v>0</v>
      </c>
      <c r="AX42" s="985">
        <f t="shared" si="90"/>
        <v>0</v>
      </c>
      <c r="AY42" s="985">
        <f t="shared" si="90"/>
        <v>0</v>
      </c>
      <c r="AZ42" s="985">
        <f t="shared" si="90"/>
        <v>0</v>
      </c>
      <c r="BA42" s="985">
        <f t="shared" si="90"/>
        <v>0</v>
      </c>
      <c r="BB42" s="985">
        <f t="shared" si="90"/>
        <v>0</v>
      </c>
      <c r="BC42" s="985">
        <f t="shared" si="90"/>
        <v>0</v>
      </c>
      <c r="BD42" s="985">
        <f t="shared" si="90"/>
        <v>0</v>
      </c>
      <c r="BE42" s="985">
        <f t="shared" si="90"/>
        <v>0</v>
      </c>
      <c r="BF42" s="985">
        <f>SUM(BF35:BF41)</f>
        <v>0</v>
      </c>
      <c r="BG42" s="985">
        <f t="shared" si="90"/>
        <v>0</v>
      </c>
      <c r="BH42" s="985">
        <f t="shared" si="90"/>
        <v>0</v>
      </c>
      <c r="BI42" s="985">
        <f t="shared" si="90"/>
        <v>0</v>
      </c>
      <c r="BJ42" s="1053">
        <f>SUM(BJ35:BJ41)</f>
        <v>925.10059761597893</v>
      </c>
      <c r="BK42" s="1053">
        <f t="shared" si="90"/>
        <v>185.0201195231958</v>
      </c>
      <c r="BL42" s="1053">
        <f t="shared" si="90"/>
        <v>185.0201195231958</v>
      </c>
      <c r="BM42" s="1053">
        <f t="shared" si="90"/>
        <v>185.0201195231958</v>
      </c>
      <c r="BT42" s="529">
        <v>0</v>
      </c>
    </row>
    <row r="43" spans="1:72">
      <c r="A43" s="566" t="s">
        <v>515</v>
      </c>
      <c r="B43" s="713"/>
      <c r="C43" s="713"/>
      <c r="D43" s="713"/>
      <c r="E43" s="713"/>
      <c r="F43" s="713"/>
      <c r="G43" s="713"/>
      <c r="H43" s="713"/>
      <c r="I43" s="713"/>
      <c r="J43" s="713"/>
      <c r="K43" s="713"/>
      <c r="L43" s="713"/>
      <c r="M43" s="713"/>
      <c r="N43" s="713"/>
      <c r="O43" s="713"/>
      <c r="P43" s="713"/>
      <c r="Q43" s="713"/>
      <c r="R43" s="713"/>
      <c r="S43" s="713"/>
      <c r="T43" s="713"/>
      <c r="U43" s="713"/>
      <c r="V43" s="713"/>
      <c r="W43" s="713"/>
      <c r="X43" s="713"/>
      <c r="Y43" s="713"/>
      <c r="Z43" s="713"/>
      <c r="AA43" s="713"/>
      <c r="AB43" s="730"/>
      <c r="AC43" s="710"/>
      <c r="AD43" s="726"/>
      <c r="AE43" s="713"/>
      <c r="AF43" s="713"/>
      <c r="AG43" s="713"/>
      <c r="AH43" s="713"/>
      <c r="AI43" s="731"/>
      <c r="BM43" s="569"/>
      <c r="BT43" s="529">
        <v>0</v>
      </c>
    </row>
    <row r="44" spans="1:72">
      <c r="A44" s="570" t="s">
        <v>421</v>
      </c>
      <c r="B44" s="999">
        <v>0</v>
      </c>
      <c r="C44" s="999">
        <v>0</v>
      </c>
      <c r="D44" s="999">
        <v>0</v>
      </c>
      <c r="E44" s="999">
        <v>0</v>
      </c>
      <c r="F44" s="999">
        <v>0</v>
      </c>
      <c r="G44" s="728"/>
      <c r="H44" s="728"/>
      <c r="I44" s="728"/>
      <c r="J44" s="728"/>
      <c r="K44" s="728"/>
      <c r="L44" s="728"/>
      <c r="M44" s="728"/>
      <c r="N44" s="728"/>
      <c r="O44" s="728"/>
      <c r="P44" s="728"/>
      <c r="Q44" s="728"/>
      <c r="R44" s="728"/>
      <c r="S44" s="728"/>
      <c r="T44" s="728"/>
      <c r="U44" s="728"/>
      <c r="V44" s="728"/>
      <c r="W44" s="728"/>
      <c r="X44" s="728"/>
      <c r="Y44" s="728"/>
      <c r="Z44" s="728"/>
      <c r="AA44" s="716">
        <f t="array" ref="AA44">(SUM( IF(ISERROR(B44:Z44),"", B44:Z44)))</f>
        <v>0</v>
      </c>
      <c r="AB44" s="717">
        <f t="array" ref="AB44">(SUM( IF(ISERROR(B44:Z44),"", B44:Z44)))/time</f>
        <v>0</v>
      </c>
      <c r="AC44" s="710"/>
      <c r="AD44" s="726"/>
      <c r="AE44" s="713"/>
      <c r="AF44" s="713"/>
      <c r="AG44" s="713"/>
      <c r="AH44" s="713"/>
      <c r="AI44" s="729">
        <f>'Savings of avoided crimes'!E201</f>
        <v>0</v>
      </c>
      <c r="AJ44" s="367"/>
      <c r="AK44" s="276">
        <f t="shared" ref="AK44:AT49" si="91">IF(AK$69&lt;=time,B44*$AI44,"")</f>
        <v>0</v>
      </c>
      <c r="AL44" s="276">
        <f t="shared" si="91"/>
        <v>0</v>
      </c>
      <c r="AM44" s="276">
        <f t="shared" si="91"/>
        <v>0</v>
      </c>
      <c r="AN44" s="276">
        <f t="shared" si="91"/>
        <v>0</v>
      </c>
      <c r="AO44" s="276">
        <f t="shared" si="91"/>
        <v>0</v>
      </c>
      <c r="AP44" s="276" t="str">
        <f t="shared" si="91"/>
        <v/>
      </c>
      <c r="AQ44" s="276" t="str">
        <f t="shared" si="91"/>
        <v/>
      </c>
      <c r="AR44" s="276" t="str">
        <f t="shared" si="91"/>
        <v/>
      </c>
      <c r="AS44" s="276" t="str">
        <f t="shared" si="91"/>
        <v/>
      </c>
      <c r="AT44" s="276" t="str">
        <f t="shared" si="91"/>
        <v/>
      </c>
      <c r="AU44" s="276" t="str">
        <f t="shared" ref="AU44:BD49" si="92">IF(AU$69&lt;=time,L44*$AI44,"")</f>
        <v/>
      </c>
      <c r="AV44" s="276" t="str">
        <f t="shared" si="92"/>
        <v/>
      </c>
      <c r="AW44" s="276" t="str">
        <f t="shared" si="92"/>
        <v/>
      </c>
      <c r="AX44" s="276" t="str">
        <f t="shared" si="92"/>
        <v/>
      </c>
      <c r="AY44" s="276" t="str">
        <f t="shared" si="92"/>
        <v/>
      </c>
      <c r="AZ44" s="276" t="str">
        <f t="shared" si="92"/>
        <v/>
      </c>
      <c r="BA44" s="276" t="str">
        <f t="shared" si="92"/>
        <v/>
      </c>
      <c r="BB44" s="276" t="str">
        <f t="shared" si="92"/>
        <v/>
      </c>
      <c r="BC44" s="276" t="str">
        <f t="shared" si="92"/>
        <v/>
      </c>
      <c r="BD44" s="276" t="str">
        <f t="shared" si="92"/>
        <v/>
      </c>
      <c r="BE44" s="276" t="str">
        <f t="shared" ref="BE44:BI49" si="93">IF(BE$69&lt;=time,V44*$AI44,"")</f>
        <v/>
      </c>
      <c r="BF44" s="276" t="str">
        <f t="shared" si="93"/>
        <v/>
      </c>
      <c r="BG44" s="276" t="str">
        <f t="shared" si="93"/>
        <v/>
      </c>
      <c r="BH44" s="276" t="str">
        <f t="shared" si="93"/>
        <v/>
      </c>
      <c r="BI44" s="276" t="str">
        <f t="shared" si="93"/>
        <v/>
      </c>
      <c r="BJ44" s="276">
        <f t="array" ref="BJ44">(SUM( IF(ISERROR(AK44:BI44),"", AK44:BI44)))</f>
        <v>0</v>
      </c>
      <c r="BK44" s="142">
        <f t="array" ref="BK44">(SUM( IF(ISERROR(AK44:BI44),"", AK44:BI44)))/time</f>
        <v>0</v>
      </c>
      <c r="BL44" s="142">
        <f>IF(BR44&gt;0,IF(BK44-BQ44&gt;0, BK44-BQ44, 0),BK44)</f>
        <v>0</v>
      </c>
      <c r="BM44" s="143">
        <f t="shared" ref="BM44:BM49" si="94">IF(BR44&gt;0,BK44+BQ44,BK44)</f>
        <v>0</v>
      </c>
      <c r="BO44" s="176" t="e">
        <f t="array" ref="BO44">STDEV(IF(AK44:BI44&lt;&gt;0,AK44:BI44))</f>
        <v>#DIV/0!</v>
      </c>
      <c r="BP44" s="176">
        <v>1.96</v>
      </c>
      <c r="BQ44" s="176" t="e">
        <f t="shared" ref="BQ44:BQ49" si="95">(BP44*BO44)/(time^0.5)</f>
        <v>#DIV/0!</v>
      </c>
      <c r="BR44" s="176">
        <f t="shared" ref="BR44:BR49" si="96">IFERROR(BO44,0)</f>
        <v>0</v>
      </c>
      <c r="BT44" s="529">
        <v>1</v>
      </c>
    </row>
    <row r="45" spans="1:72">
      <c r="A45" s="570" t="s">
        <v>422</v>
      </c>
      <c r="B45" s="999">
        <v>0</v>
      </c>
      <c r="C45" s="999">
        <v>0</v>
      </c>
      <c r="D45" s="999">
        <v>0</v>
      </c>
      <c r="E45" s="999">
        <v>0</v>
      </c>
      <c r="F45" s="999">
        <v>0</v>
      </c>
      <c r="G45" s="715"/>
      <c r="H45" s="715"/>
      <c r="I45" s="715"/>
      <c r="J45" s="715"/>
      <c r="K45" s="715"/>
      <c r="L45" s="715"/>
      <c r="M45" s="715"/>
      <c r="N45" s="715"/>
      <c r="O45" s="715"/>
      <c r="P45" s="715"/>
      <c r="Q45" s="715"/>
      <c r="R45" s="715"/>
      <c r="S45" s="715"/>
      <c r="T45" s="715"/>
      <c r="U45" s="715"/>
      <c r="V45" s="715"/>
      <c r="W45" s="715"/>
      <c r="X45" s="715"/>
      <c r="Y45" s="715"/>
      <c r="Z45" s="715"/>
      <c r="AA45" s="716">
        <f t="array" ref="AA45">(SUM( IF(ISERROR(B45:Z45),"", B45:Z45)))</f>
        <v>0</v>
      </c>
      <c r="AB45" s="717">
        <f t="array" ref="AB45">(SUM( IF(ISERROR(B45:Z45),"", B45:Z45)))/time</f>
        <v>0</v>
      </c>
      <c r="AC45" s="710"/>
      <c r="AD45" s="726"/>
      <c r="AE45" s="713"/>
      <c r="AF45" s="713"/>
      <c r="AG45" s="713"/>
      <c r="AH45" s="713"/>
      <c r="AI45" s="729">
        <f>'Savings of avoided crimes'!E202</f>
        <v>0</v>
      </c>
      <c r="AJ45" s="367"/>
      <c r="AK45" s="276">
        <f t="shared" si="91"/>
        <v>0</v>
      </c>
      <c r="AL45" s="276">
        <f t="shared" si="91"/>
        <v>0</v>
      </c>
      <c r="AM45" s="276">
        <f t="shared" si="91"/>
        <v>0</v>
      </c>
      <c r="AN45" s="276">
        <f t="shared" si="91"/>
        <v>0</v>
      </c>
      <c r="AO45" s="276">
        <f t="shared" si="91"/>
        <v>0</v>
      </c>
      <c r="AP45" s="276" t="str">
        <f t="shared" si="91"/>
        <v/>
      </c>
      <c r="AQ45" s="276" t="str">
        <f t="shared" si="91"/>
        <v/>
      </c>
      <c r="AR45" s="276" t="str">
        <f t="shared" si="91"/>
        <v/>
      </c>
      <c r="AS45" s="276" t="str">
        <f t="shared" si="91"/>
        <v/>
      </c>
      <c r="AT45" s="276" t="str">
        <f t="shared" si="91"/>
        <v/>
      </c>
      <c r="AU45" s="276" t="str">
        <f t="shared" si="92"/>
        <v/>
      </c>
      <c r="AV45" s="276" t="str">
        <f t="shared" si="92"/>
        <v/>
      </c>
      <c r="AW45" s="276" t="str">
        <f t="shared" si="92"/>
        <v/>
      </c>
      <c r="AX45" s="276" t="str">
        <f t="shared" si="92"/>
        <v/>
      </c>
      <c r="AY45" s="276" t="str">
        <f t="shared" si="92"/>
        <v/>
      </c>
      <c r="AZ45" s="276" t="str">
        <f t="shared" si="92"/>
        <v/>
      </c>
      <c r="BA45" s="276" t="str">
        <f t="shared" si="92"/>
        <v/>
      </c>
      <c r="BB45" s="276" t="str">
        <f t="shared" si="92"/>
        <v/>
      </c>
      <c r="BC45" s="276" t="str">
        <f t="shared" si="92"/>
        <v/>
      </c>
      <c r="BD45" s="276" t="str">
        <f t="shared" si="92"/>
        <v/>
      </c>
      <c r="BE45" s="276" t="str">
        <f t="shared" si="93"/>
        <v/>
      </c>
      <c r="BF45" s="276" t="str">
        <f t="shared" si="93"/>
        <v/>
      </c>
      <c r="BG45" s="276" t="str">
        <f t="shared" si="93"/>
        <v/>
      </c>
      <c r="BH45" s="276" t="str">
        <f t="shared" si="93"/>
        <v/>
      </c>
      <c r="BI45" s="276" t="str">
        <f t="shared" si="93"/>
        <v/>
      </c>
      <c r="BJ45" s="276">
        <f t="array" ref="BJ45">(SUM( IF(ISERROR(AK45:BI45),"", AK45:BI45)))</f>
        <v>0</v>
      </c>
      <c r="BK45" s="142">
        <f t="array" ref="BK45">(SUM( IF(ISERROR(AK45:BI45),"", AK45:BI45)))/time</f>
        <v>0</v>
      </c>
      <c r="BL45" s="142">
        <f t="shared" ref="BL45:BL49" si="97">IF(BR45&gt;0,IF(BK45-BQ45&gt;0, BK45-BQ45, 0),BK45)</f>
        <v>0</v>
      </c>
      <c r="BM45" s="143">
        <f t="shared" si="94"/>
        <v>0</v>
      </c>
      <c r="BO45" s="176" t="e">
        <f t="array" ref="BO45">STDEV(IF(AK45:BI45&lt;&gt;0,AK45:BI45))</f>
        <v>#DIV/0!</v>
      </c>
      <c r="BP45" s="176">
        <v>1.96</v>
      </c>
      <c r="BQ45" s="176" t="e">
        <f t="shared" si="95"/>
        <v>#DIV/0!</v>
      </c>
      <c r="BR45" s="176">
        <f t="shared" si="96"/>
        <v>0</v>
      </c>
      <c r="BT45" s="529">
        <v>1</v>
      </c>
    </row>
    <row r="46" spans="1:72">
      <c r="A46" s="570" t="s">
        <v>516</v>
      </c>
      <c r="B46" s="999">
        <v>0</v>
      </c>
      <c r="C46" s="999">
        <v>0</v>
      </c>
      <c r="D46" s="999">
        <v>0</v>
      </c>
      <c r="E46" s="999">
        <v>0</v>
      </c>
      <c r="F46" s="999">
        <v>0</v>
      </c>
      <c r="G46" s="715"/>
      <c r="H46" s="715"/>
      <c r="I46" s="715"/>
      <c r="J46" s="715"/>
      <c r="K46" s="715"/>
      <c r="L46" s="715"/>
      <c r="M46" s="715"/>
      <c r="N46" s="715"/>
      <c r="O46" s="715"/>
      <c r="P46" s="715"/>
      <c r="Q46" s="715"/>
      <c r="R46" s="715"/>
      <c r="S46" s="715"/>
      <c r="T46" s="715"/>
      <c r="U46" s="715"/>
      <c r="V46" s="715"/>
      <c r="W46" s="715"/>
      <c r="X46" s="715"/>
      <c r="Y46" s="715"/>
      <c r="Z46" s="715"/>
      <c r="AA46" s="716">
        <f t="array" ref="AA46">(SUM( IF(ISERROR(B46:Z46),"", B46:Z46)))</f>
        <v>0</v>
      </c>
      <c r="AB46" s="717">
        <f t="array" ref="AB46">(SUM( IF(ISERROR(B46:Z46),"", B46:Z46)))/time</f>
        <v>0</v>
      </c>
      <c r="AC46" s="710"/>
      <c r="AD46" s="726"/>
      <c r="AE46" s="713"/>
      <c r="AF46" s="713"/>
      <c r="AG46" s="713"/>
      <c r="AH46" s="713"/>
      <c r="AI46" s="729">
        <f>'Savings of avoided crimes'!E203</f>
        <v>0</v>
      </c>
      <c r="AJ46" s="367"/>
      <c r="AK46" s="276">
        <f t="shared" si="91"/>
        <v>0</v>
      </c>
      <c r="AL46" s="276">
        <f t="shared" si="91"/>
        <v>0</v>
      </c>
      <c r="AM46" s="276">
        <f t="shared" si="91"/>
        <v>0</v>
      </c>
      <c r="AN46" s="276">
        <f t="shared" si="91"/>
        <v>0</v>
      </c>
      <c r="AO46" s="276">
        <f t="shared" si="91"/>
        <v>0</v>
      </c>
      <c r="AP46" s="276" t="str">
        <f t="shared" si="91"/>
        <v/>
      </c>
      <c r="AQ46" s="276" t="str">
        <f t="shared" si="91"/>
        <v/>
      </c>
      <c r="AR46" s="276" t="str">
        <f t="shared" si="91"/>
        <v/>
      </c>
      <c r="AS46" s="276" t="str">
        <f t="shared" si="91"/>
        <v/>
      </c>
      <c r="AT46" s="276" t="str">
        <f t="shared" si="91"/>
        <v/>
      </c>
      <c r="AU46" s="276" t="str">
        <f t="shared" si="92"/>
        <v/>
      </c>
      <c r="AV46" s="276" t="str">
        <f t="shared" si="92"/>
        <v/>
      </c>
      <c r="AW46" s="276" t="str">
        <f t="shared" si="92"/>
        <v/>
      </c>
      <c r="AX46" s="276" t="str">
        <f t="shared" si="92"/>
        <v/>
      </c>
      <c r="AY46" s="276" t="str">
        <f t="shared" si="92"/>
        <v/>
      </c>
      <c r="AZ46" s="276" t="str">
        <f t="shared" si="92"/>
        <v/>
      </c>
      <c r="BA46" s="276" t="str">
        <f t="shared" si="92"/>
        <v/>
      </c>
      <c r="BB46" s="276" t="str">
        <f t="shared" si="92"/>
        <v/>
      </c>
      <c r="BC46" s="276" t="str">
        <f t="shared" si="92"/>
        <v/>
      </c>
      <c r="BD46" s="276" t="str">
        <f t="shared" si="92"/>
        <v/>
      </c>
      <c r="BE46" s="276" t="str">
        <f t="shared" si="93"/>
        <v/>
      </c>
      <c r="BF46" s="276" t="str">
        <f t="shared" si="93"/>
        <v/>
      </c>
      <c r="BG46" s="276" t="str">
        <f t="shared" si="93"/>
        <v/>
      </c>
      <c r="BH46" s="276" t="str">
        <f t="shared" si="93"/>
        <v/>
      </c>
      <c r="BI46" s="276" t="str">
        <f t="shared" si="93"/>
        <v/>
      </c>
      <c r="BJ46" s="276">
        <f t="array" ref="BJ46">(SUM( IF(ISERROR(AK46:BI46),"", AK46:BI46)))</f>
        <v>0</v>
      </c>
      <c r="BK46" s="142">
        <f t="array" ref="BK46">(SUM( IF(ISERROR(AK46:BI46),"", AK46:BI46)))/time</f>
        <v>0</v>
      </c>
      <c r="BL46" s="142">
        <f t="shared" si="97"/>
        <v>0</v>
      </c>
      <c r="BM46" s="143">
        <f t="shared" si="94"/>
        <v>0</v>
      </c>
      <c r="BO46" s="176" t="e">
        <f t="array" ref="BO46">STDEV(IF(AK46:BI46&lt;&gt;0,AK46:BI46))</f>
        <v>#DIV/0!</v>
      </c>
      <c r="BP46" s="176">
        <v>1.96</v>
      </c>
      <c r="BQ46" s="176" t="e">
        <f t="shared" si="95"/>
        <v>#DIV/0!</v>
      </c>
      <c r="BR46" s="176">
        <f t="shared" si="96"/>
        <v>0</v>
      </c>
      <c r="BT46" s="529">
        <v>1</v>
      </c>
    </row>
    <row r="47" spans="1:72">
      <c r="A47" s="570" t="s">
        <v>416</v>
      </c>
      <c r="B47" s="999">
        <v>0</v>
      </c>
      <c r="C47" s="999">
        <v>0</v>
      </c>
      <c r="D47" s="999">
        <v>0</v>
      </c>
      <c r="E47" s="999">
        <v>0</v>
      </c>
      <c r="F47" s="999">
        <v>0</v>
      </c>
      <c r="G47" s="715"/>
      <c r="H47" s="715"/>
      <c r="I47" s="715"/>
      <c r="J47" s="715"/>
      <c r="K47" s="715"/>
      <c r="L47" s="715"/>
      <c r="M47" s="715"/>
      <c r="N47" s="715"/>
      <c r="O47" s="715"/>
      <c r="P47" s="715"/>
      <c r="Q47" s="715"/>
      <c r="R47" s="715"/>
      <c r="S47" s="715"/>
      <c r="T47" s="715"/>
      <c r="U47" s="715"/>
      <c r="V47" s="715"/>
      <c r="W47" s="715"/>
      <c r="X47" s="715"/>
      <c r="Y47" s="715"/>
      <c r="Z47" s="715"/>
      <c r="AA47" s="716">
        <f t="array" ref="AA47">(SUM( IF(ISERROR(B47:Z47),"", B47:Z47)))</f>
        <v>0</v>
      </c>
      <c r="AB47" s="717">
        <f t="array" ref="AB47">(SUM( IF(ISERROR(B47:Z47),"", B47:Z47)))/time</f>
        <v>0</v>
      </c>
      <c r="AC47" s="710"/>
      <c r="AD47" s="726"/>
      <c r="AE47" s="713"/>
      <c r="AF47" s="713"/>
      <c r="AG47" s="713"/>
      <c r="AH47" s="713"/>
      <c r="AI47" s="729">
        <f>'Savings of avoided crimes'!E204</f>
        <v>0</v>
      </c>
      <c r="AJ47" s="367"/>
      <c r="AK47" s="276">
        <f t="shared" si="91"/>
        <v>0</v>
      </c>
      <c r="AL47" s="276">
        <f t="shared" si="91"/>
        <v>0</v>
      </c>
      <c r="AM47" s="276">
        <f t="shared" si="91"/>
        <v>0</v>
      </c>
      <c r="AN47" s="276">
        <f t="shared" si="91"/>
        <v>0</v>
      </c>
      <c r="AO47" s="276">
        <f t="shared" si="91"/>
        <v>0</v>
      </c>
      <c r="AP47" s="276" t="str">
        <f t="shared" si="91"/>
        <v/>
      </c>
      <c r="AQ47" s="276" t="str">
        <f t="shared" si="91"/>
        <v/>
      </c>
      <c r="AR47" s="276" t="str">
        <f t="shared" si="91"/>
        <v/>
      </c>
      <c r="AS47" s="276" t="str">
        <f t="shared" si="91"/>
        <v/>
      </c>
      <c r="AT47" s="276" t="str">
        <f t="shared" si="91"/>
        <v/>
      </c>
      <c r="AU47" s="276" t="str">
        <f t="shared" si="92"/>
        <v/>
      </c>
      <c r="AV47" s="276" t="str">
        <f t="shared" si="92"/>
        <v/>
      </c>
      <c r="AW47" s="276" t="str">
        <f t="shared" si="92"/>
        <v/>
      </c>
      <c r="AX47" s="276" t="str">
        <f t="shared" si="92"/>
        <v/>
      </c>
      <c r="AY47" s="276" t="str">
        <f t="shared" si="92"/>
        <v/>
      </c>
      <c r="AZ47" s="276" t="str">
        <f t="shared" si="92"/>
        <v/>
      </c>
      <c r="BA47" s="276" t="str">
        <f t="shared" si="92"/>
        <v/>
      </c>
      <c r="BB47" s="276" t="str">
        <f t="shared" si="92"/>
        <v/>
      </c>
      <c r="BC47" s="276" t="str">
        <f t="shared" si="92"/>
        <v/>
      </c>
      <c r="BD47" s="276" t="str">
        <f t="shared" si="92"/>
        <v/>
      </c>
      <c r="BE47" s="276" t="str">
        <f t="shared" si="93"/>
        <v/>
      </c>
      <c r="BF47" s="276" t="str">
        <f t="shared" si="93"/>
        <v/>
      </c>
      <c r="BG47" s="276" t="str">
        <f t="shared" si="93"/>
        <v/>
      </c>
      <c r="BH47" s="276" t="str">
        <f t="shared" si="93"/>
        <v/>
      </c>
      <c r="BI47" s="276" t="str">
        <f t="shared" si="93"/>
        <v/>
      </c>
      <c r="BJ47" s="276">
        <f t="array" ref="BJ47">(SUM( IF(ISERROR(AK47:BI47),"", AK47:BI47)))</f>
        <v>0</v>
      </c>
      <c r="BK47" s="142">
        <f t="array" ref="BK47">(SUM( IF(ISERROR(AK47:BI47),"", AK47:BI47)))/time</f>
        <v>0</v>
      </c>
      <c r="BL47" s="142">
        <f t="shared" si="97"/>
        <v>0</v>
      </c>
      <c r="BM47" s="143">
        <f t="shared" si="94"/>
        <v>0</v>
      </c>
      <c r="BO47" s="176" t="e">
        <f t="array" ref="BO47">STDEV(IF(AK47:BI47&lt;&gt;0,AK47:BI47))</f>
        <v>#DIV/0!</v>
      </c>
      <c r="BP47" s="176">
        <v>1.96</v>
      </c>
      <c r="BQ47" s="176" t="e">
        <f t="shared" si="95"/>
        <v>#DIV/0!</v>
      </c>
      <c r="BR47" s="176">
        <f t="shared" si="96"/>
        <v>0</v>
      </c>
      <c r="BT47" s="529">
        <v>1</v>
      </c>
    </row>
    <row r="48" spans="1:72">
      <c r="A48" s="570" t="s">
        <v>417</v>
      </c>
      <c r="B48" s="999">
        <v>0</v>
      </c>
      <c r="C48" s="999">
        <v>0</v>
      </c>
      <c r="D48" s="999">
        <v>0</v>
      </c>
      <c r="E48" s="999">
        <v>0</v>
      </c>
      <c r="F48" s="999">
        <v>0</v>
      </c>
      <c r="G48" s="715"/>
      <c r="H48" s="715"/>
      <c r="I48" s="715"/>
      <c r="J48" s="715"/>
      <c r="K48" s="715"/>
      <c r="L48" s="715"/>
      <c r="M48" s="715"/>
      <c r="N48" s="715"/>
      <c r="O48" s="715"/>
      <c r="P48" s="715"/>
      <c r="Q48" s="715"/>
      <c r="R48" s="715"/>
      <c r="S48" s="715"/>
      <c r="T48" s="715"/>
      <c r="U48" s="715"/>
      <c r="V48" s="715"/>
      <c r="W48" s="715"/>
      <c r="X48" s="715"/>
      <c r="Y48" s="715"/>
      <c r="Z48" s="715"/>
      <c r="AA48" s="716">
        <f t="array" ref="AA48">(SUM( IF(ISERROR(B48:Z48),"", B48:Z48)))</f>
        <v>0</v>
      </c>
      <c r="AB48" s="717">
        <f t="array" ref="AB48">(SUM( IF(ISERROR(B48:Z48),"", B48:Z48)))/time</f>
        <v>0</v>
      </c>
      <c r="AC48" s="710"/>
      <c r="AD48" s="726"/>
      <c r="AE48" s="713"/>
      <c r="AF48" s="713"/>
      <c r="AG48" s="713"/>
      <c r="AH48" s="713"/>
      <c r="AI48" s="729">
        <f>'Savings of avoided crimes'!E205</f>
        <v>0</v>
      </c>
      <c r="AJ48" s="367"/>
      <c r="AK48" s="276">
        <f t="shared" si="91"/>
        <v>0</v>
      </c>
      <c r="AL48" s="276">
        <f t="shared" si="91"/>
        <v>0</v>
      </c>
      <c r="AM48" s="276">
        <f t="shared" si="91"/>
        <v>0</v>
      </c>
      <c r="AN48" s="276">
        <f t="shared" si="91"/>
        <v>0</v>
      </c>
      <c r="AO48" s="276">
        <f t="shared" si="91"/>
        <v>0</v>
      </c>
      <c r="AP48" s="276" t="str">
        <f t="shared" si="91"/>
        <v/>
      </c>
      <c r="AQ48" s="276" t="str">
        <f t="shared" si="91"/>
        <v/>
      </c>
      <c r="AR48" s="276" t="str">
        <f t="shared" si="91"/>
        <v/>
      </c>
      <c r="AS48" s="276" t="str">
        <f t="shared" si="91"/>
        <v/>
      </c>
      <c r="AT48" s="276" t="str">
        <f t="shared" si="91"/>
        <v/>
      </c>
      <c r="AU48" s="276" t="str">
        <f t="shared" si="92"/>
        <v/>
      </c>
      <c r="AV48" s="276" t="str">
        <f t="shared" si="92"/>
        <v/>
      </c>
      <c r="AW48" s="276" t="str">
        <f t="shared" si="92"/>
        <v/>
      </c>
      <c r="AX48" s="276" t="str">
        <f t="shared" si="92"/>
        <v/>
      </c>
      <c r="AY48" s="276" t="str">
        <f t="shared" si="92"/>
        <v/>
      </c>
      <c r="AZ48" s="276" t="str">
        <f t="shared" si="92"/>
        <v/>
      </c>
      <c r="BA48" s="276" t="str">
        <f t="shared" si="92"/>
        <v/>
      </c>
      <c r="BB48" s="276" t="str">
        <f t="shared" si="92"/>
        <v/>
      </c>
      <c r="BC48" s="276" t="str">
        <f t="shared" si="92"/>
        <v/>
      </c>
      <c r="BD48" s="276" t="str">
        <f t="shared" si="92"/>
        <v/>
      </c>
      <c r="BE48" s="276" t="str">
        <f t="shared" si="93"/>
        <v/>
      </c>
      <c r="BF48" s="276" t="str">
        <f t="shared" si="93"/>
        <v/>
      </c>
      <c r="BG48" s="276" t="str">
        <f t="shared" si="93"/>
        <v/>
      </c>
      <c r="BH48" s="276" t="str">
        <f t="shared" si="93"/>
        <v/>
      </c>
      <c r="BI48" s="276" t="str">
        <f t="shared" si="93"/>
        <v/>
      </c>
      <c r="BJ48" s="276">
        <f t="array" ref="BJ48">(SUM( IF(ISERROR(AK48:BI48),"", AK48:BI48)))</f>
        <v>0</v>
      </c>
      <c r="BK48" s="142">
        <f t="array" ref="BK48">(SUM( IF(ISERROR(AK48:BI48),"", AK48:BI48)))/time</f>
        <v>0</v>
      </c>
      <c r="BL48" s="142">
        <f t="shared" si="97"/>
        <v>0</v>
      </c>
      <c r="BM48" s="143">
        <f t="shared" si="94"/>
        <v>0</v>
      </c>
      <c r="BO48" s="176" t="e">
        <f t="array" ref="BO48">STDEV(IF(AK48:BI48&lt;&gt;0,AK48:BI48))</f>
        <v>#DIV/0!</v>
      </c>
      <c r="BP48" s="176">
        <v>1.96</v>
      </c>
      <c r="BQ48" s="176" t="e">
        <f t="shared" si="95"/>
        <v>#DIV/0!</v>
      </c>
      <c r="BR48" s="176">
        <f t="shared" si="96"/>
        <v>0</v>
      </c>
      <c r="BT48" s="529">
        <v>1</v>
      </c>
    </row>
    <row r="49" spans="1:72" ht="16" thickBot="1">
      <c r="A49" s="571" t="s">
        <v>418</v>
      </c>
      <c r="B49" s="999">
        <v>0</v>
      </c>
      <c r="C49" s="999">
        <v>0</v>
      </c>
      <c r="D49" s="999">
        <v>0</v>
      </c>
      <c r="E49" s="999">
        <v>0</v>
      </c>
      <c r="F49" s="999">
        <v>0</v>
      </c>
      <c r="G49" s="722"/>
      <c r="H49" s="722"/>
      <c r="I49" s="722"/>
      <c r="J49" s="722"/>
      <c r="K49" s="722"/>
      <c r="L49" s="722"/>
      <c r="M49" s="722"/>
      <c r="N49" s="722"/>
      <c r="O49" s="722"/>
      <c r="P49" s="722"/>
      <c r="Q49" s="722"/>
      <c r="R49" s="722"/>
      <c r="S49" s="722"/>
      <c r="T49" s="722"/>
      <c r="U49" s="722"/>
      <c r="V49" s="722"/>
      <c r="W49" s="722"/>
      <c r="X49" s="722"/>
      <c r="Y49" s="722"/>
      <c r="Z49" s="722"/>
      <c r="AA49" s="723">
        <f t="array" ref="AA49">(SUM( IF(ISERROR(B49:Z49),"", B49:Z49)))</f>
        <v>0</v>
      </c>
      <c r="AB49" s="724">
        <f t="array" ref="AB49">(SUM( IF(ISERROR(B49:Z49),"", B49:Z49)))/time</f>
        <v>0</v>
      </c>
      <c r="AC49" s="710"/>
      <c r="AD49" s="726"/>
      <c r="AE49" s="713"/>
      <c r="AF49" s="713"/>
      <c r="AG49" s="713"/>
      <c r="AH49" s="713"/>
      <c r="AI49" s="725">
        <f>'Savings of avoided crimes'!E206</f>
        <v>0</v>
      </c>
      <c r="AJ49" s="367"/>
      <c r="AK49" s="533">
        <f t="shared" si="91"/>
        <v>0</v>
      </c>
      <c r="AL49" s="533">
        <f t="shared" si="91"/>
        <v>0</v>
      </c>
      <c r="AM49" s="533">
        <f t="shared" si="91"/>
        <v>0</v>
      </c>
      <c r="AN49" s="533">
        <f t="shared" si="91"/>
        <v>0</v>
      </c>
      <c r="AO49" s="533">
        <f t="shared" si="91"/>
        <v>0</v>
      </c>
      <c r="AP49" s="533" t="str">
        <f t="shared" si="91"/>
        <v/>
      </c>
      <c r="AQ49" s="533" t="str">
        <f t="shared" si="91"/>
        <v/>
      </c>
      <c r="AR49" s="533" t="str">
        <f t="shared" si="91"/>
        <v/>
      </c>
      <c r="AS49" s="533" t="str">
        <f t="shared" si="91"/>
        <v/>
      </c>
      <c r="AT49" s="533" t="str">
        <f t="shared" si="91"/>
        <v/>
      </c>
      <c r="AU49" s="533" t="str">
        <f t="shared" si="92"/>
        <v/>
      </c>
      <c r="AV49" s="533" t="str">
        <f t="shared" si="92"/>
        <v/>
      </c>
      <c r="AW49" s="533" t="str">
        <f t="shared" si="92"/>
        <v/>
      </c>
      <c r="AX49" s="533" t="str">
        <f t="shared" si="92"/>
        <v/>
      </c>
      <c r="AY49" s="533" t="str">
        <f t="shared" si="92"/>
        <v/>
      </c>
      <c r="AZ49" s="533" t="str">
        <f t="shared" si="92"/>
        <v/>
      </c>
      <c r="BA49" s="533" t="str">
        <f t="shared" si="92"/>
        <v/>
      </c>
      <c r="BB49" s="533" t="str">
        <f t="shared" si="92"/>
        <v/>
      </c>
      <c r="BC49" s="533" t="str">
        <f t="shared" si="92"/>
        <v/>
      </c>
      <c r="BD49" s="533" t="str">
        <f t="shared" si="92"/>
        <v/>
      </c>
      <c r="BE49" s="533" t="str">
        <f t="shared" si="93"/>
        <v/>
      </c>
      <c r="BF49" s="533" t="str">
        <f t="shared" si="93"/>
        <v/>
      </c>
      <c r="BG49" s="533" t="str">
        <f t="shared" si="93"/>
        <v/>
      </c>
      <c r="BH49" s="533" t="str">
        <f t="shared" si="93"/>
        <v/>
      </c>
      <c r="BI49" s="533" t="str">
        <f t="shared" si="93"/>
        <v/>
      </c>
      <c r="BJ49" s="533">
        <f t="array" ref="BJ49">(SUM( IF(ISERROR(AK49:BI49),"", AK49:BI49)))</f>
        <v>0</v>
      </c>
      <c r="BK49" s="381">
        <f t="array" ref="BK49">(SUM( IF(ISERROR(AK49:BI49),"", AK49:BI49)))/time</f>
        <v>0</v>
      </c>
      <c r="BL49" s="381">
        <f t="shared" si="97"/>
        <v>0</v>
      </c>
      <c r="BM49" s="382">
        <f t="shared" si="94"/>
        <v>0</v>
      </c>
      <c r="BO49" s="176" t="e">
        <f t="array" ref="BO49">STDEV(IF(AK49:BI49&lt;&gt;0,AK49:BI49))</f>
        <v>#DIV/0!</v>
      </c>
      <c r="BP49" s="176">
        <v>1.96</v>
      </c>
      <c r="BQ49" s="176" t="e">
        <f t="shared" si="95"/>
        <v>#DIV/0!</v>
      </c>
      <c r="BR49" s="176">
        <f t="shared" si="96"/>
        <v>0</v>
      </c>
      <c r="BT49" s="529">
        <v>1</v>
      </c>
    </row>
    <row r="50" spans="1:72" ht="16" thickBot="1">
      <c r="A50" s="984" t="s">
        <v>419</v>
      </c>
      <c r="B50" s="985">
        <f>SUM(B44:B49)</f>
        <v>0</v>
      </c>
      <c r="C50" s="985">
        <f t="shared" ref="C50:Z50" si="98">SUM(C44:C49)</f>
        <v>0</v>
      </c>
      <c r="D50" s="985">
        <f t="shared" si="98"/>
        <v>0</v>
      </c>
      <c r="E50" s="985">
        <f>SUM(E44:E49)</f>
        <v>0</v>
      </c>
      <c r="F50" s="985">
        <f>SUM(F44:F49)</f>
        <v>0</v>
      </c>
      <c r="G50" s="985">
        <f>SUM(G44:G49)</f>
        <v>0</v>
      </c>
      <c r="H50" s="985">
        <f t="shared" si="98"/>
        <v>0</v>
      </c>
      <c r="I50" s="985">
        <f t="shared" si="98"/>
        <v>0</v>
      </c>
      <c r="J50" s="985">
        <f t="shared" si="98"/>
        <v>0</v>
      </c>
      <c r="K50" s="985">
        <f t="shared" si="98"/>
        <v>0</v>
      </c>
      <c r="L50" s="985">
        <f t="shared" si="98"/>
        <v>0</v>
      </c>
      <c r="M50" s="985">
        <f t="shared" si="98"/>
        <v>0</v>
      </c>
      <c r="N50" s="985">
        <f t="shared" si="98"/>
        <v>0</v>
      </c>
      <c r="O50" s="985">
        <f t="shared" si="98"/>
        <v>0</v>
      </c>
      <c r="P50" s="985">
        <f t="shared" si="98"/>
        <v>0</v>
      </c>
      <c r="Q50" s="985">
        <f t="shared" si="98"/>
        <v>0</v>
      </c>
      <c r="R50" s="985">
        <f t="shared" si="98"/>
        <v>0</v>
      </c>
      <c r="S50" s="985">
        <f t="shared" si="98"/>
        <v>0</v>
      </c>
      <c r="T50" s="985">
        <f t="shared" si="98"/>
        <v>0</v>
      </c>
      <c r="U50" s="985">
        <f t="shared" si="98"/>
        <v>0</v>
      </c>
      <c r="V50" s="985">
        <f t="shared" si="98"/>
        <v>0</v>
      </c>
      <c r="W50" s="985">
        <f t="shared" si="98"/>
        <v>0</v>
      </c>
      <c r="X50" s="985">
        <f t="shared" si="98"/>
        <v>0</v>
      </c>
      <c r="Y50" s="985">
        <f t="shared" si="98"/>
        <v>0</v>
      </c>
      <c r="Z50" s="985">
        <f t="shared" si="98"/>
        <v>0</v>
      </c>
      <c r="AA50" s="985">
        <f>SUM(AA44:AA49)</f>
        <v>0</v>
      </c>
      <c r="AB50" s="987">
        <f>SUM(AB44:AB49)</f>
        <v>0</v>
      </c>
      <c r="AC50" s="526"/>
      <c r="AD50" s="202"/>
      <c r="AE50" s="196"/>
      <c r="AF50" s="196"/>
      <c r="AG50" s="196"/>
      <c r="AH50" s="196"/>
      <c r="AI50" s="975">
        <f>'Savings of avoided crimes'!E207</f>
        <v>0</v>
      </c>
      <c r="AJ50" s="976"/>
      <c r="AK50" s="985">
        <f>SUM(AK44:AK49)</f>
        <v>0</v>
      </c>
      <c r="AL50" s="985">
        <f t="shared" ref="AL50:BL50" si="99">SUM(AL44:AL49)</f>
        <v>0</v>
      </c>
      <c r="AM50" s="985">
        <f t="shared" si="99"/>
        <v>0</v>
      </c>
      <c r="AN50" s="985">
        <f t="shared" si="99"/>
        <v>0</v>
      </c>
      <c r="AO50" s="985">
        <f t="shared" si="99"/>
        <v>0</v>
      </c>
      <c r="AP50" s="985">
        <f t="shared" si="99"/>
        <v>0</v>
      </c>
      <c r="AQ50" s="985">
        <f t="shared" si="99"/>
        <v>0</v>
      </c>
      <c r="AR50" s="985">
        <f t="shared" si="99"/>
        <v>0</v>
      </c>
      <c r="AS50" s="985">
        <f t="shared" si="99"/>
        <v>0</v>
      </c>
      <c r="AT50" s="985">
        <f t="shared" si="99"/>
        <v>0</v>
      </c>
      <c r="AU50" s="985">
        <f t="shared" si="99"/>
        <v>0</v>
      </c>
      <c r="AV50" s="985">
        <f t="shared" si="99"/>
        <v>0</v>
      </c>
      <c r="AW50" s="985">
        <f t="shared" si="99"/>
        <v>0</v>
      </c>
      <c r="AX50" s="985">
        <f t="shared" si="99"/>
        <v>0</v>
      </c>
      <c r="AY50" s="985">
        <f t="shared" si="99"/>
        <v>0</v>
      </c>
      <c r="AZ50" s="985">
        <f t="shared" si="99"/>
        <v>0</v>
      </c>
      <c r="BA50" s="985">
        <f t="shared" si="99"/>
        <v>0</v>
      </c>
      <c r="BB50" s="985">
        <f t="shared" si="99"/>
        <v>0</v>
      </c>
      <c r="BC50" s="985">
        <f t="shared" si="99"/>
        <v>0</v>
      </c>
      <c r="BD50" s="985">
        <f t="shared" si="99"/>
        <v>0</v>
      </c>
      <c r="BE50" s="985">
        <f t="shared" si="99"/>
        <v>0</v>
      </c>
      <c r="BF50" s="985">
        <f t="shared" si="99"/>
        <v>0</v>
      </c>
      <c r="BG50" s="985">
        <f t="shared" si="99"/>
        <v>0</v>
      </c>
      <c r="BH50" s="985">
        <f t="shared" si="99"/>
        <v>0</v>
      </c>
      <c r="BI50" s="985">
        <f t="shared" si="99"/>
        <v>0</v>
      </c>
      <c r="BJ50" s="985">
        <f>SUM(BJ44:BJ49)</f>
        <v>0</v>
      </c>
      <c r="BK50" s="985">
        <f t="shared" si="99"/>
        <v>0</v>
      </c>
      <c r="BL50" s="985">
        <f t="shared" si="99"/>
        <v>0</v>
      </c>
      <c r="BM50" s="986">
        <f>SUM(BM44:BM49)</f>
        <v>0</v>
      </c>
      <c r="BT50" s="529">
        <v>0</v>
      </c>
    </row>
    <row r="51" spans="1:72" s="196" customFormat="1" ht="27.15" customHeight="1" thickBot="1">
      <c r="A51" s="572" t="s">
        <v>524</v>
      </c>
      <c r="AB51" s="567"/>
      <c r="AD51" s="573"/>
      <c r="AF51" s="574"/>
      <c r="AG51" s="574"/>
      <c r="AH51" s="574"/>
      <c r="AI51" s="575"/>
      <c r="AJ51" s="575"/>
      <c r="AK51" s="575"/>
      <c r="AL51" s="575"/>
      <c r="AM51" s="575"/>
      <c r="AN51" s="575"/>
      <c r="AO51" s="575"/>
      <c r="AP51" s="575"/>
      <c r="AQ51" s="575"/>
      <c r="AR51" s="575"/>
      <c r="AS51" s="575"/>
      <c r="AT51" s="575"/>
      <c r="AU51" s="575"/>
      <c r="AV51" s="575"/>
      <c r="AW51" s="575"/>
      <c r="AX51" s="575"/>
      <c r="AY51" s="575"/>
      <c r="AZ51" s="575"/>
      <c r="BA51" s="575"/>
      <c r="BB51" s="575"/>
      <c r="BC51" s="575"/>
      <c r="BD51" s="575"/>
      <c r="BE51" s="575"/>
      <c r="BF51" s="575"/>
      <c r="BG51" s="575"/>
      <c r="BH51" s="575"/>
      <c r="BI51" s="575"/>
      <c r="BJ51" s="575"/>
      <c r="BK51" s="575"/>
      <c r="BL51" s="575"/>
      <c r="BM51" s="576"/>
      <c r="BT51" s="529">
        <v>0</v>
      </c>
    </row>
    <row r="52" spans="1:72" s="196" customFormat="1" ht="18.75" hidden="1" customHeight="1">
      <c r="A52" s="440" t="s">
        <v>526</v>
      </c>
      <c r="B52" s="577"/>
      <c r="C52" s="577"/>
      <c r="D52" s="577"/>
      <c r="E52" s="577"/>
      <c r="F52" s="577"/>
      <c r="G52" s="577"/>
      <c r="H52" s="577"/>
      <c r="I52" s="577"/>
      <c r="J52" s="577"/>
      <c r="K52" s="577"/>
      <c r="L52" s="577"/>
      <c r="M52" s="577"/>
      <c r="N52" s="577"/>
      <c r="O52" s="577"/>
      <c r="P52" s="577"/>
      <c r="Q52" s="577"/>
      <c r="R52" s="577"/>
      <c r="S52" s="577"/>
      <c r="T52" s="577"/>
      <c r="U52" s="577"/>
      <c r="V52" s="577"/>
      <c r="W52" s="577"/>
      <c r="X52" s="577"/>
      <c r="Y52" s="577"/>
      <c r="Z52" s="577"/>
      <c r="AA52" s="525">
        <f t="array" ref="AA52">(SUM( IF(ISERROR(B52:Z52),"", B52:Z52)))</f>
        <v>0</v>
      </c>
      <c r="AB52" s="578">
        <f t="array" ref="AB52">(SUM( IF(ISERROR(B52:Z52),"", B52:Z52)))/time</f>
        <v>0</v>
      </c>
      <c r="AD52" s="573"/>
      <c r="AF52" s="574"/>
      <c r="AG52" s="574"/>
      <c r="AH52" s="574"/>
      <c r="AI52" s="275">
        <f>'Savings of avoided crimes'!E209</f>
        <v>0</v>
      </c>
      <c r="AJ52" s="367"/>
      <c r="AK52" s="276">
        <f t="shared" ref="AK52:AK61" si="100">IF(AK$69&lt;=time,B52*$AI52,"")</f>
        <v>0</v>
      </c>
      <c r="AL52" s="276">
        <f t="shared" ref="AL52:AL61" si="101">IF(AL$69&lt;=time,C52*$AI52,"")</f>
        <v>0</v>
      </c>
      <c r="AM52" s="276">
        <f t="shared" ref="AM52:AM61" si="102">IF(AM$69&lt;=time,D52*$AI52,"")</f>
        <v>0</v>
      </c>
      <c r="AN52" s="276">
        <f t="shared" ref="AN52:AN61" si="103">IF(AN$69&lt;=time,E52*$AI52,"")</f>
        <v>0</v>
      </c>
      <c r="AO52" s="276">
        <f t="shared" ref="AO52:AO61" si="104">IF(AO$69&lt;=time,F52*$AI52,"")</f>
        <v>0</v>
      </c>
      <c r="AP52" s="276" t="str">
        <f t="shared" ref="AP52:AP61" si="105">IF(AP$69&lt;=time,G52*$AI52,"")</f>
        <v/>
      </c>
      <c r="AQ52" s="276" t="str">
        <f t="shared" ref="AQ52:AQ61" si="106">IF(AQ$69&lt;=time,H52*$AI52,"")</f>
        <v/>
      </c>
      <c r="AR52" s="276" t="str">
        <f t="shared" ref="AR52:AR61" si="107">IF(AR$69&lt;=time,I52*$AI52,"")</f>
        <v/>
      </c>
      <c r="AS52" s="276" t="str">
        <f t="shared" ref="AS52:AS61" si="108">IF(AS$69&lt;=time,J52*$AI52,"")</f>
        <v/>
      </c>
      <c r="AT52" s="276" t="str">
        <f t="shared" ref="AT52:AT61" si="109">IF(AT$69&lt;=time,K52*$AI52,"")</f>
        <v/>
      </c>
      <c r="AU52" s="276" t="str">
        <f t="shared" ref="AU52:AU61" si="110">IF(AU$69&lt;=time,L52*$AI52,"")</f>
        <v/>
      </c>
      <c r="AV52" s="276" t="str">
        <f t="shared" ref="AV52:AV61" si="111">IF(AV$69&lt;=time,M52*$AI52,"")</f>
        <v/>
      </c>
      <c r="AW52" s="276" t="str">
        <f t="shared" ref="AW52:AW61" si="112">IF(AW$69&lt;=time,N52*$AI52,"")</f>
        <v/>
      </c>
      <c r="AX52" s="276" t="str">
        <f t="shared" ref="AX52:AX61" si="113">IF(AX$69&lt;=time,O52*$AI52,"")</f>
        <v/>
      </c>
      <c r="AY52" s="276" t="str">
        <f t="shared" ref="AY52:AY61" si="114">IF(AY$69&lt;=time,P52*$AI52,"")</f>
        <v/>
      </c>
      <c r="AZ52" s="276" t="str">
        <f t="shared" ref="AZ52:AZ61" si="115">IF(AZ$69&lt;=time,Q52*$AI52,"")</f>
        <v/>
      </c>
      <c r="BA52" s="276" t="str">
        <f t="shared" ref="BA52:BA61" si="116">IF(BA$69&lt;=time,R52*$AI52,"")</f>
        <v/>
      </c>
      <c r="BB52" s="276" t="str">
        <f t="shared" ref="BB52:BB61" si="117">IF(BB$69&lt;=time,S52*$AI52,"")</f>
        <v/>
      </c>
      <c r="BC52" s="276" t="str">
        <f t="shared" ref="BC52:BC61" si="118">IF(BC$69&lt;=time,T52*$AI52,"")</f>
        <v/>
      </c>
      <c r="BD52" s="276" t="str">
        <f t="shared" ref="BD52:BD61" si="119">IF(BD$69&lt;=time,U52*$AI52,"")</f>
        <v/>
      </c>
      <c r="BE52" s="276" t="str">
        <f t="shared" ref="BE52:BE61" si="120">IF(BE$69&lt;=time,V52*$AI52,"")</f>
        <v/>
      </c>
      <c r="BF52" s="276" t="str">
        <f t="shared" ref="BF52:BF61" si="121">IF(BF$69&lt;=time,W52*$AI52,"")</f>
        <v/>
      </c>
      <c r="BG52" s="276" t="str">
        <f t="shared" ref="BG52:BG61" si="122">IF(BG$69&lt;=time,X52*$AI52,"")</f>
        <v/>
      </c>
      <c r="BH52" s="276" t="str">
        <f t="shared" ref="BH52:BH61" si="123">IF(BH$69&lt;=time,Y52*$AI52,"")</f>
        <v/>
      </c>
      <c r="BI52" s="276" t="str">
        <f t="shared" ref="BI52:BI61" si="124">IF(BI$69&lt;=time,Z52*$AI52,"")</f>
        <v/>
      </c>
      <c r="BJ52" s="276">
        <f t="array" ref="BJ52">(SUM( IF(ISERROR(AK52:BI52),"", AK52:BI52)))</f>
        <v>0</v>
      </c>
      <c r="BK52" s="142">
        <f t="array" ref="BK52">(SUM( IF(ISERROR(AK52:BI52),"", AK52:BI52)))/time</f>
        <v>0</v>
      </c>
      <c r="BL52" s="142">
        <f>IF(BR52&gt;0,IF(BK52-BQ52&gt;0, BK52-BQ52, 0),BK52)</f>
        <v>0</v>
      </c>
      <c r="BM52" s="143">
        <f t="shared" ref="BM52" si="125">IF(BR52&gt;0,BK52+BQ52,BK52)</f>
        <v>0</v>
      </c>
      <c r="BO52" s="176" t="e">
        <f t="array" ref="BO52">STDEV(IF(AK52:BI52&lt;&gt;0,AK52:BI52))</f>
        <v>#DIV/0!</v>
      </c>
      <c r="BP52" s="176">
        <v>1.96</v>
      </c>
      <c r="BQ52" s="176" t="e">
        <f t="shared" ref="BQ52" si="126">(BP52*BO52)/(time^0.5)</f>
        <v>#DIV/0!</v>
      </c>
      <c r="BR52" s="176">
        <f t="shared" ref="BR52" si="127">IFERROR(BO52,0)</f>
        <v>0</v>
      </c>
      <c r="BS52" s="196">
        <v>1</v>
      </c>
      <c r="BT52" s="529">
        <v>1</v>
      </c>
    </row>
    <row r="53" spans="1:72" s="196" customFormat="1" ht="18.75" hidden="1" customHeight="1">
      <c r="A53" s="440" t="s">
        <v>527</v>
      </c>
      <c r="B53" s="577"/>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25">
        <f t="array" ref="AA53">(SUM( IF(ISERROR(B53:Z53),"", B53:Z53)))</f>
        <v>0</v>
      </c>
      <c r="AB53" s="578">
        <f t="array" ref="AB53">(SUM( IF(ISERROR(B53:Z53),"", B53:Z53)))/time</f>
        <v>0</v>
      </c>
      <c r="AD53" s="573"/>
      <c r="AF53" s="574"/>
      <c r="AG53" s="574"/>
      <c r="AH53" s="574"/>
      <c r="AI53" s="275">
        <f>'Savings of avoided crimes'!E210</f>
        <v>0</v>
      </c>
      <c r="AJ53" s="579"/>
      <c r="AK53" s="276">
        <f t="shared" si="100"/>
        <v>0</v>
      </c>
      <c r="AL53" s="276">
        <f t="shared" si="101"/>
        <v>0</v>
      </c>
      <c r="AM53" s="276">
        <f t="shared" si="102"/>
        <v>0</v>
      </c>
      <c r="AN53" s="276">
        <f t="shared" si="103"/>
        <v>0</v>
      </c>
      <c r="AO53" s="276">
        <f t="shared" si="104"/>
        <v>0</v>
      </c>
      <c r="AP53" s="276" t="str">
        <f t="shared" si="105"/>
        <v/>
      </c>
      <c r="AQ53" s="276" t="str">
        <f t="shared" si="106"/>
        <v/>
      </c>
      <c r="AR53" s="276" t="str">
        <f t="shared" si="107"/>
        <v/>
      </c>
      <c r="AS53" s="276" t="str">
        <f t="shared" si="108"/>
        <v/>
      </c>
      <c r="AT53" s="276" t="str">
        <f t="shared" si="109"/>
        <v/>
      </c>
      <c r="AU53" s="276" t="str">
        <f t="shared" si="110"/>
        <v/>
      </c>
      <c r="AV53" s="276" t="str">
        <f t="shared" si="111"/>
        <v/>
      </c>
      <c r="AW53" s="276" t="str">
        <f t="shared" si="112"/>
        <v/>
      </c>
      <c r="AX53" s="276" t="str">
        <f t="shared" si="113"/>
        <v/>
      </c>
      <c r="AY53" s="276" t="str">
        <f t="shared" si="114"/>
        <v/>
      </c>
      <c r="AZ53" s="276" t="str">
        <f t="shared" si="115"/>
        <v/>
      </c>
      <c r="BA53" s="276" t="str">
        <f t="shared" si="116"/>
        <v/>
      </c>
      <c r="BB53" s="276" t="str">
        <f t="shared" si="117"/>
        <v/>
      </c>
      <c r="BC53" s="276" t="str">
        <f t="shared" si="118"/>
        <v/>
      </c>
      <c r="BD53" s="276" t="str">
        <f t="shared" si="119"/>
        <v/>
      </c>
      <c r="BE53" s="276" t="str">
        <f t="shared" si="120"/>
        <v/>
      </c>
      <c r="BF53" s="276" t="str">
        <f t="shared" si="121"/>
        <v/>
      </c>
      <c r="BG53" s="276" t="str">
        <f t="shared" si="122"/>
        <v/>
      </c>
      <c r="BH53" s="276" t="str">
        <f t="shared" si="123"/>
        <v/>
      </c>
      <c r="BI53" s="276" t="str">
        <f t="shared" si="124"/>
        <v/>
      </c>
      <c r="BJ53" s="276">
        <f t="array" ref="BJ53">(SUM( IF(ISERROR(AK53:BI53),"", AK53:BI53)))</f>
        <v>0</v>
      </c>
      <c r="BK53" s="142">
        <f t="array" ref="BK53">(SUM( IF(ISERROR(AK53:BI53),"", AK53:BI53)))/time</f>
        <v>0</v>
      </c>
      <c r="BL53" s="142">
        <f t="shared" ref="BL53:BL61" si="128">IF(BR53&gt;0,IF(BK53-BQ53&gt;0, BK53-BQ53, 0),BK53)</f>
        <v>0</v>
      </c>
      <c r="BM53" s="143">
        <f t="shared" ref="BM53:BM61" si="129">IF(BR53&gt;0,BK53+BQ53,BK53)</f>
        <v>0</v>
      </c>
      <c r="BO53" s="176" t="e">
        <f t="array" ref="BO53">STDEV(IF(AK53:BI53&lt;&gt;0,AK53:BI53))</f>
        <v>#DIV/0!</v>
      </c>
      <c r="BP53" s="176">
        <v>1.96</v>
      </c>
      <c r="BQ53" s="176" t="e">
        <f t="shared" ref="BQ53:BQ61" si="130">(BP53*BO53)/(time^0.5)</f>
        <v>#DIV/0!</v>
      </c>
      <c r="BR53" s="176">
        <f t="shared" ref="BR53:BR61" si="131">IFERROR(BO53,0)</f>
        <v>0</v>
      </c>
      <c r="BS53" s="196">
        <v>2</v>
      </c>
      <c r="BT53" s="529">
        <v>1</v>
      </c>
    </row>
    <row r="54" spans="1:72" s="196" customFormat="1" ht="18.75" hidden="1" customHeight="1">
      <c r="A54" s="440" t="s">
        <v>528</v>
      </c>
      <c r="B54" s="577"/>
      <c r="C54" s="577"/>
      <c r="D54" s="577"/>
      <c r="E54" s="577"/>
      <c r="F54" s="577"/>
      <c r="G54" s="577"/>
      <c r="H54" s="577"/>
      <c r="I54" s="577"/>
      <c r="J54" s="577"/>
      <c r="K54" s="577"/>
      <c r="L54" s="577"/>
      <c r="M54" s="577"/>
      <c r="N54" s="577"/>
      <c r="O54" s="577"/>
      <c r="P54" s="577"/>
      <c r="Q54" s="577"/>
      <c r="R54" s="577"/>
      <c r="S54" s="577"/>
      <c r="T54" s="577"/>
      <c r="U54" s="577"/>
      <c r="V54" s="577"/>
      <c r="W54" s="577"/>
      <c r="X54" s="577"/>
      <c r="Y54" s="577"/>
      <c r="Z54" s="577"/>
      <c r="AA54" s="525">
        <f t="array" ref="AA54">(SUM( IF(ISERROR(B54:Z54),"", B54:Z54)))</f>
        <v>0</v>
      </c>
      <c r="AB54" s="578">
        <f t="array" ref="AB54">(SUM( IF(ISERROR(B54:Z54),"", B54:Z54)))/time</f>
        <v>0</v>
      </c>
      <c r="AD54" s="573"/>
      <c r="AF54" s="574"/>
      <c r="AG54" s="574"/>
      <c r="AH54" s="574"/>
      <c r="AI54" s="275">
        <f>'Savings of avoided crimes'!E211</f>
        <v>0</v>
      </c>
      <c r="AJ54" s="579"/>
      <c r="AK54" s="276">
        <f t="shared" si="100"/>
        <v>0</v>
      </c>
      <c r="AL54" s="276">
        <f t="shared" si="101"/>
        <v>0</v>
      </c>
      <c r="AM54" s="276">
        <f t="shared" si="102"/>
        <v>0</v>
      </c>
      <c r="AN54" s="276">
        <f t="shared" si="103"/>
        <v>0</v>
      </c>
      <c r="AO54" s="276">
        <f t="shared" si="104"/>
        <v>0</v>
      </c>
      <c r="AP54" s="276" t="str">
        <f t="shared" si="105"/>
        <v/>
      </c>
      <c r="AQ54" s="276" t="str">
        <f t="shared" si="106"/>
        <v/>
      </c>
      <c r="AR54" s="276" t="str">
        <f t="shared" si="107"/>
        <v/>
      </c>
      <c r="AS54" s="276" t="str">
        <f t="shared" si="108"/>
        <v/>
      </c>
      <c r="AT54" s="276" t="str">
        <f t="shared" si="109"/>
        <v/>
      </c>
      <c r="AU54" s="276" t="str">
        <f t="shared" si="110"/>
        <v/>
      </c>
      <c r="AV54" s="276" t="str">
        <f t="shared" si="111"/>
        <v/>
      </c>
      <c r="AW54" s="276" t="str">
        <f t="shared" si="112"/>
        <v/>
      </c>
      <c r="AX54" s="276" t="str">
        <f t="shared" si="113"/>
        <v/>
      </c>
      <c r="AY54" s="276" t="str">
        <f t="shared" si="114"/>
        <v/>
      </c>
      <c r="AZ54" s="276" t="str">
        <f t="shared" si="115"/>
        <v/>
      </c>
      <c r="BA54" s="276" t="str">
        <f t="shared" si="116"/>
        <v/>
      </c>
      <c r="BB54" s="276" t="str">
        <f t="shared" si="117"/>
        <v/>
      </c>
      <c r="BC54" s="276" t="str">
        <f t="shared" si="118"/>
        <v/>
      </c>
      <c r="BD54" s="276" t="str">
        <f t="shared" si="119"/>
        <v/>
      </c>
      <c r="BE54" s="276" t="str">
        <f t="shared" si="120"/>
        <v/>
      </c>
      <c r="BF54" s="276" t="str">
        <f t="shared" si="121"/>
        <v/>
      </c>
      <c r="BG54" s="276" t="str">
        <f t="shared" si="122"/>
        <v/>
      </c>
      <c r="BH54" s="276" t="str">
        <f t="shared" si="123"/>
        <v/>
      </c>
      <c r="BI54" s="276" t="str">
        <f t="shared" si="124"/>
        <v/>
      </c>
      <c r="BJ54" s="276">
        <f t="array" ref="BJ54">(SUM( IF(ISERROR(AK54:BI54),"", AK54:BI54)))</f>
        <v>0</v>
      </c>
      <c r="BK54" s="142">
        <f t="array" ref="BK54">(SUM( IF(ISERROR(AK54:BI54),"", AK54:BI54)))/time</f>
        <v>0</v>
      </c>
      <c r="BL54" s="142">
        <f t="shared" si="128"/>
        <v>0</v>
      </c>
      <c r="BM54" s="143">
        <f t="shared" si="129"/>
        <v>0</v>
      </c>
      <c r="BO54" s="176" t="e">
        <f t="array" ref="BO54">STDEV(IF(AK54:BI54&lt;&gt;0,AK54:BI54))</f>
        <v>#DIV/0!</v>
      </c>
      <c r="BP54" s="176">
        <v>1.96</v>
      </c>
      <c r="BQ54" s="176" t="e">
        <f t="shared" si="130"/>
        <v>#DIV/0!</v>
      </c>
      <c r="BR54" s="176">
        <f t="shared" si="131"/>
        <v>0</v>
      </c>
      <c r="BS54" s="196">
        <v>3</v>
      </c>
      <c r="BT54" s="529">
        <v>1</v>
      </c>
    </row>
    <row r="55" spans="1:72" s="196" customFormat="1" ht="18.75" hidden="1" customHeight="1">
      <c r="A55" s="440" t="s">
        <v>529</v>
      </c>
      <c r="B55" s="577"/>
      <c r="C55" s="577"/>
      <c r="D55" s="577"/>
      <c r="E55" s="577"/>
      <c r="F55" s="577"/>
      <c r="G55" s="577"/>
      <c r="H55" s="577"/>
      <c r="I55" s="577"/>
      <c r="J55" s="577"/>
      <c r="K55" s="577"/>
      <c r="L55" s="577"/>
      <c r="M55" s="577"/>
      <c r="N55" s="577"/>
      <c r="O55" s="577"/>
      <c r="P55" s="577"/>
      <c r="Q55" s="577"/>
      <c r="R55" s="577"/>
      <c r="S55" s="577"/>
      <c r="T55" s="577"/>
      <c r="U55" s="577"/>
      <c r="V55" s="577"/>
      <c r="W55" s="577"/>
      <c r="X55" s="577"/>
      <c r="Y55" s="577"/>
      <c r="Z55" s="577"/>
      <c r="AA55" s="525">
        <f t="array" ref="AA55">(SUM( IF(ISERROR(B55:Z55),"", B55:Z55)))</f>
        <v>0</v>
      </c>
      <c r="AB55" s="578">
        <f t="array" ref="AB55">(SUM( IF(ISERROR(B55:Z55),"", B55:Z55)))/time</f>
        <v>0</v>
      </c>
      <c r="AD55" s="573"/>
      <c r="AF55" s="574"/>
      <c r="AG55" s="574"/>
      <c r="AH55" s="574"/>
      <c r="AI55" s="275">
        <f>'Savings of avoided crimes'!E212</f>
        <v>0</v>
      </c>
      <c r="AJ55" s="579"/>
      <c r="AK55" s="276">
        <f t="shared" si="100"/>
        <v>0</v>
      </c>
      <c r="AL55" s="276">
        <f t="shared" si="101"/>
        <v>0</v>
      </c>
      <c r="AM55" s="276">
        <f t="shared" si="102"/>
        <v>0</v>
      </c>
      <c r="AN55" s="276">
        <f t="shared" si="103"/>
        <v>0</v>
      </c>
      <c r="AO55" s="276">
        <f t="shared" si="104"/>
        <v>0</v>
      </c>
      <c r="AP55" s="276" t="str">
        <f t="shared" si="105"/>
        <v/>
      </c>
      <c r="AQ55" s="276" t="str">
        <f t="shared" si="106"/>
        <v/>
      </c>
      <c r="AR55" s="276" t="str">
        <f t="shared" si="107"/>
        <v/>
      </c>
      <c r="AS55" s="276" t="str">
        <f t="shared" si="108"/>
        <v/>
      </c>
      <c r="AT55" s="276" t="str">
        <f t="shared" si="109"/>
        <v/>
      </c>
      <c r="AU55" s="276" t="str">
        <f t="shared" si="110"/>
        <v/>
      </c>
      <c r="AV55" s="276" t="str">
        <f t="shared" si="111"/>
        <v/>
      </c>
      <c r="AW55" s="276" t="str">
        <f t="shared" si="112"/>
        <v/>
      </c>
      <c r="AX55" s="276" t="str">
        <f t="shared" si="113"/>
        <v/>
      </c>
      <c r="AY55" s="276" t="str">
        <f t="shared" si="114"/>
        <v/>
      </c>
      <c r="AZ55" s="276" t="str">
        <f t="shared" si="115"/>
        <v/>
      </c>
      <c r="BA55" s="276" t="str">
        <f t="shared" si="116"/>
        <v/>
      </c>
      <c r="BB55" s="276" t="str">
        <f t="shared" si="117"/>
        <v/>
      </c>
      <c r="BC55" s="276" t="str">
        <f t="shared" si="118"/>
        <v/>
      </c>
      <c r="BD55" s="276" t="str">
        <f t="shared" si="119"/>
        <v/>
      </c>
      <c r="BE55" s="276" t="str">
        <f t="shared" si="120"/>
        <v/>
      </c>
      <c r="BF55" s="276" t="str">
        <f t="shared" si="121"/>
        <v/>
      </c>
      <c r="BG55" s="276" t="str">
        <f t="shared" si="122"/>
        <v/>
      </c>
      <c r="BH55" s="276" t="str">
        <f t="shared" si="123"/>
        <v/>
      </c>
      <c r="BI55" s="276" t="str">
        <f t="shared" si="124"/>
        <v/>
      </c>
      <c r="BJ55" s="276">
        <f t="array" ref="BJ55">(SUM( IF(ISERROR(AK55:BI55),"", AK55:BI55)))</f>
        <v>0</v>
      </c>
      <c r="BK55" s="142">
        <f t="array" ref="BK55">(SUM( IF(ISERROR(AK55:BI55),"", AK55:BI55)))/time</f>
        <v>0</v>
      </c>
      <c r="BL55" s="142">
        <f t="shared" si="128"/>
        <v>0</v>
      </c>
      <c r="BM55" s="143">
        <f t="shared" si="129"/>
        <v>0</v>
      </c>
      <c r="BO55" s="176" t="e">
        <f t="array" ref="BO55">STDEV(IF(AK55:BI55&lt;&gt;0,AK55:BI55))</f>
        <v>#DIV/0!</v>
      </c>
      <c r="BP55" s="176">
        <v>1.96</v>
      </c>
      <c r="BQ55" s="176" t="e">
        <f t="shared" si="130"/>
        <v>#DIV/0!</v>
      </c>
      <c r="BR55" s="176">
        <f t="shared" si="131"/>
        <v>0</v>
      </c>
      <c r="BS55" s="196">
        <v>4</v>
      </c>
      <c r="BT55" s="529">
        <v>1</v>
      </c>
    </row>
    <row r="56" spans="1:72" s="196" customFormat="1" ht="18.75" hidden="1" customHeight="1">
      <c r="A56" s="440" t="s">
        <v>530</v>
      </c>
      <c r="B56" s="577"/>
      <c r="C56" s="577"/>
      <c r="D56" s="577"/>
      <c r="E56" s="577"/>
      <c r="F56" s="577"/>
      <c r="G56" s="577"/>
      <c r="H56" s="577"/>
      <c r="I56" s="577"/>
      <c r="J56" s="577"/>
      <c r="K56" s="577"/>
      <c r="L56" s="577"/>
      <c r="M56" s="577"/>
      <c r="N56" s="577"/>
      <c r="O56" s="577"/>
      <c r="P56" s="577"/>
      <c r="Q56" s="577"/>
      <c r="R56" s="577"/>
      <c r="S56" s="577"/>
      <c r="T56" s="577"/>
      <c r="U56" s="577"/>
      <c r="V56" s="577"/>
      <c r="W56" s="577"/>
      <c r="X56" s="577"/>
      <c r="Y56" s="577"/>
      <c r="Z56" s="577"/>
      <c r="AA56" s="525">
        <f t="array" ref="AA56">(SUM( IF(ISERROR(B56:Z56),"", B56:Z56)))</f>
        <v>0</v>
      </c>
      <c r="AB56" s="578">
        <f t="array" ref="AB56">(SUM( IF(ISERROR(B56:Z56),"", B56:Z56)))/time</f>
        <v>0</v>
      </c>
      <c r="AD56" s="573"/>
      <c r="AF56" s="574"/>
      <c r="AG56" s="574"/>
      <c r="AH56" s="574"/>
      <c r="AI56" s="275">
        <f>'Savings of avoided crimes'!E213</f>
        <v>0</v>
      </c>
      <c r="AJ56" s="579"/>
      <c r="AK56" s="276">
        <f t="shared" si="100"/>
        <v>0</v>
      </c>
      <c r="AL56" s="276">
        <f t="shared" si="101"/>
        <v>0</v>
      </c>
      <c r="AM56" s="276">
        <f t="shared" si="102"/>
        <v>0</v>
      </c>
      <c r="AN56" s="276">
        <f t="shared" si="103"/>
        <v>0</v>
      </c>
      <c r="AO56" s="276">
        <f t="shared" si="104"/>
        <v>0</v>
      </c>
      <c r="AP56" s="276" t="str">
        <f t="shared" si="105"/>
        <v/>
      </c>
      <c r="AQ56" s="276" t="str">
        <f t="shared" si="106"/>
        <v/>
      </c>
      <c r="AR56" s="276" t="str">
        <f t="shared" si="107"/>
        <v/>
      </c>
      <c r="AS56" s="276" t="str">
        <f t="shared" si="108"/>
        <v/>
      </c>
      <c r="AT56" s="276" t="str">
        <f t="shared" si="109"/>
        <v/>
      </c>
      <c r="AU56" s="276" t="str">
        <f t="shared" si="110"/>
        <v/>
      </c>
      <c r="AV56" s="276" t="str">
        <f t="shared" si="111"/>
        <v/>
      </c>
      <c r="AW56" s="276" t="str">
        <f t="shared" si="112"/>
        <v/>
      </c>
      <c r="AX56" s="276" t="str">
        <f t="shared" si="113"/>
        <v/>
      </c>
      <c r="AY56" s="276" t="str">
        <f t="shared" si="114"/>
        <v/>
      </c>
      <c r="AZ56" s="276" t="str">
        <f t="shared" si="115"/>
        <v/>
      </c>
      <c r="BA56" s="276" t="str">
        <f t="shared" si="116"/>
        <v/>
      </c>
      <c r="BB56" s="276" t="str">
        <f t="shared" si="117"/>
        <v/>
      </c>
      <c r="BC56" s="276" t="str">
        <f t="shared" si="118"/>
        <v/>
      </c>
      <c r="BD56" s="276" t="str">
        <f t="shared" si="119"/>
        <v/>
      </c>
      <c r="BE56" s="276" t="str">
        <f t="shared" si="120"/>
        <v/>
      </c>
      <c r="BF56" s="276" t="str">
        <f t="shared" si="121"/>
        <v/>
      </c>
      <c r="BG56" s="276" t="str">
        <f t="shared" si="122"/>
        <v/>
      </c>
      <c r="BH56" s="276" t="str">
        <f t="shared" si="123"/>
        <v/>
      </c>
      <c r="BI56" s="276" t="str">
        <f t="shared" si="124"/>
        <v/>
      </c>
      <c r="BJ56" s="276">
        <f t="array" ref="BJ56">(SUM( IF(ISERROR(AK56:BI56),"", AK56:BI56)))</f>
        <v>0</v>
      </c>
      <c r="BK56" s="142">
        <f t="array" ref="BK56">(SUM( IF(ISERROR(AK56:BI56),"", AK56:BI56)))/time</f>
        <v>0</v>
      </c>
      <c r="BL56" s="142">
        <f t="shared" si="128"/>
        <v>0</v>
      </c>
      <c r="BM56" s="143">
        <f t="shared" si="129"/>
        <v>0</v>
      </c>
      <c r="BO56" s="176" t="e">
        <f t="array" ref="BO56">STDEV(IF(AK56:BI56&lt;&gt;0,AK56:BI56))</f>
        <v>#DIV/0!</v>
      </c>
      <c r="BP56" s="176">
        <v>1.96</v>
      </c>
      <c r="BQ56" s="176" t="e">
        <f t="shared" si="130"/>
        <v>#DIV/0!</v>
      </c>
      <c r="BR56" s="176">
        <f t="shared" si="131"/>
        <v>0</v>
      </c>
      <c r="BS56" s="196">
        <v>5</v>
      </c>
      <c r="BT56" s="529">
        <v>1</v>
      </c>
    </row>
    <row r="57" spans="1:72" s="196" customFormat="1" ht="18.75" hidden="1" customHeight="1">
      <c r="A57" s="440" t="s">
        <v>531</v>
      </c>
      <c r="B57" s="577"/>
      <c r="C57" s="577"/>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25">
        <f t="array" ref="AA57">(SUM( IF(ISERROR(B57:Z57),"", B57:Z57)))</f>
        <v>0</v>
      </c>
      <c r="AB57" s="578">
        <f t="array" ref="AB57">(SUM( IF(ISERROR(B57:Z57),"", B57:Z57)))/time</f>
        <v>0</v>
      </c>
      <c r="AD57" s="573"/>
      <c r="AF57" s="574"/>
      <c r="AG57" s="574"/>
      <c r="AH57" s="574"/>
      <c r="AI57" s="275">
        <f>'Savings of avoided crimes'!E214</f>
        <v>0</v>
      </c>
      <c r="AJ57" s="579"/>
      <c r="AK57" s="276">
        <f t="shared" si="100"/>
        <v>0</v>
      </c>
      <c r="AL57" s="276">
        <f t="shared" si="101"/>
        <v>0</v>
      </c>
      <c r="AM57" s="276">
        <f t="shared" si="102"/>
        <v>0</v>
      </c>
      <c r="AN57" s="276">
        <f t="shared" si="103"/>
        <v>0</v>
      </c>
      <c r="AO57" s="276">
        <f t="shared" si="104"/>
        <v>0</v>
      </c>
      <c r="AP57" s="276" t="str">
        <f t="shared" si="105"/>
        <v/>
      </c>
      <c r="AQ57" s="276" t="str">
        <f t="shared" si="106"/>
        <v/>
      </c>
      <c r="AR57" s="276" t="str">
        <f t="shared" si="107"/>
        <v/>
      </c>
      <c r="AS57" s="276" t="str">
        <f t="shared" si="108"/>
        <v/>
      </c>
      <c r="AT57" s="276" t="str">
        <f t="shared" si="109"/>
        <v/>
      </c>
      <c r="AU57" s="276" t="str">
        <f t="shared" si="110"/>
        <v/>
      </c>
      <c r="AV57" s="276" t="str">
        <f t="shared" si="111"/>
        <v/>
      </c>
      <c r="AW57" s="276" t="str">
        <f t="shared" si="112"/>
        <v/>
      </c>
      <c r="AX57" s="276" t="str">
        <f t="shared" si="113"/>
        <v/>
      </c>
      <c r="AY57" s="276" t="str">
        <f t="shared" si="114"/>
        <v/>
      </c>
      <c r="AZ57" s="276" t="str">
        <f t="shared" si="115"/>
        <v/>
      </c>
      <c r="BA57" s="276" t="str">
        <f t="shared" si="116"/>
        <v/>
      </c>
      <c r="BB57" s="276" t="str">
        <f t="shared" si="117"/>
        <v/>
      </c>
      <c r="BC57" s="276" t="str">
        <f t="shared" si="118"/>
        <v/>
      </c>
      <c r="BD57" s="276" t="str">
        <f t="shared" si="119"/>
        <v/>
      </c>
      <c r="BE57" s="276" t="str">
        <f t="shared" si="120"/>
        <v/>
      </c>
      <c r="BF57" s="276" t="str">
        <f t="shared" si="121"/>
        <v/>
      </c>
      <c r="BG57" s="276" t="str">
        <f t="shared" si="122"/>
        <v/>
      </c>
      <c r="BH57" s="276" t="str">
        <f t="shared" si="123"/>
        <v/>
      </c>
      <c r="BI57" s="276" t="str">
        <f t="shared" si="124"/>
        <v/>
      </c>
      <c r="BJ57" s="276">
        <f t="array" ref="BJ57">(SUM( IF(ISERROR(AK57:BI57),"", AK57:BI57)))</f>
        <v>0</v>
      </c>
      <c r="BK57" s="142">
        <f t="array" ref="BK57">(SUM( IF(ISERROR(AK57:BI57),"", AK57:BI57)))/time</f>
        <v>0</v>
      </c>
      <c r="BL57" s="142">
        <f t="shared" si="128"/>
        <v>0</v>
      </c>
      <c r="BM57" s="143">
        <f t="shared" si="129"/>
        <v>0</v>
      </c>
      <c r="BO57" s="176" t="e">
        <f t="array" ref="BO57">STDEV(IF(AK57:BI57&lt;&gt;0,AK57:BI57))</f>
        <v>#DIV/0!</v>
      </c>
      <c r="BP57" s="176">
        <v>1.96</v>
      </c>
      <c r="BQ57" s="176" t="e">
        <f t="shared" si="130"/>
        <v>#DIV/0!</v>
      </c>
      <c r="BR57" s="176">
        <f t="shared" si="131"/>
        <v>0</v>
      </c>
      <c r="BS57" s="196">
        <v>6</v>
      </c>
      <c r="BT57" s="529">
        <v>1</v>
      </c>
    </row>
    <row r="58" spans="1:72" s="196" customFormat="1" ht="18.75" hidden="1" customHeight="1">
      <c r="A58" s="440" t="s">
        <v>532</v>
      </c>
      <c r="B58" s="577"/>
      <c r="C58" s="577"/>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25">
        <f t="array" ref="AA58">(SUM( IF(ISERROR(B58:Z58),"", B58:Z58)))</f>
        <v>0</v>
      </c>
      <c r="AB58" s="578">
        <f t="array" ref="AB58">(SUM( IF(ISERROR(B58:Z58),"", B58:Z58)))/time</f>
        <v>0</v>
      </c>
      <c r="AD58" s="573"/>
      <c r="AF58" s="574"/>
      <c r="AG58" s="574"/>
      <c r="AH58" s="574"/>
      <c r="AI58" s="275">
        <f>'Savings of avoided crimes'!E215</f>
        <v>0</v>
      </c>
      <c r="AJ58" s="579"/>
      <c r="AK58" s="276">
        <f t="shared" si="100"/>
        <v>0</v>
      </c>
      <c r="AL58" s="276">
        <f t="shared" si="101"/>
        <v>0</v>
      </c>
      <c r="AM58" s="276">
        <f t="shared" si="102"/>
        <v>0</v>
      </c>
      <c r="AN58" s="276">
        <f t="shared" si="103"/>
        <v>0</v>
      </c>
      <c r="AO58" s="276">
        <f t="shared" si="104"/>
        <v>0</v>
      </c>
      <c r="AP58" s="276" t="str">
        <f t="shared" si="105"/>
        <v/>
      </c>
      <c r="AQ58" s="276" t="str">
        <f t="shared" si="106"/>
        <v/>
      </c>
      <c r="AR58" s="276" t="str">
        <f t="shared" si="107"/>
        <v/>
      </c>
      <c r="AS58" s="276" t="str">
        <f t="shared" si="108"/>
        <v/>
      </c>
      <c r="AT58" s="276" t="str">
        <f t="shared" si="109"/>
        <v/>
      </c>
      <c r="AU58" s="276" t="str">
        <f t="shared" si="110"/>
        <v/>
      </c>
      <c r="AV58" s="276" t="str">
        <f t="shared" si="111"/>
        <v/>
      </c>
      <c r="AW58" s="276" t="str">
        <f t="shared" si="112"/>
        <v/>
      </c>
      <c r="AX58" s="276" t="str">
        <f t="shared" si="113"/>
        <v/>
      </c>
      <c r="AY58" s="276" t="str">
        <f t="shared" si="114"/>
        <v/>
      </c>
      <c r="AZ58" s="276" t="str">
        <f t="shared" si="115"/>
        <v/>
      </c>
      <c r="BA58" s="276" t="str">
        <f t="shared" si="116"/>
        <v/>
      </c>
      <c r="BB58" s="276" t="str">
        <f t="shared" si="117"/>
        <v/>
      </c>
      <c r="BC58" s="276" t="str">
        <f t="shared" si="118"/>
        <v/>
      </c>
      <c r="BD58" s="276" t="str">
        <f t="shared" si="119"/>
        <v/>
      </c>
      <c r="BE58" s="276" t="str">
        <f t="shared" si="120"/>
        <v/>
      </c>
      <c r="BF58" s="276" t="str">
        <f t="shared" si="121"/>
        <v/>
      </c>
      <c r="BG58" s="276" t="str">
        <f t="shared" si="122"/>
        <v/>
      </c>
      <c r="BH58" s="276" t="str">
        <f t="shared" si="123"/>
        <v/>
      </c>
      <c r="BI58" s="276" t="str">
        <f t="shared" si="124"/>
        <v/>
      </c>
      <c r="BJ58" s="276">
        <f t="array" ref="BJ58">(SUM( IF(ISERROR(AK58:BI58),"", AK58:BI58)))</f>
        <v>0</v>
      </c>
      <c r="BK58" s="142">
        <f t="array" ref="BK58">(SUM( IF(ISERROR(AK58:BI58),"", AK58:BI58)))/time</f>
        <v>0</v>
      </c>
      <c r="BL58" s="142">
        <f t="shared" si="128"/>
        <v>0</v>
      </c>
      <c r="BM58" s="143">
        <f t="shared" si="129"/>
        <v>0</v>
      </c>
      <c r="BO58" s="176" t="e">
        <f t="array" ref="BO58">STDEV(IF(AK58:BI58&lt;&gt;0,AK58:BI58))</f>
        <v>#DIV/0!</v>
      </c>
      <c r="BP58" s="176">
        <v>1.96</v>
      </c>
      <c r="BQ58" s="176" t="e">
        <f t="shared" si="130"/>
        <v>#DIV/0!</v>
      </c>
      <c r="BR58" s="176">
        <f t="shared" si="131"/>
        <v>0</v>
      </c>
      <c r="BS58" s="196">
        <v>7</v>
      </c>
      <c r="BT58" s="529">
        <v>1</v>
      </c>
    </row>
    <row r="59" spans="1:72" s="196" customFormat="1" ht="18.75" hidden="1" customHeight="1">
      <c r="A59" s="440" t="s">
        <v>533</v>
      </c>
      <c r="B59" s="577"/>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25">
        <f t="array" ref="AA59">(SUM( IF(ISERROR(B59:Z59),"", B59:Z59)))</f>
        <v>0</v>
      </c>
      <c r="AB59" s="578">
        <f t="array" ref="AB59">(SUM( IF(ISERROR(B59:Z59),"", B59:Z59)))/time</f>
        <v>0</v>
      </c>
      <c r="AD59" s="573"/>
      <c r="AF59" s="574"/>
      <c r="AG59" s="574"/>
      <c r="AH59" s="574"/>
      <c r="AI59" s="275">
        <f>'Savings of avoided crimes'!E216</f>
        <v>0</v>
      </c>
      <c r="AJ59" s="579"/>
      <c r="AK59" s="276">
        <f t="shared" si="100"/>
        <v>0</v>
      </c>
      <c r="AL59" s="276">
        <f t="shared" si="101"/>
        <v>0</v>
      </c>
      <c r="AM59" s="276">
        <f t="shared" si="102"/>
        <v>0</v>
      </c>
      <c r="AN59" s="276">
        <f t="shared" si="103"/>
        <v>0</v>
      </c>
      <c r="AO59" s="276">
        <f t="shared" si="104"/>
        <v>0</v>
      </c>
      <c r="AP59" s="276" t="str">
        <f t="shared" si="105"/>
        <v/>
      </c>
      <c r="AQ59" s="276" t="str">
        <f t="shared" si="106"/>
        <v/>
      </c>
      <c r="AR59" s="276" t="str">
        <f t="shared" si="107"/>
        <v/>
      </c>
      <c r="AS59" s="276" t="str">
        <f t="shared" si="108"/>
        <v/>
      </c>
      <c r="AT59" s="276" t="str">
        <f t="shared" si="109"/>
        <v/>
      </c>
      <c r="AU59" s="276" t="str">
        <f t="shared" si="110"/>
        <v/>
      </c>
      <c r="AV59" s="276" t="str">
        <f t="shared" si="111"/>
        <v/>
      </c>
      <c r="AW59" s="276" t="str">
        <f t="shared" si="112"/>
        <v/>
      </c>
      <c r="AX59" s="276" t="str">
        <f t="shared" si="113"/>
        <v/>
      </c>
      <c r="AY59" s="276" t="str">
        <f t="shared" si="114"/>
        <v/>
      </c>
      <c r="AZ59" s="276" t="str">
        <f t="shared" si="115"/>
        <v/>
      </c>
      <c r="BA59" s="276" t="str">
        <f t="shared" si="116"/>
        <v/>
      </c>
      <c r="BB59" s="276" t="str">
        <f t="shared" si="117"/>
        <v/>
      </c>
      <c r="BC59" s="276" t="str">
        <f t="shared" si="118"/>
        <v/>
      </c>
      <c r="BD59" s="276" t="str">
        <f t="shared" si="119"/>
        <v/>
      </c>
      <c r="BE59" s="276" t="str">
        <f t="shared" si="120"/>
        <v/>
      </c>
      <c r="BF59" s="276" t="str">
        <f t="shared" si="121"/>
        <v/>
      </c>
      <c r="BG59" s="276" t="str">
        <f t="shared" si="122"/>
        <v/>
      </c>
      <c r="BH59" s="276" t="str">
        <f t="shared" si="123"/>
        <v/>
      </c>
      <c r="BI59" s="276" t="str">
        <f t="shared" si="124"/>
        <v/>
      </c>
      <c r="BJ59" s="276">
        <f t="array" ref="BJ59">(SUM( IF(ISERROR(AK59:BI59),"", AK59:BI59)))</f>
        <v>0</v>
      </c>
      <c r="BK59" s="142">
        <f t="array" ref="BK59">(SUM( IF(ISERROR(AK59:BI59),"", AK59:BI59)))/time</f>
        <v>0</v>
      </c>
      <c r="BL59" s="142">
        <f t="shared" si="128"/>
        <v>0</v>
      </c>
      <c r="BM59" s="143">
        <f t="shared" si="129"/>
        <v>0</v>
      </c>
      <c r="BO59" s="176" t="e">
        <f t="array" ref="BO59">STDEV(IF(AK59:BI59&lt;&gt;0,AK59:BI59))</f>
        <v>#DIV/0!</v>
      </c>
      <c r="BP59" s="176">
        <v>1.96</v>
      </c>
      <c r="BQ59" s="176" t="e">
        <f t="shared" si="130"/>
        <v>#DIV/0!</v>
      </c>
      <c r="BR59" s="176">
        <f t="shared" si="131"/>
        <v>0</v>
      </c>
      <c r="BS59" s="196">
        <v>8</v>
      </c>
      <c r="BT59" s="529">
        <v>1</v>
      </c>
    </row>
    <row r="60" spans="1:72" s="196" customFormat="1" ht="18.75" hidden="1" customHeight="1">
      <c r="A60" s="440" t="s">
        <v>534</v>
      </c>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25">
        <f t="array" ref="AA60">(SUM( IF(ISERROR(B60:Z60),"", B60:Z60)))</f>
        <v>0</v>
      </c>
      <c r="AB60" s="578">
        <f t="array" ref="AB60">(SUM( IF(ISERROR(B60:Z60),"", B60:Z60)))/time</f>
        <v>0</v>
      </c>
      <c r="AD60" s="573"/>
      <c r="AF60" s="574"/>
      <c r="AG60" s="574"/>
      <c r="AH60" s="574"/>
      <c r="AI60" s="275">
        <f>'Savings of avoided crimes'!E217</f>
        <v>0</v>
      </c>
      <c r="AJ60" s="579"/>
      <c r="AK60" s="276">
        <f t="shared" si="100"/>
        <v>0</v>
      </c>
      <c r="AL60" s="276">
        <f t="shared" si="101"/>
        <v>0</v>
      </c>
      <c r="AM60" s="276">
        <f t="shared" si="102"/>
        <v>0</v>
      </c>
      <c r="AN60" s="276">
        <f t="shared" si="103"/>
        <v>0</v>
      </c>
      <c r="AO60" s="276">
        <f t="shared" si="104"/>
        <v>0</v>
      </c>
      <c r="AP60" s="276" t="str">
        <f t="shared" si="105"/>
        <v/>
      </c>
      <c r="AQ60" s="276" t="str">
        <f t="shared" si="106"/>
        <v/>
      </c>
      <c r="AR60" s="276" t="str">
        <f t="shared" si="107"/>
        <v/>
      </c>
      <c r="AS60" s="276" t="str">
        <f t="shared" si="108"/>
        <v/>
      </c>
      <c r="AT60" s="276" t="str">
        <f t="shared" si="109"/>
        <v/>
      </c>
      <c r="AU60" s="276" t="str">
        <f t="shared" si="110"/>
        <v/>
      </c>
      <c r="AV60" s="276" t="str">
        <f t="shared" si="111"/>
        <v/>
      </c>
      <c r="AW60" s="276" t="str">
        <f t="shared" si="112"/>
        <v/>
      </c>
      <c r="AX60" s="276" t="str">
        <f t="shared" si="113"/>
        <v/>
      </c>
      <c r="AY60" s="276" t="str">
        <f t="shared" si="114"/>
        <v/>
      </c>
      <c r="AZ60" s="276" t="str">
        <f t="shared" si="115"/>
        <v/>
      </c>
      <c r="BA60" s="276" t="str">
        <f t="shared" si="116"/>
        <v/>
      </c>
      <c r="BB60" s="276" t="str">
        <f t="shared" si="117"/>
        <v/>
      </c>
      <c r="BC60" s="276" t="str">
        <f t="shared" si="118"/>
        <v/>
      </c>
      <c r="BD60" s="276" t="str">
        <f t="shared" si="119"/>
        <v/>
      </c>
      <c r="BE60" s="276" t="str">
        <f t="shared" si="120"/>
        <v/>
      </c>
      <c r="BF60" s="276" t="str">
        <f t="shared" si="121"/>
        <v/>
      </c>
      <c r="BG60" s="276" t="str">
        <f t="shared" si="122"/>
        <v/>
      </c>
      <c r="BH60" s="276" t="str">
        <f t="shared" si="123"/>
        <v/>
      </c>
      <c r="BI60" s="276" t="str">
        <f t="shared" si="124"/>
        <v/>
      </c>
      <c r="BJ60" s="276">
        <f t="array" ref="BJ60">(SUM( IF(ISERROR(AK60:BI60),"", AK60:BI60)))</f>
        <v>0</v>
      </c>
      <c r="BK60" s="142">
        <f t="array" ref="BK60">(SUM( IF(ISERROR(AK60:BI60),"", AK60:BI60)))/time</f>
        <v>0</v>
      </c>
      <c r="BL60" s="142">
        <f t="shared" si="128"/>
        <v>0</v>
      </c>
      <c r="BM60" s="143">
        <f t="shared" si="129"/>
        <v>0</v>
      </c>
      <c r="BO60" s="176" t="e">
        <f t="array" ref="BO60">STDEV(IF(AK60:BI60&lt;&gt;0,AK60:BI60))</f>
        <v>#DIV/0!</v>
      </c>
      <c r="BP60" s="176">
        <v>1.96</v>
      </c>
      <c r="BQ60" s="176" t="e">
        <f t="shared" si="130"/>
        <v>#DIV/0!</v>
      </c>
      <c r="BR60" s="176">
        <f t="shared" si="131"/>
        <v>0</v>
      </c>
      <c r="BS60" s="196">
        <v>9</v>
      </c>
      <c r="BT60" s="529">
        <v>1</v>
      </c>
    </row>
    <row r="61" spans="1:72" s="196" customFormat="1" ht="18.75" hidden="1" customHeight="1" thickBot="1">
      <c r="A61" s="441" t="s">
        <v>535</v>
      </c>
      <c r="B61" s="580"/>
      <c r="C61" s="580"/>
      <c r="D61" s="580"/>
      <c r="E61" s="580"/>
      <c r="F61" s="580"/>
      <c r="G61" s="580"/>
      <c r="H61" s="580"/>
      <c r="I61" s="580"/>
      <c r="J61" s="580"/>
      <c r="K61" s="580"/>
      <c r="L61" s="580"/>
      <c r="M61" s="580"/>
      <c r="N61" s="580"/>
      <c r="O61" s="580"/>
      <c r="P61" s="580"/>
      <c r="Q61" s="580"/>
      <c r="R61" s="580"/>
      <c r="S61" s="580"/>
      <c r="T61" s="580"/>
      <c r="U61" s="580"/>
      <c r="V61" s="580"/>
      <c r="W61" s="580"/>
      <c r="X61" s="580"/>
      <c r="Y61" s="580"/>
      <c r="Z61" s="580"/>
      <c r="AA61" s="381">
        <f t="array" ref="AA61">(SUM( IF(ISERROR(B61:Z61),"", B61:Z61)))</f>
        <v>0</v>
      </c>
      <c r="AB61" s="564">
        <f t="array" ref="AB61">(SUM( IF(ISERROR(B61:Z61),"", B61:Z61)))/time</f>
        <v>0</v>
      </c>
      <c r="AD61" s="573"/>
      <c r="AF61" s="574"/>
      <c r="AG61" s="574"/>
      <c r="AH61" s="574"/>
      <c r="AI61" s="565">
        <f>'Savings of avoided crimes'!E218</f>
        <v>0</v>
      </c>
      <c r="AJ61" s="579"/>
      <c r="AK61" s="533">
        <f t="shared" si="100"/>
        <v>0</v>
      </c>
      <c r="AL61" s="533">
        <f t="shared" si="101"/>
        <v>0</v>
      </c>
      <c r="AM61" s="533">
        <f t="shared" si="102"/>
        <v>0</v>
      </c>
      <c r="AN61" s="533">
        <f t="shared" si="103"/>
        <v>0</v>
      </c>
      <c r="AO61" s="533">
        <f t="shared" si="104"/>
        <v>0</v>
      </c>
      <c r="AP61" s="533" t="str">
        <f t="shared" si="105"/>
        <v/>
      </c>
      <c r="AQ61" s="533" t="str">
        <f t="shared" si="106"/>
        <v/>
      </c>
      <c r="AR61" s="533" t="str">
        <f t="shared" si="107"/>
        <v/>
      </c>
      <c r="AS61" s="533" t="str">
        <f t="shared" si="108"/>
        <v/>
      </c>
      <c r="AT61" s="533" t="str">
        <f t="shared" si="109"/>
        <v/>
      </c>
      <c r="AU61" s="533" t="str">
        <f t="shared" si="110"/>
        <v/>
      </c>
      <c r="AV61" s="533" t="str">
        <f t="shared" si="111"/>
        <v/>
      </c>
      <c r="AW61" s="533" t="str">
        <f t="shared" si="112"/>
        <v/>
      </c>
      <c r="AX61" s="533" t="str">
        <f t="shared" si="113"/>
        <v/>
      </c>
      <c r="AY61" s="533" t="str">
        <f t="shared" si="114"/>
        <v/>
      </c>
      <c r="AZ61" s="533" t="str">
        <f t="shared" si="115"/>
        <v/>
      </c>
      <c r="BA61" s="533" t="str">
        <f t="shared" si="116"/>
        <v/>
      </c>
      <c r="BB61" s="533" t="str">
        <f t="shared" si="117"/>
        <v/>
      </c>
      <c r="BC61" s="533" t="str">
        <f t="shared" si="118"/>
        <v/>
      </c>
      <c r="BD61" s="533" t="str">
        <f t="shared" si="119"/>
        <v/>
      </c>
      <c r="BE61" s="533" t="str">
        <f t="shared" si="120"/>
        <v/>
      </c>
      <c r="BF61" s="533" t="str">
        <f t="shared" si="121"/>
        <v/>
      </c>
      <c r="BG61" s="533" t="str">
        <f t="shared" si="122"/>
        <v/>
      </c>
      <c r="BH61" s="533" t="str">
        <f t="shared" si="123"/>
        <v/>
      </c>
      <c r="BI61" s="533" t="str">
        <f t="shared" si="124"/>
        <v/>
      </c>
      <c r="BJ61" s="533">
        <f t="array" ref="BJ61">(SUM( IF(ISERROR(AK61:BI61),"", AK61:BI61)))</f>
        <v>0</v>
      </c>
      <c r="BK61" s="381">
        <f t="array" ref="BK61">(SUM( IF(ISERROR(AK61:BI61),"", AK61:BI61)))/time</f>
        <v>0</v>
      </c>
      <c r="BL61" s="381">
        <f t="shared" si="128"/>
        <v>0</v>
      </c>
      <c r="BM61" s="382">
        <f t="shared" si="129"/>
        <v>0</v>
      </c>
      <c r="BO61" s="176" t="e">
        <f t="array" ref="BO61">STDEV(IF(AK61:BI61&lt;&gt;0,AK61:BI61))</f>
        <v>#DIV/0!</v>
      </c>
      <c r="BP61" s="176">
        <v>1.96</v>
      </c>
      <c r="BQ61" s="176" t="e">
        <f t="shared" si="130"/>
        <v>#DIV/0!</v>
      </c>
      <c r="BR61" s="176">
        <f t="shared" si="131"/>
        <v>0</v>
      </c>
      <c r="BS61" s="196">
        <v>10</v>
      </c>
      <c r="BT61" s="529">
        <v>1</v>
      </c>
    </row>
    <row r="62" spans="1:72" s="196" customFormat="1" ht="33.75" customHeight="1" thickBot="1">
      <c r="A62" s="988" t="s">
        <v>536</v>
      </c>
      <c r="B62" s="989">
        <f>SUM(B52:B61)</f>
        <v>0</v>
      </c>
      <c r="C62" s="989">
        <f>SUM(C52:C61)</f>
        <v>0</v>
      </c>
      <c r="D62" s="989">
        <f t="shared" ref="D62:Z62" si="132">SUM(D52:D61)</f>
        <v>0</v>
      </c>
      <c r="E62" s="989">
        <f t="shared" si="132"/>
        <v>0</v>
      </c>
      <c r="F62" s="989">
        <f t="shared" si="132"/>
        <v>0</v>
      </c>
      <c r="G62" s="989">
        <f t="shared" si="132"/>
        <v>0</v>
      </c>
      <c r="H62" s="989">
        <f t="shared" si="132"/>
        <v>0</v>
      </c>
      <c r="I62" s="989">
        <f t="shared" si="132"/>
        <v>0</v>
      </c>
      <c r="J62" s="989">
        <f t="shared" si="132"/>
        <v>0</v>
      </c>
      <c r="K62" s="989">
        <f t="shared" si="132"/>
        <v>0</v>
      </c>
      <c r="L62" s="989">
        <f t="shared" si="132"/>
        <v>0</v>
      </c>
      <c r="M62" s="989">
        <f t="shared" si="132"/>
        <v>0</v>
      </c>
      <c r="N62" s="989">
        <f t="shared" si="132"/>
        <v>0</v>
      </c>
      <c r="O62" s="989">
        <f t="shared" si="132"/>
        <v>0</v>
      </c>
      <c r="P62" s="989">
        <f t="shared" si="132"/>
        <v>0</v>
      </c>
      <c r="Q62" s="989">
        <f t="shared" si="132"/>
        <v>0</v>
      </c>
      <c r="R62" s="989">
        <f t="shared" si="132"/>
        <v>0</v>
      </c>
      <c r="S62" s="989">
        <f t="shared" si="132"/>
        <v>0</v>
      </c>
      <c r="T62" s="989">
        <f t="shared" si="132"/>
        <v>0</v>
      </c>
      <c r="U62" s="989">
        <f t="shared" si="132"/>
        <v>0</v>
      </c>
      <c r="V62" s="989">
        <f t="shared" si="132"/>
        <v>0</v>
      </c>
      <c r="W62" s="989">
        <f t="shared" si="132"/>
        <v>0</v>
      </c>
      <c r="X62" s="989">
        <f t="shared" si="132"/>
        <v>0</v>
      </c>
      <c r="Y62" s="989">
        <f t="shared" si="132"/>
        <v>0</v>
      </c>
      <c r="Z62" s="989">
        <f t="shared" si="132"/>
        <v>0</v>
      </c>
      <c r="AA62" s="989">
        <f>SUM(AA52:AA61)</f>
        <v>0</v>
      </c>
      <c r="AB62" s="990">
        <f>SUM(AB52:AB61)</f>
        <v>0</v>
      </c>
      <c r="AD62" s="573"/>
      <c r="AF62" s="574"/>
      <c r="AG62" s="574"/>
      <c r="AH62" s="574"/>
      <c r="AI62" s="975">
        <f>'Savings of avoided crimes'!E219</f>
        <v>0</v>
      </c>
      <c r="AJ62" s="991"/>
      <c r="AK62" s="985">
        <f>SUM(AK52:AK61)</f>
        <v>0</v>
      </c>
      <c r="AL62" s="985">
        <f t="shared" ref="AL62:BI62" si="133">SUM(AL52:AL61)</f>
        <v>0</v>
      </c>
      <c r="AM62" s="985">
        <f t="shared" si="133"/>
        <v>0</v>
      </c>
      <c r="AN62" s="985">
        <f t="shared" si="133"/>
        <v>0</v>
      </c>
      <c r="AO62" s="985">
        <f t="shared" si="133"/>
        <v>0</v>
      </c>
      <c r="AP62" s="985">
        <f t="shared" si="133"/>
        <v>0</v>
      </c>
      <c r="AQ62" s="985">
        <f t="shared" si="133"/>
        <v>0</v>
      </c>
      <c r="AR62" s="985">
        <f t="shared" si="133"/>
        <v>0</v>
      </c>
      <c r="AS62" s="985">
        <f t="shared" si="133"/>
        <v>0</v>
      </c>
      <c r="AT62" s="985">
        <f t="shared" si="133"/>
        <v>0</v>
      </c>
      <c r="AU62" s="985">
        <f t="shared" si="133"/>
        <v>0</v>
      </c>
      <c r="AV62" s="985">
        <f t="shared" si="133"/>
        <v>0</v>
      </c>
      <c r="AW62" s="985">
        <f t="shared" si="133"/>
        <v>0</v>
      </c>
      <c r="AX62" s="985">
        <f t="shared" si="133"/>
        <v>0</v>
      </c>
      <c r="AY62" s="985">
        <f t="shared" si="133"/>
        <v>0</v>
      </c>
      <c r="AZ62" s="985">
        <f t="shared" si="133"/>
        <v>0</v>
      </c>
      <c r="BA62" s="985">
        <f t="shared" si="133"/>
        <v>0</v>
      </c>
      <c r="BB62" s="985">
        <f t="shared" si="133"/>
        <v>0</v>
      </c>
      <c r="BC62" s="985">
        <f t="shared" si="133"/>
        <v>0</v>
      </c>
      <c r="BD62" s="985">
        <f t="shared" si="133"/>
        <v>0</v>
      </c>
      <c r="BE62" s="985">
        <f t="shared" si="133"/>
        <v>0</v>
      </c>
      <c r="BF62" s="985">
        <f t="shared" si="133"/>
        <v>0</v>
      </c>
      <c r="BG62" s="985">
        <f t="shared" si="133"/>
        <v>0</v>
      </c>
      <c r="BH62" s="985">
        <f t="shared" si="133"/>
        <v>0</v>
      </c>
      <c r="BI62" s="985">
        <f t="shared" si="133"/>
        <v>0</v>
      </c>
      <c r="BJ62" s="985">
        <f>SUM(BJ52:BJ61)</f>
        <v>0</v>
      </c>
      <c r="BK62" s="985">
        <f>SUM(BK52:BK61)</f>
        <v>0</v>
      </c>
      <c r="BL62" s="985">
        <f t="shared" ref="BL62:BM62" si="134">SUM(BL52:BL61)</f>
        <v>0</v>
      </c>
      <c r="BM62" s="986">
        <f t="shared" si="134"/>
        <v>0</v>
      </c>
    </row>
    <row r="63" spans="1:72" s="196" customFormat="1" ht="33.75" customHeight="1" thickBot="1">
      <c r="A63" s="581" t="s">
        <v>760</v>
      </c>
      <c r="B63" s="582"/>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3"/>
      <c r="AD63" s="573"/>
      <c r="AF63" s="574"/>
      <c r="AG63" s="574"/>
      <c r="AH63" s="574"/>
      <c r="AI63" s="574"/>
      <c r="AJ63" s="574"/>
      <c r="AK63" s="574"/>
      <c r="AL63" s="574"/>
      <c r="AM63" s="574"/>
      <c r="AN63" s="574"/>
      <c r="AO63" s="574"/>
      <c r="AP63" s="574"/>
      <c r="AQ63" s="574"/>
      <c r="AR63" s="574"/>
      <c r="AS63" s="574"/>
      <c r="AT63" s="574"/>
      <c r="AU63" s="574"/>
      <c r="AV63" s="574"/>
      <c r="AW63" s="574"/>
      <c r="AX63" s="574"/>
      <c r="AY63" s="574"/>
      <c r="AZ63" s="574"/>
      <c r="BA63" s="574"/>
      <c r="BB63" s="574"/>
      <c r="BC63" s="574"/>
      <c r="BD63" s="574"/>
      <c r="BE63" s="574"/>
      <c r="BF63" s="574"/>
      <c r="BG63" s="574"/>
      <c r="BH63" s="574"/>
      <c r="BI63" s="574"/>
      <c r="BJ63" s="574"/>
      <c r="BK63" s="574"/>
      <c r="BL63" s="574"/>
      <c r="BM63" s="574"/>
    </row>
    <row r="64" spans="1:72" s="196" customFormat="1" ht="33.75" customHeight="1" thickBot="1">
      <c r="A64" s="992" t="s">
        <v>759</v>
      </c>
      <c r="B64" s="993"/>
      <c r="C64" s="993"/>
      <c r="D64" s="993"/>
      <c r="E64" s="993"/>
      <c r="F64" s="993"/>
      <c r="G64" s="993"/>
      <c r="H64" s="993"/>
      <c r="I64" s="993"/>
      <c r="J64" s="993"/>
      <c r="K64" s="993"/>
      <c r="L64" s="993"/>
      <c r="M64" s="993"/>
      <c r="N64" s="993"/>
      <c r="O64" s="993"/>
      <c r="P64" s="993"/>
      <c r="Q64" s="993"/>
      <c r="R64" s="993"/>
      <c r="S64" s="993"/>
      <c r="T64" s="993"/>
      <c r="U64" s="993"/>
      <c r="V64" s="993"/>
      <c r="W64" s="993"/>
      <c r="X64" s="993"/>
      <c r="Y64" s="993"/>
      <c r="Z64" s="993"/>
      <c r="AA64" s="993"/>
      <c r="AB64" s="994"/>
      <c r="AD64" s="573"/>
      <c r="AF64" s="574"/>
      <c r="AG64" s="574"/>
      <c r="AH64" s="574"/>
      <c r="AI64" s="985">
        <v>0</v>
      </c>
      <c r="AJ64" s="985"/>
      <c r="AK64" s="985">
        <f>RJ_benefits!C50</f>
        <v>0</v>
      </c>
      <c r="AL64" s="985">
        <f>RJ_benefits!D50</f>
        <v>0</v>
      </c>
      <c r="AM64" s="985">
        <f>RJ_benefits!E50</f>
        <v>0</v>
      </c>
      <c r="AN64" s="985"/>
      <c r="AO64" s="985"/>
      <c r="AP64" s="985"/>
      <c r="AQ64" s="985"/>
      <c r="AR64" s="985"/>
      <c r="AS64" s="985"/>
      <c r="AT64" s="985"/>
      <c r="AU64" s="985"/>
      <c r="AV64" s="985"/>
      <c r="AW64" s="985"/>
      <c r="AX64" s="985"/>
      <c r="AY64" s="985"/>
      <c r="AZ64" s="985"/>
      <c r="BA64" s="985"/>
      <c r="BB64" s="985"/>
      <c r="BC64" s="985"/>
      <c r="BD64" s="985"/>
      <c r="BE64" s="985"/>
      <c r="BF64" s="985"/>
      <c r="BG64" s="985"/>
      <c r="BH64" s="985"/>
      <c r="BI64" s="985"/>
      <c r="BJ64" s="985">
        <f t="array" ref="BJ64">(SUM( IF(ISERROR(AK64:BI64),"", AK64:BI64)))</f>
        <v>0</v>
      </c>
      <c r="BK64" s="985">
        <f t="array" ref="BK64">(SUM( IF(ISERROR(AK64:BI64),"", AK64:BI64)))/time</f>
        <v>0</v>
      </c>
      <c r="BL64" s="985">
        <f t="shared" ref="BL64" si="135">IF(BR64&gt;0,IF(BK64-BQ64&gt;0, BK64-BQ64, 0),BK64)</f>
        <v>0</v>
      </c>
      <c r="BM64" s="985">
        <f t="shared" ref="BM64" si="136">IF(BR64&gt;0,BK64+BQ64,BK64)</f>
        <v>0</v>
      </c>
    </row>
    <row r="65" spans="1:65" s="196" customFormat="1" ht="33.75" hidden="1" customHeight="1" thickBot="1">
      <c r="AD65" s="573"/>
      <c r="AF65" s="574"/>
      <c r="AG65" s="574"/>
      <c r="AH65" s="574"/>
      <c r="AI65" s="574"/>
      <c r="AJ65" s="574"/>
      <c r="AK65" s="574"/>
      <c r="AL65" s="574"/>
      <c r="AM65" s="574"/>
      <c r="AN65" s="574"/>
      <c r="AO65" s="574"/>
      <c r="AP65" s="574"/>
      <c r="AQ65" s="574"/>
      <c r="AR65" s="574"/>
      <c r="AS65" s="574"/>
      <c r="AT65" s="574"/>
      <c r="AU65" s="574"/>
      <c r="AV65" s="574"/>
      <c r="AW65" s="574"/>
      <c r="AX65" s="574"/>
      <c r="AY65" s="574"/>
      <c r="AZ65" s="574"/>
      <c r="BA65" s="574"/>
      <c r="BB65" s="574"/>
      <c r="BC65" s="574"/>
      <c r="BD65" s="574"/>
      <c r="BE65" s="574"/>
      <c r="BF65" s="574"/>
      <c r="BG65" s="574"/>
      <c r="BH65" s="574"/>
      <c r="BI65" s="574"/>
      <c r="BJ65" s="574"/>
      <c r="BK65" s="574"/>
      <c r="BL65" s="574"/>
      <c r="BM65" s="574"/>
    </row>
    <row r="66" spans="1:65" ht="47.9" customHeight="1" thickBot="1">
      <c r="A66" s="995" t="s">
        <v>892</v>
      </c>
      <c r="B66" s="993">
        <f>B50+B42+B33+B62</f>
        <v>0</v>
      </c>
      <c r="C66" s="993">
        <f t="shared" ref="C66:Z66" si="137">C50+C42+C33+C62</f>
        <v>0.67786427372199232</v>
      </c>
      <c r="D66" s="993">
        <f t="shared" si="137"/>
        <v>0</v>
      </c>
      <c r="E66" s="993">
        <f t="shared" si="137"/>
        <v>0</v>
      </c>
      <c r="F66" s="993">
        <f t="shared" si="137"/>
        <v>0</v>
      </c>
      <c r="G66" s="993">
        <f t="shared" si="137"/>
        <v>0</v>
      </c>
      <c r="H66" s="993">
        <f t="shared" si="137"/>
        <v>0</v>
      </c>
      <c r="I66" s="993">
        <f t="shared" si="137"/>
        <v>0</v>
      </c>
      <c r="J66" s="993">
        <f t="shared" si="137"/>
        <v>0</v>
      </c>
      <c r="K66" s="993">
        <f t="shared" si="137"/>
        <v>0</v>
      </c>
      <c r="L66" s="993">
        <f t="shared" si="137"/>
        <v>0</v>
      </c>
      <c r="M66" s="993">
        <f t="shared" si="137"/>
        <v>0</v>
      </c>
      <c r="N66" s="993">
        <f t="shared" si="137"/>
        <v>0</v>
      </c>
      <c r="O66" s="993">
        <f t="shared" si="137"/>
        <v>0</v>
      </c>
      <c r="P66" s="993">
        <f t="shared" si="137"/>
        <v>0</v>
      </c>
      <c r="Q66" s="993">
        <f t="shared" si="137"/>
        <v>0</v>
      </c>
      <c r="R66" s="993">
        <f t="shared" si="137"/>
        <v>0</v>
      </c>
      <c r="S66" s="993">
        <f t="shared" si="137"/>
        <v>0</v>
      </c>
      <c r="T66" s="993">
        <f t="shared" si="137"/>
        <v>0</v>
      </c>
      <c r="U66" s="993">
        <f t="shared" si="137"/>
        <v>0</v>
      </c>
      <c r="V66" s="993">
        <f t="shared" si="137"/>
        <v>0</v>
      </c>
      <c r="W66" s="993">
        <f t="shared" si="137"/>
        <v>0</v>
      </c>
      <c r="X66" s="993">
        <f t="shared" si="137"/>
        <v>0</v>
      </c>
      <c r="Y66" s="993">
        <f t="shared" si="137"/>
        <v>0</v>
      </c>
      <c r="Z66" s="993">
        <f t="shared" si="137"/>
        <v>0</v>
      </c>
      <c r="AA66" s="993">
        <f t="array" ref="AA66">(SUM(IF(ISERROR(B66:Z66),"", B66:Z66)))</f>
        <v>0.67786427372199232</v>
      </c>
      <c r="AB66" s="994">
        <f t="array" ref="AB66">(SUM( IF(ISERROR(B66:Z66),"", B66:Z66)))/time</f>
        <v>0.13557285474439845</v>
      </c>
      <c r="AD66" s="584"/>
      <c r="AE66" s="205"/>
      <c r="AF66" s="1195" t="str">
        <f>CONCATENATE("SUM OF ALL SAVINGS"," ", "(",'Proposition Summary'!$B$76,")",":")</f>
        <v>SUM OF ALL SAVINGS (GBP (£)):</v>
      </c>
      <c r="AG66" s="1196"/>
      <c r="AH66" s="1197"/>
      <c r="AI66" s="996">
        <f>AI33+AI42+AI50+AI62+AI64</f>
        <v>3778338.5227733515</v>
      </c>
      <c r="AJ66" s="996">
        <f t="shared" ref="AJ66:BM66" si="138">AJ33+AJ42+AJ50+AJ62+AJ64</f>
        <v>0</v>
      </c>
      <c r="AK66" s="996">
        <f t="shared" si="138"/>
        <v>0</v>
      </c>
      <c r="AL66" s="996">
        <f t="shared" si="138"/>
        <v>4092.4230181837293</v>
      </c>
      <c r="AM66" s="996">
        <f t="shared" si="138"/>
        <v>0</v>
      </c>
      <c r="AN66" s="996">
        <f t="shared" si="138"/>
        <v>0</v>
      </c>
      <c r="AO66" s="996">
        <f t="shared" si="138"/>
        <v>0</v>
      </c>
      <c r="AP66" s="996">
        <f t="shared" si="138"/>
        <v>0</v>
      </c>
      <c r="AQ66" s="996">
        <f t="shared" si="138"/>
        <v>0</v>
      </c>
      <c r="AR66" s="996">
        <f t="shared" si="138"/>
        <v>0</v>
      </c>
      <c r="AS66" s="996">
        <f t="shared" si="138"/>
        <v>0</v>
      </c>
      <c r="AT66" s="996">
        <f t="shared" si="138"/>
        <v>0</v>
      </c>
      <c r="AU66" s="996">
        <f t="shared" si="138"/>
        <v>0</v>
      </c>
      <c r="AV66" s="996">
        <f t="shared" si="138"/>
        <v>0</v>
      </c>
      <c r="AW66" s="996">
        <f t="shared" si="138"/>
        <v>0</v>
      </c>
      <c r="AX66" s="996">
        <f t="shared" si="138"/>
        <v>0</v>
      </c>
      <c r="AY66" s="996">
        <f t="shared" si="138"/>
        <v>0</v>
      </c>
      <c r="AZ66" s="996">
        <f t="shared" si="138"/>
        <v>0</v>
      </c>
      <c r="BA66" s="996">
        <f t="shared" si="138"/>
        <v>0</v>
      </c>
      <c r="BB66" s="996">
        <f t="shared" si="138"/>
        <v>0</v>
      </c>
      <c r="BC66" s="996">
        <f t="shared" si="138"/>
        <v>0</v>
      </c>
      <c r="BD66" s="996">
        <f t="shared" si="138"/>
        <v>0</v>
      </c>
      <c r="BE66" s="996">
        <f t="shared" si="138"/>
        <v>0</v>
      </c>
      <c r="BF66" s="996">
        <f t="shared" si="138"/>
        <v>0</v>
      </c>
      <c r="BG66" s="996">
        <f t="shared" si="138"/>
        <v>0</v>
      </c>
      <c r="BH66" s="996">
        <f t="shared" si="138"/>
        <v>0</v>
      </c>
      <c r="BI66" s="996">
        <f t="shared" si="138"/>
        <v>0</v>
      </c>
      <c r="BJ66" s="996">
        <f t="shared" si="138"/>
        <v>4092.4230181837293</v>
      </c>
      <c r="BK66" s="996">
        <f t="shared" si="138"/>
        <v>818.48460363674599</v>
      </c>
      <c r="BL66" s="996">
        <f t="shared" si="138"/>
        <v>818.48460363674599</v>
      </c>
      <c r="BM66" s="996">
        <f t="shared" si="138"/>
        <v>818.48460363674599</v>
      </c>
    </row>
    <row r="67" spans="1:65" ht="60" customHeight="1" thickBot="1">
      <c r="A67" s="585"/>
      <c r="B67" s="1187"/>
      <c r="C67" s="1188"/>
      <c r="D67" s="1188"/>
      <c r="E67" s="1188"/>
      <c r="F67" s="1188"/>
      <c r="G67" s="1188"/>
      <c r="H67" s="1188"/>
      <c r="I67" s="1188"/>
      <c r="J67" s="1188"/>
      <c r="K67" s="1188"/>
      <c r="L67" s="1188"/>
      <c r="M67" s="1188"/>
      <c r="N67" s="1188"/>
      <c r="O67" s="1188"/>
      <c r="P67" s="1188"/>
      <c r="Q67" s="1188"/>
      <c r="R67" s="1188"/>
      <c r="S67" s="1188"/>
      <c r="T67" s="1188"/>
      <c r="U67" s="1188"/>
      <c r="V67" s="1188"/>
      <c r="W67" s="1188"/>
      <c r="X67" s="1188"/>
      <c r="Y67" s="1188"/>
      <c r="Z67" s="1188"/>
      <c r="AA67" s="1188"/>
      <c r="AB67" s="1189"/>
      <c r="AD67" s="573"/>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203"/>
    </row>
    <row r="68" spans="1:65" ht="51.65" customHeight="1" thickBot="1">
      <c r="A68" s="997" t="str">
        <f>CONCATENATE("TOTAL SAVINGS AND BENEFITS"," ", "(",'Proposition Summary'!$B$76,")",":")</f>
        <v>TOTAL SAVINGS AND BENEFITS (GBP (£)):</v>
      </c>
      <c r="B68" s="586"/>
      <c r="C68" s="586"/>
      <c r="D68" s="586"/>
      <c r="E68" s="586"/>
      <c r="F68" s="586"/>
      <c r="G68" s="586"/>
      <c r="H68" s="586"/>
      <c r="I68" s="586"/>
      <c r="J68" s="586"/>
      <c r="K68" s="586"/>
      <c r="L68" s="586"/>
      <c r="M68" s="586"/>
      <c r="N68" s="586"/>
      <c r="O68" s="586"/>
      <c r="P68" s="586"/>
      <c r="Q68" s="586"/>
      <c r="R68" s="586"/>
      <c r="S68" s="586"/>
      <c r="T68" s="586"/>
      <c r="U68" s="586"/>
      <c r="V68" s="586"/>
      <c r="W68" s="586"/>
      <c r="X68" s="586"/>
      <c r="Y68" s="586"/>
      <c r="Z68" s="586"/>
      <c r="AA68" s="586"/>
      <c r="AB68" s="587"/>
      <c r="AC68" s="526"/>
      <c r="AD68" s="1068" t="str">
        <f>CONCATENATE("TOTAL SAVINGS AND BENEFITS"," ", "(",'Proposition Summary'!$B$76,")",":")</f>
        <v>TOTAL SAVINGS AND BENEFITS (GBP (£)):</v>
      </c>
      <c r="AE68" s="1069">
        <f>AI66+AE14</f>
        <v>3778338.5227733515</v>
      </c>
      <c r="AF68" s="584"/>
      <c r="AG68" s="205"/>
      <c r="AH68" s="205"/>
      <c r="AI68" s="975">
        <f>AI14+AI66</f>
        <v>3778338.5227733515</v>
      </c>
      <c r="AJ68" s="976"/>
      <c r="AK68" s="977">
        <f t="shared" ref="AK68:BI68" si="139">IF(AK$69&lt;=time, AK66+AK14, "")</f>
        <v>0</v>
      </c>
      <c r="AL68" s="977">
        <f t="shared" si="139"/>
        <v>4092.4230181837293</v>
      </c>
      <c r="AM68" s="977">
        <f t="shared" si="139"/>
        <v>0</v>
      </c>
      <c r="AN68" s="977">
        <f t="shared" si="139"/>
        <v>0</v>
      </c>
      <c r="AO68" s="977">
        <f t="shared" si="139"/>
        <v>0</v>
      </c>
      <c r="AP68" s="977" t="str">
        <f t="shared" si="139"/>
        <v/>
      </c>
      <c r="AQ68" s="977" t="str">
        <f t="shared" si="139"/>
        <v/>
      </c>
      <c r="AR68" s="977" t="str">
        <f t="shared" si="139"/>
        <v/>
      </c>
      <c r="AS68" s="977" t="str">
        <f t="shared" si="139"/>
        <v/>
      </c>
      <c r="AT68" s="977" t="str">
        <f t="shared" si="139"/>
        <v/>
      </c>
      <c r="AU68" s="977" t="str">
        <f t="shared" si="139"/>
        <v/>
      </c>
      <c r="AV68" s="977" t="str">
        <f t="shared" si="139"/>
        <v/>
      </c>
      <c r="AW68" s="977" t="str">
        <f t="shared" si="139"/>
        <v/>
      </c>
      <c r="AX68" s="977" t="str">
        <f t="shared" si="139"/>
        <v/>
      </c>
      <c r="AY68" s="977" t="str">
        <f t="shared" si="139"/>
        <v/>
      </c>
      <c r="AZ68" s="977" t="str">
        <f t="shared" si="139"/>
        <v/>
      </c>
      <c r="BA68" s="977" t="str">
        <f t="shared" si="139"/>
        <v/>
      </c>
      <c r="BB68" s="977" t="str">
        <f t="shared" si="139"/>
        <v/>
      </c>
      <c r="BC68" s="977" t="str">
        <f t="shared" si="139"/>
        <v/>
      </c>
      <c r="BD68" s="977" t="str">
        <f t="shared" si="139"/>
        <v/>
      </c>
      <c r="BE68" s="977" t="str">
        <f t="shared" si="139"/>
        <v/>
      </c>
      <c r="BF68" s="977" t="str">
        <f t="shared" si="139"/>
        <v/>
      </c>
      <c r="BG68" s="977" t="str">
        <f t="shared" si="139"/>
        <v/>
      </c>
      <c r="BH68" s="977" t="str">
        <f t="shared" si="139"/>
        <v/>
      </c>
      <c r="BI68" s="977" t="str">
        <f t="shared" si="139"/>
        <v/>
      </c>
      <c r="BJ68" s="977">
        <f t="array" ref="BJ68">(SUM( IF(ISERROR(AK68:BI68),"", AK68:BI68)))</f>
        <v>4092.4230181837293</v>
      </c>
      <c r="BK68" s="978">
        <f t="array" ref="BK68">(SUM( IF(ISERROR(AK68:BI68),"", AK68:BI68)))/time</f>
        <v>818.48460363674587</v>
      </c>
      <c r="BL68" s="977">
        <f>BL66+BL14</f>
        <v>818.48460363674599</v>
      </c>
      <c r="BM68" s="979">
        <f>BM66+BM14</f>
        <v>818.48460363674599</v>
      </c>
    </row>
    <row r="69" spans="1:65" s="589" customFormat="1" hidden="1">
      <c r="A69" s="588" t="s">
        <v>342</v>
      </c>
      <c r="B69" s="589">
        <v>1</v>
      </c>
      <c r="C69" s="589">
        <v>2</v>
      </c>
      <c r="D69" s="589">
        <v>3</v>
      </c>
      <c r="E69" s="589">
        <v>4</v>
      </c>
      <c r="F69" s="589">
        <v>5</v>
      </c>
      <c r="G69" s="589">
        <v>6</v>
      </c>
      <c r="H69" s="589">
        <v>7</v>
      </c>
      <c r="I69" s="589">
        <v>8</v>
      </c>
      <c r="J69" s="589">
        <v>9</v>
      </c>
      <c r="K69" s="589">
        <v>10</v>
      </c>
      <c r="L69" s="589">
        <v>11</v>
      </c>
      <c r="M69" s="589">
        <v>12</v>
      </c>
      <c r="N69" s="589">
        <v>13</v>
      </c>
      <c r="O69" s="589">
        <v>14</v>
      </c>
      <c r="P69" s="589">
        <v>15</v>
      </c>
      <c r="Q69" s="589">
        <v>16</v>
      </c>
      <c r="R69" s="589">
        <v>17</v>
      </c>
      <c r="S69" s="589">
        <v>18</v>
      </c>
      <c r="T69" s="589">
        <v>19</v>
      </c>
      <c r="U69" s="589">
        <v>20</v>
      </c>
      <c r="V69" s="589">
        <v>21</v>
      </c>
      <c r="W69" s="589">
        <v>22</v>
      </c>
      <c r="X69" s="589">
        <v>23</v>
      </c>
      <c r="Y69" s="589">
        <v>24</v>
      </c>
      <c r="Z69" s="589">
        <v>25</v>
      </c>
      <c r="AB69" s="590"/>
      <c r="AC69" s="526"/>
      <c r="AI69" s="591"/>
      <c r="AK69" s="589">
        <v>1</v>
      </c>
      <c r="AL69" s="589">
        <v>2</v>
      </c>
      <c r="AM69" s="589">
        <v>3</v>
      </c>
      <c r="AN69" s="589">
        <v>4</v>
      </c>
      <c r="AO69" s="589">
        <v>5</v>
      </c>
      <c r="AP69" s="589">
        <v>6</v>
      </c>
      <c r="AQ69" s="589">
        <v>7</v>
      </c>
      <c r="AR69" s="589">
        <v>8</v>
      </c>
      <c r="AS69" s="589">
        <v>9</v>
      </c>
      <c r="AT69" s="589">
        <v>10</v>
      </c>
      <c r="AU69" s="589">
        <v>11</v>
      </c>
      <c r="AV69" s="589">
        <v>12</v>
      </c>
      <c r="AW69" s="589">
        <v>13</v>
      </c>
      <c r="AX69" s="589">
        <v>14</v>
      </c>
      <c r="AY69" s="589">
        <v>15</v>
      </c>
      <c r="AZ69" s="589">
        <v>16</v>
      </c>
      <c r="BA69" s="589">
        <v>17</v>
      </c>
      <c r="BB69" s="589">
        <v>18</v>
      </c>
      <c r="BC69" s="589">
        <v>19</v>
      </c>
      <c r="BD69" s="589">
        <v>20</v>
      </c>
      <c r="BE69" s="589">
        <v>21</v>
      </c>
      <c r="BF69" s="589">
        <v>22</v>
      </c>
      <c r="BG69" s="589">
        <v>23</v>
      </c>
      <c r="BH69" s="589">
        <v>24</v>
      </c>
      <c r="BI69" s="589">
        <v>25</v>
      </c>
    </row>
    <row r="70" spans="1:65" hidden="1">
      <c r="AB70" s="526"/>
      <c r="AC70" s="526"/>
      <c r="AI70" s="592"/>
      <c r="AK70" s="114">
        <v>1</v>
      </c>
      <c r="AL70" s="114">
        <v>2</v>
      </c>
      <c r="AM70" s="114">
        <v>3</v>
      </c>
    </row>
    <row r="71" spans="1:65">
      <c r="AI71" s="592"/>
    </row>
  </sheetData>
  <sheetProtection formatColumns="0" formatRows="0"/>
  <mergeCells count="8">
    <mergeCell ref="B67:AB67"/>
    <mergeCell ref="AD16:AE16"/>
    <mergeCell ref="B1:AB1"/>
    <mergeCell ref="B2:AB2"/>
    <mergeCell ref="AD1:AH1"/>
    <mergeCell ref="AF66:AH66"/>
    <mergeCell ref="AD2:AE2"/>
    <mergeCell ref="B15:AB15"/>
  </mergeCells>
  <phoneticPr fontId="41" type="noConversion"/>
  <dataValidations disablePrompts="1" xWindow="358" yWindow="482" count="7">
    <dataValidation type="list" allowBlank="1" showInputMessage="1" showErrorMessage="1" sqref="AG4:AG13" xr:uid="{00000000-0002-0000-1800-000000000000}">
      <formula1>Agencieslist</formula1>
    </dataValidation>
    <dataValidation allowBlank="1" showInputMessage="1" showErrorMessage="1" prompt="This is where you type text for notes reagrding the benefit (e.g. the data were generated.../ came from...)" sqref="AF4:AF13" xr:uid="{00000000-0002-0000-1800-000001000000}"/>
    <dataValidation allowBlank="1" showInputMessage="1" showErrorMessage="1" promptTitle="Bias Correction" prompt="This should be entered as a percentage and always be positive or zero (see &quot;Confidence Grade - Costs&quot; page for the recommended percentage and an example)." sqref="AH4:AH13" xr:uid="{00000000-0002-0000-1800-000002000000}"/>
    <dataValidation allowBlank="1" showInputMessage="1" showErrorMessage="1" prompt="No. of homicide avoided" sqref="B44:F49 B31:Z32 D20:Z20 D19:F19 B19:C30 D21:F30" xr:uid="{00000000-0002-0000-1800-000003000000}"/>
    <dataValidation allowBlank="1" showInputMessage="1" showErrorMessage="1" prompt="No. of serious wounding avoided" sqref="C35:Z35 B35:B41 C36:F41" xr:uid="{00000000-0002-0000-1800-000004000000}"/>
    <dataValidation allowBlank="1" showInputMessage="1" showErrorMessage="1" prompt="No. of burglary in a dwelling avoided" sqref="G27:Z27" xr:uid="{00000000-0002-0000-1800-000009000000}"/>
    <dataValidation allowBlank="1" showInputMessage="1" showErrorMessage="1" prompt="No. of unit of benefit produced" sqref="B5:B13 B4:F4" xr:uid="{00000000-0002-0000-1800-00000F000000}"/>
  </dataValidation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theme="2" tint="-0.249977111117893"/>
  </sheetPr>
  <dimension ref="A1:AC129"/>
  <sheetViews>
    <sheetView workbookViewId="0"/>
  </sheetViews>
  <sheetFormatPr defaultColWidth="8.69140625" defaultRowHeight="15.5"/>
  <cols>
    <col min="1" max="1" width="26.23046875" style="114" customWidth="1"/>
    <col min="2" max="6" width="14.921875" style="114" customWidth="1"/>
    <col min="7" max="7" width="8.69140625" style="114" hidden="1" customWidth="1"/>
    <col min="8" max="8" width="8.921875" style="114" hidden="1" customWidth="1"/>
    <col min="9" max="26" width="8.69140625" style="114" hidden="1" customWidth="1"/>
    <col min="27" max="27" width="12.15234375" style="114" customWidth="1"/>
    <col min="28" max="28" width="12.4609375" style="114" customWidth="1"/>
    <col min="29" max="29" width="3.15234375" style="114" hidden="1" customWidth="1"/>
    <col min="30" max="16384" width="8.69140625" style="114"/>
  </cols>
  <sheetData>
    <row r="1" spans="1:28" ht="20.5">
      <c r="B1" s="816" t="s">
        <v>489</v>
      </c>
      <c r="C1" s="816"/>
      <c r="D1" s="773"/>
      <c r="E1" s="802"/>
      <c r="F1" s="802"/>
      <c r="G1" s="802"/>
      <c r="H1" s="802"/>
      <c r="I1" s="802"/>
      <c r="J1" s="802"/>
      <c r="K1" s="802"/>
      <c r="L1" s="802"/>
      <c r="M1" s="802"/>
      <c r="N1" s="802"/>
      <c r="O1" s="802"/>
      <c r="P1" s="802"/>
      <c r="Q1" s="802"/>
      <c r="R1" s="802"/>
      <c r="S1" s="802"/>
      <c r="T1" s="802"/>
      <c r="U1" s="802"/>
      <c r="V1" s="802"/>
      <c r="W1" s="802"/>
      <c r="X1" s="802"/>
      <c r="Y1" s="802"/>
      <c r="Z1" s="802"/>
      <c r="AA1" s="802"/>
      <c r="AB1" s="802"/>
    </row>
    <row r="2" spans="1:28" ht="40.4" customHeight="1">
      <c r="A2" s="1011" t="s">
        <v>379</v>
      </c>
    </row>
    <row r="3" spans="1:28" ht="16" thickBot="1">
      <c r="A3" s="589"/>
      <c r="B3" s="589">
        <v>1</v>
      </c>
      <c r="C3" s="589">
        <v>2</v>
      </c>
      <c r="D3" s="589">
        <v>3</v>
      </c>
      <c r="E3" s="589">
        <v>4</v>
      </c>
      <c r="F3" s="589">
        <v>5</v>
      </c>
      <c r="G3" s="589">
        <v>6</v>
      </c>
      <c r="H3" s="589">
        <v>7</v>
      </c>
      <c r="I3" s="589">
        <v>8</v>
      </c>
      <c r="J3" s="589">
        <v>9</v>
      </c>
      <c r="K3" s="589">
        <v>10</v>
      </c>
      <c r="L3" s="589">
        <v>11</v>
      </c>
      <c r="M3" s="589">
        <v>12</v>
      </c>
      <c r="N3" s="589">
        <v>13</v>
      </c>
      <c r="O3" s="589">
        <v>14</v>
      </c>
      <c r="P3" s="589">
        <v>15</v>
      </c>
      <c r="Q3" s="589">
        <v>16</v>
      </c>
      <c r="R3" s="589">
        <v>17</v>
      </c>
      <c r="S3" s="589">
        <v>18</v>
      </c>
      <c r="T3" s="589">
        <v>19</v>
      </c>
      <c r="U3" s="589">
        <v>20</v>
      </c>
      <c r="V3" s="589">
        <v>21</v>
      </c>
      <c r="W3" s="589">
        <v>22</v>
      </c>
      <c r="X3" s="589">
        <v>23</v>
      </c>
      <c r="Y3" s="589">
        <v>24</v>
      </c>
      <c r="Z3" s="589">
        <v>25</v>
      </c>
      <c r="AA3" s="589"/>
      <c r="AB3" s="589"/>
    </row>
    <row r="4" spans="1:28" ht="109" thickBot="1">
      <c r="A4" s="969" t="s">
        <v>308</v>
      </c>
      <c r="B4" s="820" t="str">
        <f>CONCATENATE("Financial savings due to avoided crime in Year 1"," ", "(",'Proposition Summary'!$B$76,")")</f>
        <v>Financial savings due to avoided crime in Year 1 (GBP (£))</v>
      </c>
      <c r="C4" s="820" t="str">
        <f>CONCATENATE("Financial savings due to avoided crime in Year 2"," ", "(",'Proposition Summary'!$B$76,")")</f>
        <v>Financial savings due to avoided crime in Year 2 (GBP (£))</v>
      </c>
      <c r="D4" s="820" t="str">
        <f>CONCATENATE("Financial savings due to avoided crime in Year 3"," ", "(",'Proposition Summary'!$B$76,")")</f>
        <v>Financial savings due to avoided crime in Year 3 (GBP (£))</v>
      </c>
      <c r="E4" s="820" t="str">
        <f>CONCATENATE("Financial savings due to avoided crime in Year 4"," ", "(",'Proposition Summary'!$B$76,")")</f>
        <v>Financial savings due to avoided crime in Year 4 (GBP (£))</v>
      </c>
      <c r="F4" s="820" t="str">
        <f>CONCATENATE("Financial savings due to avoided crime in Year 5"," ", "(",'Proposition Summary'!$B$76,")")</f>
        <v>Financial savings due to avoided crime in Year 5 (GBP (£))</v>
      </c>
      <c r="G4" s="820" t="str">
        <f>CONCATENATE("Financial savings due to avoided crime in Year 6"," ", "(",'Proposition Summary'!$B$76,")")</f>
        <v>Financial savings due to avoided crime in Year 6 (GBP (£))</v>
      </c>
      <c r="H4" s="820" t="str">
        <f>CONCATENATE("Financial savings due to avoided crime in Year 7"," ", "(",'Proposition Summary'!$B$76,")")</f>
        <v>Financial savings due to avoided crime in Year 7 (GBP (£))</v>
      </c>
      <c r="I4" s="820" t="str">
        <f>CONCATENATE("Financial savings due to avoided crime in Year 8"," ", "(",'Proposition Summary'!$B$76,")")</f>
        <v>Financial savings due to avoided crime in Year 8 (GBP (£))</v>
      </c>
      <c r="J4" s="820" t="str">
        <f>CONCATENATE("Financial savings due to avoided crime in Year 9"," ", "(",'Proposition Summary'!$B$76,")")</f>
        <v>Financial savings due to avoided crime in Year 9 (GBP (£))</v>
      </c>
      <c r="K4" s="820" t="str">
        <f>CONCATENATE("Financial savings due to avoided crime in Year 10"," ", "(",'Proposition Summary'!$B$76,")")</f>
        <v>Financial savings due to avoided crime in Year 10 (GBP (£))</v>
      </c>
      <c r="L4" s="820" t="str">
        <f>CONCATENATE("Financial savings due to avoided crime in Year 11"," ", "(",'Proposition Summary'!$B$76,")")</f>
        <v>Financial savings due to avoided crime in Year 11 (GBP (£))</v>
      </c>
      <c r="M4" s="820" t="str">
        <f>CONCATENATE("Financial savings due to avoided crime in Year 12"," ", "(",'Proposition Summary'!$B$76,")")</f>
        <v>Financial savings due to avoided crime in Year 12 (GBP (£))</v>
      </c>
      <c r="N4" s="820" t="str">
        <f>CONCATENATE("Financial savings due to avoided crime in Year 13"," ", "(",'Proposition Summary'!$B$76,")")</f>
        <v>Financial savings due to avoided crime in Year 13 (GBP (£))</v>
      </c>
      <c r="O4" s="820" t="str">
        <f>CONCATENATE("Financial savings due to avoided crime in Year 14"," ", "(",'Proposition Summary'!$B$76,")")</f>
        <v>Financial savings due to avoided crime in Year 14 (GBP (£))</v>
      </c>
      <c r="P4" s="820" t="str">
        <f>CONCATENATE("Financial savings due to avoided crime in Year 15"," ", "(",'Proposition Summary'!$B$76,")")</f>
        <v>Financial savings due to avoided crime in Year 15 (GBP (£))</v>
      </c>
      <c r="Q4" s="820" t="str">
        <f>CONCATENATE("Financial savings due to avoided crime in Year 16"," ", "(",'Proposition Summary'!$B$76,")")</f>
        <v>Financial savings due to avoided crime in Year 16 (GBP (£))</v>
      </c>
      <c r="R4" s="820" t="str">
        <f>CONCATENATE("Financial savings due to avoided crime in Year 17"," ", "(",'Proposition Summary'!$B$76,")")</f>
        <v>Financial savings due to avoided crime in Year 17 (GBP (£))</v>
      </c>
      <c r="S4" s="820" t="str">
        <f>CONCATENATE("Financial savings due to avoided crime in Year 18"," ", "(",'Proposition Summary'!$B$76,")")</f>
        <v>Financial savings due to avoided crime in Year 18 (GBP (£))</v>
      </c>
      <c r="T4" s="820" t="str">
        <f>CONCATENATE("Financial savings due to avoided crime in Year 19"," ", "(",'Proposition Summary'!$B$76,")")</f>
        <v>Financial savings due to avoided crime in Year 19 (GBP (£))</v>
      </c>
      <c r="U4" s="820" t="str">
        <f>CONCATENATE("Financial savings due to avoided crime in Year 20"," ", "(",'Proposition Summary'!$B$76,")")</f>
        <v>Financial savings due to avoided crime in Year 20 (GBP (£))</v>
      </c>
      <c r="V4" s="820" t="str">
        <f>CONCATENATE("Financial savings due to avoided crime in Year 21"," ", "(",'Proposition Summary'!$B$76,")")</f>
        <v>Financial savings due to avoided crime in Year 21 (GBP (£))</v>
      </c>
      <c r="W4" s="820" t="str">
        <f>CONCATENATE("Financial savings due to avoided crime in Year 22"," ", "(",'Proposition Summary'!$B$76,")")</f>
        <v>Financial savings due to avoided crime in Year 22 (GBP (£))</v>
      </c>
      <c r="X4" s="820" t="str">
        <f>CONCATENATE("Financial savings due to avoided crime in Year 23"," ", "(",'Proposition Summary'!$B$76,")")</f>
        <v>Financial savings due to avoided crime in Year 23 (GBP (£))</v>
      </c>
      <c r="Y4" s="820" t="str">
        <f>CONCATENATE("Financial savings due to avoided crime in Year 24"," ", "(",'Proposition Summary'!$B$76,")")</f>
        <v>Financial savings due to avoided crime in Year 24 (GBP (£))</v>
      </c>
      <c r="Z4" s="820" t="str">
        <f>CONCATENATE("Financial savings due to avoided crime in Year 25"," ", "(",'Proposition Summary'!$B$76,")")</f>
        <v>Financial savings due to avoided crime in Year 25 (GBP (£))</v>
      </c>
      <c r="AA4" s="820" t="str">
        <f>CONCATENATE("Total Savings"," ", "(",'Proposition Summary'!$B$76,")")</f>
        <v>Total Savings (GBP (£))</v>
      </c>
      <c r="AB4" s="1012" t="str">
        <f>CONCATENATE("Annual Savings"," ", "(",'Proposition Summary'!$B$76,")")</f>
        <v>Annual Savings (GBP (£))</v>
      </c>
    </row>
    <row r="5" spans="1:28" ht="16" hidden="1" thickTop="1">
      <c r="A5" s="649"/>
      <c r="B5" s="650"/>
      <c r="C5" s="650"/>
      <c r="D5" s="650"/>
      <c r="E5" s="650"/>
      <c r="F5" s="650"/>
      <c r="G5" s="650"/>
      <c r="H5" s="650"/>
      <c r="I5" s="650"/>
      <c r="J5" s="650"/>
      <c r="K5" s="650"/>
      <c r="L5" s="650"/>
      <c r="M5" s="650"/>
      <c r="N5" s="650"/>
      <c r="O5" s="650"/>
      <c r="P5" s="650"/>
      <c r="Q5" s="650"/>
      <c r="R5" s="650"/>
      <c r="S5" s="650"/>
      <c r="T5" s="650"/>
      <c r="U5" s="650"/>
      <c r="V5" s="650"/>
      <c r="W5" s="650"/>
      <c r="X5" s="650"/>
      <c r="Y5" s="650"/>
      <c r="Z5" s="156"/>
    </row>
    <row r="6" spans="1:28" ht="31.5" thickTop="1">
      <c r="A6" s="434" t="s">
        <v>561</v>
      </c>
      <c r="B6" s="142"/>
      <c r="C6" s="142"/>
      <c r="D6" s="142"/>
      <c r="E6" s="142"/>
      <c r="F6" s="142"/>
      <c r="G6" s="142" t="str">
        <f>IF(G$3&lt;=time,'Overall savings and benefits'!AP18,"")</f>
        <v/>
      </c>
      <c r="H6" s="142" t="str">
        <f>IF(H$3&lt;=time,'Overall savings and benefits'!AQ18,"")</f>
        <v/>
      </c>
      <c r="I6" s="142" t="str">
        <f>IF(I$3&lt;=time,'Overall savings and benefits'!AR18,"")</f>
        <v/>
      </c>
      <c r="J6" s="142" t="str">
        <f>IF(J$3&lt;=time,'Overall savings and benefits'!AS18,"")</f>
        <v/>
      </c>
      <c r="K6" s="142" t="str">
        <f>IF(K$3&lt;=time,'Overall savings and benefits'!AT18,"")</f>
        <v/>
      </c>
      <c r="L6" s="142" t="str">
        <f>IF(L$3&lt;=time,'Overall savings and benefits'!AU18,"")</f>
        <v/>
      </c>
      <c r="M6" s="142" t="str">
        <f>IF(M$3&lt;=time,'Overall savings and benefits'!AV18,"")</f>
        <v/>
      </c>
      <c r="N6" s="142" t="str">
        <f>IF(N$3&lt;=time,'Overall savings and benefits'!AW18,"")</f>
        <v/>
      </c>
      <c r="O6" s="142" t="str">
        <f>IF(O$3&lt;=time,'Overall savings and benefits'!AX18,"")</f>
        <v/>
      </c>
      <c r="P6" s="142" t="str">
        <f>IF(P$3&lt;=time,'Overall savings and benefits'!AY18,"")</f>
        <v/>
      </c>
      <c r="Q6" s="142" t="str">
        <f>IF(Q$3&lt;=time,'Overall savings and benefits'!AZ18,"")</f>
        <v/>
      </c>
      <c r="R6" s="142" t="str">
        <f>IF(R$3&lt;=time,'Overall savings and benefits'!BA18,"")</f>
        <v/>
      </c>
      <c r="S6" s="142" t="str">
        <f>IF(S$3&lt;=time,'Overall savings and benefits'!BB18,"")</f>
        <v/>
      </c>
      <c r="T6" s="142" t="str">
        <f>IF(T$3&lt;=time,'Overall savings and benefits'!BC18,"")</f>
        <v/>
      </c>
      <c r="U6" s="142" t="str">
        <f>IF(U$3&lt;=time,'Overall savings and benefits'!BD18,"")</f>
        <v/>
      </c>
      <c r="V6" s="142" t="str">
        <f>IF(V$3&lt;=time,'Overall savings and benefits'!BE18,"")</f>
        <v/>
      </c>
      <c r="W6" s="142" t="str">
        <f>IF(W$3&lt;=time,'Overall savings and benefits'!BF18,"")</f>
        <v/>
      </c>
      <c r="X6" s="142" t="str">
        <f>IF(X$3&lt;=time,'Overall savings and benefits'!BG18,"")</f>
        <v/>
      </c>
      <c r="Y6" s="142" t="str">
        <f>IF(Y$3&lt;=time,'Overall savings and benefits'!BH18,"")</f>
        <v/>
      </c>
      <c r="Z6" s="143" t="str">
        <f>IF(Z$3&lt;=time,'Overall savings and benefits'!BI18,"")</f>
        <v/>
      </c>
      <c r="AA6" s="1013"/>
      <c r="AB6" s="1014"/>
    </row>
    <row r="7" spans="1:28">
      <c r="A7" s="113" t="s">
        <v>290</v>
      </c>
      <c r="B7" s="133">
        <f>IF(B$3&lt;=time,'Overall savings and benefits'!AK19,"")</f>
        <v>0</v>
      </c>
      <c r="C7" s="133">
        <f>IF(C$3&lt;=time,'Overall savings and benefits'!AL19,"")</f>
        <v>0</v>
      </c>
      <c r="D7" s="133">
        <f>IF(D$3&lt;=time,'Overall savings and benefits'!AM19,"")</f>
        <v>0</v>
      </c>
      <c r="E7" s="133">
        <f>IF(E$3&lt;=time,'Overall savings and benefits'!AN19,"")</f>
        <v>0</v>
      </c>
      <c r="F7" s="133">
        <f>IF(F$3&lt;=time,'Overall savings and benefits'!AO19,"")</f>
        <v>0</v>
      </c>
      <c r="G7" s="133" t="str">
        <f>IF(G$3&lt;=time,'Overall savings and benefits'!AP19,"")</f>
        <v/>
      </c>
      <c r="H7" s="133" t="str">
        <f>IF(H$3&lt;=time,'Overall savings and benefits'!AQ19,"")</f>
        <v/>
      </c>
      <c r="I7" s="133" t="str">
        <f>IF(I$3&lt;=time,'Overall savings and benefits'!AR19,"")</f>
        <v/>
      </c>
      <c r="J7" s="133" t="str">
        <f>IF(J$3&lt;=time,'Overall savings and benefits'!AS19,"")</f>
        <v/>
      </c>
      <c r="K7" s="133" t="str">
        <f>IF(K$3&lt;=time,'Overall savings and benefits'!AT19,"")</f>
        <v/>
      </c>
      <c r="L7" s="133" t="str">
        <f>IF(L$3&lt;=time,'Overall savings and benefits'!AU19,"")</f>
        <v/>
      </c>
      <c r="M7" s="133" t="str">
        <f>IF(M$3&lt;=time,'Overall savings and benefits'!AV19,"")</f>
        <v/>
      </c>
      <c r="N7" s="133" t="str">
        <f>IF(N$3&lt;=time,'Overall savings and benefits'!AW19,"")</f>
        <v/>
      </c>
      <c r="O7" s="133" t="str">
        <f>IF(O$3&lt;=time,'Overall savings and benefits'!AX19,"")</f>
        <v/>
      </c>
      <c r="P7" s="133" t="str">
        <f>IF(P$3&lt;=time,'Overall savings and benefits'!AY19,"")</f>
        <v/>
      </c>
      <c r="Q7" s="133" t="str">
        <f>IF(Q$3&lt;=time,'Overall savings and benefits'!AZ19,"")</f>
        <v/>
      </c>
      <c r="R7" s="133" t="str">
        <f>IF(R$3&lt;=time,'Overall savings and benefits'!BA19,"")</f>
        <v/>
      </c>
      <c r="S7" s="133" t="str">
        <f>IF(S$3&lt;=time,'Overall savings and benefits'!BB19,"")</f>
        <v/>
      </c>
      <c r="T7" s="133" t="str">
        <f>IF(T$3&lt;=time,'Overall savings and benefits'!BC19,"")</f>
        <v/>
      </c>
      <c r="U7" s="133" t="str">
        <f>IF(U$3&lt;=time,'Overall savings and benefits'!BD19,"")</f>
        <v/>
      </c>
      <c r="V7" s="133" t="str">
        <f>IF(V$3&lt;=time,'Overall savings and benefits'!BE19,"")</f>
        <v/>
      </c>
      <c r="W7" s="133" t="str">
        <f>IF(W$3&lt;=time,'Overall savings and benefits'!BF19,"")</f>
        <v/>
      </c>
      <c r="X7" s="133" t="str">
        <f>IF(X$3&lt;=time,'Overall savings and benefits'!BG19,"")</f>
        <v/>
      </c>
      <c r="Y7" s="133" t="str">
        <f>IF(Y$3&lt;=time,'Overall savings and benefits'!BH19,"")</f>
        <v/>
      </c>
      <c r="Z7" s="134" t="str">
        <f>IF(Z$3&lt;=time,'Overall savings and benefits'!BI19,"")</f>
        <v/>
      </c>
      <c r="AA7" s="1022">
        <f t="array" ref="AA7">(SUM( IF(ISERROR(B7:Z7),"", B7:Z7)))</f>
        <v>0</v>
      </c>
      <c r="AB7" s="1023">
        <f t="shared" ref="AB7:AB21" si="0">AA7/time</f>
        <v>0</v>
      </c>
    </row>
    <row r="8" spans="1:28">
      <c r="A8" s="113" t="s">
        <v>542</v>
      </c>
      <c r="B8" s="133">
        <f>IF(B$3&lt;=time,'Overall savings and benefits'!AK20,"")</f>
        <v>0</v>
      </c>
      <c r="C8" s="133">
        <f>IF(C$3&lt;=time,'Overall savings and benefits'!AL20,"")</f>
        <v>1086.4794328604592</v>
      </c>
      <c r="D8" s="133">
        <f>IF(D$3&lt;=time,'Overall savings and benefits'!AM20,"")</f>
        <v>0</v>
      </c>
      <c r="E8" s="133">
        <f>IF(E$3&lt;=time,'Overall savings and benefits'!AN20,"")</f>
        <v>0</v>
      </c>
      <c r="F8" s="133">
        <f>IF(F$3&lt;=time,'Overall savings and benefits'!AO20,"")</f>
        <v>0</v>
      </c>
      <c r="G8" s="133" t="str">
        <f>IF(G$3&lt;=time,'Overall savings and benefits'!AP20,"")</f>
        <v/>
      </c>
      <c r="H8" s="133" t="str">
        <f>IF(H$3&lt;=time,'Overall savings and benefits'!AQ20,"")</f>
        <v/>
      </c>
      <c r="I8" s="133" t="str">
        <f>IF(I$3&lt;=time,'Overall savings and benefits'!AR20,"")</f>
        <v/>
      </c>
      <c r="J8" s="133" t="str">
        <f>IF(J$3&lt;=time,'Overall savings and benefits'!AS20,"")</f>
        <v/>
      </c>
      <c r="K8" s="133" t="str">
        <f>IF(K$3&lt;=time,'Overall savings and benefits'!AT20,"")</f>
        <v/>
      </c>
      <c r="L8" s="133" t="str">
        <f>IF(L$3&lt;=time,'Overall savings and benefits'!AU20,"")</f>
        <v/>
      </c>
      <c r="M8" s="133" t="str">
        <f>IF(M$3&lt;=time,'Overall savings and benefits'!AV20,"")</f>
        <v/>
      </c>
      <c r="N8" s="133" t="str">
        <f>IF(N$3&lt;=time,'Overall savings and benefits'!AW20,"")</f>
        <v/>
      </c>
      <c r="O8" s="133" t="str">
        <f>IF(O$3&lt;=time,'Overall savings and benefits'!AX20,"")</f>
        <v/>
      </c>
      <c r="P8" s="133" t="str">
        <f>IF(P$3&lt;=time,'Overall savings and benefits'!AY20,"")</f>
        <v/>
      </c>
      <c r="Q8" s="133" t="str">
        <f>IF(Q$3&lt;=time,'Overall savings and benefits'!AZ20,"")</f>
        <v/>
      </c>
      <c r="R8" s="133" t="str">
        <f>IF(R$3&lt;=time,'Overall savings and benefits'!BA20,"")</f>
        <v/>
      </c>
      <c r="S8" s="133" t="str">
        <f>IF(S$3&lt;=time,'Overall savings and benefits'!BB20,"")</f>
        <v/>
      </c>
      <c r="T8" s="133" t="str">
        <f>IF(T$3&lt;=time,'Overall savings and benefits'!BC20,"")</f>
        <v/>
      </c>
      <c r="U8" s="133" t="str">
        <f>IF(U$3&lt;=time,'Overall savings and benefits'!BD20,"")</f>
        <v/>
      </c>
      <c r="V8" s="133" t="str">
        <f>IF(V$3&lt;=time,'Overall savings and benefits'!BE20,"")</f>
        <v/>
      </c>
      <c r="W8" s="133" t="str">
        <f>IF(W$3&lt;=time,'Overall savings and benefits'!BF20,"")</f>
        <v/>
      </c>
      <c r="X8" s="133" t="str">
        <f>IF(X$3&lt;=time,'Overall savings and benefits'!BG20,"")</f>
        <v/>
      </c>
      <c r="Y8" s="133" t="str">
        <f>IF(Y$3&lt;=time,'Overall savings and benefits'!BH20,"")</f>
        <v/>
      </c>
      <c r="Z8" s="134" t="str">
        <f>IF(Z$3&lt;=time,'Overall savings and benefits'!BI20,"")</f>
        <v/>
      </c>
      <c r="AA8" s="1022">
        <f t="array" ref="AA8">(SUM( IF(ISERROR(B8:Z8),"", B8:Z8)))</f>
        <v>1086.4794328604592</v>
      </c>
      <c r="AB8" s="1023">
        <f t="shared" si="0"/>
        <v>217.29588657209183</v>
      </c>
    </row>
    <row r="9" spans="1:28">
      <c r="A9" s="113" t="s">
        <v>543</v>
      </c>
      <c r="B9" s="133">
        <f>IF(B$3&lt;=time,'Overall savings and benefits'!AK21,"")</f>
        <v>0</v>
      </c>
      <c r="C9" s="133">
        <f>IF(C$3&lt;=time,'Overall savings and benefits'!AL21,"")</f>
        <v>212.32818838574698</v>
      </c>
      <c r="D9" s="133">
        <f>IF(D$3&lt;=time,'Overall savings and benefits'!AM21,"")</f>
        <v>0</v>
      </c>
      <c r="E9" s="133">
        <f>IF(E$3&lt;=time,'Overall savings and benefits'!AN21,"")</f>
        <v>0</v>
      </c>
      <c r="F9" s="133">
        <f>IF(F$3&lt;=time,'Overall savings and benefits'!AO21,"")</f>
        <v>0</v>
      </c>
      <c r="G9" s="133" t="str">
        <f>IF(G$3&lt;=time,'Overall savings and benefits'!AP21,"")</f>
        <v/>
      </c>
      <c r="H9" s="133" t="str">
        <f>IF(H$3&lt;=time,'Overall savings and benefits'!AQ21,"")</f>
        <v/>
      </c>
      <c r="I9" s="133" t="str">
        <f>IF(I$3&lt;=time,'Overall savings and benefits'!AR21,"")</f>
        <v/>
      </c>
      <c r="J9" s="133" t="str">
        <f>IF(J$3&lt;=time,'Overall savings and benefits'!AS21,"")</f>
        <v/>
      </c>
      <c r="K9" s="133" t="str">
        <f>IF(K$3&lt;=time,'Overall savings and benefits'!AT21,"")</f>
        <v/>
      </c>
      <c r="L9" s="133" t="str">
        <f>IF(L$3&lt;=time,'Overall savings and benefits'!AU21,"")</f>
        <v/>
      </c>
      <c r="M9" s="133" t="str">
        <f>IF(M$3&lt;=time,'Overall savings and benefits'!AV21,"")</f>
        <v/>
      </c>
      <c r="N9" s="133" t="str">
        <f>IF(N$3&lt;=time,'Overall savings and benefits'!AW21,"")</f>
        <v/>
      </c>
      <c r="O9" s="133" t="str">
        <f>IF(O$3&lt;=time,'Overall savings and benefits'!AX21,"")</f>
        <v/>
      </c>
      <c r="P9" s="133" t="str">
        <f>IF(P$3&lt;=time,'Overall savings and benefits'!AY21,"")</f>
        <v/>
      </c>
      <c r="Q9" s="133" t="str">
        <f>IF(Q$3&lt;=time,'Overall savings and benefits'!AZ21,"")</f>
        <v/>
      </c>
      <c r="R9" s="133" t="str">
        <f>IF(R$3&lt;=time,'Overall savings and benefits'!BA21,"")</f>
        <v/>
      </c>
      <c r="S9" s="133" t="str">
        <f>IF(S$3&lt;=time,'Overall savings and benefits'!BB21,"")</f>
        <v/>
      </c>
      <c r="T9" s="133" t="str">
        <f>IF(T$3&lt;=time,'Overall savings and benefits'!BC21,"")</f>
        <v/>
      </c>
      <c r="U9" s="133" t="str">
        <f>IF(U$3&lt;=time,'Overall savings and benefits'!BD21,"")</f>
        <v/>
      </c>
      <c r="V9" s="133" t="str">
        <f>IF(V$3&lt;=time,'Overall savings and benefits'!BE21,"")</f>
        <v/>
      </c>
      <c r="W9" s="133" t="str">
        <f>IF(W$3&lt;=time,'Overall savings and benefits'!BF21,"")</f>
        <v/>
      </c>
      <c r="X9" s="133" t="str">
        <f>IF(X$3&lt;=time,'Overall savings and benefits'!BG21,"")</f>
        <v/>
      </c>
      <c r="Y9" s="133" t="str">
        <f>IF(Y$3&lt;=time,'Overall savings and benefits'!BH21,"")</f>
        <v/>
      </c>
      <c r="Z9" s="134" t="str">
        <f>IF(Z$3&lt;=time,'Overall savings and benefits'!BI21,"")</f>
        <v/>
      </c>
      <c r="AA9" s="1022">
        <f t="array" ref="AA9">(SUM( IF(ISERROR(B9:Z9),"", B9:Z9)))</f>
        <v>212.32818838574698</v>
      </c>
      <c r="AB9" s="1023">
        <f t="shared" si="0"/>
        <v>42.465637677149395</v>
      </c>
    </row>
    <row r="10" spans="1:28">
      <c r="A10" s="113" t="s">
        <v>544</v>
      </c>
      <c r="B10" s="133">
        <f>IF(B$3&lt;=time,'Overall savings and benefits'!AK22,"")</f>
        <v>0</v>
      </c>
      <c r="C10" s="133">
        <f>IF(C$3&lt;=time,'Overall savings and benefits'!AL22,"")</f>
        <v>33.217795411195354</v>
      </c>
      <c r="D10" s="133">
        <f>IF(D$3&lt;=time,'Overall savings and benefits'!AM22,"")</f>
        <v>0</v>
      </c>
      <c r="E10" s="133">
        <f>IF(E$3&lt;=time,'Overall savings and benefits'!AN22,"")</f>
        <v>0</v>
      </c>
      <c r="F10" s="133">
        <f>IF(F$3&lt;=time,'Overall savings and benefits'!AO22,"")</f>
        <v>0</v>
      </c>
      <c r="G10" s="133" t="str">
        <f>IF(G$3&lt;=time,'Overall savings and benefits'!AP22,"")</f>
        <v/>
      </c>
      <c r="H10" s="133" t="str">
        <f>IF(H$3&lt;=time,'Overall savings and benefits'!AQ22,"")</f>
        <v/>
      </c>
      <c r="I10" s="133" t="str">
        <f>IF(I$3&lt;=time,'Overall savings and benefits'!AR22,"")</f>
        <v/>
      </c>
      <c r="J10" s="133" t="str">
        <f>IF(J$3&lt;=time,'Overall savings and benefits'!AS22,"")</f>
        <v/>
      </c>
      <c r="K10" s="133" t="str">
        <f>IF(K$3&lt;=time,'Overall savings and benefits'!AT22,"")</f>
        <v/>
      </c>
      <c r="L10" s="133" t="str">
        <f>IF(L$3&lt;=time,'Overall savings and benefits'!AU22,"")</f>
        <v/>
      </c>
      <c r="M10" s="133" t="str">
        <f>IF(M$3&lt;=time,'Overall savings and benefits'!AV22,"")</f>
        <v/>
      </c>
      <c r="N10" s="133" t="str">
        <f>IF(N$3&lt;=time,'Overall savings and benefits'!AW22,"")</f>
        <v/>
      </c>
      <c r="O10" s="133" t="str">
        <f>IF(O$3&lt;=time,'Overall savings and benefits'!AX22,"")</f>
        <v/>
      </c>
      <c r="P10" s="133" t="str">
        <f>IF(P$3&lt;=time,'Overall savings and benefits'!AY22,"")</f>
        <v/>
      </c>
      <c r="Q10" s="133" t="str">
        <f>IF(Q$3&lt;=time,'Overall savings and benefits'!AZ22,"")</f>
        <v/>
      </c>
      <c r="R10" s="133" t="str">
        <f>IF(R$3&lt;=time,'Overall savings and benefits'!BA22,"")</f>
        <v/>
      </c>
      <c r="S10" s="133" t="str">
        <f>IF(S$3&lt;=time,'Overall savings and benefits'!BB22,"")</f>
        <v/>
      </c>
      <c r="T10" s="133" t="str">
        <f>IF(T$3&lt;=time,'Overall savings and benefits'!BC22,"")</f>
        <v/>
      </c>
      <c r="U10" s="133" t="str">
        <f>IF(U$3&lt;=time,'Overall savings and benefits'!BD22,"")</f>
        <v/>
      </c>
      <c r="V10" s="133" t="str">
        <f>IF(V$3&lt;=time,'Overall savings and benefits'!BE22,"")</f>
        <v/>
      </c>
      <c r="W10" s="133" t="str">
        <f>IF(W$3&lt;=time,'Overall savings and benefits'!BF22,"")</f>
        <v/>
      </c>
      <c r="X10" s="133" t="str">
        <f>IF(X$3&lt;=time,'Overall savings and benefits'!BG22,"")</f>
        <v/>
      </c>
      <c r="Y10" s="133" t="str">
        <f>IF(Y$3&lt;=time,'Overall savings and benefits'!BH22,"")</f>
        <v/>
      </c>
      <c r="Z10" s="134" t="str">
        <f>IF(Z$3&lt;=time,'Overall savings and benefits'!BI22,"")</f>
        <v/>
      </c>
      <c r="AA10" s="1022">
        <f t="array" ref="AA10">(SUM( IF(ISERROR(B10:Z10),"", B10:Z10)))</f>
        <v>33.217795411195354</v>
      </c>
      <c r="AB10" s="1023">
        <f t="shared" si="0"/>
        <v>6.6435590822390704</v>
      </c>
    </row>
    <row r="11" spans="1:28">
      <c r="A11" s="113" t="s">
        <v>545</v>
      </c>
      <c r="B11" s="133">
        <f>IF(B$3&lt;=time,'Overall savings and benefits'!AK23,"")</f>
        <v>0</v>
      </c>
      <c r="C11" s="133">
        <f>IF(C$3&lt;=time,'Overall savings and benefits'!AL23,"")</f>
        <v>248.91784863001948</v>
      </c>
      <c r="D11" s="133">
        <f>IF(D$3&lt;=time,'Overall savings and benefits'!AM23,"")</f>
        <v>0</v>
      </c>
      <c r="E11" s="133">
        <f>IF(E$3&lt;=time,'Overall savings and benefits'!AN23,"")</f>
        <v>0</v>
      </c>
      <c r="F11" s="133">
        <f>IF(F$3&lt;=time,'Overall savings and benefits'!AO23,"")</f>
        <v>0</v>
      </c>
      <c r="G11" s="133" t="str">
        <f>IF(G$3&lt;=time,'Overall savings and benefits'!AP23,"")</f>
        <v/>
      </c>
      <c r="H11" s="133" t="str">
        <f>IF(H$3&lt;=time,'Overall savings and benefits'!AQ23,"")</f>
        <v/>
      </c>
      <c r="I11" s="133" t="str">
        <f>IF(I$3&lt;=time,'Overall savings and benefits'!AR23,"")</f>
        <v/>
      </c>
      <c r="J11" s="133" t="str">
        <f>IF(J$3&lt;=time,'Overall savings and benefits'!AS23,"")</f>
        <v/>
      </c>
      <c r="K11" s="133" t="str">
        <f>IF(K$3&lt;=time,'Overall savings and benefits'!AT23,"")</f>
        <v/>
      </c>
      <c r="L11" s="133" t="str">
        <f>IF(L$3&lt;=time,'Overall savings and benefits'!AU23,"")</f>
        <v/>
      </c>
      <c r="M11" s="133" t="str">
        <f>IF(M$3&lt;=time,'Overall savings and benefits'!AV23,"")</f>
        <v/>
      </c>
      <c r="N11" s="133" t="str">
        <f>IF(N$3&lt;=time,'Overall savings and benefits'!AW23,"")</f>
        <v/>
      </c>
      <c r="O11" s="133" t="str">
        <f>IF(O$3&lt;=time,'Overall savings and benefits'!AX23,"")</f>
        <v/>
      </c>
      <c r="P11" s="133" t="str">
        <f>IF(P$3&lt;=time,'Overall savings and benefits'!AY23,"")</f>
        <v/>
      </c>
      <c r="Q11" s="133" t="str">
        <f>IF(Q$3&lt;=time,'Overall savings and benefits'!AZ23,"")</f>
        <v/>
      </c>
      <c r="R11" s="133" t="str">
        <f>IF(R$3&lt;=time,'Overall savings and benefits'!BA23,"")</f>
        <v/>
      </c>
      <c r="S11" s="133" t="str">
        <f>IF(S$3&lt;=time,'Overall savings and benefits'!BB23,"")</f>
        <v/>
      </c>
      <c r="T11" s="133" t="str">
        <f>IF(T$3&lt;=time,'Overall savings and benefits'!BC23,"")</f>
        <v/>
      </c>
      <c r="U11" s="133" t="str">
        <f>IF(U$3&lt;=time,'Overall savings and benefits'!BD23,"")</f>
        <v/>
      </c>
      <c r="V11" s="133" t="str">
        <f>IF(V$3&lt;=time,'Overall savings and benefits'!BE23,"")</f>
        <v/>
      </c>
      <c r="W11" s="133" t="str">
        <f>IF(W$3&lt;=time,'Overall savings and benefits'!BF23,"")</f>
        <v/>
      </c>
      <c r="X11" s="133" t="str">
        <f>IF(X$3&lt;=time,'Overall savings and benefits'!BG23,"")</f>
        <v/>
      </c>
      <c r="Y11" s="133" t="str">
        <f>IF(Y$3&lt;=time,'Overall savings and benefits'!BH23,"")</f>
        <v/>
      </c>
      <c r="Z11" s="134" t="str">
        <f>IF(Z$3&lt;=time,'Overall savings and benefits'!BI23,"")</f>
        <v/>
      </c>
      <c r="AA11" s="1022">
        <f t="array" ref="AA11">(SUM( IF(ISERROR(B11:Z11),"", B11:Z11)))</f>
        <v>248.91784863001948</v>
      </c>
      <c r="AB11" s="1023">
        <f t="shared" si="0"/>
        <v>49.783569726003897</v>
      </c>
    </row>
    <row r="12" spans="1:28">
      <c r="A12" s="113" t="s">
        <v>292</v>
      </c>
      <c r="B12" s="133">
        <f>IF(B$3&lt;=time,'Overall savings and benefits'!AK24,"")</f>
        <v>0</v>
      </c>
      <c r="C12" s="133">
        <f>IF(C$3&lt;=time,'Overall savings and benefits'!AL24,"")</f>
        <v>369.43302558777293</v>
      </c>
      <c r="D12" s="133">
        <f>IF(D$3&lt;=time,'Overall savings and benefits'!AM24,"")</f>
        <v>0</v>
      </c>
      <c r="E12" s="133">
        <f>IF(E$3&lt;=time,'Overall savings and benefits'!AN24,"")</f>
        <v>0</v>
      </c>
      <c r="F12" s="133">
        <f>IF(F$3&lt;=time,'Overall savings and benefits'!AO24,"")</f>
        <v>0</v>
      </c>
      <c r="G12" s="133" t="str">
        <f>IF(G$3&lt;=time,'Overall savings and benefits'!AP24,"")</f>
        <v/>
      </c>
      <c r="H12" s="133" t="str">
        <f>IF(H$3&lt;=time,'Overall savings and benefits'!AQ24,"")</f>
        <v/>
      </c>
      <c r="I12" s="133" t="str">
        <f>IF(I$3&lt;=time,'Overall savings and benefits'!AR24,"")</f>
        <v/>
      </c>
      <c r="J12" s="133" t="str">
        <f>IF(J$3&lt;=time,'Overall savings and benefits'!AS24,"")</f>
        <v/>
      </c>
      <c r="K12" s="133" t="str">
        <f>IF(K$3&lt;=time,'Overall savings and benefits'!AT24,"")</f>
        <v/>
      </c>
      <c r="L12" s="133" t="str">
        <f>IF(L$3&lt;=time,'Overall savings and benefits'!AU24,"")</f>
        <v/>
      </c>
      <c r="M12" s="133" t="str">
        <f>IF(M$3&lt;=time,'Overall savings and benefits'!AV24,"")</f>
        <v/>
      </c>
      <c r="N12" s="133" t="str">
        <f>IF(N$3&lt;=time,'Overall savings and benefits'!AW24,"")</f>
        <v/>
      </c>
      <c r="O12" s="133" t="str">
        <f>IF(O$3&lt;=time,'Overall savings and benefits'!AX24,"")</f>
        <v/>
      </c>
      <c r="P12" s="133" t="str">
        <f>IF(P$3&lt;=time,'Overall savings and benefits'!AY24,"")</f>
        <v/>
      </c>
      <c r="Q12" s="133" t="str">
        <f>IF(Q$3&lt;=time,'Overall savings and benefits'!AZ24,"")</f>
        <v/>
      </c>
      <c r="R12" s="133" t="str">
        <f>IF(R$3&lt;=time,'Overall savings and benefits'!BA24,"")</f>
        <v/>
      </c>
      <c r="S12" s="133" t="str">
        <f>IF(S$3&lt;=time,'Overall savings and benefits'!BB24,"")</f>
        <v/>
      </c>
      <c r="T12" s="133" t="str">
        <f>IF(T$3&lt;=time,'Overall savings and benefits'!BC24,"")</f>
        <v/>
      </c>
      <c r="U12" s="133" t="str">
        <f>IF(U$3&lt;=time,'Overall savings and benefits'!BD24,"")</f>
        <v/>
      </c>
      <c r="V12" s="133" t="str">
        <f>IF(V$3&lt;=time,'Overall savings and benefits'!BE24,"")</f>
        <v/>
      </c>
      <c r="W12" s="133" t="str">
        <f>IF(W$3&lt;=time,'Overall savings and benefits'!BF24,"")</f>
        <v/>
      </c>
      <c r="X12" s="133" t="str">
        <f>IF(X$3&lt;=time,'Overall savings and benefits'!BG24,"")</f>
        <v/>
      </c>
      <c r="Y12" s="133" t="str">
        <f>IF(Y$3&lt;=time,'Overall savings and benefits'!BH24,"")</f>
        <v/>
      </c>
      <c r="Z12" s="134" t="str">
        <f>IF(Z$3&lt;=time,'Overall savings and benefits'!BI24,"")</f>
        <v/>
      </c>
      <c r="AA12" s="1022">
        <f t="array" ref="AA12">(SUM( IF(ISERROR(B12:Z12),"", B12:Z12)))</f>
        <v>369.43302558777293</v>
      </c>
      <c r="AB12" s="1023">
        <f t="shared" si="0"/>
        <v>73.886605117554581</v>
      </c>
    </row>
    <row r="13" spans="1:28">
      <c r="A13" s="113" t="s">
        <v>546</v>
      </c>
      <c r="B13" s="133">
        <f>IF(B$3&lt;=time,'Overall savings and benefits'!AK25,"")</f>
        <v>0</v>
      </c>
      <c r="C13" s="133">
        <f>IF(C$3&lt;=time,'Overall savings and benefits'!AL25,"")</f>
        <v>862.12983366156379</v>
      </c>
      <c r="D13" s="133">
        <f>IF(D$3&lt;=time,'Overall savings and benefits'!AM25,"")</f>
        <v>0</v>
      </c>
      <c r="E13" s="133">
        <f>IF(E$3&lt;=time,'Overall savings and benefits'!AN25,"")</f>
        <v>0</v>
      </c>
      <c r="F13" s="133">
        <f>IF(F$3&lt;=time,'Overall savings and benefits'!AO25,"")</f>
        <v>0</v>
      </c>
      <c r="G13" s="133" t="str">
        <f>IF(G$3&lt;=time,'Overall savings and benefits'!AP25,"")</f>
        <v/>
      </c>
      <c r="H13" s="133" t="str">
        <f>IF(H$3&lt;=time,'Overall savings and benefits'!AQ25,"")</f>
        <v/>
      </c>
      <c r="I13" s="133" t="str">
        <f>IF(I$3&lt;=time,'Overall savings and benefits'!AR25,"")</f>
        <v/>
      </c>
      <c r="J13" s="133" t="str">
        <f>IF(J$3&lt;=time,'Overall savings and benefits'!AS25,"")</f>
        <v/>
      </c>
      <c r="K13" s="133" t="str">
        <f>IF(K$3&lt;=time,'Overall savings and benefits'!AT25,"")</f>
        <v/>
      </c>
      <c r="L13" s="133" t="str">
        <f>IF(L$3&lt;=time,'Overall savings and benefits'!AU25,"")</f>
        <v/>
      </c>
      <c r="M13" s="133" t="str">
        <f>IF(M$3&lt;=time,'Overall savings and benefits'!AV25,"")</f>
        <v/>
      </c>
      <c r="N13" s="133" t="str">
        <f>IF(N$3&lt;=time,'Overall savings and benefits'!AW25,"")</f>
        <v/>
      </c>
      <c r="O13" s="133" t="str">
        <f>IF(O$3&lt;=time,'Overall savings and benefits'!AX25,"")</f>
        <v/>
      </c>
      <c r="P13" s="133" t="str">
        <f>IF(P$3&lt;=time,'Overall savings and benefits'!AY25,"")</f>
        <v/>
      </c>
      <c r="Q13" s="133" t="str">
        <f>IF(Q$3&lt;=time,'Overall savings and benefits'!AZ25,"")</f>
        <v/>
      </c>
      <c r="R13" s="133" t="str">
        <f>IF(R$3&lt;=time,'Overall savings and benefits'!BA25,"")</f>
        <v/>
      </c>
      <c r="S13" s="133" t="str">
        <f>IF(S$3&lt;=time,'Overall savings and benefits'!BB25,"")</f>
        <v/>
      </c>
      <c r="T13" s="133" t="str">
        <f>IF(T$3&lt;=time,'Overall savings and benefits'!BC25,"")</f>
        <v/>
      </c>
      <c r="U13" s="133" t="str">
        <f>IF(U$3&lt;=time,'Overall savings and benefits'!BD25,"")</f>
        <v/>
      </c>
      <c r="V13" s="133" t="str">
        <f>IF(V$3&lt;=time,'Overall savings and benefits'!BE25,"")</f>
        <v/>
      </c>
      <c r="W13" s="133" t="str">
        <f>IF(W$3&lt;=time,'Overall savings and benefits'!BF25,"")</f>
        <v/>
      </c>
      <c r="X13" s="133" t="str">
        <f>IF(X$3&lt;=time,'Overall savings and benefits'!BG25,"")</f>
        <v/>
      </c>
      <c r="Y13" s="133" t="str">
        <f>IF(Y$3&lt;=time,'Overall savings and benefits'!BH25,"")</f>
        <v/>
      </c>
      <c r="Z13" s="134" t="str">
        <f>IF(Z$3&lt;=time,'Overall savings and benefits'!BI25,"")</f>
        <v/>
      </c>
      <c r="AA13" s="1022">
        <f t="array" ref="AA13">(SUM( IF(ISERROR(B13:Z13),"", B13:Z13)))</f>
        <v>862.12983366156379</v>
      </c>
      <c r="AB13" s="1023">
        <f t="shared" si="0"/>
        <v>172.42596673231276</v>
      </c>
    </row>
    <row r="14" spans="1:28">
      <c r="A14" s="113" t="s">
        <v>547</v>
      </c>
      <c r="B14" s="133">
        <f>IF(B$3&lt;=time,'Overall savings and benefits'!AK26,"")</f>
        <v>0</v>
      </c>
      <c r="C14" s="133">
        <f>IF(C$3&lt;=time,'Overall savings and benefits'!AL26,"")</f>
        <v>32.27847262046842</v>
      </c>
      <c r="D14" s="133">
        <f>IF(D$3&lt;=time,'Overall savings and benefits'!AM26,"")</f>
        <v>0</v>
      </c>
      <c r="E14" s="133">
        <f>IF(E$3&lt;=time,'Overall savings and benefits'!AN26,"")</f>
        <v>0</v>
      </c>
      <c r="F14" s="133">
        <f>IF(F$3&lt;=time,'Overall savings and benefits'!AO26,"")</f>
        <v>0</v>
      </c>
      <c r="G14" s="133" t="str">
        <f>IF(G$3&lt;=time,'Overall savings and benefits'!AP26,"")</f>
        <v/>
      </c>
      <c r="H14" s="133" t="str">
        <f>IF(H$3&lt;=time,'Overall savings and benefits'!AQ26,"")</f>
        <v/>
      </c>
      <c r="I14" s="133" t="str">
        <f>IF(I$3&lt;=time,'Overall savings and benefits'!AR26,"")</f>
        <v/>
      </c>
      <c r="J14" s="133" t="str">
        <f>IF(J$3&lt;=time,'Overall savings and benefits'!AS26,"")</f>
        <v/>
      </c>
      <c r="K14" s="133" t="str">
        <f>IF(K$3&lt;=time,'Overall savings and benefits'!AT26,"")</f>
        <v/>
      </c>
      <c r="L14" s="133" t="str">
        <f>IF(L$3&lt;=time,'Overall savings and benefits'!AU26,"")</f>
        <v/>
      </c>
      <c r="M14" s="133" t="str">
        <f>IF(M$3&lt;=time,'Overall savings and benefits'!AV26,"")</f>
        <v/>
      </c>
      <c r="N14" s="133" t="str">
        <f>IF(N$3&lt;=time,'Overall savings and benefits'!AW26,"")</f>
        <v/>
      </c>
      <c r="O14" s="133" t="str">
        <f>IF(O$3&lt;=time,'Overall savings and benefits'!AX26,"")</f>
        <v/>
      </c>
      <c r="P14" s="133" t="str">
        <f>IF(P$3&lt;=time,'Overall savings and benefits'!AY26,"")</f>
        <v/>
      </c>
      <c r="Q14" s="133" t="str">
        <f>IF(Q$3&lt;=time,'Overall savings and benefits'!AZ26,"")</f>
        <v/>
      </c>
      <c r="R14" s="133" t="str">
        <f>IF(R$3&lt;=time,'Overall savings and benefits'!BA26,"")</f>
        <v/>
      </c>
      <c r="S14" s="133" t="str">
        <f>IF(S$3&lt;=time,'Overall savings and benefits'!BB26,"")</f>
        <v/>
      </c>
      <c r="T14" s="133" t="str">
        <f>IF(T$3&lt;=time,'Overall savings and benefits'!BC26,"")</f>
        <v/>
      </c>
      <c r="U14" s="133" t="str">
        <f>IF(U$3&lt;=time,'Overall savings and benefits'!BD26,"")</f>
        <v/>
      </c>
      <c r="V14" s="133" t="str">
        <f>IF(V$3&lt;=time,'Overall savings and benefits'!BE26,"")</f>
        <v/>
      </c>
      <c r="W14" s="133" t="str">
        <f>IF(W$3&lt;=time,'Overall savings and benefits'!BF26,"")</f>
        <v/>
      </c>
      <c r="X14" s="133" t="str">
        <f>IF(X$3&lt;=time,'Overall savings and benefits'!BG26,"")</f>
        <v/>
      </c>
      <c r="Y14" s="133" t="str">
        <f>IF(Y$3&lt;=time,'Overall savings and benefits'!BH26,"")</f>
        <v/>
      </c>
      <c r="Z14" s="134" t="str">
        <f>IF(Z$3&lt;=time,'Overall savings and benefits'!BI26,"")</f>
        <v/>
      </c>
      <c r="AA14" s="1022">
        <f t="array" ref="AA14">(SUM( IF(ISERROR(B14:Z14),"", B14:Z14)))</f>
        <v>32.27847262046842</v>
      </c>
      <c r="AB14" s="1023">
        <f t="shared" si="0"/>
        <v>6.4556945240936843</v>
      </c>
    </row>
    <row r="15" spans="1:28">
      <c r="A15" s="113" t="s">
        <v>548</v>
      </c>
      <c r="B15" s="133">
        <f>IF(B$3&lt;=time,'Overall savings and benefits'!AK27,"")</f>
        <v>0</v>
      </c>
      <c r="C15" s="133">
        <f>IF(C$3&lt;=time,'Overall savings and benefits'!AL27,"")</f>
        <v>75.476859829254877</v>
      </c>
      <c r="D15" s="133">
        <f>IF(D$3&lt;=time,'Overall savings and benefits'!AM27,"")</f>
        <v>0</v>
      </c>
      <c r="E15" s="133">
        <f>IF(E$3&lt;=time,'Overall savings and benefits'!AN27,"")</f>
        <v>0</v>
      </c>
      <c r="F15" s="133">
        <f>IF(F$3&lt;=time,'Overall savings and benefits'!AO27,"")</f>
        <v>0</v>
      </c>
      <c r="G15" s="133" t="str">
        <f>IF(G$3&lt;=time,'Overall savings and benefits'!AP27,"")</f>
        <v/>
      </c>
      <c r="H15" s="133" t="str">
        <f>IF(H$3&lt;=time,'Overall savings and benefits'!AQ27,"")</f>
        <v/>
      </c>
      <c r="I15" s="133" t="str">
        <f>IF(I$3&lt;=time,'Overall savings and benefits'!AR27,"")</f>
        <v/>
      </c>
      <c r="J15" s="133" t="str">
        <f>IF(J$3&lt;=time,'Overall savings and benefits'!AS27,"")</f>
        <v/>
      </c>
      <c r="K15" s="133" t="str">
        <f>IF(K$3&lt;=time,'Overall savings and benefits'!AT27,"")</f>
        <v/>
      </c>
      <c r="L15" s="133" t="str">
        <f>IF(L$3&lt;=time,'Overall savings and benefits'!AU27,"")</f>
        <v/>
      </c>
      <c r="M15" s="133" t="str">
        <f>IF(M$3&lt;=time,'Overall savings and benefits'!AV27,"")</f>
        <v/>
      </c>
      <c r="N15" s="133" t="str">
        <f>IF(N$3&lt;=time,'Overall savings and benefits'!AW27,"")</f>
        <v/>
      </c>
      <c r="O15" s="133" t="str">
        <f>IF(O$3&lt;=time,'Overall savings and benefits'!AX27,"")</f>
        <v/>
      </c>
      <c r="P15" s="133" t="str">
        <f>IF(P$3&lt;=time,'Overall savings and benefits'!AY27,"")</f>
        <v/>
      </c>
      <c r="Q15" s="133" t="str">
        <f>IF(Q$3&lt;=time,'Overall savings and benefits'!AZ27,"")</f>
        <v/>
      </c>
      <c r="R15" s="133" t="str">
        <f>IF(R$3&lt;=time,'Overall savings and benefits'!BA27,"")</f>
        <v/>
      </c>
      <c r="S15" s="133" t="str">
        <f>IF(S$3&lt;=time,'Overall savings and benefits'!BB27,"")</f>
        <v/>
      </c>
      <c r="T15" s="133" t="str">
        <f>IF(T$3&lt;=time,'Overall savings and benefits'!BC27,"")</f>
        <v/>
      </c>
      <c r="U15" s="133" t="str">
        <f>IF(U$3&lt;=time,'Overall savings and benefits'!BD27,"")</f>
        <v/>
      </c>
      <c r="V15" s="133" t="str">
        <f>IF(V$3&lt;=time,'Overall savings and benefits'!BE27,"")</f>
        <v/>
      </c>
      <c r="W15" s="133" t="str">
        <f>IF(W$3&lt;=time,'Overall savings and benefits'!BF27,"")</f>
        <v/>
      </c>
      <c r="X15" s="133" t="str">
        <f>IF(X$3&lt;=time,'Overall savings and benefits'!BG27,"")</f>
        <v/>
      </c>
      <c r="Y15" s="133" t="str">
        <f>IF(Y$3&lt;=time,'Overall savings and benefits'!BH27,"")</f>
        <v/>
      </c>
      <c r="Z15" s="134" t="str">
        <f>IF(Z$3&lt;=time,'Overall savings and benefits'!BI27,"")</f>
        <v/>
      </c>
      <c r="AA15" s="1022">
        <f t="array" ref="AA15">(SUM( IF(ISERROR(B15:Z15),"", B15:Z15)))</f>
        <v>75.476859829254877</v>
      </c>
      <c r="AB15" s="1023">
        <f t="shared" si="0"/>
        <v>15.095371965850976</v>
      </c>
    </row>
    <row r="16" spans="1:28">
      <c r="A16" s="113" t="s">
        <v>549</v>
      </c>
      <c r="B16" s="133">
        <f>IF(B$3&lt;=time,'Overall savings and benefits'!AK28,"")</f>
        <v>0</v>
      </c>
      <c r="C16" s="133">
        <f>IF(C$3&lt;=time,'Overall savings and benefits'!AL28,"")</f>
        <v>243.86017147599</v>
      </c>
      <c r="D16" s="133">
        <f>IF(D$3&lt;=time,'Overall savings and benefits'!AM28,"")</f>
        <v>0</v>
      </c>
      <c r="E16" s="133">
        <f>IF(E$3&lt;=time,'Overall savings and benefits'!AN28,"")</f>
        <v>0</v>
      </c>
      <c r="F16" s="133">
        <f>IF(F$3&lt;=time,'Overall savings and benefits'!AO28,"")</f>
        <v>0</v>
      </c>
      <c r="G16" s="133" t="str">
        <f>IF(G$3&lt;=time,'Overall savings and benefits'!AP28,"")</f>
        <v/>
      </c>
      <c r="H16" s="133" t="str">
        <f>IF(H$3&lt;=time,'Overall savings and benefits'!AQ28,"")</f>
        <v/>
      </c>
      <c r="I16" s="133" t="str">
        <f>IF(I$3&lt;=time,'Overall savings and benefits'!AR28,"")</f>
        <v/>
      </c>
      <c r="J16" s="133" t="str">
        <f>IF(J$3&lt;=time,'Overall savings and benefits'!AS28,"")</f>
        <v/>
      </c>
      <c r="K16" s="133" t="str">
        <f>IF(K$3&lt;=time,'Overall savings and benefits'!AT28,"")</f>
        <v/>
      </c>
      <c r="L16" s="133" t="str">
        <f>IF(L$3&lt;=time,'Overall savings and benefits'!AU28,"")</f>
        <v/>
      </c>
      <c r="M16" s="133" t="str">
        <f>IF(M$3&lt;=time,'Overall savings and benefits'!AV28,"")</f>
        <v/>
      </c>
      <c r="N16" s="133" t="str">
        <f>IF(N$3&lt;=time,'Overall savings and benefits'!AW28,"")</f>
        <v/>
      </c>
      <c r="O16" s="133" t="str">
        <f>IF(O$3&lt;=time,'Overall savings and benefits'!AX28,"")</f>
        <v/>
      </c>
      <c r="P16" s="133" t="str">
        <f>IF(P$3&lt;=time,'Overall savings and benefits'!AY28,"")</f>
        <v/>
      </c>
      <c r="Q16" s="133" t="str">
        <f>IF(Q$3&lt;=time,'Overall savings and benefits'!AZ28,"")</f>
        <v/>
      </c>
      <c r="R16" s="133" t="str">
        <f>IF(R$3&lt;=time,'Overall savings and benefits'!BA28,"")</f>
        <v/>
      </c>
      <c r="S16" s="133" t="str">
        <f>IF(S$3&lt;=time,'Overall savings and benefits'!BB28,"")</f>
        <v/>
      </c>
      <c r="T16" s="133" t="str">
        <f>IF(T$3&lt;=time,'Overall savings and benefits'!BC28,"")</f>
        <v/>
      </c>
      <c r="U16" s="133" t="str">
        <f>IF(U$3&lt;=time,'Overall savings and benefits'!BD28,"")</f>
        <v/>
      </c>
      <c r="V16" s="133" t="str">
        <f>IF(V$3&lt;=time,'Overall savings and benefits'!BE28,"")</f>
        <v/>
      </c>
      <c r="W16" s="133" t="str">
        <f>IF(W$3&lt;=time,'Overall savings and benefits'!BF28,"")</f>
        <v/>
      </c>
      <c r="X16" s="133" t="str">
        <f>IF(X$3&lt;=time,'Overall savings and benefits'!BG28,"")</f>
        <v/>
      </c>
      <c r="Y16" s="133" t="str">
        <f>IF(Y$3&lt;=time,'Overall savings and benefits'!BH28,"")</f>
        <v/>
      </c>
      <c r="Z16" s="134" t="str">
        <f>IF(Z$3&lt;=time,'Overall savings and benefits'!BI28,"")</f>
        <v/>
      </c>
      <c r="AA16" s="1022">
        <f t="array" ref="AA16">(SUM( IF(ISERROR(B16:Z16),"", B16:Z16)))</f>
        <v>243.86017147599</v>
      </c>
      <c r="AB16" s="1023">
        <f t="shared" si="0"/>
        <v>48.772034295197997</v>
      </c>
    </row>
    <row r="17" spans="1:28">
      <c r="A17" s="113" t="s">
        <v>550</v>
      </c>
      <c r="B17" s="133">
        <f>IF(B$3&lt;=time,'Overall savings and benefits'!AK29,"")</f>
        <v>0</v>
      </c>
      <c r="C17" s="133">
        <f>IF(C$3&lt;=time,'Overall savings and benefits'!AL29,"")</f>
        <v>0.22387986389282419</v>
      </c>
      <c r="D17" s="133">
        <f>IF(D$3&lt;=time,'Overall savings and benefits'!AM29,"")</f>
        <v>0</v>
      </c>
      <c r="E17" s="133">
        <f>IF(E$3&lt;=time,'Overall savings and benefits'!AN29,"")</f>
        <v>0</v>
      </c>
      <c r="F17" s="133">
        <f>IF(F$3&lt;=time,'Overall savings and benefits'!AO29,"")</f>
        <v>0</v>
      </c>
      <c r="G17" s="133" t="str">
        <f>IF(G$3&lt;=time,'Overall savings and benefits'!AP29,"")</f>
        <v/>
      </c>
      <c r="H17" s="133" t="str">
        <f>IF(H$3&lt;=time,'Overall savings and benefits'!AQ29,"")</f>
        <v/>
      </c>
      <c r="I17" s="133" t="str">
        <f>IF(I$3&lt;=time,'Overall savings and benefits'!AR29,"")</f>
        <v/>
      </c>
      <c r="J17" s="133" t="str">
        <f>IF(J$3&lt;=time,'Overall savings and benefits'!AS29,"")</f>
        <v/>
      </c>
      <c r="K17" s="133" t="str">
        <f>IF(K$3&lt;=time,'Overall savings and benefits'!AT29,"")</f>
        <v/>
      </c>
      <c r="L17" s="133" t="str">
        <f>IF(L$3&lt;=time,'Overall savings and benefits'!AU29,"")</f>
        <v/>
      </c>
      <c r="M17" s="133" t="str">
        <f>IF(M$3&lt;=time,'Overall savings and benefits'!AV29,"")</f>
        <v/>
      </c>
      <c r="N17" s="133" t="str">
        <f>IF(N$3&lt;=time,'Overall savings and benefits'!AW29,"")</f>
        <v/>
      </c>
      <c r="O17" s="133" t="str">
        <f>IF(O$3&lt;=time,'Overall savings and benefits'!AX29,"")</f>
        <v/>
      </c>
      <c r="P17" s="133" t="str">
        <f>IF(P$3&lt;=time,'Overall savings and benefits'!AY29,"")</f>
        <v/>
      </c>
      <c r="Q17" s="133" t="str">
        <f>IF(Q$3&lt;=time,'Overall savings and benefits'!AZ29,"")</f>
        <v/>
      </c>
      <c r="R17" s="133" t="str">
        <f>IF(R$3&lt;=time,'Overall savings and benefits'!BA29,"")</f>
        <v/>
      </c>
      <c r="S17" s="133" t="str">
        <f>IF(S$3&lt;=time,'Overall savings and benefits'!BB29,"")</f>
        <v/>
      </c>
      <c r="T17" s="133" t="str">
        <f>IF(T$3&lt;=time,'Overall savings and benefits'!BC29,"")</f>
        <v/>
      </c>
      <c r="U17" s="133" t="str">
        <f>IF(U$3&lt;=time,'Overall savings and benefits'!BD29,"")</f>
        <v/>
      </c>
      <c r="V17" s="133" t="str">
        <f>IF(V$3&lt;=time,'Overall savings and benefits'!BE29,"")</f>
        <v/>
      </c>
      <c r="W17" s="133" t="str">
        <f>IF(W$3&lt;=time,'Overall savings and benefits'!BF29,"")</f>
        <v/>
      </c>
      <c r="X17" s="133" t="str">
        <f>IF(X$3&lt;=time,'Overall savings and benefits'!BG29,"")</f>
        <v/>
      </c>
      <c r="Y17" s="133" t="str">
        <f>IF(Y$3&lt;=time,'Overall savings and benefits'!BH29,"")</f>
        <v/>
      </c>
      <c r="Z17" s="134" t="str">
        <f>IF(Z$3&lt;=time,'Overall savings and benefits'!BI29,"")</f>
        <v/>
      </c>
      <c r="AA17" s="1022">
        <f t="array" ref="AA17">(SUM( IF(ISERROR(B17:Z17),"", B17:Z17)))</f>
        <v>0.22387986389282419</v>
      </c>
      <c r="AB17" s="1023">
        <f t="shared" si="0"/>
        <v>4.4775972778564835E-2</v>
      </c>
    </row>
    <row r="18" spans="1:28">
      <c r="A18" s="113" t="s">
        <v>551</v>
      </c>
      <c r="B18" s="133">
        <f>IF(B$3&lt;=time,'Overall savings and benefits'!AK30,"")</f>
        <v>0</v>
      </c>
      <c r="C18" s="133">
        <f>IF(C$3&lt;=time,'Overall savings and benefits'!AL30,"")</f>
        <v>2.9769122413867732</v>
      </c>
      <c r="D18" s="133">
        <f>IF(D$3&lt;=time,'Overall savings and benefits'!AM30,"")</f>
        <v>0</v>
      </c>
      <c r="E18" s="133">
        <f>IF(E$3&lt;=time,'Overall savings and benefits'!AN30,"")</f>
        <v>0</v>
      </c>
      <c r="F18" s="133">
        <f>IF(F$3&lt;=time,'Overall savings and benefits'!AO30,"")</f>
        <v>0</v>
      </c>
      <c r="G18" s="133" t="str">
        <f>IF(G$3&lt;=time,'Overall savings and benefits'!AP30,"")</f>
        <v/>
      </c>
      <c r="H18" s="133" t="str">
        <f>IF(H$3&lt;=time,'Overall savings and benefits'!AQ30,"")</f>
        <v/>
      </c>
      <c r="I18" s="133" t="str">
        <f>IF(I$3&lt;=time,'Overall savings and benefits'!AR30,"")</f>
        <v/>
      </c>
      <c r="J18" s="133" t="str">
        <f>IF(J$3&lt;=time,'Overall savings and benefits'!AS30,"")</f>
        <v/>
      </c>
      <c r="K18" s="133" t="str">
        <f>IF(K$3&lt;=time,'Overall savings and benefits'!AT30,"")</f>
        <v/>
      </c>
      <c r="L18" s="133" t="str">
        <f>IF(L$3&lt;=time,'Overall savings and benefits'!AU30,"")</f>
        <v/>
      </c>
      <c r="M18" s="133" t="str">
        <f>IF(M$3&lt;=time,'Overall savings and benefits'!AV30,"")</f>
        <v/>
      </c>
      <c r="N18" s="133" t="str">
        <f>IF(N$3&lt;=time,'Overall savings and benefits'!AW30,"")</f>
        <v/>
      </c>
      <c r="O18" s="133" t="str">
        <f>IF(O$3&lt;=time,'Overall savings and benefits'!AX30,"")</f>
        <v/>
      </c>
      <c r="P18" s="133" t="str">
        <f>IF(P$3&lt;=time,'Overall savings and benefits'!AY30,"")</f>
        <v/>
      </c>
      <c r="Q18" s="133" t="str">
        <f>IF(Q$3&lt;=time,'Overall savings and benefits'!AZ30,"")</f>
        <v/>
      </c>
      <c r="R18" s="133" t="str">
        <f>IF(R$3&lt;=time,'Overall savings and benefits'!BA30,"")</f>
        <v/>
      </c>
      <c r="S18" s="133" t="str">
        <f>IF(S$3&lt;=time,'Overall savings and benefits'!BB30,"")</f>
        <v/>
      </c>
      <c r="T18" s="133" t="str">
        <f>IF(T$3&lt;=time,'Overall savings and benefits'!BC30,"")</f>
        <v/>
      </c>
      <c r="U18" s="133" t="str">
        <f>IF(U$3&lt;=time,'Overall savings and benefits'!BD30,"")</f>
        <v/>
      </c>
      <c r="V18" s="133" t="str">
        <f>IF(V$3&lt;=time,'Overall savings and benefits'!BE30,"")</f>
        <v/>
      </c>
      <c r="W18" s="133" t="str">
        <f>IF(W$3&lt;=time,'Overall savings and benefits'!BF30,"")</f>
        <v/>
      </c>
      <c r="X18" s="133" t="str">
        <f>IF(X$3&lt;=time,'Overall savings and benefits'!BG30,"")</f>
        <v/>
      </c>
      <c r="Y18" s="133" t="str">
        <f>IF(Y$3&lt;=time,'Overall savings and benefits'!BH30,"")</f>
        <v/>
      </c>
      <c r="Z18" s="134" t="str">
        <f>IF(Z$3&lt;=time,'Overall savings and benefits'!BI30,"")</f>
        <v/>
      </c>
      <c r="AA18" s="1022">
        <f t="array" ref="AA18">(SUM( IF(ISERROR(B18:Z18),"", B18:Z18)))</f>
        <v>2.9769122413867732</v>
      </c>
      <c r="AB18" s="1023">
        <f t="shared" si="0"/>
        <v>0.59538244827735465</v>
      </c>
    </row>
    <row r="19" spans="1:28">
      <c r="A19" s="113" t="s">
        <v>424</v>
      </c>
      <c r="B19" s="133">
        <f>IF(B$3&lt;=time,'Overall savings and benefits'!AK31,"")</f>
        <v>0</v>
      </c>
      <c r="C19" s="133">
        <f>IF(C$3&lt;=time,'Overall savings and benefits'!AL31,"")</f>
        <v>0</v>
      </c>
      <c r="D19" s="133">
        <f>IF(D$3&lt;=time,'Overall savings and benefits'!AM31,"")</f>
        <v>0</v>
      </c>
      <c r="E19" s="133">
        <f>IF(E$3&lt;=time,'Overall savings and benefits'!AN31,"")</f>
        <v>0</v>
      </c>
      <c r="F19" s="133">
        <f>IF(F$3&lt;=time,'Overall savings and benefits'!AO31,"")</f>
        <v>0</v>
      </c>
      <c r="G19" s="133" t="str">
        <f>IF(G$3&lt;=time,'Overall savings and benefits'!AP31,"")</f>
        <v/>
      </c>
      <c r="H19" s="133" t="str">
        <f>IF(H$3&lt;=time,'Overall savings and benefits'!AQ31,"")</f>
        <v/>
      </c>
      <c r="I19" s="133" t="str">
        <f>IF(I$3&lt;=time,'Overall savings and benefits'!AR31,"")</f>
        <v/>
      </c>
      <c r="J19" s="133" t="str">
        <f>IF(J$3&lt;=time,'Overall savings and benefits'!AS31,"")</f>
        <v/>
      </c>
      <c r="K19" s="133" t="str">
        <f>IF(K$3&lt;=time,'Overall savings and benefits'!AT31,"")</f>
        <v/>
      </c>
      <c r="L19" s="133" t="str">
        <f>IF(L$3&lt;=time,'Overall savings and benefits'!AU31,"")</f>
        <v/>
      </c>
      <c r="M19" s="133" t="str">
        <f>IF(M$3&lt;=time,'Overall savings and benefits'!AV31,"")</f>
        <v/>
      </c>
      <c r="N19" s="133" t="str">
        <f>IF(N$3&lt;=time,'Overall savings and benefits'!AW31,"")</f>
        <v/>
      </c>
      <c r="O19" s="133" t="str">
        <f>IF(O$3&lt;=time,'Overall savings and benefits'!AX31,"")</f>
        <v/>
      </c>
      <c r="P19" s="133" t="str">
        <f>IF(P$3&lt;=time,'Overall savings and benefits'!AY31,"")</f>
        <v/>
      </c>
      <c r="Q19" s="133" t="str">
        <f>IF(Q$3&lt;=time,'Overall savings and benefits'!AZ31,"")</f>
        <v/>
      </c>
      <c r="R19" s="133" t="str">
        <f>IF(R$3&lt;=time,'Overall savings and benefits'!BA31,"")</f>
        <v/>
      </c>
      <c r="S19" s="133" t="str">
        <f>IF(S$3&lt;=time,'Overall savings and benefits'!BB31,"")</f>
        <v/>
      </c>
      <c r="T19" s="133" t="str">
        <f>IF(T$3&lt;=time,'Overall savings and benefits'!BC31,"")</f>
        <v/>
      </c>
      <c r="U19" s="133" t="str">
        <f>IF(U$3&lt;=time,'Overall savings and benefits'!BD31,"")</f>
        <v/>
      </c>
      <c r="V19" s="133" t="str">
        <f>IF(V$3&lt;=time,'Overall savings and benefits'!BE31,"")</f>
        <v/>
      </c>
      <c r="W19" s="133" t="str">
        <f>IF(W$3&lt;=time,'Overall savings and benefits'!BF31,"")</f>
        <v/>
      </c>
      <c r="X19" s="133" t="str">
        <f>IF(X$3&lt;=time,'Overall savings and benefits'!BG31,"")</f>
        <v/>
      </c>
      <c r="Y19" s="133" t="str">
        <f>IF(Y$3&lt;=time,'Overall savings and benefits'!BH31,"")</f>
        <v/>
      </c>
      <c r="Z19" s="134" t="str">
        <f>IF(Z$3&lt;=time,'Overall savings and benefits'!BI31,"")</f>
        <v/>
      </c>
      <c r="AA19" s="1022">
        <f t="array" ref="AA19">(SUM( IF(ISERROR(B19:Z19),"", B19:Z19)))</f>
        <v>0</v>
      </c>
      <c r="AB19" s="1023">
        <f t="shared" si="0"/>
        <v>0</v>
      </c>
    </row>
    <row r="20" spans="1:28" ht="16" thickBot="1">
      <c r="A20" s="113" t="s">
        <v>552</v>
      </c>
      <c r="B20" s="1024">
        <f>IF(B$3&lt;=time,'Overall savings and benefits'!AK32,"")</f>
        <v>0</v>
      </c>
      <c r="C20" s="1024">
        <f>IF(C$3&lt;=time,'Overall savings and benefits'!AL32,"")</f>
        <v>0</v>
      </c>
      <c r="D20" s="1024">
        <f>IF(D$3&lt;=time,'Overall savings and benefits'!AM32,"")</f>
        <v>0</v>
      </c>
      <c r="E20" s="1024">
        <f>IF(E$3&lt;=time,'Overall savings and benefits'!AN32,"")</f>
        <v>0</v>
      </c>
      <c r="F20" s="1024">
        <f>IF(F$3&lt;=time,'Overall savings and benefits'!AO32,"")</f>
        <v>0</v>
      </c>
      <c r="G20" s="1024" t="str">
        <f>IF(G$3&lt;=time,'Overall savings and benefits'!AP32,"")</f>
        <v/>
      </c>
      <c r="H20" s="1024" t="str">
        <f>IF(H$3&lt;=time,'Overall savings and benefits'!AQ32,"")</f>
        <v/>
      </c>
      <c r="I20" s="1024" t="str">
        <f>IF(I$3&lt;=time,'Overall savings and benefits'!AR32,"")</f>
        <v/>
      </c>
      <c r="J20" s="1024" t="str">
        <f>IF(J$3&lt;=time,'Overall savings and benefits'!AS32,"")</f>
        <v/>
      </c>
      <c r="K20" s="1024" t="str">
        <f>IF(K$3&lt;=time,'Overall savings and benefits'!AT32,"")</f>
        <v/>
      </c>
      <c r="L20" s="1024" t="str">
        <f>IF(L$3&lt;=time,'Overall savings and benefits'!AU32,"")</f>
        <v/>
      </c>
      <c r="M20" s="1024" t="str">
        <f>IF(M$3&lt;=time,'Overall savings and benefits'!AV32,"")</f>
        <v/>
      </c>
      <c r="N20" s="1024" t="str">
        <f>IF(N$3&lt;=time,'Overall savings and benefits'!AW32,"")</f>
        <v/>
      </c>
      <c r="O20" s="1024" t="str">
        <f>IF(O$3&lt;=time,'Overall savings and benefits'!AX32,"")</f>
        <v/>
      </c>
      <c r="P20" s="1024" t="str">
        <f>IF(P$3&lt;=time,'Overall savings and benefits'!AY32,"")</f>
        <v/>
      </c>
      <c r="Q20" s="1024" t="str">
        <f>IF(Q$3&lt;=time,'Overall savings and benefits'!AZ32,"")</f>
        <v/>
      </c>
      <c r="R20" s="1024" t="str">
        <f>IF(R$3&lt;=time,'Overall savings and benefits'!BA32,"")</f>
        <v/>
      </c>
      <c r="S20" s="1024" t="str">
        <f>IF(S$3&lt;=time,'Overall savings and benefits'!BB32,"")</f>
        <v/>
      </c>
      <c r="T20" s="1024" t="str">
        <f>IF(T$3&lt;=time,'Overall savings and benefits'!BC32,"")</f>
        <v/>
      </c>
      <c r="U20" s="1024" t="str">
        <f>IF(U$3&lt;=time,'Overall savings and benefits'!BD32,"")</f>
        <v/>
      </c>
      <c r="V20" s="1024" t="str">
        <f>IF(V$3&lt;=time,'Overall savings and benefits'!BE32,"")</f>
        <v/>
      </c>
      <c r="W20" s="1024" t="str">
        <f>IF(W$3&lt;=time,'Overall savings and benefits'!BF32,"")</f>
        <v/>
      </c>
      <c r="X20" s="1024" t="str">
        <f>IF(X$3&lt;=time,'Overall savings and benefits'!BG32,"")</f>
        <v/>
      </c>
      <c r="Y20" s="1024" t="str">
        <f>IF(Y$3&lt;=time,'Overall savings and benefits'!BH32,"")</f>
        <v/>
      </c>
      <c r="Z20" s="1025" t="str">
        <f>IF(Z$3&lt;=time,'Overall savings and benefits'!BI32,"")</f>
        <v/>
      </c>
      <c r="AA20" s="1026">
        <f t="array" ref="AA20">(SUM( IF(ISERROR(B20:Z20),"", B20:Z20)))</f>
        <v>0</v>
      </c>
      <c r="AB20" s="1027">
        <f t="shared" si="0"/>
        <v>0</v>
      </c>
    </row>
    <row r="21" spans="1:28" ht="16" thickBot="1">
      <c r="A21" s="984" t="s">
        <v>573</v>
      </c>
      <c r="B21" s="1028">
        <f>IF(B$3&lt;=time,'Overall savings and benefits'!AK33,"")</f>
        <v>0</v>
      </c>
      <c r="C21" s="1028">
        <f>IF(C$3&lt;=time,'Overall savings and benefits'!AL33,"")</f>
        <v>3167.3224205677502</v>
      </c>
      <c r="D21" s="1028">
        <f>IF(D$3&lt;=time,'Overall savings and benefits'!AM33,"")</f>
        <v>0</v>
      </c>
      <c r="E21" s="1028">
        <f>IF(E$3&lt;=time,'Overall savings and benefits'!AN33,"")</f>
        <v>0</v>
      </c>
      <c r="F21" s="1028">
        <f>IF(F$3&lt;=time,'Overall savings and benefits'!AO33,"")</f>
        <v>0</v>
      </c>
      <c r="G21" s="1028" t="str">
        <f>IF(G$3&lt;=time,'Overall savings and benefits'!AP33,"")</f>
        <v/>
      </c>
      <c r="H21" s="1028" t="str">
        <f>IF(H$3&lt;=time,'Overall savings and benefits'!AQ33,"")</f>
        <v/>
      </c>
      <c r="I21" s="1028" t="str">
        <f>IF(I$3&lt;=time,'Overall savings and benefits'!AR33,"")</f>
        <v/>
      </c>
      <c r="J21" s="1028" t="str">
        <f>IF(J$3&lt;=time,'Overall savings and benefits'!AS33,"")</f>
        <v/>
      </c>
      <c r="K21" s="1028" t="str">
        <f>IF(K$3&lt;=time,'Overall savings and benefits'!AT33,"")</f>
        <v/>
      </c>
      <c r="L21" s="1028" t="str">
        <f>IF(L$3&lt;=time,'Overall savings and benefits'!AU33,"")</f>
        <v/>
      </c>
      <c r="M21" s="1028" t="str">
        <f>IF(M$3&lt;=time,'Overall savings and benefits'!AV33,"")</f>
        <v/>
      </c>
      <c r="N21" s="1028" t="str">
        <f>IF(N$3&lt;=time,'Overall savings and benefits'!AW33,"")</f>
        <v/>
      </c>
      <c r="O21" s="1028" t="str">
        <f>IF(O$3&lt;=time,'Overall savings and benefits'!AX33,"")</f>
        <v/>
      </c>
      <c r="P21" s="1028" t="str">
        <f>IF(P$3&lt;=time,'Overall savings and benefits'!AY33,"")</f>
        <v/>
      </c>
      <c r="Q21" s="1028" t="str">
        <f>IF(Q$3&lt;=time,'Overall savings and benefits'!AZ33,"")</f>
        <v/>
      </c>
      <c r="R21" s="1028" t="str">
        <f>IF(R$3&lt;=time,'Overall savings and benefits'!BA33,"")</f>
        <v/>
      </c>
      <c r="S21" s="1028" t="str">
        <f>IF(S$3&lt;=time,'Overall savings and benefits'!BB33,"")</f>
        <v/>
      </c>
      <c r="T21" s="1028" t="str">
        <f>IF(T$3&lt;=time,'Overall savings and benefits'!BC33,"")</f>
        <v/>
      </c>
      <c r="U21" s="1028" t="str">
        <f>IF(U$3&lt;=time,'Overall savings and benefits'!BD33,"")</f>
        <v/>
      </c>
      <c r="V21" s="1028" t="str">
        <f>IF(V$3&lt;=time,'Overall savings and benefits'!BE33,"")</f>
        <v/>
      </c>
      <c r="W21" s="1028" t="str">
        <f>IF(W$3&lt;=time,'Overall savings and benefits'!BF33,"")</f>
        <v/>
      </c>
      <c r="X21" s="1028" t="str">
        <f>IF(X$3&lt;=time,'Overall savings and benefits'!BG33,"")</f>
        <v/>
      </c>
      <c r="Y21" s="1028" t="str">
        <f>IF(Y$3&lt;=time,'Overall savings and benefits'!BH33,"")</f>
        <v/>
      </c>
      <c r="Z21" s="1029" t="str">
        <f>IF(Z$3&lt;=time,'Overall savings and benefits'!BI33,"")</f>
        <v/>
      </c>
      <c r="AA21" s="1030">
        <f t="array" ref="AA21">(SUM( IF(ISERROR(B21:Z21),"", B21:Z21)))</f>
        <v>3167.3224205677502</v>
      </c>
      <c r="AB21" s="1031">
        <f t="shared" si="0"/>
        <v>633.46448411355004</v>
      </c>
    </row>
    <row r="22" spans="1:28" ht="31">
      <c r="A22" s="434" t="s">
        <v>563</v>
      </c>
      <c r="B22" s="655"/>
      <c r="C22" s="655"/>
      <c r="D22" s="655"/>
      <c r="E22" s="655"/>
      <c r="F22" s="655"/>
      <c r="G22" s="655"/>
      <c r="H22" s="655"/>
      <c r="I22" s="655"/>
      <c r="J22" s="655"/>
      <c r="K22" s="655"/>
      <c r="L22" s="655"/>
      <c r="M22" s="655"/>
      <c r="N22" s="655"/>
      <c r="O22" s="655"/>
      <c r="P22" s="655"/>
      <c r="Q22" s="655"/>
      <c r="R22" s="655"/>
      <c r="S22" s="655"/>
      <c r="T22" s="655"/>
      <c r="U22" s="655"/>
      <c r="V22" s="655"/>
      <c r="W22" s="655"/>
      <c r="X22" s="655"/>
      <c r="Y22" s="655"/>
      <c r="Z22" s="656"/>
      <c r="AA22" s="657"/>
      <c r="AB22" s="658"/>
    </row>
    <row r="23" spans="1:28">
      <c r="A23" s="113" t="s">
        <v>555</v>
      </c>
      <c r="B23" s="133">
        <f>IF(B$3&lt;=time,'Overall savings and benefits'!AK35,"")</f>
        <v>0</v>
      </c>
      <c r="C23" s="133">
        <f>IF(C$3&lt;=time,'Overall savings and benefits'!AL35,"")</f>
        <v>226.34006605389877</v>
      </c>
      <c r="D23" s="133">
        <f>IF(D$3&lt;=time,'Overall savings and benefits'!AM35,"")</f>
        <v>0</v>
      </c>
      <c r="E23" s="133">
        <f>IF(E$3&lt;=time,'Overall savings and benefits'!AN35,"")</f>
        <v>0</v>
      </c>
      <c r="F23" s="133">
        <f>IF(F$3&lt;=time,'Overall savings and benefits'!AO35,"")</f>
        <v>0</v>
      </c>
      <c r="G23" s="133" t="str">
        <f>IF(G$3&lt;=time,'Overall savings and benefits'!AP35,"")</f>
        <v/>
      </c>
      <c r="H23" s="133" t="str">
        <f>IF(H$3&lt;=time,'Overall savings and benefits'!AQ35,"")</f>
        <v/>
      </c>
      <c r="I23" s="133" t="str">
        <f>IF(I$3&lt;=time,'Overall savings and benefits'!AR35,"")</f>
        <v/>
      </c>
      <c r="J23" s="133" t="str">
        <f>IF(J$3&lt;=time,'Overall savings and benefits'!AS35,"")</f>
        <v/>
      </c>
      <c r="K23" s="133" t="str">
        <f>IF(K$3&lt;=time,'Overall savings and benefits'!AT35,"")</f>
        <v/>
      </c>
      <c r="L23" s="133" t="str">
        <f>IF(L$3&lt;=time,'Overall savings and benefits'!AU35,"")</f>
        <v/>
      </c>
      <c r="M23" s="133" t="str">
        <f>IF(M$3&lt;=time,'Overall savings and benefits'!AV35,"")</f>
        <v/>
      </c>
      <c r="N23" s="133" t="str">
        <f>IF(N$3&lt;=time,'Overall savings and benefits'!AW35,"")</f>
        <v/>
      </c>
      <c r="O23" s="133" t="str">
        <f>IF(O$3&lt;=time,'Overall savings and benefits'!AX35,"")</f>
        <v/>
      </c>
      <c r="P23" s="133" t="str">
        <f>IF(P$3&lt;=time,'Overall savings and benefits'!AY35,"")</f>
        <v/>
      </c>
      <c r="Q23" s="133" t="str">
        <f>IF(Q$3&lt;=time,'Overall savings and benefits'!AZ35,"")</f>
        <v/>
      </c>
      <c r="R23" s="133" t="str">
        <f>IF(R$3&lt;=time,'Overall savings and benefits'!BA35,"")</f>
        <v/>
      </c>
      <c r="S23" s="133" t="str">
        <f>IF(S$3&lt;=time,'Overall savings and benefits'!BB35,"")</f>
        <v/>
      </c>
      <c r="T23" s="133" t="str">
        <f>IF(T$3&lt;=time,'Overall savings and benefits'!BC35,"")</f>
        <v/>
      </c>
      <c r="U23" s="133" t="str">
        <f>IF(U$3&lt;=time,'Overall savings and benefits'!BD35,"")</f>
        <v/>
      </c>
      <c r="V23" s="133" t="str">
        <f>IF(V$3&lt;=time,'Overall savings and benefits'!BE35,"")</f>
        <v/>
      </c>
      <c r="W23" s="133" t="str">
        <f>IF(W$3&lt;=time,'Overall savings and benefits'!BF35,"")</f>
        <v/>
      </c>
      <c r="X23" s="133" t="str">
        <f>IF(X$3&lt;=time,'Overall savings and benefits'!BG35,"")</f>
        <v/>
      </c>
      <c r="Y23" s="133" t="str">
        <f>IF(Y$3&lt;=time,'Overall savings and benefits'!BH35,"")</f>
        <v/>
      </c>
      <c r="Z23" s="134" t="str">
        <f>IF(Z$3&lt;=time,'Overall savings and benefits'!BI35,"")</f>
        <v/>
      </c>
      <c r="AA23" s="1022">
        <f t="array" ref="AA23">(SUM( IF(ISERROR(B23:Z23),"", B23:Z23)))</f>
        <v>226.34006605389877</v>
      </c>
      <c r="AB23" s="1023">
        <f t="shared" ref="AB23:AB30" si="1">AA23/time</f>
        <v>45.268013210779756</v>
      </c>
    </row>
    <row r="24" spans="1:28">
      <c r="A24" s="113" t="s">
        <v>556</v>
      </c>
      <c r="B24" s="133">
        <f>IF(B$3&lt;=time,'Overall savings and benefits'!AK36,"")</f>
        <v>0</v>
      </c>
      <c r="C24" s="133">
        <f>IF(C$3&lt;=time,'Overall savings and benefits'!AL36,"")</f>
        <v>548.90262106473926</v>
      </c>
      <c r="D24" s="133">
        <f>IF(D$3&lt;=time,'Overall savings and benefits'!AM36,"")</f>
        <v>0</v>
      </c>
      <c r="E24" s="133">
        <f>IF(E$3&lt;=time,'Overall savings and benefits'!AN36,"")</f>
        <v>0</v>
      </c>
      <c r="F24" s="133">
        <f>IF(F$3&lt;=time,'Overall savings and benefits'!AO36,"")</f>
        <v>0</v>
      </c>
      <c r="G24" s="133" t="str">
        <f>IF(G$3&lt;=time,'Overall savings and benefits'!AP36,"")</f>
        <v/>
      </c>
      <c r="H24" s="133" t="str">
        <f>IF(H$3&lt;=time,'Overall savings and benefits'!AQ36,"")</f>
        <v/>
      </c>
      <c r="I24" s="133" t="str">
        <f>IF(I$3&lt;=time,'Overall savings and benefits'!AR36,"")</f>
        <v/>
      </c>
      <c r="J24" s="133" t="str">
        <f>IF(J$3&lt;=time,'Overall savings and benefits'!AS36,"")</f>
        <v/>
      </c>
      <c r="K24" s="133" t="str">
        <f>IF(K$3&lt;=time,'Overall savings and benefits'!AT36,"")</f>
        <v/>
      </c>
      <c r="L24" s="133" t="str">
        <f>IF(L$3&lt;=time,'Overall savings and benefits'!AU36,"")</f>
        <v/>
      </c>
      <c r="M24" s="133" t="str">
        <f>IF(M$3&lt;=time,'Overall savings and benefits'!AV36,"")</f>
        <v/>
      </c>
      <c r="N24" s="133" t="str">
        <f>IF(N$3&lt;=time,'Overall savings and benefits'!AW36,"")</f>
        <v/>
      </c>
      <c r="O24" s="133" t="str">
        <f>IF(O$3&lt;=time,'Overall savings and benefits'!AX36,"")</f>
        <v/>
      </c>
      <c r="P24" s="133" t="str">
        <f>IF(P$3&lt;=time,'Overall savings and benefits'!AY36,"")</f>
        <v/>
      </c>
      <c r="Q24" s="133" t="str">
        <f>IF(Q$3&lt;=time,'Overall savings and benefits'!AZ36,"")</f>
        <v/>
      </c>
      <c r="R24" s="133" t="str">
        <f>IF(R$3&lt;=time,'Overall savings and benefits'!BA36,"")</f>
        <v/>
      </c>
      <c r="S24" s="133" t="str">
        <f>IF(S$3&lt;=time,'Overall savings and benefits'!BB36,"")</f>
        <v/>
      </c>
      <c r="T24" s="133" t="str">
        <f>IF(T$3&lt;=time,'Overall savings and benefits'!BC36,"")</f>
        <v/>
      </c>
      <c r="U24" s="133" t="str">
        <f>IF(U$3&lt;=time,'Overall savings and benefits'!BD36,"")</f>
        <v/>
      </c>
      <c r="V24" s="133" t="str">
        <f>IF(V$3&lt;=time,'Overall savings and benefits'!BE36,"")</f>
        <v/>
      </c>
      <c r="W24" s="133" t="str">
        <f>IF(W$3&lt;=time,'Overall savings and benefits'!BF36,"")</f>
        <v/>
      </c>
      <c r="X24" s="133" t="str">
        <f>IF(X$3&lt;=time,'Overall savings and benefits'!BG36,"")</f>
        <v/>
      </c>
      <c r="Y24" s="133" t="str">
        <f>IF(Y$3&lt;=time,'Overall savings and benefits'!BH36,"")</f>
        <v/>
      </c>
      <c r="Z24" s="134" t="str">
        <f>IF(Z$3&lt;=time,'Overall savings and benefits'!BI36,"")</f>
        <v/>
      </c>
      <c r="AA24" s="1022">
        <f t="array" ref="AA24">(SUM( IF(ISERROR(B24:Z24),"", B24:Z24)))</f>
        <v>548.90262106473926</v>
      </c>
      <c r="AB24" s="1023">
        <f t="shared" si="1"/>
        <v>109.78052421294785</v>
      </c>
    </row>
    <row r="25" spans="1:28">
      <c r="A25" s="113" t="s">
        <v>557</v>
      </c>
      <c r="B25" s="133">
        <f>IF(B$3&lt;=time,'Overall savings and benefits'!AK37,"")</f>
        <v>0</v>
      </c>
      <c r="C25" s="133">
        <f>IF(C$3&lt;=time,'Overall savings and benefits'!AL37,"")</f>
        <v>2.4780379182009842</v>
      </c>
      <c r="D25" s="133">
        <f>IF(D$3&lt;=time,'Overall savings and benefits'!AM37,"")</f>
        <v>0</v>
      </c>
      <c r="E25" s="133">
        <f>IF(E$3&lt;=time,'Overall savings and benefits'!AN37,"")</f>
        <v>0</v>
      </c>
      <c r="F25" s="133">
        <f>IF(F$3&lt;=time,'Overall savings and benefits'!AO37,"")</f>
        <v>0</v>
      </c>
      <c r="G25" s="133" t="str">
        <f>IF(G$3&lt;=time,'Overall savings and benefits'!AP37,"")</f>
        <v/>
      </c>
      <c r="H25" s="133" t="str">
        <f>IF(H$3&lt;=time,'Overall savings and benefits'!AQ37,"")</f>
        <v/>
      </c>
      <c r="I25" s="133" t="str">
        <f>IF(I$3&lt;=time,'Overall savings and benefits'!AR37,"")</f>
        <v/>
      </c>
      <c r="J25" s="133" t="str">
        <f>IF(J$3&lt;=time,'Overall savings and benefits'!AS37,"")</f>
        <v/>
      </c>
      <c r="K25" s="133" t="str">
        <f>IF(K$3&lt;=time,'Overall savings and benefits'!AT37,"")</f>
        <v/>
      </c>
      <c r="L25" s="133" t="str">
        <f>IF(L$3&lt;=time,'Overall savings and benefits'!AU37,"")</f>
        <v/>
      </c>
      <c r="M25" s="133" t="str">
        <f>IF(M$3&lt;=time,'Overall savings and benefits'!AV37,"")</f>
        <v/>
      </c>
      <c r="N25" s="133" t="str">
        <f>IF(N$3&lt;=time,'Overall savings and benefits'!AW37,"")</f>
        <v/>
      </c>
      <c r="O25" s="133" t="str">
        <f>IF(O$3&lt;=time,'Overall savings and benefits'!AX37,"")</f>
        <v/>
      </c>
      <c r="P25" s="133" t="str">
        <f>IF(P$3&lt;=time,'Overall savings and benefits'!AY37,"")</f>
        <v/>
      </c>
      <c r="Q25" s="133" t="str">
        <f>IF(Q$3&lt;=time,'Overall savings and benefits'!AZ37,"")</f>
        <v/>
      </c>
      <c r="R25" s="133" t="str">
        <f>IF(R$3&lt;=time,'Overall savings and benefits'!BA37,"")</f>
        <v/>
      </c>
      <c r="S25" s="133" t="str">
        <f>IF(S$3&lt;=time,'Overall savings and benefits'!BB37,"")</f>
        <v/>
      </c>
      <c r="T25" s="133" t="str">
        <f>IF(T$3&lt;=time,'Overall savings and benefits'!BC37,"")</f>
        <v/>
      </c>
      <c r="U25" s="133" t="str">
        <f>IF(U$3&lt;=time,'Overall savings and benefits'!BD37,"")</f>
        <v/>
      </c>
      <c r="V25" s="133" t="str">
        <f>IF(V$3&lt;=time,'Overall savings and benefits'!BE37,"")</f>
        <v/>
      </c>
      <c r="W25" s="133" t="str">
        <f>IF(W$3&lt;=time,'Overall savings and benefits'!BF37,"")</f>
        <v/>
      </c>
      <c r="X25" s="133" t="str">
        <f>IF(X$3&lt;=time,'Overall savings and benefits'!BG37,"")</f>
        <v/>
      </c>
      <c r="Y25" s="133" t="str">
        <f>IF(Y$3&lt;=time,'Overall savings and benefits'!BH37,"")</f>
        <v/>
      </c>
      <c r="Z25" s="134" t="str">
        <f>IF(Z$3&lt;=time,'Overall savings and benefits'!BI37,"")</f>
        <v/>
      </c>
      <c r="AA25" s="1022">
        <f t="array" ref="AA25">(SUM( IF(ISERROR(B25:Z25),"", B25:Z25)))</f>
        <v>2.4780379182009842</v>
      </c>
      <c r="AB25" s="1023">
        <f t="shared" si="1"/>
        <v>0.49560758364019686</v>
      </c>
    </row>
    <row r="26" spans="1:28">
      <c r="A26" s="113" t="s">
        <v>408</v>
      </c>
      <c r="B26" s="133">
        <f>IF(B$3&lt;=time,'Overall savings and benefits'!AK38,"")</f>
        <v>0</v>
      </c>
      <c r="C26" s="133">
        <f>IF(C$3&lt;=time,'Overall savings and benefits'!AL38,"")</f>
        <v>97.175981034425007</v>
      </c>
      <c r="D26" s="133">
        <f>IF(D$3&lt;=time,'Overall savings and benefits'!AM38,"")</f>
        <v>0</v>
      </c>
      <c r="E26" s="133">
        <f>IF(E$3&lt;=time,'Overall savings and benefits'!AN38,"")</f>
        <v>0</v>
      </c>
      <c r="F26" s="133">
        <f>IF(F$3&lt;=time,'Overall savings and benefits'!AO38,"")</f>
        <v>0</v>
      </c>
      <c r="G26" s="133" t="str">
        <f>IF(G$3&lt;=time,'Overall savings and benefits'!AP38,"")</f>
        <v/>
      </c>
      <c r="H26" s="133" t="str">
        <f>IF(H$3&lt;=time,'Overall savings and benefits'!AQ38,"")</f>
        <v/>
      </c>
      <c r="I26" s="133" t="str">
        <f>IF(I$3&lt;=time,'Overall savings and benefits'!AR38,"")</f>
        <v/>
      </c>
      <c r="J26" s="133" t="str">
        <f>IF(J$3&lt;=time,'Overall savings and benefits'!AS38,"")</f>
        <v/>
      </c>
      <c r="K26" s="133" t="str">
        <f>IF(K$3&lt;=time,'Overall savings and benefits'!AT38,"")</f>
        <v/>
      </c>
      <c r="L26" s="133" t="str">
        <f>IF(L$3&lt;=time,'Overall savings and benefits'!AU38,"")</f>
        <v/>
      </c>
      <c r="M26" s="133" t="str">
        <f>IF(M$3&lt;=time,'Overall savings and benefits'!AV38,"")</f>
        <v/>
      </c>
      <c r="N26" s="133" t="str">
        <f>IF(N$3&lt;=time,'Overall savings and benefits'!AW38,"")</f>
        <v/>
      </c>
      <c r="O26" s="133" t="str">
        <f>IF(O$3&lt;=time,'Overall savings and benefits'!AX38,"")</f>
        <v/>
      </c>
      <c r="P26" s="133" t="str">
        <f>IF(P$3&lt;=time,'Overall savings and benefits'!AY38,"")</f>
        <v/>
      </c>
      <c r="Q26" s="133" t="str">
        <f>IF(Q$3&lt;=time,'Overall savings and benefits'!AZ38,"")</f>
        <v/>
      </c>
      <c r="R26" s="133" t="str">
        <f>IF(R$3&lt;=time,'Overall savings and benefits'!BA38,"")</f>
        <v/>
      </c>
      <c r="S26" s="133" t="str">
        <f>IF(S$3&lt;=time,'Overall savings and benefits'!BB38,"")</f>
        <v/>
      </c>
      <c r="T26" s="133" t="str">
        <f>IF(T$3&lt;=time,'Overall savings and benefits'!BC38,"")</f>
        <v/>
      </c>
      <c r="U26" s="133" t="str">
        <f>IF(U$3&lt;=time,'Overall savings and benefits'!BD38,"")</f>
        <v/>
      </c>
      <c r="V26" s="133" t="str">
        <f>IF(V$3&lt;=time,'Overall savings and benefits'!BE38,"")</f>
        <v/>
      </c>
      <c r="W26" s="133" t="str">
        <f>IF(W$3&lt;=time,'Overall savings and benefits'!BF38,"")</f>
        <v/>
      </c>
      <c r="X26" s="133" t="str">
        <f>IF(X$3&lt;=time,'Overall savings and benefits'!BG38,"")</f>
        <v/>
      </c>
      <c r="Y26" s="133" t="str">
        <f>IF(Y$3&lt;=time,'Overall savings and benefits'!BH38,"")</f>
        <v/>
      </c>
      <c r="Z26" s="134" t="str">
        <f>IF(Z$3&lt;=time,'Overall savings and benefits'!BI38,"")</f>
        <v/>
      </c>
      <c r="AA26" s="1022">
        <f t="array" ref="AA26">(SUM( IF(ISERROR(B26:Z26),"", B26:Z26)))</f>
        <v>97.175981034425007</v>
      </c>
      <c r="AB26" s="1023">
        <f t="shared" si="1"/>
        <v>19.435196206885003</v>
      </c>
    </row>
    <row r="27" spans="1:28" ht="31">
      <c r="A27" s="113" t="s">
        <v>409</v>
      </c>
      <c r="B27" s="133">
        <f>IF(B$3&lt;=time,'Overall savings and benefits'!AK39,"")</f>
        <v>0</v>
      </c>
      <c r="C27" s="133">
        <f>IF(C$3&lt;=time,'Overall savings and benefits'!AL39,"")</f>
        <v>38.123211656201001</v>
      </c>
      <c r="D27" s="133">
        <f>IF(D$3&lt;=time,'Overall savings and benefits'!AM39,"")</f>
        <v>0</v>
      </c>
      <c r="E27" s="133">
        <f>IF(E$3&lt;=time,'Overall savings and benefits'!AN39,"")</f>
        <v>0</v>
      </c>
      <c r="F27" s="133">
        <f>IF(F$3&lt;=time,'Overall savings and benefits'!AO39,"")</f>
        <v>0</v>
      </c>
      <c r="G27" s="133" t="str">
        <f>IF(G$3&lt;=time,'Overall savings and benefits'!AP39,"")</f>
        <v/>
      </c>
      <c r="H27" s="133" t="str">
        <f>IF(H$3&lt;=time,'Overall savings and benefits'!AQ39,"")</f>
        <v/>
      </c>
      <c r="I27" s="133" t="str">
        <f>IF(I$3&lt;=time,'Overall savings and benefits'!AR39,"")</f>
        <v/>
      </c>
      <c r="J27" s="133" t="str">
        <f>IF(J$3&lt;=time,'Overall savings and benefits'!AS39,"")</f>
        <v/>
      </c>
      <c r="K27" s="133" t="str">
        <f>IF(K$3&lt;=time,'Overall savings and benefits'!AT39,"")</f>
        <v/>
      </c>
      <c r="L27" s="133" t="str">
        <f>IF(L$3&lt;=time,'Overall savings and benefits'!AU39,"")</f>
        <v/>
      </c>
      <c r="M27" s="133" t="str">
        <f>IF(M$3&lt;=time,'Overall savings and benefits'!AV39,"")</f>
        <v/>
      </c>
      <c r="N27" s="133" t="str">
        <f>IF(N$3&lt;=time,'Overall savings and benefits'!AW39,"")</f>
        <v/>
      </c>
      <c r="O27" s="133" t="str">
        <f>IF(O$3&lt;=time,'Overall savings and benefits'!AX39,"")</f>
        <v/>
      </c>
      <c r="P27" s="133" t="str">
        <f>IF(P$3&lt;=time,'Overall savings and benefits'!AY39,"")</f>
        <v/>
      </c>
      <c r="Q27" s="133" t="str">
        <f>IF(Q$3&lt;=time,'Overall savings and benefits'!AZ39,"")</f>
        <v/>
      </c>
      <c r="R27" s="133" t="str">
        <f>IF(R$3&lt;=time,'Overall savings and benefits'!BA39,"")</f>
        <v/>
      </c>
      <c r="S27" s="133" t="str">
        <f>IF(S$3&lt;=time,'Overall savings and benefits'!BB39,"")</f>
        <v/>
      </c>
      <c r="T27" s="133" t="str">
        <f>IF(T$3&lt;=time,'Overall savings and benefits'!BC39,"")</f>
        <v/>
      </c>
      <c r="U27" s="133" t="str">
        <f>IF(U$3&lt;=time,'Overall savings and benefits'!BD39,"")</f>
        <v/>
      </c>
      <c r="V27" s="133" t="str">
        <f>IF(V$3&lt;=time,'Overall savings and benefits'!BE39,"")</f>
        <v/>
      </c>
      <c r="W27" s="133" t="str">
        <f>IF(W$3&lt;=time,'Overall savings and benefits'!BF39,"")</f>
        <v/>
      </c>
      <c r="X27" s="133" t="str">
        <f>IF(X$3&lt;=time,'Overall savings and benefits'!BG39,"")</f>
        <v/>
      </c>
      <c r="Y27" s="133" t="str">
        <f>IF(Y$3&lt;=time,'Overall savings and benefits'!BH39,"")</f>
        <v/>
      </c>
      <c r="Z27" s="134" t="str">
        <f>IF(Z$3&lt;=time,'Overall savings and benefits'!BI39,"")</f>
        <v/>
      </c>
      <c r="AA27" s="1022">
        <f t="array" ref="AA27">(SUM( IF(ISERROR(B27:Z27),"", B27:Z27)))</f>
        <v>38.123211656201001</v>
      </c>
      <c r="AB27" s="1023">
        <f t="shared" si="1"/>
        <v>7.6246423312402003</v>
      </c>
    </row>
    <row r="28" spans="1:28" ht="31">
      <c r="A28" s="113" t="s">
        <v>558</v>
      </c>
      <c r="B28" s="133">
        <f>IF(B$3&lt;=time,'Overall savings and benefits'!AK40,"")</f>
        <v>0</v>
      </c>
      <c r="C28" s="133">
        <f>IF(C$3&lt;=time,'Overall savings and benefits'!AL40,"")</f>
        <v>1.1394340302684083</v>
      </c>
      <c r="D28" s="133">
        <f>IF(D$3&lt;=time,'Overall savings and benefits'!AM40,"")</f>
        <v>0</v>
      </c>
      <c r="E28" s="133">
        <f>IF(E$3&lt;=time,'Overall savings and benefits'!AN40,"")</f>
        <v>0</v>
      </c>
      <c r="F28" s="133">
        <f>IF(F$3&lt;=time,'Overall savings and benefits'!AO40,"")</f>
        <v>0</v>
      </c>
      <c r="G28" s="133" t="str">
        <f>IF(G$3&lt;=time,'Overall savings and benefits'!AP40,"")</f>
        <v/>
      </c>
      <c r="H28" s="133" t="str">
        <f>IF(H$3&lt;=time,'Overall savings and benefits'!AQ40,"")</f>
        <v/>
      </c>
      <c r="I28" s="133" t="str">
        <f>IF(I$3&lt;=time,'Overall savings and benefits'!AR40,"")</f>
        <v/>
      </c>
      <c r="J28" s="133" t="str">
        <f>IF(J$3&lt;=time,'Overall savings and benefits'!AS40,"")</f>
        <v/>
      </c>
      <c r="K28" s="133" t="str">
        <f>IF(K$3&lt;=time,'Overall savings and benefits'!AT40,"")</f>
        <v/>
      </c>
      <c r="L28" s="133" t="str">
        <f>IF(L$3&lt;=time,'Overall savings and benefits'!AU40,"")</f>
        <v/>
      </c>
      <c r="M28" s="133" t="str">
        <f>IF(M$3&lt;=time,'Overall savings and benefits'!AV40,"")</f>
        <v/>
      </c>
      <c r="N28" s="133" t="str">
        <f>IF(N$3&lt;=time,'Overall savings and benefits'!AW40,"")</f>
        <v/>
      </c>
      <c r="O28" s="133" t="str">
        <f>IF(O$3&lt;=time,'Overall savings and benefits'!AX40,"")</f>
        <v/>
      </c>
      <c r="P28" s="133" t="str">
        <f>IF(P$3&lt;=time,'Overall savings and benefits'!AY40,"")</f>
        <v/>
      </c>
      <c r="Q28" s="133" t="str">
        <f>IF(Q$3&lt;=time,'Overall savings and benefits'!AZ40,"")</f>
        <v/>
      </c>
      <c r="R28" s="133" t="str">
        <f>IF(R$3&lt;=time,'Overall savings and benefits'!BA40,"")</f>
        <v/>
      </c>
      <c r="S28" s="133" t="str">
        <f>IF(S$3&lt;=time,'Overall savings and benefits'!BB40,"")</f>
        <v/>
      </c>
      <c r="T28" s="133" t="str">
        <f>IF(T$3&lt;=time,'Overall savings and benefits'!BC40,"")</f>
        <v/>
      </c>
      <c r="U28" s="133" t="str">
        <f>IF(U$3&lt;=time,'Overall savings and benefits'!BD40,"")</f>
        <v/>
      </c>
      <c r="V28" s="133" t="str">
        <f>IF(V$3&lt;=time,'Overall savings and benefits'!BE40,"")</f>
        <v/>
      </c>
      <c r="W28" s="133" t="str">
        <f>IF(W$3&lt;=time,'Overall savings and benefits'!BF40,"")</f>
        <v/>
      </c>
      <c r="X28" s="133" t="str">
        <f>IF(X$3&lt;=time,'Overall savings and benefits'!BG40,"")</f>
        <v/>
      </c>
      <c r="Y28" s="133" t="str">
        <f>IF(Y$3&lt;=time,'Overall savings and benefits'!BH40,"")</f>
        <v/>
      </c>
      <c r="Z28" s="134" t="str">
        <f>IF(Z$3&lt;=time,'Overall savings and benefits'!BI40,"")</f>
        <v/>
      </c>
      <c r="AA28" s="1022">
        <f t="array" ref="AA28">(SUM( IF(ISERROR(B28:Z28),"", B28:Z28)))</f>
        <v>1.1394340302684083</v>
      </c>
      <c r="AB28" s="1023">
        <f t="shared" si="1"/>
        <v>0.22788680605368167</v>
      </c>
    </row>
    <row r="29" spans="1:28" ht="31.5" thickBot="1">
      <c r="A29" s="113" t="s">
        <v>559</v>
      </c>
      <c r="B29" s="1024">
        <f>IF(B$3&lt;=time,'Overall savings and benefits'!AK41,"")</f>
        <v>0</v>
      </c>
      <c r="C29" s="1024">
        <f>IF(C$3&lt;=time,'Overall savings and benefits'!AL41,"")</f>
        <v>10.941245858245487</v>
      </c>
      <c r="D29" s="1024">
        <f>IF(D$3&lt;=time,'Overall savings and benefits'!AM41,"")</f>
        <v>0</v>
      </c>
      <c r="E29" s="1024">
        <f>IF(E$3&lt;=time,'Overall savings and benefits'!AN41,"")</f>
        <v>0</v>
      </c>
      <c r="F29" s="1024">
        <f>IF(F$3&lt;=time,'Overall savings and benefits'!AO41,"")</f>
        <v>0</v>
      </c>
      <c r="G29" s="1024" t="str">
        <f>IF(G$3&lt;=time,'Overall savings and benefits'!AP41,"")</f>
        <v/>
      </c>
      <c r="H29" s="1024" t="str">
        <f>IF(H$3&lt;=time,'Overall savings and benefits'!AQ41,"")</f>
        <v/>
      </c>
      <c r="I29" s="1024" t="str">
        <f>IF(I$3&lt;=time,'Overall savings and benefits'!AR41,"")</f>
        <v/>
      </c>
      <c r="J29" s="1024" t="str">
        <f>IF(J$3&lt;=time,'Overall savings and benefits'!AS41,"")</f>
        <v/>
      </c>
      <c r="K29" s="1024" t="str">
        <f>IF(K$3&lt;=time,'Overall savings and benefits'!AT41,"")</f>
        <v/>
      </c>
      <c r="L29" s="1024" t="str">
        <f>IF(L$3&lt;=time,'Overall savings and benefits'!AU41,"")</f>
        <v/>
      </c>
      <c r="M29" s="1024" t="str">
        <f>IF(M$3&lt;=time,'Overall savings and benefits'!AV41,"")</f>
        <v/>
      </c>
      <c r="N29" s="1024" t="str">
        <f>IF(N$3&lt;=time,'Overall savings and benefits'!AW41,"")</f>
        <v/>
      </c>
      <c r="O29" s="1024" t="str">
        <f>IF(O$3&lt;=time,'Overall savings and benefits'!AX41,"")</f>
        <v/>
      </c>
      <c r="P29" s="1024" t="str">
        <f>IF(P$3&lt;=time,'Overall savings and benefits'!AY41,"")</f>
        <v/>
      </c>
      <c r="Q29" s="1024" t="str">
        <f>IF(Q$3&lt;=time,'Overall savings and benefits'!AZ41,"")</f>
        <v/>
      </c>
      <c r="R29" s="1024" t="str">
        <f>IF(R$3&lt;=time,'Overall savings and benefits'!BA41,"")</f>
        <v/>
      </c>
      <c r="S29" s="1024" t="str">
        <f>IF(S$3&lt;=time,'Overall savings and benefits'!BB41,"")</f>
        <v/>
      </c>
      <c r="T29" s="1024" t="str">
        <f>IF(T$3&lt;=time,'Overall savings and benefits'!BC41,"")</f>
        <v/>
      </c>
      <c r="U29" s="1024" t="str">
        <f>IF(U$3&lt;=time,'Overall savings and benefits'!BD41,"")</f>
        <v/>
      </c>
      <c r="V29" s="1024" t="str">
        <f>IF(V$3&lt;=time,'Overall savings and benefits'!BE41,"")</f>
        <v/>
      </c>
      <c r="W29" s="1024" t="str">
        <f>IF(W$3&lt;=time,'Overall savings and benefits'!BF41,"")</f>
        <v/>
      </c>
      <c r="X29" s="1024" t="str">
        <f>IF(X$3&lt;=time,'Overall savings and benefits'!BG41,"")</f>
        <v/>
      </c>
      <c r="Y29" s="1024" t="str">
        <f>IF(Y$3&lt;=time,'Overall savings and benefits'!BH41,"")</f>
        <v/>
      </c>
      <c r="Z29" s="1025" t="str">
        <f>IF(Z$3&lt;=time,'Overall savings and benefits'!BI41,"")</f>
        <v/>
      </c>
      <c r="AA29" s="1026">
        <f t="array" ref="AA29">(SUM( IF(ISERROR(B29:Z29),"", B29:Z29)))</f>
        <v>10.941245858245487</v>
      </c>
      <c r="AB29" s="1027">
        <f t="shared" si="1"/>
        <v>2.1882491716490975</v>
      </c>
    </row>
    <row r="30" spans="1:28" ht="16" thickBot="1">
      <c r="A30" s="984" t="s">
        <v>560</v>
      </c>
      <c r="B30" s="1028">
        <f>IF(B$3&lt;=time,'Overall savings and benefits'!AK42,"")</f>
        <v>0</v>
      </c>
      <c r="C30" s="1028">
        <f>IF(C$3&lt;=time,'Overall savings and benefits'!AL42,"")</f>
        <v>925.10059761597893</v>
      </c>
      <c r="D30" s="1028">
        <f>IF(D$3&lt;=time,'Overall savings and benefits'!AM42,"")</f>
        <v>0</v>
      </c>
      <c r="E30" s="1028">
        <f>IF(E$3&lt;=time,'Overall savings and benefits'!AN42,"")</f>
        <v>0</v>
      </c>
      <c r="F30" s="1028">
        <f>IF(F$3&lt;=time,'Overall savings and benefits'!AO42,"")</f>
        <v>0</v>
      </c>
      <c r="G30" s="1028" t="str">
        <f>IF(G$3&lt;=time,'Overall savings and benefits'!AP42,"")</f>
        <v/>
      </c>
      <c r="H30" s="1028" t="str">
        <f>IF(H$3&lt;=time,'Overall savings and benefits'!AQ42,"")</f>
        <v/>
      </c>
      <c r="I30" s="1028" t="str">
        <f>IF(I$3&lt;=time,'Overall savings and benefits'!AR42,"")</f>
        <v/>
      </c>
      <c r="J30" s="1028" t="str">
        <f>IF(J$3&lt;=time,'Overall savings and benefits'!AS42,"")</f>
        <v/>
      </c>
      <c r="K30" s="1028" t="str">
        <f>IF(K$3&lt;=time,'Overall savings and benefits'!AT42,"")</f>
        <v/>
      </c>
      <c r="L30" s="1028" t="str">
        <f>IF(L$3&lt;=time,'Overall savings and benefits'!AU42,"")</f>
        <v/>
      </c>
      <c r="M30" s="1028" t="str">
        <f>IF(M$3&lt;=time,'Overall savings and benefits'!AV42,"")</f>
        <v/>
      </c>
      <c r="N30" s="1028" t="str">
        <f>IF(N$3&lt;=time,'Overall savings and benefits'!AW42,"")</f>
        <v/>
      </c>
      <c r="O30" s="1028" t="str">
        <f>IF(O$3&lt;=time,'Overall savings and benefits'!AX42,"")</f>
        <v/>
      </c>
      <c r="P30" s="1028" t="str">
        <f>IF(P$3&lt;=time,'Overall savings and benefits'!AY42,"")</f>
        <v/>
      </c>
      <c r="Q30" s="1028" t="str">
        <f>IF(Q$3&lt;=time,'Overall savings and benefits'!AZ42,"")</f>
        <v/>
      </c>
      <c r="R30" s="1028" t="str">
        <f>IF(R$3&lt;=time,'Overall savings and benefits'!BA42,"")</f>
        <v/>
      </c>
      <c r="S30" s="1028" t="str">
        <f>IF(S$3&lt;=time,'Overall savings and benefits'!BB42,"")</f>
        <v/>
      </c>
      <c r="T30" s="1028" t="str">
        <f>IF(T$3&lt;=time,'Overall savings and benefits'!BC42,"")</f>
        <v/>
      </c>
      <c r="U30" s="1028" t="str">
        <f>IF(U$3&lt;=time,'Overall savings and benefits'!BD42,"")</f>
        <v/>
      </c>
      <c r="V30" s="1028" t="str">
        <f>IF(V$3&lt;=time,'Overall savings and benefits'!BE42,"")</f>
        <v/>
      </c>
      <c r="W30" s="1028" t="str">
        <f>IF(W$3&lt;=time,'Overall savings and benefits'!BF42,"")</f>
        <v/>
      </c>
      <c r="X30" s="1028" t="str">
        <f>IF(X$3&lt;=time,'Overall savings and benefits'!BG42,"")</f>
        <v/>
      </c>
      <c r="Y30" s="1028" t="str">
        <f>IF(Y$3&lt;=time,'Overall savings and benefits'!BH42,"")</f>
        <v/>
      </c>
      <c r="Z30" s="1029" t="str">
        <f>IF(Z$3&lt;=time,'Overall savings and benefits'!BI42,"")</f>
        <v/>
      </c>
      <c r="AA30" s="1030">
        <f t="array" ref="AA30">(SUM( IF(ISERROR(B30:Z30),"", B30:Z30)))</f>
        <v>925.10059761597893</v>
      </c>
      <c r="AB30" s="1031">
        <f t="shared" si="1"/>
        <v>185.02011952319577</v>
      </c>
    </row>
    <row r="31" spans="1:28" ht="31">
      <c r="A31" s="444" t="s">
        <v>413</v>
      </c>
      <c r="B31" s="655"/>
      <c r="C31" s="655"/>
      <c r="D31" s="655"/>
      <c r="E31" s="655"/>
      <c r="F31" s="655"/>
      <c r="G31" s="655" t="str">
        <f>IF(G$3&lt;=time,'Overall savings and benefits'!AP43,"")</f>
        <v/>
      </c>
      <c r="H31" s="655" t="str">
        <f>IF(H$3&lt;=time,'Overall savings and benefits'!AQ43,"")</f>
        <v/>
      </c>
      <c r="I31" s="655" t="str">
        <f>IF(I$3&lt;=time,'Overall savings and benefits'!AR43,"")</f>
        <v/>
      </c>
      <c r="J31" s="655" t="str">
        <f>IF(J$3&lt;=time,'Overall savings and benefits'!AS43,"")</f>
        <v/>
      </c>
      <c r="K31" s="655" t="str">
        <f>IF(K$3&lt;=time,'Overall savings and benefits'!AT43,"")</f>
        <v/>
      </c>
      <c r="L31" s="655" t="str">
        <f>IF(L$3&lt;=time,'Overall savings and benefits'!AU43,"")</f>
        <v/>
      </c>
      <c r="M31" s="655" t="str">
        <f>IF(M$3&lt;=time,'Overall savings and benefits'!AV43,"")</f>
        <v/>
      </c>
      <c r="N31" s="655" t="str">
        <f>IF(N$3&lt;=time,'Overall savings and benefits'!AW43,"")</f>
        <v/>
      </c>
      <c r="O31" s="655" t="str">
        <f>IF(O$3&lt;=time,'Overall savings and benefits'!AX43,"")</f>
        <v/>
      </c>
      <c r="P31" s="655" t="str">
        <f>IF(P$3&lt;=time,'Overall savings and benefits'!AY43,"")</f>
        <v/>
      </c>
      <c r="Q31" s="655" t="str">
        <f>IF(Q$3&lt;=time,'Overall savings and benefits'!AZ43,"")</f>
        <v/>
      </c>
      <c r="R31" s="655" t="str">
        <f>IF(R$3&lt;=time,'Overall savings and benefits'!BA43,"")</f>
        <v/>
      </c>
      <c r="S31" s="655" t="str">
        <f>IF(S$3&lt;=time,'Overall savings and benefits'!BB43,"")</f>
        <v/>
      </c>
      <c r="T31" s="655" t="str">
        <f>IF(T$3&lt;=time,'Overall savings and benefits'!BC43,"")</f>
        <v/>
      </c>
      <c r="U31" s="655" t="str">
        <f>IF(U$3&lt;=time,'Overall savings and benefits'!BD43,"")</f>
        <v/>
      </c>
      <c r="V31" s="655" t="str">
        <f>IF(V$3&lt;=time,'Overall savings and benefits'!BE43,"")</f>
        <v/>
      </c>
      <c r="W31" s="655" t="str">
        <f>IF(W$3&lt;=time,'Overall savings and benefits'!BF43,"")</f>
        <v/>
      </c>
      <c r="X31" s="655" t="str">
        <f>IF(X$3&lt;=time,'Overall savings and benefits'!BG43,"")</f>
        <v/>
      </c>
      <c r="Y31" s="655" t="str">
        <f>IF(Y$3&lt;=time,'Overall savings and benefits'!BH43,"")</f>
        <v/>
      </c>
      <c r="Z31" s="656" t="str">
        <f>IF(Z$3&lt;=time,'Overall savings and benefits'!BI43,"")</f>
        <v/>
      </c>
      <c r="AA31" s="657"/>
      <c r="AB31" s="658"/>
    </row>
    <row r="32" spans="1:28" ht="31">
      <c r="A32" s="440" t="s">
        <v>421</v>
      </c>
      <c r="B32" s="142">
        <f>IF(B$3&lt;=time,'Overall savings and benefits'!AK44,"")</f>
        <v>0</v>
      </c>
      <c r="C32" s="142">
        <f>IF(C$3&lt;=time,'Overall savings and benefits'!AL44,"")</f>
        <v>0</v>
      </c>
      <c r="D32" s="142">
        <f>IF(D$3&lt;=time,'Overall savings and benefits'!AM44,"")</f>
        <v>0</v>
      </c>
      <c r="E32" s="142">
        <f>IF(E$3&lt;=time,'Overall savings and benefits'!AN44,"")</f>
        <v>0</v>
      </c>
      <c r="F32" s="142">
        <f>IF(F$3&lt;=time,'Overall savings and benefits'!AO44,"")</f>
        <v>0</v>
      </c>
      <c r="G32" s="142" t="str">
        <f>IF(G$3&lt;=time,'Overall savings and benefits'!AP44,"")</f>
        <v/>
      </c>
      <c r="H32" s="142" t="str">
        <f>IF(H$3&lt;=time,'Overall savings and benefits'!AQ44,"")</f>
        <v/>
      </c>
      <c r="I32" s="142" t="str">
        <f>IF(I$3&lt;=time,'Overall savings and benefits'!AR44,"")</f>
        <v/>
      </c>
      <c r="J32" s="142" t="str">
        <f>IF(J$3&lt;=time,'Overall savings and benefits'!AS44,"")</f>
        <v/>
      </c>
      <c r="K32" s="142" t="str">
        <f>IF(K$3&lt;=time,'Overall savings and benefits'!AT44,"")</f>
        <v/>
      </c>
      <c r="L32" s="142" t="str">
        <f>IF(L$3&lt;=time,'Overall savings and benefits'!AU44,"")</f>
        <v/>
      </c>
      <c r="M32" s="142" t="str">
        <f>IF(M$3&lt;=time,'Overall savings and benefits'!AV44,"")</f>
        <v/>
      </c>
      <c r="N32" s="142" t="str">
        <f>IF(N$3&lt;=time,'Overall savings and benefits'!AW44,"")</f>
        <v/>
      </c>
      <c r="O32" s="142" t="str">
        <f>IF(O$3&lt;=time,'Overall savings and benefits'!AX44,"")</f>
        <v/>
      </c>
      <c r="P32" s="142" t="str">
        <f>IF(P$3&lt;=time,'Overall savings and benefits'!AY44,"")</f>
        <v/>
      </c>
      <c r="Q32" s="142" t="str">
        <f>IF(Q$3&lt;=time,'Overall savings and benefits'!AZ44,"")</f>
        <v/>
      </c>
      <c r="R32" s="142" t="str">
        <f>IF(R$3&lt;=time,'Overall savings and benefits'!BA44,"")</f>
        <v/>
      </c>
      <c r="S32" s="142" t="str">
        <f>IF(S$3&lt;=time,'Overall savings and benefits'!BB44,"")</f>
        <v/>
      </c>
      <c r="T32" s="142" t="str">
        <f>IF(T$3&lt;=time,'Overall savings and benefits'!BC44,"")</f>
        <v/>
      </c>
      <c r="U32" s="142" t="str">
        <f>IF(U$3&lt;=time,'Overall savings and benefits'!BD44,"")</f>
        <v/>
      </c>
      <c r="V32" s="142" t="str">
        <f>IF(V$3&lt;=time,'Overall savings and benefits'!BE44,"")</f>
        <v/>
      </c>
      <c r="W32" s="142" t="str">
        <f>IF(W$3&lt;=time,'Overall savings and benefits'!BF44,"")</f>
        <v/>
      </c>
      <c r="X32" s="142" t="str">
        <f>IF(X$3&lt;=time,'Overall savings and benefits'!BG44,"")</f>
        <v/>
      </c>
      <c r="Y32" s="142" t="str">
        <f>IF(Y$3&lt;=time,'Overall savings and benefits'!BH44,"")</f>
        <v/>
      </c>
      <c r="Z32" s="143" t="str">
        <f>IF(Z$3&lt;=time,'Overall savings and benefits'!BI44,"")</f>
        <v/>
      </c>
      <c r="AA32" s="1013">
        <f t="array" ref="AA32">(SUM( IF(ISERROR(B32:Z32),"", B32:Z32)))</f>
        <v>0</v>
      </c>
      <c r="AB32" s="1014">
        <f t="shared" ref="AB32:AB38" si="2">AA32/time</f>
        <v>0</v>
      </c>
    </row>
    <row r="33" spans="1:29" ht="31">
      <c r="A33" s="440" t="s">
        <v>422</v>
      </c>
      <c r="B33" s="142">
        <f>IF(B$3&lt;=time,'Overall savings and benefits'!AK45,"")</f>
        <v>0</v>
      </c>
      <c r="C33" s="142">
        <f>IF(C$3&lt;=time,'Overall savings and benefits'!AL45,"")</f>
        <v>0</v>
      </c>
      <c r="D33" s="142">
        <f>IF(D$3&lt;=time,'Overall savings and benefits'!AM45,"")</f>
        <v>0</v>
      </c>
      <c r="E33" s="142">
        <f>IF(E$3&lt;=time,'Overall savings and benefits'!AN45,"")</f>
        <v>0</v>
      </c>
      <c r="F33" s="142">
        <f>IF(F$3&lt;=time,'Overall savings and benefits'!AO45,"")</f>
        <v>0</v>
      </c>
      <c r="G33" s="142" t="str">
        <f>IF(G$3&lt;=time,'Overall savings and benefits'!AP45,"")</f>
        <v/>
      </c>
      <c r="H33" s="142" t="str">
        <f>IF(H$3&lt;=time,'Overall savings and benefits'!AQ45,"")</f>
        <v/>
      </c>
      <c r="I33" s="142" t="str">
        <f>IF(I$3&lt;=time,'Overall savings and benefits'!AR45,"")</f>
        <v/>
      </c>
      <c r="J33" s="142" t="str">
        <f>IF(J$3&lt;=time,'Overall savings and benefits'!AS45,"")</f>
        <v/>
      </c>
      <c r="K33" s="142" t="str">
        <f>IF(K$3&lt;=time,'Overall savings and benefits'!AT45,"")</f>
        <v/>
      </c>
      <c r="L33" s="142" t="str">
        <f>IF(L$3&lt;=time,'Overall savings and benefits'!AU45,"")</f>
        <v/>
      </c>
      <c r="M33" s="142" t="str">
        <f>IF(M$3&lt;=time,'Overall savings and benefits'!AV45,"")</f>
        <v/>
      </c>
      <c r="N33" s="142" t="str">
        <f>IF(N$3&lt;=time,'Overall savings and benefits'!AW45,"")</f>
        <v/>
      </c>
      <c r="O33" s="142" t="str">
        <f>IF(O$3&lt;=time,'Overall savings and benefits'!AX45,"")</f>
        <v/>
      </c>
      <c r="P33" s="142" t="str">
        <f>IF(P$3&lt;=time,'Overall savings and benefits'!AY45,"")</f>
        <v/>
      </c>
      <c r="Q33" s="142" t="str">
        <f>IF(Q$3&lt;=time,'Overall savings and benefits'!AZ45,"")</f>
        <v/>
      </c>
      <c r="R33" s="142" t="str">
        <f>IF(R$3&lt;=time,'Overall savings and benefits'!BA45,"")</f>
        <v/>
      </c>
      <c r="S33" s="142" t="str">
        <f>IF(S$3&lt;=time,'Overall savings and benefits'!BB45,"")</f>
        <v/>
      </c>
      <c r="T33" s="142" t="str">
        <f>IF(T$3&lt;=time,'Overall savings and benefits'!BC45,"")</f>
        <v/>
      </c>
      <c r="U33" s="142" t="str">
        <f>IF(U$3&lt;=time,'Overall savings and benefits'!BD45,"")</f>
        <v/>
      </c>
      <c r="V33" s="142" t="str">
        <f>IF(V$3&lt;=time,'Overall savings and benefits'!BE45,"")</f>
        <v/>
      </c>
      <c r="W33" s="142" t="str">
        <f>IF(W$3&lt;=time,'Overall savings and benefits'!BF45,"")</f>
        <v/>
      </c>
      <c r="X33" s="142" t="str">
        <f>IF(X$3&lt;=time,'Overall savings and benefits'!BG45,"")</f>
        <v/>
      </c>
      <c r="Y33" s="142" t="str">
        <f>IF(Y$3&lt;=time,'Overall savings and benefits'!BH45,"")</f>
        <v/>
      </c>
      <c r="Z33" s="143" t="str">
        <f>IF(Z$3&lt;=time,'Overall savings and benefits'!BI45,"")</f>
        <v/>
      </c>
      <c r="AA33" s="1013">
        <f t="array" ref="AA33">(SUM( IF(ISERROR(B33:Z33),"", B33:Z33)))</f>
        <v>0</v>
      </c>
      <c r="AB33" s="1014">
        <f t="shared" si="2"/>
        <v>0</v>
      </c>
    </row>
    <row r="34" spans="1:29" ht="31">
      <c r="A34" s="440" t="s">
        <v>415</v>
      </c>
      <c r="B34" s="142">
        <f>IF(B$3&lt;=time,'Overall savings and benefits'!AK46,"")</f>
        <v>0</v>
      </c>
      <c r="C34" s="142">
        <f>IF(C$3&lt;=time,'Overall savings and benefits'!AL46,"")</f>
        <v>0</v>
      </c>
      <c r="D34" s="142">
        <f>IF(D$3&lt;=time,'Overall savings and benefits'!AM46,"")</f>
        <v>0</v>
      </c>
      <c r="E34" s="142">
        <f>IF(E$3&lt;=time,'Overall savings and benefits'!AN46,"")</f>
        <v>0</v>
      </c>
      <c r="F34" s="142">
        <f>IF(F$3&lt;=time,'Overall savings and benefits'!AO46,"")</f>
        <v>0</v>
      </c>
      <c r="G34" s="142" t="str">
        <f>IF(G$3&lt;=time,'Overall savings and benefits'!AP46,"")</f>
        <v/>
      </c>
      <c r="H34" s="142" t="str">
        <f>IF(H$3&lt;=time,'Overall savings and benefits'!AQ46,"")</f>
        <v/>
      </c>
      <c r="I34" s="142" t="str">
        <f>IF(I$3&lt;=time,'Overall savings and benefits'!AR46,"")</f>
        <v/>
      </c>
      <c r="J34" s="142" t="str">
        <f>IF(J$3&lt;=time,'Overall savings and benefits'!AS46,"")</f>
        <v/>
      </c>
      <c r="K34" s="142" t="str">
        <f>IF(K$3&lt;=time,'Overall savings and benefits'!AT46,"")</f>
        <v/>
      </c>
      <c r="L34" s="142" t="str">
        <f>IF(L$3&lt;=time,'Overall savings and benefits'!AU46,"")</f>
        <v/>
      </c>
      <c r="M34" s="142" t="str">
        <f>IF(M$3&lt;=time,'Overall savings and benefits'!AV46,"")</f>
        <v/>
      </c>
      <c r="N34" s="142" t="str">
        <f>IF(N$3&lt;=time,'Overall savings and benefits'!AW46,"")</f>
        <v/>
      </c>
      <c r="O34" s="142" t="str">
        <f>IF(O$3&lt;=time,'Overall savings and benefits'!AX46,"")</f>
        <v/>
      </c>
      <c r="P34" s="142" t="str">
        <f>IF(P$3&lt;=time,'Overall savings and benefits'!AY46,"")</f>
        <v/>
      </c>
      <c r="Q34" s="142" t="str">
        <f>IF(Q$3&lt;=time,'Overall savings and benefits'!AZ46,"")</f>
        <v/>
      </c>
      <c r="R34" s="142" t="str">
        <f>IF(R$3&lt;=time,'Overall savings and benefits'!BA46,"")</f>
        <v/>
      </c>
      <c r="S34" s="142" t="str">
        <f>IF(S$3&lt;=time,'Overall savings and benefits'!BB46,"")</f>
        <v/>
      </c>
      <c r="T34" s="142" t="str">
        <f>IF(T$3&lt;=time,'Overall savings and benefits'!BC46,"")</f>
        <v/>
      </c>
      <c r="U34" s="142" t="str">
        <f>IF(U$3&lt;=time,'Overall savings and benefits'!BD46,"")</f>
        <v/>
      </c>
      <c r="V34" s="142" t="str">
        <f>IF(V$3&lt;=time,'Overall savings and benefits'!BE46,"")</f>
        <v/>
      </c>
      <c r="W34" s="142" t="str">
        <f>IF(W$3&lt;=time,'Overall savings and benefits'!BF46,"")</f>
        <v/>
      </c>
      <c r="X34" s="142" t="str">
        <f>IF(X$3&lt;=time,'Overall savings and benefits'!BG46,"")</f>
        <v/>
      </c>
      <c r="Y34" s="142" t="str">
        <f>IF(Y$3&lt;=time,'Overall savings and benefits'!BH46,"")</f>
        <v/>
      </c>
      <c r="Z34" s="143" t="str">
        <f>IF(Z$3&lt;=time,'Overall savings and benefits'!BI46,"")</f>
        <v/>
      </c>
      <c r="AA34" s="1013">
        <f t="array" ref="AA34">(SUM( IF(ISERROR(B34:Z34),"", B34:Z34)))</f>
        <v>0</v>
      </c>
      <c r="AB34" s="1014">
        <f t="shared" si="2"/>
        <v>0</v>
      </c>
    </row>
    <row r="35" spans="1:29">
      <c r="A35" s="440" t="s">
        <v>416</v>
      </c>
      <c r="B35" s="142">
        <f>IF(B$3&lt;=time,'Overall savings and benefits'!AK47,"")</f>
        <v>0</v>
      </c>
      <c r="C35" s="142">
        <f>IF(C$3&lt;=time,'Overall savings and benefits'!AL47,"")</f>
        <v>0</v>
      </c>
      <c r="D35" s="142">
        <f>IF(D$3&lt;=time,'Overall savings and benefits'!AM47,"")</f>
        <v>0</v>
      </c>
      <c r="E35" s="142">
        <f>IF(E$3&lt;=time,'Overall savings and benefits'!AN47,"")</f>
        <v>0</v>
      </c>
      <c r="F35" s="142">
        <f>IF(F$3&lt;=time,'Overall savings and benefits'!AO47,"")</f>
        <v>0</v>
      </c>
      <c r="G35" s="142" t="str">
        <f>IF(G$3&lt;=time,'Overall savings and benefits'!AP47,"")</f>
        <v/>
      </c>
      <c r="H35" s="142" t="str">
        <f>IF(H$3&lt;=time,'Overall savings and benefits'!AQ47,"")</f>
        <v/>
      </c>
      <c r="I35" s="142" t="str">
        <f>IF(I$3&lt;=time,'Overall savings and benefits'!AR47,"")</f>
        <v/>
      </c>
      <c r="J35" s="142" t="str">
        <f>IF(J$3&lt;=time,'Overall savings and benefits'!AS47,"")</f>
        <v/>
      </c>
      <c r="K35" s="142" t="str">
        <f>IF(K$3&lt;=time,'Overall savings and benefits'!AT47,"")</f>
        <v/>
      </c>
      <c r="L35" s="142" t="str">
        <f>IF(L$3&lt;=time,'Overall savings and benefits'!AU47,"")</f>
        <v/>
      </c>
      <c r="M35" s="142" t="str">
        <f>IF(M$3&lt;=time,'Overall savings and benefits'!AV47,"")</f>
        <v/>
      </c>
      <c r="N35" s="142" t="str">
        <f>IF(N$3&lt;=time,'Overall savings and benefits'!AW47,"")</f>
        <v/>
      </c>
      <c r="O35" s="142" t="str">
        <f>IF(O$3&lt;=time,'Overall savings and benefits'!AX47,"")</f>
        <v/>
      </c>
      <c r="P35" s="142" t="str">
        <f>IF(P$3&lt;=time,'Overall savings and benefits'!AY47,"")</f>
        <v/>
      </c>
      <c r="Q35" s="142" t="str">
        <f>IF(Q$3&lt;=time,'Overall savings and benefits'!AZ47,"")</f>
        <v/>
      </c>
      <c r="R35" s="142" t="str">
        <f>IF(R$3&lt;=time,'Overall savings and benefits'!BA47,"")</f>
        <v/>
      </c>
      <c r="S35" s="142" t="str">
        <f>IF(S$3&lt;=time,'Overall savings and benefits'!BB47,"")</f>
        <v/>
      </c>
      <c r="T35" s="142" t="str">
        <f>IF(T$3&lt;=time,'Overall savings and benefits'!BC47,"")</f>
        <v/>
      </c>
      <c r="U35" s="142" t="str">
        <f>IF(U$3&lt;=time,'Overall savings and benefits'!BD47,"")</f>
        <v/>
      </c>
      <c r="V35" s="142" t="str">
        <f>IF(V$3&lt;=time,'Overall savings and benefits'!BE47,"")</f>
        <v/>
      </c>
      <c r="W35" s="142" t="str">
        <f>IF(W$3&lt;=time,'Overall savings and benefits'!BF47,"")</f>
        <v/>
      </c>
      <c r="X35" s="142" t="str">
        <f>IF(X$3&lt;=time,'Overall savings and benefits'!BG47,"")</f>
        <v/>
      </c>
      <c r="Y35" s="142" t="str">
        <f>IF(Y$3&lt;=time,'Overall savings and benefits'!BH47,"")</f>
        <v/>
      </c>
      <c r="Z35" s="143" t="str">
        <f>IF(Z$3&lt;=time,'Overall savings and benefits'!BI47,"")</f>
        <v/>
      </c>
      <c r="AA35" s="1013">
        <f t="array" ref="AA35">(SUM( IF(ISERROR(B35:Z35),"", B35:Z35)))</f>
        <v>0</v>
      </c>
      <c r="AB35" s="1014">
        <f t="shared" si="2"/>
        <v>0</v>
      </c>
    </row>
    <row r="36" spans="1:29" ht="31">
      <c r="A36" s="440" t="s">
        <v>417</v>
      </c>
      <c r="B36" s="142">
        <f>IF(B$3&lt;=time,'Overall savings and benefits'!AK48,"")</f>
        <v>0</v>
      </c>
      <c r="C36" s="142">
        <f>IF(C$3&lt;=time,'Overall savings and benefits'!AL48,"")</f>
        <v>0</v>
      </c>
      <c r="D36" s="142">
        <f>IF(D$3&lt;=time,'Overall savings and benefits'!AM48,"")</f>
        <v>0</v>
      </c>
      <c r="E36" s="142">
        <f>IF(E$3&lt;=time,'Overall savings and benefits'!AN48,"")</f>
        <v>0</v>
      </c>
      <c r="F36" s="142">
        <f>IF(F$3&lt;=time,'Overall savings and benefits'!AO48,"")</f>
        <v>0</v>
      </c>
      <c r="G36" s="142" t="str">
        <f>IF(G$3&lt;=time,'Overall savings and benefits'!AP48,"")</f>
        <v/>
      </c>
      <c r="H36" s="142" t="str">
        <f>IF(H$3&lt;=time,'Overall savings and benefits'!AQ48,"")</f>
        <v/>
      </c>
      <c r="I36" s="142" t="str">
        <f>IF(I$3&lt;=time,'Overall savings and benefits'!AR48,"")</f>
        <v/>
      </c>
      <c r="J36" s="142" t="str">
        <f>IF(J$3&lt;=time,'Overall savings and benefits'!AS48,"")</f>
        <v/>
      </c>
      <c r="K36" s="142" t="str">
        <f>IF(K$3&lt;=time,'Overall savings and benefits'!AT48,"")</f>
        <v/>
      </c>
      <c r="L36" s="142" t="str">
        <f>IF(L$3&lt;=time,'Overall savings and benefits'!AU48,"")</f>
        <v/>
      </c>
      <c r="M36" s="142" t="str">
        <f>IF(M$3&lt;=time,'Overall savings and benefits'!AV48,"")</f>
        <v/>
      </c>
      <c r="N36" s="142" t="str">
        <f>IF(N$3&lt;=time,'Overall savings and benefits'!AW48,"")</f>
        <v/>
      </c>
      <c r="O36" s="142" t="str">
        <f>IF(O$3&lt;=time,'Overall savings and benefits'!AX48,"")</f>
        <v/>
      </c>
      <c r="P36" s="142" t="str">
        <f>IF(P$3&lt;=time,'Overall savings and benefits'!AY48,"")</f>
        <v/>
      </c>
      <c r="Q36" s="142" t="str">
        <f>IF(Q$3&lt;=time,'Overall savings and benefits'!AZ48,"")</f>
        <v/>
      </c>
      <c r="R36" s="142" t="str">
        <f>IF(R$3&lt;=time,'Overall savings and benefits'!BA48,"")</f>
        <v/>
      </c>
      <c r="S36" s="142" t="str">
        <f>IF(S$3&lt;=time,'Overall savings and benefits'!BB48,"")</f>
        <v/>
      </c>
      <c r="T36" s="142" t="str">
        <f>IF(T$3&lt;=time,'Overall savings and benefits'!BC48,"")</f>
        <v/>
      </c>
      <c r="U36" s="142" t="str">
        <f>IF(U$3&lt;=time,'Overall savings and benefits'!BD48,"")</f>
        <v/>
      </c>
      <c r="V36" s="142" t="str">
        <f>IF(V$3&lt;=time,'Overall savings and benefits'!BE48,"")</f>
        <v/>
      </c>
      <c r="W36" s="142" t="str">
        <f>IF(W$3&lt;=time,'Overall savings and benefits'!BF48,"")</f>
        <v/>
      </c>
      <c r="X36" s="142" t="str">
        <f>IF(X$3&lt;=time,'Overall savings and benefits'!BG48,"")</f>
        <v/>
      </c>
      <c r="Y36" s="142" t="str">
        <f>IF(Y$3&lt;=time,'Overall savings and benefits'!BH48,"")</f>
        <v/>
      </c>
      <c r="Z36" s="143" t="str">
        <f>IF(Z$3&lt;=time,'Overall savings and benefits'!BI48,"")</f>
        <v/>
      </c>
      <c r="AA36" s="1013">
        <f t="array" ref="AA36">(SUM( IF(ISERROR(B36:Z36),"", B36:Z36)))</f>
        <v>0</v>
      </c>
      <c r="AB36" s="1014">
        <f t="shared" si="2"/>
        <v>0</v>
      </c>
    </row>
    <row r="37" spans="1:29" ht="16" thickBot="1">
      <c r="A37" s="441" t="s">
        <v>418</v>
      </c>
      <c r="B37" s="381">
        <f>IF(B$3&lt;=time,'Overall savings and benefits'!AK49,"")</f>
        <v>0</v>
      </c>
      <c r="C37" s="381">
        <f>IF(C$3&lt;=time,'Overall savings and benefits'!AL49,"")</f>
        <v>0</v>
      </c>
      <c r="D37" s="381">
        <f>IF(D$3&lt;=time,'Overall savings and benefits'!AM49,"")</f>
        <v>0</v>
      </c>
      <c r="E37" s="381">
        <f>IF(E$3&lt;=time,'Overall savings and benefits'!AN49,"")</f>
        <v>0</v>
      </c>
      <c r="F37" s="381">
        <f>IF(F$3&lt;=time,'Overall savings and benefits'!AO49,"")</f>
        <v>0</v>
      </c>
      <c r="G37" s="381" t="str">
        <f>IF(G$3&lt;=time,'Overall savings and benefits'!AP49,"")</f>
        <v/>
      </c>
      <c r="H37" s="381" t="str">
        <f>IF(H$3&lt;=time,'Overall savings and benefits'!AQ49,"")</f>
        <v/>
      </c>
      <c r="I37" s="381" t="str">
        <f>IF(I$3&lt;=time,'Overall savings and benefits'!AR49,"")</f>
        <v/>
      </c>
      <c r="J37" s="381" t="str">
        <f>IF(J$3&lt;=time,'Overall savings and benefits'!AS49,"")</f>
        <v/>
      </c>
      <c r="K37" s="381" t="str">
        <f>IF(K$3&lt;=time,'Overall savings and benefits'!AT49,"")</f>
        <v/>
      </c>
      <c r="L37" s="381" t="str">
        <f>IF(L$3&lt;=time,'Overall savings and benefits'!AU49,"")</f>
        <v/>
      </c>
      <c r="M37" s="381" t="str">
        <f>IF(M$3&lt;=time,'Overall savings and benefits'!AV49,"")</f>
        <v/>
      </c>
      <c r="N37" s="381" t="str">
        <f>IF(N$3&lt;=time,'Overall savings and benefits'!AW49,"")</f>
        <v/>
      </c>
      <c r="O37" s="381" t="str">
        <f>IF(O$3&lt;=time,'Overall savings and benefits'!AX49,"")</f>
        <v/>
      </c>
      <c r="P37" s="381" t="str">
        <f>IF(P$3&lt;=time,'Overall savings and benefits'!AY49,"")</f>
        <v/>
      </c>
      <c r="Q37" s="381" t="str">
        <f>IF(Q$3&lt;=time,'Overall savings and benefits'!AZ49,"")</f>
        <v/>
      </c>
      <c r="R37" s="381" t="str">
        <f>IF(R$3&lt;=time,'Overall savings and benefits'!BA49,"")</f>
        <v/>
      </c>
      <c r="S37" s="381" t="str">
        <f>IF(S$3&lt;=time,'Overall savings and benefits'!BB49,"")</f>
        <v/>
      </c>
      <c r="T37" s="381" t="str">
        <f>IF(T$3&lt;=time,'Overall savings and benefits'!BC49,"")</f>
        <v/>
      </c>
      <c r="U37" s="381" t="str">
        <f>IF(U$3&lt;=time,'Overall savings and benefits'!BD49,"")</f>
        <v/>
      </c>
      <c r="V37" s="381" t="str">
        <f>IF(V$3&lt;=time,'Overall savings and benefits'!BE49,"")</f>
        <v/>
      </c>
      <c r="W37" s="381" t="str">
        <f>IF(W$3&lt;=time,'Overall savings and benefits'!BF49,"")</f>
        <v/>
      </c>
      <c r="X37" s="381" t="str">
        <f>IF(X$3&lt;=time,'Overall savings and benefits'!BG49,"")</f>
        <v/>
      </c>
      <c r="Y37" s="381" t="str">
        <f>IF(Y$3&lt;=time,'Overall savings and benefits'!BH49,"")</f>
        <v/>
      </c>
      <c r="Z37" s="382" t="str">
        <f>IF(Z$3&lt;=time,'Overall savings and benefits'!BI49,"")</f>
        <v/>
      </c>
      <c r="AA37" s="1015">
        <f t="array" ref="AA37">(SUM( IF(ISERROR(B37:Z37),"", B37:Z37)))</f>
        <v>0</v>
      </c>
      <c r="AB37" s="1016">
        <f t="shared" si="2"/>
        <v>0</v>
      </c>
    </row>
    <row r="38" spans="1:29" ht="31.5" thickBot="1">
      <c r="A38" s="984" t="s">
        <v>419</v>
      </c>
      <c r="B38" s="985">
        <f>IF(B$3&lt;=time,'Overall savings and benefits'!AK50,"")</f>
        <v>0</v>
      </c>
      <c r="C38" s="985">
        <f>IF(C$3&lt;=time,'Overall savings and benefits'!AL50,"")</f>
        <v>0</v>
      </c>
      <c r="D38" s="985">
        <f>IF(D$3&lt;=time,'Overall savings and benefits'!AM50,"")</f>
        <v>0</v>
      </c>
      <c r="E38" s="985">
        <f>IF(E$3&lt;=time,'Overall savings and benefits'!AN50,"")</f>
        <v>0</v>
      </c>
      <c r="F38" s="985">
        <f>IF(F$3&lt;=time,'Overall savings and benefits'!AO50,"")</f>
        <v>0</v>
      </c>
      <c r="G38" s="985" t="str">
        <f>IF(G$3&lt;=time,'Overall savings and benefits'!AP50,"")</f>
        <v/>
      </c>
      <c r="H38" s="985" t="str">
        <f>IF(H$3&lt;=time,'Overall savings and benefits'!AQ50,"")</f>
        <v/>
      </c>
      <c r="I38" s="985" t="str">
        <f>IF(I$3&lt;=time,'Overall savings and benefits'!AR50,"")</f>
        <v/>
      </c>
      <c r="J38" s="985" t="str">
        <f>IF(J$3&lt;=time,'Overall savings and benefits'!AS50,"")</f>
        <v/>
      </c>
      <c r="K38" s="985" t="str">
        <f>IF(K$3&lt;=time,'Overall savings and benefits'!AT50,"")</f>
        <v/>
      </c>
      <c r="L38" s="985" t="str">
        <f>IF(L$3&lt;=time,'Overall savings and benefits'!AU50,"")</f>
        <v/>
      </c>
      <c r="M38" s="985" t="str">
        <f>IF(M$3&lt;=time,'Overall savings and benefits'!AV50,"")</f>
        <v/>
      </c>
      <c r="N38" s="985" t="str">
        <f>IF(N$3&lt;=time,'Overall savings and benefits'!AW50,"")</f>
        <v/>
      </c>
      <c r="O38" s="985" t="str">
        <f>IF(O$3&lt;=time,'Overall savings and benefits'!AX50,"")</f>
        <v/>
      </c>
      <c r="P38" s="985" t="str">
        <f>IF(P$3&lt;=time,'Overall savings and benefits'!AY50,"")</f>
        <v/>
      </c>
      <c r="Q38" s="985" t="str">
        <f>IF(Q$3&lt;=time,'Overall savings and benefits'!AZ50,"")</f>
        <v/>
      </c>
      <c r="R38" s="985" t="str">
        <f>IF(R$3&lt;=time,'Overall savings and benefits'!BA50,"")</f>
        <v/>
      </c>
      <c r="S38" s="985" t="str">
        <f>IF(S$3&lt;=time,'Overall savings and benefits'!BB50,"")</f>
        <v/>
      </c>
      <c r="T38" s="985" t="str">
        <f>IF(T$3&lt;=time,'Overall savings and benefits'!BC50,"")</f>
        <v/>
      </c>
      <c r="U38" s="985" t="str">
        <f>IF(U$3&lt;=time,'Overall savings and benefits'!BD50,"")</f>
        <v/>
      </c>
      <c r="V38" s="985" t="str">
        <f>IF(V$3&lt;=time,'Overall savings and benefits'!BE50,"")</f>
        <v/>
      </c>
      <c r="W38" s="985" t="str">
        <f>IF(W$3&lt;=time,'Overall savings and benefits'!BF50,"")</f>
        <v/>
      </c>
      <c r="X38" s="985" t="str">
        <f>IF(X$3&lt;=time,'Overall savings and benefits'!BG50,"")</f>
        <v/>
      </c>
      <c r="Y38" s="985" t="str">
        <f>IF(Y$3&lt;=time,'Overall savings and benefits'!BH50,"")</f>
        <v/>
      </c>
      <c r="Z38" s="986" t="str">
        <f>IF(Z$3&lt;=time,'Overall savings and benefits'!BI50,"")</f>
        <v/>
      </c>
      <c r="AA38" s="977">
        <f t="array" ref="AA38">(SUM( IF(ISERROR(B38:Z38),"", B38:Z38)))</f>
        <v>0</v>
      </c>
      <c r="AB38" s="1017">
        <f t="shared" si="2"/>
        <v>0</v>
      </c>
    </row>
    <row r="39" spans="1:29" ht="31.5" thickBot="1">
      <c r="A39" s="479" t="s">
        <v>524</v>
      </c>
      <c r="B39" s="659"/>
      <c r="C39" s="659"/>
      <c r="D39" s="659"/>
      <c r="E39" s="659"/>
      <c r="F39" s="659"/>
      <c r="G39" s="659"/>
      <c r="H39" s="659"/>
      <c r="I39" s="659"/>
      <c r="J39" s="659"/>
      <c r="K39" s="659"/>
      <c r="L39" s="659"/>
      <c r="M39" s="659"/>
      <c r="N39" s="659"/>
      <c r="O39" s="659"/>
      <c r="P39" s="659"/>
      <c r="Q39" s="659"/>
      <c r="R39" s="659"/>
      <c r="S39" s="659"/>
      <c r="T39" s="659"/>
      <c r="U39" s="659"/>
      <c r="V39" s="659"/>
      <c r="W39" s="659"/>
      <c r="X39" s="659"/>
      <c r="Y39" s="659"/>
      <c r="Z39" s="660"/>
      <c r="AA39" s="661"/>
      <c r="AB39" s="662"/>
    </row>
    <row r="40" spans="1:29" hidden="1">
      <c r="A40" s="440" t="s">
        <v>526</v>
      </c>
      <c r="B40" s="142">
        <f>IF(B$3&lt;=time,'Overall savings and benefits'!AK52,"")</f>
        <v>0</v>
      </c>
      <c r="C40" s="142">
        <f>IF(C$3&lt;=time,'Overall savings and benefits'!AL52,"")</f>
        <v>0</v>
      </c>
      <c r="D40" s="142">
        <f>IF(D$3&lt;=time,'Overall savings and benefits'!AM52,"")</f>
        <v>0</v>
      </c>
      <c r="E40" s="142">
        <f>IF(E$3&lt;=time,'Overall savings and benefits'!AN52,"")</f>
        <v>0</v>
      </c>
      <c r="F40" s="142">
        <f>IF(F$3&lt;=time,'Overall savings and benefits'!AO52,"")</f>
        <v>0</v>
      </c>
      <c r="G40" s="142" t="str">
        <f>IF(G$3&lt;=time,'Overall savings and benefits'!AP52,"")</f>
        <v/>
      </c>
      <c r="H40" s="142" t="str">
        <f>IF(H$3&lt;=time,'Overall savings and benefits'!AQ52,"")</f>
        <v/>
      </c>
      <c r="I40" s="142" t="str">
        <f>IF(I$3&lt;=time,'Overall savings and benefits'!AR52,"")</f>
        <v/>
      </c>
      <c r="J40" s="142" t="str">
        <f>IF(J$3&lt;=time,'Overall savings and benefits'!AS52,"")</f>
        <v/>
      </c>
      <c r="K40" s="142" t="str">
        <f>IF(K$3&lt;=time,'Overall savings and benefits'!AT52,"")</f>
        <v/>
      </c>
      <c r="L40" s="142" t="str">
        <f>IF(L$3&lt;=time,'Overall savings and benefits'!AU52,"")</f>
        <v/>
      </c>
      <c r="M40" s="142" t="str">
        <f>IF(M$3&lt;=time,'Overall savings and benefits'!AV52,"")</f>
        <v/>
      </c>
      <c r="N40" s="142" t="str">
        <f>IF(N$3&lt;=time,'Overall savings and benefits'!AW52,"")</f>
        <v/>
      </c>
      <c r="O40" s="142" t="str">
        <f>IF(O$3&lt;=time,'Overall savings and benefits'!AX52,"")</f>
        <v/>
      </c>
      <c r="P40" s="142" t="str">
        <f>IF(P$3&lt;=time,'Overall savings and benefits'!AY52,"")</f>
        <v/>
      </c>
      <c r="Q40" s="142" t="str">
        <f>IF(Q$3&lt;=time,'Overall savings and benefits'!AZ52,"")</f>
        <v/>
      </c>
      <c r="R40" s="142" t="str">
        <f>IF(R$3&lt;=time,'Overall savings and benefits'!BA52,"")</f>
        <v/>
      </c>
      <c r="S40" s="142" t="str">
        <f>IF(S$3&lt;=time,'Overall savings and benefits'!BB52,"")</f>
        <v/>
      </c>
      <c r="T40" s="142" t="str">
        <f>IF(T$3&lt;=time,'Overall savings and benefits'!BC52,"")</f>
        <v/>
      </c>
      <c r="U40" s="142" t="str">
        <f>IF(U$3&lt;=time,'Overall savings and benefits'!BD52,"")</f>
        <v/>
      </c>
      <c r="V40" s="142" t="str">
        <f>IF(V$3&lt;=time,'Overall savings and benefits'!BE52,"")</f>
        <v/>
      </c>
      <c r="W40" s="142" t="str">
        <f>IF(W$3&lt;=time,'Overall savings and benefits'!BF52,"")</f>
        <v/>
      </c>
      <c r="X40" s="142" t="str">
        <f>IF(X$3&lt;=time,'Overall savings and benefits'!BG52,"")</f>
        <v/>
      </c>
      <c r="Y40" s="142" t="str">
        <f>IF(Y$3&lt;=time,'Overall savings and benefits'!BH52,"")</f>
        <v/>
      </c>
      <c r="Z40" s="142" t="str">
        <f>IF(Z$3&lt;=time,'Overall savings and benefits'!BI52,"")</f>
        <v/>
      </c>
      <c r="AA40" s="651">
        <f t="array" ref="AA40">(SUM( IF(ISERROR(B40:Z40),"", B40:Z40)))</f>
        <v>0</v>
      </c>
      <c r="AB40" s="652">
        <f t="shared" ref="AB40:AB51" si="3">AA40/time</f>
        <v>0</v>
      </c>
      <c r="AC40" s="529">
        <v>1</v>
      </c>
    </row>
    <row r="41" spans="1:29" hidden="1">
      <c r="A41" s="440" t="s">
        <v>527</v>
      </c>
      <c r="B41" s="142">
        <f>IF(B$3&lt;=time,'Overall savings and benefits'!AK53,"")</f>
        <v>0</v>
      </c>
      <c r="C41" s="142">
        <f>IF(C$3&lt;=time,'Overall savings and benefits'!AL53,"")</f>
        <v>0</v>
      </c>
      <c r="D41" s="142">
        <f>IF(D$3&lt;=time,'Overall savings and benefits'!AM53,"")</f>
        <v>0</v>
      </c>
      <c r="E41" s="142">
        <f>IF(E$3&lt;=time,'Overall savings and benefits'!AN53,"")</f>
        <v>0</v>
      </c>
      <c r="F41" s="142">
        <f>IF(F$3&lt;=time,'Overall savings and benefits'!AO53,"")</f>
        <v>0</v>
      </c>
      <c r="G41" s="142" t="str">
        <f>IF(G$3&lt;=time,'Overall savings and benefits'!AP53,"")</f>
        <v/>
      </c>
      <c r="H41" s="142" t="str">
        <f>IF(H$3&lt;=time,'Overall savings and benefits'!AQ53,"")</f>
        <v/>
      </c>
      <c r="I41" s="142" t="str">
        <f>IF(I$3&lt;=time,'Overall savings and benefits'!AR53,"")</f>
        <v/>
      </c>
      <c r="J41" s="142" t="str">
        <f>IF(J$3&lt;=time,'Overall savings and benefits'!AS53,"")</f>
        <v/>
      </c>
      <c r="K41" s="142" t="str">
        <f>IF(K$3&lt;=time,'Overall savings and benefits'!AT53,"")</f>
        <v/>
      </c>
      <c r="L41" s="142" t="str">
        <f>IF(L$3&lt;=time,'Overall savings and benefits'!AU53,"")</f>
        <v/>
      </c>
      <c r="M41" s="142" t="str">
        <f>IF(M$3&lt;=time,'Overall savings and benefits'!AV53,"")</f>
        <v/>
      </c>
      <c r="N41" s="142" t="str">
        <f>IF(N$3&lt;=time,'Overall savings and benefits'!AW53,"")</f>
        <v/>
      </c>
      <c r="O41" s="142" t="str">
        <f>IF(O$3&lt;=time,'Overall savings and benefits'!AX53,"")</f>
        <v/>
      </c>
      <c r="P41" s="142" t="str">
        <f>IF(P$3&lt;=time,'Overall savings and benefits'!AY53,"")</f>
        <v/>
      </c>
      <c r="Q41" s="142" t="str">
        <f>IF(Q$3&lt;=time,'Overall savings and benefits'!AZ53,"")</f>
        <v/>
      </c>
      <c r="R41" s="142" t="str">
        <f>IF(R$3&lt;=time,'Overall savings and benefits'!BA53,"")</f>
        <v/>
      </c>
      <c r="S41" s="142" t="str">
        <f>IF(S$3&lt;=time,'Overall savings and benefits'!BB53,"")</f>
        <v/>
      </c>
      <c r="T41" s="142" t="str">
        <f>IF(T$3&lt;=time,'Overall savings and benefits'!BC53,"")</f>
        <v/>
      </c>
      <c r="U41" s="142" t="str">
        <f>IF(U$3&lt;=time,'Overall savings and benefits'!BD53,"")</f>
        <v/>
      </c>
      <c r="V41" s="142" t="str">
        <f>IF(V$3&lt;=time,'Overall savings and benefits'!BE53,"")</f>
        <v/>
      </c>
      <c r="W41" s="142" t="str">
        <f>IF(W$3&lt;=time,'Overall savings and benefits'!BF53,"")</f>
        <v/>
      </c>
      <c r="X41" s="142" t="str">
        <f>IF(X$3&lt;=time,'Overall savings and benefits'!BG53,"")</f>
        <v/>
      </c>
      <c r="Y41" s="142" t="str">
        <f>IF(Y$3&lt;=time,'Overall savings and benefits'!BH53,"")</f>
        <v/>
      </c>
      <c r="Z41" s="142" t="str">
        <f>IF(Z$3&lt;=time,'Overall savings and benefits'!BI53,"")</f>
        <v/>
      </c>
      <c r="AA41" s="651">
        <f t="array" ref="AA41">(SUM( IF(ISERROR(B41:Z41),"", B41:Z41)))</f>
        <v>0</v>
      </c>
      <c r="AB41" s="652">
        <f t="shared" si="3"/>
        <v>0</v>
      </c>
      <c r="AC41" s="529">
        <v>2</v>
      </c>
    </row>
    <row r="42" spans="1:29" hidden="1">
      <c r="A42" s="440" t="s">
        <v>528</v>
      </c>
      <c r="B42" s="142">
        <f>IF(B$3&lt;=time,'Overall savings and benefits'!AK54,"")</f>
        <v>0</v>
      </c>
      <c r="C42" s="142">
        <f>IF(C$3&lt;=time,'Overall savings and benefits'!AL54,"")</f>
        <v>0</v>
      </c>
      <c r="D42" s="142">
        <f>IF(D$3&lt;=time,'Overall savings and benefits'!AM54,"")</f>
        <v>0</v>
      </c>
      <c r="E42" s="142">
        <f>IF(E$3&lt;=time,'Overall savings and benefits'!AN54,"")</f>
        <v>0</v>
      </c>
      <c r="F42" s="142">
        <f>IF(F$3&lt;=time,'Overall savings and benefits'!AO54,"")</f>
        <v>0</v>
      </c>
      <c r="G42" s="142" t="str">
        <f>IF(G$3&lt;=time,'Overall savings and benefits'!AP54,"")</f>
        <v/>
      </c>
      <c r="H42" s="142" t="str">
        <f>IF(H$3&lt;=time,'Overall savings and benefits'!AQ54,"")</f>
        <v/>
      </c>
      <c r="I42" s="142" t="str">
        <f>IF(I$3&lt;=time,'Overall savings and benefits'!AR54,"")</f>
        <v/>
      </c>
      <c r="J42" s="142" t="str">
        <f>IF(J$3&lt;=time,'Overall savings and benefits'!AS54,"")</f>
        <v/>
      </c>
      <c r="K42" s="142" t="str">
        <f>IF(K$3&lt;=time,'Overall savings and benefits'!AT54,"")</f>
        <v/>
      </c>
      <c r="L42" s="142" t="str">
        <f>IF(L$3&lt;=time,'Overall savings and benefits'!AU54,"")</f>
        <v/>
      </c>
      <c r="M42" s="142" t="str">
        <f>IF(M$3&lt;=time,'Overall savings and benefits'!AV54,"")</f>
        <v/>
      </c>
      <c r="N42" s="142" t="str">
        <f>IF(N$3&lt;=time,'Overall savings and benefits'!AW54,"")</f>
        <v/>
      </c>
      <c r="O42" s="142" t="str">
        <f>IF(O$3&lt;=time,'Overall savings and benefits'!AX54,"")</f>
        <v/>
      </c>
      <c r="P42" s="142" t="str">
        <f>IF(P$3&lt;=time,'Overall savings and benefits'!AY54,"")</f>
        <v/>
      </c>
      <c r="Q42" s="142" t="str">
        <f>IF(Q$3&lt;=time,'Overall savings and benefits'!AZ54,"")</f>
        <v/>
      </c>
      <c r="R42" s="142" t="str">
        <f>IF(R$3&lt;=time,'Overall savings and benefits'!BA54,"")</f>
        <v/>
      </c>
      <c r="S42" s="142" t="str">
        <f>IF(S$3&lt;=time,'Overall savings and benefits'!BB54,"")</f>
        <v/>
      </c>
      <c r="T42" s="142" t="str">
        <f>IF(T$3&lt;=time,'Overall savings and benefits'!BC54,"")</f>
        <v/>
      </c>
      <c r="U42" s="142" t="str">
        <f>IF(U$3&lt;=time,'Overall savings and benefits'!BD54,"")</f>
        <v/>
      </c>
      <c r="V42" s="142" t="str">
        <f>IF(V$3&lt;=time,'Overall savings and benefits'!BE54,"")</f>
        <v/>
      </c>
      <c r="W42" s="142" t="str">
        <f>IF(W$3&lt;=time,'Overall savings and benefits'!BF54,"")</f>
        <v/>
      </c>
      <c r="X42" s="142" t="str">
        <f>IF(X$3&lt;=time,'Overall savings and benefits'!BG54,"")</f>
        <v/>
      </c>
      <c r="Y42" s="142" t="str">
        <f>IF(Y$3&lt;=time,'Overall savings and benefits'!BH54,"")</f>
        <v/>
      </c>
      <c r="Z42" s="142" t="str">
        <f>IF(Z$3&lt;=time,'Overall savings and benefits'!BI54,"")</f>
        <v/>
      </c>
      <c r="AA42" s="651">
        <f t="array" ref="AA42">(SUM( IF(ISERROR(B42:Z42),"", B42:Z42)))</f>
        <v>0</v>
      </c>
      <c r="AB42" s="652">
        <f t="shared" si="3"/>
        <v>0</v>
      </c>
      <c r="AC42" s="529">
        <v>3</v>
      </c>
    </row>
    <row r="43" spans="1:29" hidden="1">
      <c r="A43" s="440" t="s">
        <v>529</v>
      </c>
      <c r="B43" s="142">
        <f>IF(B$3&lt;=time,'Overall savings and benefits'!AK55,"")</f>
        <v>0</v>
      </c>
      <c r="C43" s="142">
        <f>IF(C$3&lt;=time,'Overall savings and benefits'!AL55,"")</f>
        <v>0</v>
      </c>
      <c r="D43" s="142">
        <f>IF(D$3&lt;=time,'Overall savings and benefits'!AM55,"")</f>
        <v>0</v>
      </c>
      <c r="E43" s="142">
        <f>IF(E$3&lt;=time,'Overall savings and benefits'!AN55,"")</f>
        <v>0</v>
      </c>
      <c r="F43" s="142">
        <f>IF(F$3&lt;=time,'Overall savings and benefits'!AO55,"")</f>
        <v>0</v>
      </c>
      <c r="G43" s="142" t="str">
        <f>IF(G$3&lt;=time,'Overall savings and benefits'!AP55,"")</f>
        <v/>
      </c>
      <c r="H43" s="142" t="str">
        <f>IF(H$3&lt;=time,'Overall savings and benefits'!AQ55,"")</f>
        <v/>
      </c>
      <c r="I43" s="142" t="str">
        <f>IF(I$3&lt;=time,'Overall savings and benefits'!AR55,"")</f>
        <v/>
      </c>
      <c r="J43" s="142" t="str">
        <f>IF(J$3&lt;=time,'Overall savings and benefits'!AS55,"")</f>
        <v/>
      </c>
      <c r="K43" s="142" t="str">
        <f>IF(K$3&lt;=time,'Overall savings and benefits'!AT55,"")</f>
        <v/>
      </c>
      <c r="L43" s="142" t="str">
        <f>IF(L$3&lt;=time,'Overall savings and benefits'!AU55,"")</f>
        <v/>
      </c>
      <c r="M43" s="142" t="str">
        <f>IF(M$3&lt;=time,'Overall savings and benefits'!AV55,"")</f>
        <v/>
      </c>
      <c r="N43" s="142" t="str">
        <f>IF(N$3&lt;=time,'Overall savings and benefits'!AW55,"")</f>
        <v/>
      </c>
      <c r="O43" s="142" t="str">
        <f>IF(O$3&lt;=time,'Overall savings and benefits'!AX55,"")</f>
        <v/>
      </c>
      <c r="P43" s="142" t="str">
        <f>IF(P$3&lt;=time,'Overall savings and benefits'!AY55,"")</f>
        <v/>
      </c>
      <c r="Q43" s="142" t="str">
        <f>IF(Q$3&lt;=time,'Overall savings and benefits'!AZ55,"")</f>
        <v/>
      </c>
      <c r="R43" s="142" t="str">
        <f>IF(R$3&lt;=time,'Overall savings and benefits'!BA55,"")</f>
        <v/>
      </c>
      <c r="S43" s="142" t="str">
        <f>IF(S$3&lt;=time,'Overall savings and benefits'!BB55,"")</f>
        <v/>
      </c>
      <c r="T43" s="142" t="str">
        <f>IF(T$3&lt;=time,'Overall savings and benefits'!BC55,"")</f>
        <v/>
      </c>
      <c r="U43" s="142" t="str">
        <f>IF(U$3&lt;=time,'Overall savings and benefits'!BD55,"")</f>
        <v/>
      </c>
      <c r="V43" s="142" t="str">
        <f>IF(V$3&lt;=time,'Overall savings and benefits'!BE55,"")</f>
        <v/>
      </c>
      <c r="W43" s="142" t="str">
        <f>IF(W$3&lt;=time,'Overall savings and benefits'!BF55,"")</f>
        <v/>
      </c>
      <c r="X43" s="142" t="str">
        <f>IF(X$3&lt;=time,'Overall savings and benefits'!BG55,"")</f>
        <v/>
      </c>
      <c r="Y43" s="142" t="str">
        <f>IF(Y$3&lt;=time,'Overall savings and benefits'!BH55,"")</f>
        <v/>
      </c>
      <c r="Z43" s="142" t="str">
        <f>IF(Z$3&lt;=time,'Overall savings and benefits'!BI55,"")</f>
        <v/>
      </c>
      <c r="AA43" s="651">
        <f t="array" ref="AA43">(SUM( IF(ISERROR(B43:Z43),"", B43:Z43)))</f>
        <v>0</v>
      </c>
      <c r="AB43" s="652">
        <f t="shared" si="3"/>
        <v>0</v>
      </c>
      <c r="AC43" s="529">
        <v>4</v>
      </c>
    </row>
    <row r="44" spans="1:29" hidden="1">
      <c r="A44" s="440" t="s">
        <v>530</v>
      </c>
      <c r="B44" s="142">
        <f>IF(B$3&lt;=time,'Overall savings and benefits'!AK56,"")</f>
        <v>0</v>
      </c>
      <c r="C44" s="142">
        <f>IF(C$3&lt;=time,'Overall savings and benefits'!AL56,"")</f>
        <v>0</v>
      </c>
      <c r="D44" s="142">
        <f>IF(D$3&lt;=time,'Overall savings and benefits'!AM56,"")</f>
        <v>0</v>
      </c>
      <c r="E44" s="142">
        <f>IF(E$3&lt;=time,'Overall savings and benefits'!AN56,"")</f>
        <v>0</v>
      </c>
      <c r="F44" s="142">
        <f>IF(F$3&lt;=time,'Overall savings and benefits'!AO56,"")</f>
        <v>0</v>
      </c>
      <c r="G44" s="142" t="str">
        <f>IF(G$3&lt;=time,'Overall savings and benefits'!AP56,"")</f>
        <v/>
      </c>
      <c r="H44" s="142" t="str">
        <f>IF(H$3&lt;=time,'Overall savings and benefits'!AQ56,"")</f>
        <v/>
      </c>
      <c r="I44" s="142" t="str">
        <f>IF(I$3&lt;=time,'Overall savings and benefits'!AR56,"")</f>
        <v/>
      </c>
      <c r="J44" s="142" t="str">
        <f>IF(J$3&lt;=time,'Overall savings and benefits'!AS56,"")</f>
        <v/>
      </c>
      <c r="K44" s="142" t="str">
        <f>IF(K$3&lt;=time,'Overall savings and benefits'!AT56,"")</f>
        <v/>
      </c>
      <c r="L44" s="142" t="str">
        <f>IF(L$3&lt;=time,'Overall savings and benefits'!AU56,"")</f>
        <v/>
      </c>
      <c r="M44" s="142" t="str">
        <f>IF(M$3&lt;=time,'Overall savings and benefits'!AV56,"")</f>
        <v/>
      </c>
      <c r="N44" s="142" t="str">
        <f>IF(N$3&lt;=time,'Overall savings and benefits'!AW56,"")</f>
        <v/>
      </c>
      <c r="O44" s="142" t="str">
        <f>IF(O$3&lt;=time,'Overall savings and benefits'!AX56,"")</f>
        <v/>
      </c>
      <c r="P44" s="142" t="str">
        <f>IF(P$3&lt;=time,'Overall savings and benefits'!AY56,"")</f>
        <v/>
      </c>
      <c r="Q44" s="142" t="str">
        <f>IF(Q$3&lt;=time,'Overall savings and benefits'!AZ56,"")</f>
        <v/>
      </c>
      <c r="R44" s="142" t="str">
        <f>IF(R$3&lt;=time,'Overall savings and benefits'!BA56,"")</f>
        <v/>
      </c>
      <c r="S44" s="142" t="str">
        <f>IF(S$3&lt;=time,'Overall savings and benefits'!BB56,"")</f>
        <v/>
      </c>
      <c r="T44" s="142" t="str">
        <f>IF(T$3&lt;=time,'Overall savings and benefits'!BC56,"")</f>
        <v/>
      </c>
      <c r="U44" s="142" t="str">
        <f>IF(U$3&lt;=time,'Overall savings and benefits'!BD56,"")</f>
        <v/>
      </c>
      <c r="V44" s="142" t="str">
        <f>IF(V$3&lt;=time,'Overall savings and benefits'!BE56,"")</f>
        <v/>
      </c>
      <c r="W44" s="142" t="str">
        <f>IF(W$3&lt;=time,'Overall savings and benefits'!BF56,"")</f>
        <v/>
      </c>
      <c r="X44" s="142" t="str">
        <f>IF(X$3&lt;=time,'Overall savings and benefits'!BG56,"")</f>
        <v/>
      </c>
      <c r="Y44" s="142" t="str">
        <f>IF(Y$3&lt;=time,'Overall savings and benefits'!BH56,"")</f>
        <v/>
      </c>
      <c r="Z44" s="142" t="str">
        <f>IF(Z$3&lt;=time,'Overall savings and benefits'!BI56,"")</f>
        <v/>
      </c>
      <c r="AA44" s="651">
        <f t="array" ref="AA44">(SUM( IF(ISERROR(B44:Z44),"", B44:Z44)))</f>
        <v>0</v>
      </c>
      <c r="AB44" s="652">
        <f t="shared" si="3"/>
        <v>0</v>
      </c>
      <c r="AC44" s="529">
        <v>5</v>
      </c>
    </row>
    <row r="45" spans="1:29" hidden="1">
      <c r="A45" s="440" t="s">
        <v>531</v>
      </c>
      <c r="B45" s="142">
        <f>IF(B$3&lt;=time,'Overall savings and benefits'!AK57,"")</f>
        <v>0</v>
      </c>
      <c r="C45" s="142">
        <f>IF(C$3&lt;=time,'Overall savings and benefits'!AL57,"")</f>
        <v>0</v>
      </c>
      <c r="D45" s="142">
        <f>IF(D$3&lt;=time,'Overall savings and benefits'!AM57,"")</f>
        <v>0</v>
      </c>
      <c r="E45" s="142">
        <f>IF(E$3&lt;=time,'Overall savings and benefits'!AN57,"")</f>
        <v>0</v>
      </c>
      <c r="F45" s="142">
        <f>IF(F$3&lt;=time,'Overall savings and benefits'!AO57,"")</f>
        <v>0</v>
      </c>
      <c r="G45" s="142" t="str">
        <f>IF(G$3&lt;=time,'Overall savings and benefits'!AP57,"")</f>
        <v/>
      </c>
      <c r="H45" s="142" t="str">
        <f>IF(H$3&lt;=time,'Overall savings and benefits'!AQ57,"")</f>
        <v/>
      </c>
      <c r="I45" s="142" t="str">
        <f>IF(I$3&lt;=time,'Overall savings and benefits'!AR57,"")</f>
        <v/>
      </c>
      <c r="J45" s="142" t="str">
        <f>IF(J$3&lt;=time,'Overall savings and benefits'!AS57,"")</f>
        <v/>
      </c>
      <c r="K45" s="142" t="str">
        <f>IF(K$3&lt;=time,'Overall savings and benefits'!AT57,"")</f>
        <v/>
      </c>
      <c r="L45" s="142" t="str">
        <f>IF(L$3&lt;=time,'Overall savings and benefits'!AU57,"")</f>
        <v/>
      </c>
      <c r="M45" s="142" t="str">
        <f>IF(M$3&lt;=time,'Overall savings and benefits'!AV57,"")</f>
        <v/>
      </c>
      <c r="N45" s="142" t="str">
        <f>IF(N$3&lt;=time,'Overall savings and benefits'!AW57,"")</f>
        <v/>
      </c>
      <c r="O45" s="142" t="str">
        <f>IF(O$3&lt;=time,'Overall savings and benefits'!AX57,"")</f>
        <v/>
      </c>
      <c r="P45" s="142" t="str">
        <f>IF(P$3&lt;=time,'Overall savings and benefits'!AY57,"")</f>
        <v/>
      </c>
      <c r="Q45" s="142" t="str">
        <f>IF(Q$3&lt;=time,'Overall savings and benefits'!AZ57,"")</f>
        <v/>
      </c>
      <c r="R45" s="142" t="str">
        <f>IF(R$3&lt;=time,'Overall savings and benefits'!BA57,"")</f>
        <v/>
      </c>
      <c r="S45" s="142" t="str">
        <f>IF(S$3&lt;=time,'Overall savings and benefits'!BB57,"")</f>
        <v/>
      </c>
      <c r="T45" s="142" t="str">
        <f>IF(T$3&lt;=time,'Overall savings and benefits'!BC57,"")</f>
        <v/>
      </c>
      <c r="U45" s="142" t="str">
        <f>IF(U$3&lt;=time,'Overall savings and benefits'!BD57,"")</f>
        <v/>
      </c>
      <c r="V45" s="142" t="str">
        <f>IF(V$3&lt;=time,'Overall savings and benefits'!BE57,"")</f>
        <v/>
      </c>
      <c r="W45" s="142" t="str">
        <f>IF(W$3&lt;=time,'Overall savings and benefits'!BF57,"")</f>
        <v/>
      </c>
      <c r="X45" s="142" t="str">
        <f>IF(X$3&lt;=time,'Overall savings and benefits'!BG57,"")</f>
        <v/>
      </c>
      <c r="Y45" s="142" t="str">
        <f>IF(Y$3&lt;=time,'Overall savings and benefits'!BH57,"")</f>
        <v/>
      </c>
      <c r="Z45" s="142" t="str">
        <f>IF(Z$3&lt;=time,'Overall savings and benefits'!BI57,"")</f>
        <v/>
      </c>
      <c r="AA45" s="651">
        <f t="array" ref="AA45">(SUM( IF(ISERROR(B45:Z45),"", B45:Z45)))</f>
        <v>0</v>
      </c>
      <c r="AB45" s="652">
        <f t="shared" si="3"/>
        <v>0</v>
      </c>
      <c r="AC45" s="529">
        <v>6</v>
      </c>
    </row>
    <row r="46" spans="1:29" hidden="1">
      <c r="A46" s="440" t="s">
        <v>532</v>
      </c>
      <c r="B46" s="142">
        <f>IF(B$3&lt;=time,'Overall savings and benefits'!AK58,"")</f>
        <v>0</v>
      </c>
      <c r="C46" s="142">
        <f>IF(C$3&lt;=time,'Overall savings and benefits'!AL58,"")</f>
        <v>0</v>
      </c>
      <c r="D46" s="142">
        <f>IF(D$3&lt;=time,'Overall savings and benefits'!AM58,"")</f>
        <v>0</v>
      </c>
      <c r="E46" s="142">
        <f>IF(E$3&lt;=time,'Overall savings and benefits'!AN58,"")</f>
        <v>0</v>
      </c>
      <c r="F46" s="142">
        <f>IF(F$3&lt;=time,'Overall savings and benefits'!AO58,"")</f>
        <v>0</v>
      </c>
      <c r="G46" s="142" t="str">
        <f>IF(G$3&lt;=time,'Overall savings and benefits'!AP58,"")</f>
        <v/>
      </c>
      <c r="H46" s="142" t="str">
        <f>IF(H$3&lt;=time,'Overall savings and benefits'!AQ58,"")</f>
        <v/>
      </c>
      <c r="I46" s="142" t="str">
        <f>IF(I$3&lt;=time,'Overall savings and benefits'!AR58,"")</f>
        <v/>
      </c>
      <c r="J46" s="142" t="str">
        <f>IF(J$3&lt;=time,'Overall savings and benefits'!AS58,"")</f>
        <v/>
      </c>
      <c r="K46" s="142" t="str">
        <f>IF(K$3&lt;=time,'Overall savings and benefits'!AT58,"")</f>
        <v/>
      </c>
      <c r="L46" s="142" t="str">
        <f>IF(L$3&lt;=time,'Overall savings and benefits'!AU58,"")</f>
        <v/>
      </c>
      <c r="M46" s="142" t="str">
        <f>IF(M$3&lt;=time,'Overall savings and benefits'!AV58,"")</f>
        <v/>
      </c>
      <c r="N46" s="142" t="str">
        <f>IF(N$3&lt;=time,'Overall savings and benefits'!AW58,"")</f>
        <v/>
      </c>
      <c r="O46" s="142" t="str">
        <f>IF(O$3&lt;=time,'Overall savings and benefits'!AX58,"")</f>
        <v/>
      </c>
      <c r="P46" s="142" t="str">
        <f>IF(P$3&lt;=time,'Overall savings and benefits'!AY58,"")</f>
        <v/>
      </c>
      <c r="Q46" s="142" t="str">
        <f>IF(Q$3&lt;=time,'Overall savings and benefits'!AZ58,"")</f>
        <v/>
      </c>
      <c r="R46" s="142" t="str">
        <f>IF(R$3&lt;=time,'Overall savings and benefits'!BA58,"")</f>
        <v/>
      </c>
      <c r="S46" s="142" t="str">
        <f>IF(S$3&lt;=time,'Overall savings and benefits'!BB58,"")</f>
        <v/>
      </c>
      <c r="T46" s="142" t="str">
        <f>IF(T$3&lt;=time,'Overall savings and benefits'!BC58,"")</f>
        <v/>
      </c>
      <c r="U46" s="142" t="str">
        <f>IF(U$3&lt;=time,'Overall savings and benefits'!BD58,"")</f>
        <v/>
      </c>
      <c r="V46" s="142" t="str">
        <f>IF(V$3&lt;=time,'Overall savings and benefits'!BE58,"")</f>
        <v/>
      </c>
      <c r="W46" s="142" t="str">
        <f>IF(W$3&lt;=time,'Overall savings and benefits'!BF58,"")</f>
        <v/>
      </c>
      <c r="X46" s="142" t="str">
        <f>IF(X$3&lt;=time,'Overall savings and benefits'!BG58,"")</f>
        <v/>
      </c>
      <c r="Y46" s="142" t="str">
        <f>IF(Y$3&lt;=time,'Overall savings and benefits'!BH58,"")</f>
        <v/>
      </c>
      <c r="Z46" s="142" t="str">
        <f>IF(Z$3&lt;=time,'Overall savings and benefits'!BI58,"")</f>
        <v/>
      </c>
      <c r="AA46" s="651">
        <f t="array" ref="AA46">(SUM( IF(ISERROR(B46:Z46),"", B46:Z46)))</f>
        <v>0</v>
      </c>
      <c r="AB46" s="652">
        <f t="shared" si="3"/>
        <v>0</v>
      </c>
      <c r="AC46" s="529">
        <v>7</v>
      </c>
    </row>
    <row r="47" spans="1:29" hidden="1">
      <c r="A47" s="440" t="s">
        <v>533</v>
      </c>
      <c r="B47" s="142">
        <f>IF(B$3&lt;=time,'Overall savings and benefits'!AK59,"")</f>
        <v>0</v>
      </c>
      <c r="C47" s="142">
        <f>IF(C$3&lt;=time,'Overall savings and benefits'!AL59,"")</f>
        <v>0</v>
      </c>
      <c r="D47" s="142">
        <f>IF(D$3&lt;=time,'Overall savings and benefits'!AM59,"")</f>
        <v>0</v>
      </c>
      <c r="E47" s="142">
        <f>IF(E$3&lt;=time,'Overall savings and benefits'!AN59,"")</f>
        <v>0</v>
      </c>
      <c r="F47" s="142">
        <f>IF(F$3&lt;=time,'Overall savings and benefits'!AO59,"")</f>
        <v>0</v>
      </c>
      <c r="G47" s="142" t="str">
        <f>IF(G$3&lt;=time,'Overall savings and benefits'!AP59,"")</f>
        <v/>
      </c>
      <c r="H47" s="142" t="str">
        <f>IF(H$3&lt;=time,'Overall savings and benefits'!AQ59,"")</f>
        <v/>
      </c>
      <c r="I47" s="142" t="str">
        <f>IF(I$3&lt;=time,'Overall savings and benefits'!AR59,"")</f>
        <v/>
      </c>
      <c r="J47" s="142" t="str">
        <f>IF(J$3&lt;=time,'Overall savings and benefits'!AS59,"")</f>
        <v/>
      </c>
      <c r="K47" s="142" t="str">
        <f>IF(K$3&lt;=time,'Overall savings and benefits'!AT59,"")</f>
        <v/>
      </c>
      <c r="L47" s="142" t="str">
        <f>IF(L$3&lt;=time,'Overall savings and benefits'!AU59,"")</f>
        <v/>
      </c>
      <c r="M47" s="142" t="str">
        <f>IF(M$3&lt;=time,'Overall savings and benefits'!AV59,"")</f>
        <v/>
      </c>
      <c r="N47" s="142" t="str">
        <f>IF(N$3&lt;=time,'Overall savings and benefits'!AW59,"")</f>
        <v/>
      </c>
      <c r="O47" s="142" t="str">
        <f>IF(O$3&lt;=time,'Overall savings and benefits'!AX59,"")</f>
        <v/>
      </c>
      <c r="P47" s="142" t="str">
        <f>IF(P$3&lt;=time,'Overall savings and benefits'!AY59,"")</f>
        <v/>
      </c>
      <c r="Q47" s="142" t="str">
        <f>IF(Q$3&lt;=time,'Overall savings and benefits'!AZ59,"")</f>
        <v/>
      </c>
      <c r="R47" s="142" t="str">
        <f>IF(R$3&lt;=time,'Overall savings and benefits'!BA59,"")</f>
        <v/>
      </c>
      <c r="S47" s="142" t="str">
        <f>IF(S$3&lt;=time,'Overall savings and benefits'!BB59,"")</f>
        <v/>
      </c>
      <c r="T47" s="142" t="str">
        <f>IF(T$3&lt;=time,'Overall savings and benefits'!BC59,"")</f>
        <v/>
      </c>
      <c r="U47" s="142" t="str">
        <f>IF(U$3&lt;=time,'Overall savings and benefits'!BD59,"")</f>
        <v/>
      </c>
      <c r="V47" s="142" t="str">
        <f>IF(V$3&lt;=time,'Overall savings and benefits'!BE59,"")</f>
        <v/>
      </c>
      <c r="W47" s="142" t="str">
        <f>IF(W$3&lt;=time,'Overall savings and benefits'!BF59,"")</f>
        <v/>
      </c>
      <c r="X47" s="142" t="str">
        <f>IF(X$3&lt;=time,'Overall savings and benefits'!BG59,"")</f>
        <v/>
      </c>
      <c r="Y47" s="142" t="str">
        <f>IF(Y$3&lt;=time,'Overall savings and benefits'!BH59,"")</f>
        <v/>
      </c>
      <c r="Z47" s="142" t="str">
        <f>IF(Z$3&lt;=time,'Overall savings and benefits'!BI59,"")</f>
        <v/>
      </c>
      <c r="AA47" s="651">
        <f t="array" ref="AA47">(SUM( IF(ISERROR(B47:Z47),"", B47:Z47)))</f>
        <v>0</v>
      </c>
      <c r="AB47" s="652">
        <f t="shared" si="3"/>
        <v>0</v>
      </c>
      <c r="AC47" s="529">
        <v>8</v>
      </c>
    </row>
    <row r="48" spans="1:29" hidden="1">
      <c r="A48" s="440" t="s">
        <v>534</v>
      </c>
      <c r="B48" s="142">
        <f>IF(B$3&lt;=time,'Overall savings and benefits'!AK60,"")</f>
        <v>0</v>
      </c>
      <c r="C48" s="142">
        <f>IF(C$3&lt;=time,'Overall savings and benefits'!AL60,"")</f>
        <v>0</v>
      </c>
      <c r="D48" s="142">
        <f>IF(D$3&lt;=time,'Overall savings and benefits'!AM60,"")</f>
        <v>0</v>
      </c>
      <c r="E48" s="142">
        <f>IF(E$3&lt;=time,'Overall savings and benefits'!AN60,"")</f>
        <v>0</v>
      </c>
      <c r="F48" s="142">
        <f>IF(F$3&lt;=time,'Overall savings and benefits'!AO60,"")</f>
        <v>0</v>
      </c>
      <c r="G48" s="142" t="str">
        <f>IF(G$3&lt;=time,'Overall savings and benefits'!AP60,"")</f>
        <v/>
      </c>
      <c r="H48" s="142" t="str">
        <f>IF(H$3&lt;=time,'Overall savings and benefits'!AQ60,"")</f>
        <v/>
      </c>
      <c r="I48" s="142" t="str">
        <f>IF(I$3&lt;=time,'Overall savings and benefits'!AR60,"")</f>
        <v/>
      </c>
      <c r="J48" s="142" t="str">
        <f>IF(J$3&lt;=time,'Overall savings and benefits'!AS60,"")</f>
        <v/>
      </c>
      <c r="K48" s="142" t="str">
        <f>IF(K$3&lt;=time,'Overall savings and benefits'!AT60,"")</f>
        <v/>
      </c>
      <c r="L48" s="142" t="str">
        <f>IF(L$3&lt;=time,'Overall savings and benefits'!AU60,"")</f>
        <v/>
      </c>
      <c r="M48" s="142" t="str">
        <f>IF(M$3&lt;=time,'Overall savings and benefits'!AV60,"")</f>
        <v/>
      </c>
      <c r="N48" s="142" t="str">
        <f>IF(N$3&lt;=time,'Overall savings and benefits'!AW60,"")</f>
        <v/>
      </c>
      <c r="O48" s="142" t="str">
        <f>IF(O$3&lt;=time,'Overall savings and benefits'!AX60,"")</f>
        <v/>
      </c>
      <c r="P48" s="142" t="str">
        <f>IF(P$3&lt;=time,'Overall savings and benefits'!AY60,"")</f>
        <v/>
      </c>
      <c r="Q48" s="142" t="str">
        <f>IF(Q$3&lt;=time,'Overall savings and benefits'!AZ60,"")</f>
        <v/>
      </c>
      <c r="R48" s="142" t="str">
        <f>IF(R$3&lt;=time,'Overall savings and benefits'!BA60,"")</f>
        <v/>
      </c>
      <c r="S48" s="142" t="str">
        <f>IF(S$3&lt;=time,'Overall savings and benefits'!BB60,"")</f>
        <v/>
      </c>
      <c r="T48" s="142" t="str">
        <f>IF(T$3&lt;=time,'Overall savings and benefits'!BC60,"")</f>
        <v/>
      </c>
      <c r="U48" s="142" t="str">
        <f>IF(U$3&lt;=time,'Overall savings and benefits'!BD60,"")</f>
        <v/>
      </c>
      <c r="V48" s="142" t="str">
        <f>IF(V$3&lt;=time,'Overall savings and benefits'!BE60,"")</f>
        <v/>
      </c>
      <c r="W48" s="142" t="str">
        <f>IF(W$3&lt;=time,'Overall savings and benefits'!BF60,"")</f>
        <v/>
      </c>
      <c r="X48" s="142" t="str">
        <f>IF(X$3&lt;=time,'Overall savings and benefits'!BG60,"")</f>
        <v/>
      </c>
      <c r="Y48" s="142" t="str">
        <f>IF(Y$3&lt;=time,'Overall savings and benefits'!BH60,"")</f>
        <v/>
      </c>
      <c r="Z48" s="142" t="str">
        <f>IF(Z$3&lt;=time,'Overall savings and benefits'!BI60,"")</f>
        <v/>
      </c>
      <c r="AA48" s="651">
        <f t="array" ref="AA48">(SUM( IF(ISERROR(B48:Z48),"", B48:Z48)))</f>
        <v>0</v>
      </c>
      <c r="AB48" s="652">
        <f t="shared" si="3"/>
        <v>0</v>
      </c>
      <c r="AC48" s="529">
        <v>9</v>
      </c>
    </row>
    <row r="49" spans="1:29" ht="16" hidden="1" thickBot="1">
      <c r="A49" s="441" t="s">
        <v>535</v>
      </c>
      <c r="B49" s="381">
        <f>IF(B$3&lt;=time,'Overall savings and benefits'!AK61,"")</f>
        <v>0</v>
      </c>
      <c r="C49" s="381">
        <f>IF(C$3&lt;=time,'Overall savings and benefits'!AL61,"")</f>
        <v>0</v>
      </c>
      <c r="D49" s="381">
        <f>IF(D$3&lt;=time,'Overall savings and benefits'!AM61,"")</f>
        <v>0</v>
      </c>
      <c r="E49" s="381">
        <f>IF(E$3&lt;=time,'Overall savings and benefits'!AN61,"")</f>
        <v>0</v>
      </c>
      <c r="F49" s="381">
        <f>IF(F$3&lt;=time,'Overall savings and benefits'!AO61,"")</f>
        <v>0</v>
      </c>
      <c r="G49" s="381" t="str">
        <f>IF(G$3&lt;=time,'Overall savings and benefits'!AP61,"")</f>
        <v/>
      </c>
      <c r="H49" s="381" t="str">
        <f>IF(H$3&lt;=time,'Overall savings and benefits'!AQ61,"")</f>
        <v/>
      </c>
      <c r="I49" s="381" t="str">
        <f>IF(I$3&lt;=time,'Overall savings and benefits'!AR61,"")</f>
        <v/>
      </c>
      <c r="J49" s="381" t="str">
        <f>IF(J$3&lt;=time,'Overall savings and benefits'!AS61,"")</f>
        <v/>
      </c>
      <c r="K49" s="381" t="str">
        <f>IF(K$3&lt;=time,'Overall savings and benefits'!AT61,"")</f>
        <v/>
      </c>
      <c r="L49" s="381" t="str">
        <f>IF(L$3&lt;=time,'Overall savings and benefits'!AU61,"")</f>
        <v/>
      </c>
      <c r="M49" s="381" t="str">
        <f>IF(M$3&lt;=time,'Overall savings and benefits'!AV61,"")</f>
        <v/>
      </c>
      <c r="N49" s="381" t="str">
        <f>IF(N$3&lt;=time,'Overall savings and benefits'!AW61,"")</f>
        <v/>
      </c>
      <c r="O49" s="381" t="str">
        <f>IF(O$3&lt;=time,'Overall savings and benefits'!AX61,"")</f>
        <v/>
      </c>
      <c r="P49" s="381" t="str">
        <f>IF(P$3&lt;=time,'Overall savings and benefits'!AY61,"")</f>
        <v/>
      </c>
      <c r="Q49" s="381" t="str">
        <f>IF(Q$3&lt;=time,'Overall savings and benefits'!AZ61,"")</f>
        <v/>
      </c>
      <c r="R49" s="381" t="str">
        <f>IF(R$3&lt;=time,'Overall savings and benefits'!BA61,"")</f>
        <v/>
      </c>
      <c r="S49" s="381" t="str">
        <f>IF(S$3&lt;=time,'Overall savings and benefits'!BB61,"")</f>
        <v/>
      </c>
      <c r="T49" s="381" t="str">
        <f>IF(T$3&lt;=time,'Overall savings and benefits'!BC61,"")</f>
        <v/>
      </c>
      <c r="U49" s="381" t="str">
        <f>IF(U$3&lt;=time,'Overall savings and benefits'!BD61,"")</f>
        <v/>
      </c>
      <c r="V49" s="381" t="str">
        <f>IF(V$3&lt;=time,'Overall savings and benefits'!BE61,"")</f>
        <v/>
      </c>
      <c r="W49" s="381" t="str">
        <f>IF(W$3&lt;=time,'Overall savings and benefits'!BF61,"")</f>
        <v/>
      </c>
      <c r="X49" s="381" t="str">
        <f>IF(X$3&lt;=time,'Overall savings and benefits'!BG61,"")</f>
        <v/>
      </c>
      <c r="Y49" s="381" t="str">
        <f>IF(Y$3&lt;=time,'Overall savings and benefits'!BH61,"")</f>
        <v/>
      </c>
      <c r="Z49" s="381" t="str">
        <f>IF(Z$3&lt;=time,'Overall savings and benefits'!BI61,"")</f>
        <v/>
      </c>
      <c r="AA49" s="653">
        <f t="array" ref="AA49">(SUM( IF(ISERROR(B49:Z49),"", B49:Z49)))</f>
        <v>0</v>
      </c>
      <c r="AB49" s="654">
        <f t="shared" si="3"/>
        <v>0</v>
      </c>
      <c r="AC49" s="529">
        <v>10</v>
      </c>
    </row>
    <row r="50" spans="1:29" ht="16" thickBot="1">
      <c r="A50" s="984" t="s">
        <v>536</v>
      </c>
      <c r="B50" s="985">
        <f>IF(B$3&lt;=time,'Overall savings and benefits'!AK62,"")</f>
        <v>0</v>
      </c>
      <c r="C50" s="985">
        <f>IF(C$3&lt;=time,'Overall savings and benefits'!AL62,"")</f>
        <v>0</v>
      </c>
      <c r="D50" s="985">
        <f>IF(D$3&lt;=time,'Overall savings and benefits'!AM62,"")</f>
        <v>0</v>
      </c>
      <c r="E50" s="985">
        <f>IF(E$3&lt;=time,'Overall savings and benefits'!AN62,"")</f>
        <v>0</v>
      </c>
      <c r="F50" s="985">
        <f>IF(F$3&lt;=time,'Overall savings and benefits'!AO62,"")</f>
        <v>0</v>
      </c>
      <c r="G50" s="985" t="str">
        <f>IF(G$3&lt;=time,'Overall savings and benefits'!AP62,"")</f>
        <v/>
      </c>
      <c r="H50" s="985" t="str">
        <f>IF(H$3&lt;=time,'Overall savings and benefits'!AQ62,"")</f>
        <v/>
      </c>
      <c r="I50" s="985" t="str">
        <f>IF(I$3&lt;=time,'Overall savings and benefits'!AR62,"")</f>
        <v/>
      </c>
      <c r="J50" s="985" t="str">
        <f>IF(J$3&lt;=time,'Overall savings and benefits'!AS62,"")</f>
        <v/>
      </c>
      <c r="K50" s="985" t="str">
        <f>IF(K$3&lt;=time,'Overall savings and benefits'!AT62,"")</f>
        <v/>
      </c>
      <c r="L50" s="985" t="str">
        <f>IF(L$3&lt;=time,'Overall savings and benefits'!AU62,"")</f>
        <v/>
      </c>
      <c r="M50" s="985" t="str">
        <f>IF(M$3&lt;=time,'Overall savings and benefits'!AV62,"")</f>
        <v/>
      </c>
      <c r="N50" s="985" t="str">
        <f>IF(N$3&lt;=time,'Overall savings and benefits'!AW62,"")</f>
        <v/>
      </c>
      <c r="O50" s="985" t="str">
        <f>IF(O$3&lt;=time,'Overall savings and benefits'!AX62,"")</f>
        <v/>
      </c>
      <c r="P50" s="985" t="str">
        <f>IF(P$3&lt;=time,'Overall savings and benefits'!AY62,"")</f>
        <v/>
      </c>
      <c r="Q50" s="985" t="str">
        <f>IF(Q$3&lt;=time,'Overall savings and benefits'!AZ62,"")</f>
        <v/>
      </c>
      <c r="R50" s="985" t="str">
        <f>IF(R$3&lt;=time,'Overall savings and benefits'!BA62,"")</f>
        <v/>
      </c>
      <c r="S50" s="985" t="str">
        <f>IF(S$3&lt;=time,'Overall savings and benefits'!BB62,"")</f>
        <v/>
      </c>
      <c r="T50" s="985" t="str">
        <f>IF(T$3&lt;=time,'Overall savings and benefits'!BC62,"")</f>
        <v/>
      </c>
      <c r="U50" s="985" t="str">
        <f>IF(U$3&lt;=time,'Overall savings and benefits'!BD62,"")</f>
        <v/>
      </c>
      <c r="V50" s="985" t="str">
        <f>IF(V$3&lt;=time,'Overall savings and benefits'!BE62,"")</f>
        <v/>
      </c>
      <c r="W50" s="985" t="str">
        <f>IF(W$3&lt;=time,'Overall savings and benefits'!BF62,"")</f>
        <v/>
      </c>
      <c r="X50" s="985" t="str">
        <f>IF(X$3&lt;=time,'Overall savings and benefits'!BG62,"")</f>
        <v/>
      </c>
      <c r="Y50" s="985" t="str">
        <f>IF(Y$3&lt;=time,'Overall savings and benefits'!BH62,"")</f>
        <v/>
      </c>
      <c r="Z50" s="985" t="str">
        <f>IF(Z$3&lt;=time,'Overall savings and benefits'!BI62,"")</f>
        <v/>
      </c>
      <c r="AA50" s="977">
        <f t="array" ref="AA50">(SUM( IF(ISERROR(B50:Z50),"", B50:Z50)))</f>
        <v>0</v>
      </c>
      <c r="AB50" s="1017">
        <f t="shared" si="3"/>
        <v>0</v>
      </c>
    </row>
    <row r="51" spans="1:29" ht="126.65" customHeight="1" thickBot="1">
      <c r="A51" s="1018" t="s">
        <v>427</v>
      </c>
      <c r="B51" s="1028">
        <f>IF(B$3&lt;=time,'Overall savings and benefits'!AK66,"")</f>
        <v>0</v>
      </c>
      <c r="C51" s="1061">
        <f>IF(C$3&lt;=time,'Overall savings and benefits'!AL66,"")</f>
        <v>4092.4230181837293</v>
      </c>
      <c r="D51" s="1028">
        <f>IF(D$3&lt;=time,'Overall savings and benefits'!AM66,"")</f>
        <v>0</v>
      </c>
      <c r="E51" s="1028">
        <f>IF(E$3&lt;=time,'Overall savings and benefits'!AN66,"")</f>
        <v>0</v>
      </c>
      <c r="F51" s="1028">
        <f>IF(F$3&lt;=time,'Overall savings and benefits'!AO66,"")</f>
        <v>0</v>
      </c>
      <c r="G51" s="1028" t="str">
        <f>IF(G$3&lt;=time,'Overall savings and benefits'!AP66,"")</f>
        <v/>
      </c>
      <c r="H51" s="1028" t="str">
        <f>IF(H$3&lt;=time,'Overall savings and benefits'!AQ66,"")</f>
        <v/>
      </c>
      <c r="I51" s="1028" t="str">
        <f>IF(I$3&lt;=time,'Overall savings and benefits'!AR66,"")</f>
        <v/>
      </c>
      <c r="J51" s="1028" t="str">
        <f>IF(J$3&lt;=time,'Overall savings and benefits'!AS66,"")</f>
        <v/>
      </c>
      <c r="K51" s="1028" t="str">
        <f>IF(K$3&lt;=time,'Overall savings and benefits'!AT66,"")</f>
        <v/>
      </c>
      <c r="L51" s="1028" t="str">
        <f>IF(L$3&lt;=time,'Overall savings and benefits'!AU66,"")</f>
        <v/>
      </c>
      <c r="M51" s="1028" t="str">
        <f>IF(M$3&lt;=time,'Overall savings and benefits'!AV66,"")</f>
        <v/>
      </c>
      <c r="N51" s="1028" t="str">
        <f>IF(N$3&lt;=time,'Overall savings and benefits'!AW66,"")</f>
        <v/>
      </c>
      <c r="O51" s="1028" t="str">
        <f>IF(O$3&lt;=time,'Overall savings and benefits'!AX66,"")</f>
        <v/>
      </c>
      <c r="P51" s="1028" t="str">
        <f>IF(P$3&lt;=time,'Overall savings and benefits'!AY66,"")</f>
        <v/>
      </c>
      <c r="Q51" s="1028" t="str">
        <f>IF(Q$3&lt;=time,'Overall savings and benefits'!AZ66,"")</f>
        <v/>
      </c>
      <c r="R51" s="1028" t="str">
        <f>IF(R$3&lt;=time,'Overall savings and benefits'!BA66,"")</f>
        <v/>
      </c>
      <c r="S51" s="1028" t="str">
        <f>IF(S$3&lt;=time,'Overall savings and benefits'!BB66,"")</f>
        <v/>
      </c>
      <c r="T51" s="1028" t="str">
        <f>IF(T$3&lt;=time,'Overall savings and benefits'!BC66,"")</f>
        <v/>
      </c>
      <c r="U51" s="1028" t="str">
        <f>IF(U$3&lt;=time,'Overall savings and benefits'!BD66,"")</f>
        <v/>
      </c>
      <c r="V51" s="1028" t="str">
        <f>IF(V$3&lt;=time,'Overall savings and benefits'!BE66,"")</f>
        <v/>
      </c>
      <c r="W51" s="1028" t="str">
        <f>IF(W$3&lt;=time,'Overall savings and benefits'!BF66,"")</f>
        <v/>
      </c>
      <c r="X51" s="1028" t="str">
        <f>IF(X$3&lt;=time,'Overall savings and benefits'!BG66,"")</f>
        <v/>
      </c>
      <c r="Y51" s="1028" t="str">
        <f>IF(Y$3&lt;=time,'Overall savings and benefits'!BH66,"")</f>
        <v/>
      </c>
      <c r="Z51" s="1029" t="str">
        <f>IF(Z$3&lt;=time,'Overall savings and benefits'!BI66,"")</f>
        <v/>
      </c>
      <c r="AA51" s="1032">
        <f t="array" ref="AA51">(SUM( IF(ISERROR(B51:Z51),"", B51:Z51)))</f>
        <v>4092.4230181837293</v>
      </c>
      <c r="AB51" s="1033">
        <f t="shared" si="3"/>
        <v>818.48460363674587</v>
      </c>
    </row>
    <row r="52" spans="1:29">
      <c r="A52" s="663"/>
    </row>
    <row r="53" spans="1:29" ht="171.65" hidden="1" customHeight="1" thickBot="1">
      <c r="A53" s="969" t="s">
        <v>392</v>
      </c>
      <c r="B53" s="820" t="str">
        <f>CONCATENATE("Financial benefits of the intervention in Year 1"," ", "(",'Proposition Summary'!$B$76,")")</f>
        <v>Financial benefits of the intervention in Year 1 (GBP (£))</v>
      </c>
      <c r="C53" s="820" t="str">
        <f>CONCATENATE("Financial benefits of the intervention in Year 2"," ", "(",'Proposition Summary'!$B$76,")")</f>
        <v>Financial benefits of the intervention in Year 2 (GBP (£))</v>
      </c>
      <c r="D53" s="820" t="str">
        <f>CONCATENATE("Financial benefits of the intervention in Year 3"," ", "(",'Proposition Summary'!$B$76,")")</f>
        <v>Financial benefits of the intervention in Year 3 (GBP (£))</v>
      </c>
      <c r="E53" s="820" t="str">
        <f>CONCATENATE("Financial benefits of the intervention in Year 4"," ", "(",'Proposition Summary'!$B$76,")")</f>
        <v>Financial benefits of the intervention in Year 4 (GBP (£))</v>
      </c>
      <c r="F53" s="820" t="str">
        <f>CONCATENATE("Financial benefits of the intervention in Year 5"," ", "(",'Proposition Summary'!$B$76,")")</f>
        <v>Financial benefits of the intervention in Year 5 (GBP (£))</v>
      </c>
      <c r="G53" s="820" t="str">
        <f>CONCATENATE("Financial benefits of the intervention in Year 6"," ", "(",'Proposition Summary'!$B$76,")")</f>
        <v>Financial benefits of the intervention in Year 6 (GBP (£))</v>
      </c>
      <c r="H53" s="820" t="str">
        <f>CONCATENATE("Financial benefits of the intervention in Year 7"," ", "(",'Proposition Summary'!$B$76,")")</f>
        <v>Financial benefits of the intervention in Year 7 (GBP (£))</v>
      </c>
      <c r="I53" s="820" t="str">
        <f>CONCATENATE("Financial benefits of the intervention in Year 8"," ", "(",'Proposition Summary'!$B$76,")")</f>
        <v>Financial benefits of the intervention in Year 8 (GBP (£))</v>
      </c>
      <c r="J53" s="820" t="str">
        <f>CONCATENATE("Financial benefits of the intervention in Year 9"," ", "(",'Proposition Summary'!$B$76,")")</f>
        <v>Financial benefits of the intervention in Year 9 (GBP (£))</v>
      </c>
      <c r="K53" s="820" t="str">
        <f>CONCATENATE("Financial benefits of the intervention in Year 10"," ", "(",'Proposition Summary'!$B$76,")")</f>
        <v>Financial benefits of the intervention in Year 10 (GBP (£))</v>
      </c>
      <c r="L53" s="820" t="str">
        <f>CONCATENATE("Financial benefits of the intervention in Year 11"," ", "(",'Proposition Summary'!$B$76,")")</f>
        <v>Financial benefits of the intervention in Year 11 (GBP (£))</v>
      </c>
      <c r="M53" s="820" t="str">
        <f>CONCATENATE("Financial benefits of the intervention in Year 12"," ", "(",'Proposition Summary'!$B$76,")")</f>
        <v>Financial benefits of the intervention in Year 12 (GBP (£))</v>
      </c>
      <c r="N53" s="820" t="str">
        <f>CONCATENATE("Financial benefits of the intervention in Year 13"," ", "(",'Proposition Summary'!$B$76,")")</f>
        <v>Financial benefits of the intervention in Year 13 (GBP (£))</v>
      </c>
      <c r="O53" s="820" t="str">
        <f>CONCATENATE("Financial benefits of the intervention in Year 14"," ", "(",'Proposition Summary'!$B$76,")")</f>
        <v>Financial benefits of the intervention in Year 14 (GBP (£))</v>
      </c>
      <c r="P53" s="820" t="str">
        <f>CONCATENATE("Financial benefits of the intervention in Year 15"," ", "(",'Proposition Summary'!$B$76,")")</f>
        <v>Financial benefits of the intervention in Year 15 (GBP (£))</v>
      </c>
      <c r="Q53" s="820" t="str">
        <f>CONCATENATE("Financial benefits of the intervention in Year 16"," ", "(",'Proposition Summary'!$B$76,")")</f>
        <v>Financial benefits of the intervention in Year 16 (GBP (£))</v>
      </c>
      <c r="R53" s="820" t="str">
        <f>CONCATENATE("Financial benefits of the intervention in Year 17"," ", "(",'Proposition Summary'!$B$76,")")</f>
        <v>Financial benefits of the intervention in Year 17 (GBP (£))</v>
      </c>
      <c r="S53" s="820" t="str">
        <f>CONCATENATE("Financial benefits of the intervention in Year 18"," ", "(",'Proposition Summary'!$B$76,")")</f>
        <v>Financial benefits of the intervention in Year 18 (GBP (£))</v>
      </c>
      <c r="T53" s="820" t="str">
        <f>CONCATENATE("Financial benefits of the intervention in Year 19"," ", "(",'Proposition Summary'!$B$76,")")</f>
        <v>Financial benefits of the intervention in Year 19 (GBP (£))</v>
      </c>
      <c r="U53" s="820" t="str">
        <f>CONCATENATE("Financial benefits of the intervention in Year 20"," ", "(",'Proposition Summary'!$B$76,")")</f>
        <v>Financial benefits of the intervention in Year 20 (GBP (£))</v>
      </c>
      <c r="V53" s="820" t="str">
        <f>CONCATENATE("Financial benefits of the intervention in Year 21"," ", "(",'Proposition Summary'!$B$76,")")</f>
        <v>Financial benefits of the intervention in Year 21 (GBP (£))</v>
      </c>
      <c r="W53" s="820" t="str">
        <f>CONCATENATE("Financial benefits of the intervention in Year 22"," ", "(",'Proposition Summary'!$B$76,")")</f>
        <v>Financial benefits of the intervention in Year 22 (GBP (£))</v>
      </c>
      <c r="X53" s="820" t="str">
        <f>CONCATENATE("Financial benefits of the intervention in Year 23"," ", "(",'Proposition Summary'!$B$76,")")</f>
        <v>Financial benefits of the intervention in Year 23 (GBP (£))</v>
      </c>
      <c r="Y53" s="820" t="str">
        <f>CONCATENATE("Financial benefits of the intervention in Year 24"," ", "(",'Proposition Summary'!$B$76,")")</f>
        <v>Financial benefits of the intervention in Year 24 (GBP (£))</v>
      </c>
      <c r="Z53" s="820" t="str">
        <f>CONCATENATE("Financial benefits of the intervention in Year 25"," ", "(",'Proposition Summary'!$B$76,")")</f>
        <v>Financial benefits of the intervention in Year 25 (GBP (£))</v>
      </c>
      <c r="AA53" s="820" t="str">
        <f>CONCATENATE("Total Benefits"," ", "(",'Proposition Summary'!$B$76,")")</f>
        <v>Total Benefits (GBP (£))</v>
      </c>
      <c r="AB53" s="1012" t="str">
        <f>CONCATENATE("Annual Benefits"," ", "(",'Proposition Summary'!$B$76,")")</f>
        <v>Annual Benefits (GBP (£))</v>
      </c>
    </row>
    <row r="54" spans="1:29" ht="16.5" hidden="1" thickTop="1" thickBot="1">
      <c r="A54" s="664" t="s">
        <v>298</v>
      </c>
      <c r="B54" s="133">
        <f>IF(B$3&lt;=time,'Overall savings and benefits'!AK4,"")</f>
        <v>0</v>
      </c>
      <c r="C54" s="133">
        <f>IF(C$3&lt;=time,'Overall savings and benefits'!AL4,"")</f>
        <v>0</v>
      </c>
      <c r="D54" s="133">
        <f>IF(D$3&lt;=time,'Overall savings and benefits'!AM4,"")</f>
        <v>0</v>
      </c>
      <c r="E54" s="133">
        <f>IF(E$3&lt;=time,'Overall savings and benefits'!AN4,"")</f>
        <v>0</v>
      </c>
      <c r="F54" s="133">
        <f>IF(F$3&lt;=time,'Overall savings and benefits'!AO4,"")</f>
        <v>0</v>
      </c>
      <c r="G54" s="133" t="str">
        <f>IF(G$3&lt;=time,'Overall savings and benefits'!AP4,"")</f>
        <v/>
      </c>
      <c r="H54" s="133" t="str">
        <f>IF(H$3&lt;=time,'Overall savings and benefits'!AQ4,"")</f>
        <v/>
      </c>
      <c r="I54" s="133" t="str">
        <f>IF(I$3&lt;=time,'Overall savings and benefits'!AR4,"")</f>
        <v/>
      </c>
      <c r="J54" s="133" t="str">
        <f>IF(J$3&lt;=time,'Overall savings and benefits'!AS4,"")</f>
        <v/>
      </c>
      <c r="K54" s="133" t="str">
        <f>IF(K$3&lt;=time,'Overall savings and benefits'!AT4,"")</f>
        <v/>
      </c>
      <c r="L54" s="133" t="str">
        <f>IF(L$3&lt;=time,'Overall savings and benefits'!AU4,"")</f>
        <v/>
      </c>
      <c r="M54" s="133" t="str">
        <f>IF(M$3&lt;=time,'Overall savings and benefits'!AV4,"")</f>
        <v/>
      </c>
      <c r="N54" s="133" t="str">
        <f>IF(N$3&lt;=time,'Overall savings and benefits'!AW4,"")</f>
        <v/>
      </c>
      <c r="O54" s="133" t="str">
        <f>IF(O$3&lt;=time,'Overall savings and benefits'!AX4,"")</f>
        <v/>
      </c>
      <c r="P54" s="133" t="str">
        <f>IF(P$3&lt;=time,'Overall savings and benefits'!AY4,"")</f>
        <v/>
      </c>
      <c r="Q54" s="133" t="str">
        <f>IF(Q$3&lt;=time,'Overall savings and benefits'!AZ4,"")</f>
        <v/>
      </c>
      <c r="R54" s="133" t="str">
        <f>IF(R$3&lt;=time,'Overall savings and benefits'!BA4,"")</f>
        <v/>
      </c>
      <c r="S54" s="133" t="str">
        <f>IF(S$3&lt;=time,'Overall savings and benefits'!BB4,"")</f>
        <v/>
      </c>
      <c r="T54" s="133" t="str">
        <f>IF(T$3&lt;=time,'Overall savings and benefits'!BC4,"")</f>
        <v/>
      </c>
      <c r="U54" s="133" t="str">
        <f>IF(U$3&lt;=time,'Overall savings and benefits'!BD4,"")</f>
        <v/>
      </c>
      <c r="V54" s="133" t="str">
        <f>IF(V$3&lt;=time,'Overall savings and benefits'!BE4,"")</f>
        <v/>
      </c>
      <c r="W54" s="133" t="str">
        <f>IF(W$3&lt;=time,'Overall savings and benefits'!BF4,"")</f>
        <v/>
      </c>
      <c r="X54" s="133" t="str">
        <f>IF(X$3&lt;=time,'Overall savings and benefits'!BG4,"")</f>
        <v/>
      </c>
      <c r="Y54" s="133" t="str">
        <f>IF(Y$3&lt;=time,'Overall savings and benefits'!BH4,"")</f>
        <v/>
      </c>
      <c r="Z54" s="134" t="str">
        <f>IF(Z$3&lt;=time,'Overall savings and benefits'!BI4,"")</f>
        <v/>
      </c>
      <c r="AA54" s="1022">
        <f t="array" ref="AA54">(SUM( IF(ISERROR(B54:Z54),"", B54:Z54)))</f>
        <v>0</v>
      </c>
      <c r="AB54" s="1034">
        <f t="shared" ref="AB54:AB65" si="4">AA54/time</f>
        <v>0</v>
      </c>
      <c r="AC54" s="529">
        <v>1</v>
      </c>
    </row>
    <row r="55" spans="1:29" hidden="1">
      <c r="A55" s="664" t="s">
        <v>299</v>
      </c>
      <c r="B55" s="133">
        <f>IF(B$3&lt;=time,'Overall savings and benefits'!AK5,"")</f>
        <v>0</v>
      </c>
      <c r="C55" s="133">
        <f>IF(C$3&lt;=time,'Overall savings and benefits'!AL5,"")</f>
        <v>0</v>
      </c>
      <c r="D55" s="133">
        <f>IF(D$3&lt;=time,'Overall savings and benefits'!AM5,"")</f>
        <v>0</v>
      </c>
      <c r="E55" s="133">
        <f>IF(E$3&lt;=time,'Overall savings and benefits'!AN5,"")</f>
        <v>0</v>
      </c>
      <c r="F55" s="133">
        <f>IF(F$3&lt;=time,'Overall savings and benefits'!AO5,"")</f>
        <v>0</v>
      </c>
      <c r="G55" s="133" t="str">
        <f>IF(G$3&lt;=time,'Overall savings and benefits'!AP5,"")</f>
        <v/>
      </c>
      <c r="H55" s="133" t="str">
        <f>IF(H$3&lt;=time,'Overall savings and benefits'!AQ5,"")</f>
        <v/>
      </c>
      <c r="I55" s="133" t="str">
        <f>IF(I$3&lt;=time,'Overall savings and benefits'!AR5,"")</f>
        <v/>
      </c>
      <c r="J55" s="133" t="str">
        <f>IF(J$3&lt;=time,'Overall savings and benefits'!AS5,"")</f>
        <v/>
      </c>
      <c r="K55" s="133" t="str">
        <f>IF(K$3&lt;=time,'Overall savings and benefits'!AT5,"")</f>
        <v/>
      </c>
      <c r="L55" s="133" t="str">
        <f>IF(L$3&lt;=time,'Overall savings and benefits'!AU5,"")</f>
        <v/>
      </c>
      <c r="M55" s="133" t="str">
        <f>IF(M$3&lt;=time,'Overall savings and benefits'!AV5,"")</f>
        <v/>
      </c>
      <c r="N55" s="133" t="str">
        <f>IF(N$3&lt;=time,'Overall savings and benefits'!AW5,"")</f>
        <v/>
      </c>
      <c r="O55" s="133" t="str">
        <f>IF(O$3&lt;=time,'Overall savings and benefits'!AX5,"")</f>
        <v/>
      </c>
      <c r="P55" s="133" t="str">
        <f>IF(P$3&lt;=time,'Overall savings and benefits'!AY5,"")</f>
        <v/>
      </c>
      <c r="Q55" s="133" t="str">
        <f>IF(Q$3&lt;=time,'Overall savings and benefits'!AZ5,"")</f>
        <v/>
      </c>
      <c r="R55" s="133" t="str">
        <f>IF(R$3&lt;=time,'Overall savings and benefits'!BA5,"")</f>
        <v/>
      </c>
      <c r="S55" s="133" t="str">
        <f>IF(S$3&lt;=time,'Overall savings and benefits'!BB5,"")</f>
        <v/>
      </c>
      <c r="T55" s="133" t="str">
        <f>IF(T$3&lt;=time,'Overall savings and benefits'!BC5,"")</f>
        <v/>
      </c>
      <c r="U55" s="133" t="str">
        <f>IF(U$3&lt;=time,'Overall savings and benefits'!BD5,"")</f>
        <v/>
      </c>
      <c r="V55" s="133" t="str">
        <f>IF(V$3&lt;=time,'Overall savings and benefits'!BE5,"")</f>
        <v/>
      </c>
      <c r="W55" s="133" t="str">
        <f>IF(W$3&lt;=time,'Overall savings and benefits'!BF5,"")</f>
        <v/>
      </c>
      <c r="X55" s="133" t="str">
        <f>IF(X$3&lt;=time,'Overall savings and benefits'!BG5,"")</f>
        <v/>
      </c>
      <c r="Y55" s="133" t="str">
        <f>IF(Y$3&lt;=time,'Overall savings and benefits'!BH5,"")</f>
        <v/>
      </c>
      <c r="Z55" s="134" t="str">
        <f>IF(Z$3&lt;=time,'Overall savings and benefits'!BI5,"")</f>
        <v/>
      </c>
      <c r="AA55" s="1035">
        <f t="array" ref="AA55">(SUM( IF(ISERROR(B55:Z55),"", B55:Z55)))</f>
        <v>0</v>
      </c>
      <c r="AB55" s="1036">
        <f t="shared" si="4"/>
        <v>0</v>
      </c>
      <c r="AC55" s="529">
        <v>2</v>
      </c>
    </row>
    <row r="56" spans="1:29" hidden="1">
      <c r="A56" s="664" t="s">
        <v>300</v>
      </c>
      <c r="B56" s="133">
        <f>IF(B$3&lt;=time,'Overall savings and benefits'!AK6,"")</f>
        <v>0</v>
      </c>
      <c r="C56" s="133">
        <f>IF(C$3&lt;=time,'Overall savings and benefits'!AL6,"")</f>
        <v>0</v>
      </c>
      <c r="D56" s="133">
        <f>IF(D$3&lt;=time,'Overall savings and benefits'!AM6,"")</f>
        <v>0</v>
      </c>
      <c r="E56" s="133">
        <f>IF(E$3&lt;=time,'Overall savings and benefits'!AN6,"")</f>
        <v>0</v>
      </c>
      <c r="F56" s="133">
        <f>IF(F$3&lt;=time,'Overall savings and benefits'!AO6,"")</f>
        <v>0</v>
      </c>
      <c r="G56" s="133" t="str">
        <f>IF(G$3&lt;=time,'Overall savings and benefits'!AP6,"")</f>
        <v/>
      </c>
      <c r="H56" s="133" t="str">
        <f>IF(H$3&lt;=time,'Overall savings and benefits'!AQ6,"")</f>
        <v/>
      </c>
      <c r="I56" s="133" t="str">
        <f>IF(I$3&lt;=time,'Overall savings and benefits'!AR6,"")</f>
        <v/>
      </c>
      <c r="J56" s="133" t="str">
        <f>IF(J$3&lt;=time,'Overall savings and benefits'!AS6,"")</f>
        <v/>
      </c>
      <c r="K56" s="133" t="str">
        <f>IF(K$3&lt;=time,'Overall savings and benefits'!AT6,"")</f>
        <v/>
      </c>
      <c r="L56" s="133" t="str">
        <f>IF(L$3&lt;=time,'Overall savings and benefits'!AU6,"")</f>
        <v/>
      </c>
      <c r="M56" s="133" t="str">
        <f>IF(M$3&lt;=time,'Overall savings and benefits'!AV6,"")</f>
        <v/>
      </c>
      <c r="N56" s="133" t="str">
        <f>IF(N$3&lt;=time,'Overall savings and benefits'!AW6,"")</f>
        <v/>
      </c>
      <c r="O56" s="133" t="str">
        <f>IF(O$3&lt;=time,'Overall savings and benefits'!AX6,"")</f>
        <v/>
      </c>
      <c r="P56" s="133" t="str">
        <f>IF(P$3&lt;=time,'Overall savings and benefits'!AY6,"")</f>
        <v/>
      </c>
      <c r="Q56" s="133" t="str">
        <f>IF(Q$3&lt;=time,'Overall savings and benefits'!AZ6,"")</f>
        <v/>
      </c>
      <c r="R56" s="133" t="str">
        <f>IF(R$3&lt;=time,'Overall savings and benefits'!BA6,"")</f>
        <v/>
      </c>
      <c r="S56" s="133" t="str">
        <f>IF(S$3&lt;=time,'Overall savings and benefits'!BB6,"")</f>
        <v/>
      </c>
      <c r="T56" s="133" t="str">
        <f>IF(T$3&lt;=time,'Overall savings and benefits'!BC6,"")</f>
        <v/>
      </c>
      <c r="U56" s="133" t="str">
        <f>IF(U$3&lt;=time,'Overall savings and benefits'!BD6,"")</f>
        <v/>
      </c>
      <c r="V56" s="133" t="str">
        <f>IF(V$3&lt;=time,'Overall savings and benefits'!BE6,"")</f>
        <v/>
      </c>
      <c r="W56" s="133" t="str">
        <f>IF(W$3&lt;=time,'Overall savings and benefits'!BF6,"")</f>
        <v/>
      </c>
      <c r="X56" s="133" t="str">
        <f>IF(X$3&lt;=time,'Overall savings and benefits'!BG6,"")</f>
        <v/>
      </c>
      <c r="Y56" s="133" t="str">
        <f>IF(Y$3&lt;=time,'Overall savings and benefits'!BH6,"")</f>
        <v/>
      </c>
      <c r="Z56" s="134" t="str">
        <f>IF(Z$3&lt;=time,'Overall savings and benefits'!BI6,"")</f>
        <v/>
      </c>
      <c r="AA56" s="1035">
        <f t="array" ref="AA56">(SUM( IF(ISERROR(B56:Z56),"", B56:Z56)))</f>
        <v>0</v>
      </c>
      <c r="AB56" s="1036">
        <f t="shared" si="4"/>
        <v>0</v>
      </c>
      <c r="AC56" s="529">
        <v>3</v>
      </c>
    </row>
    <row r="57" spans="1:29" hidden="1">
      <c r="A57" s="664" t="s">
        <v>301</v>
      </c>
      <c r="B57" s="133">
        <f>IF(B$3&lt;=time,'Overall savings and benefits'!AK7,"")</f>
        <v>0</v>
      </c>
      <c r="C57" s="133">
        <f>IF(C$3&lt;=time,'Overall savings and benefits'!AL7,"")</f>
        <v>0</v>
      </c>
      <c r="D57" s="133">
        <f>IF(D$3&lt;=time,'Overall savings and benefits'!AM7,"")</f>
        <v>0</v>
      </c>
      <c r="E57" s="133">
        <f>IF(E$3&lt;=time,'Overall savings and benefits'!AN7,"")</f>
        <v>0</v>
      </c>
      <c r="F57" s="133">
        <f>IF(F$3&lt;=time,'Overall savings and benefits'!AO7,"")</f>
        <v>0</v>
      </c>
      <c r="G57" s="133" t="str">
        <f>IF(G$3&lt;=time,'Overall savings and benefits'!AP7,"")</f>
        <v/>
      </c>
      <c r="H57" s="133" t="str">
        <f>IF(H$3&lt;=time,'Overall savings and benefits'!AQ7,"")</f>
        <v/>
      </c>
      <c r="I57" s="133" t="str">
        <f>IF(I$3&lt;=time,'Overall savings and benefits'!AR7,"")</f>
        <v/>
      </c>
      <c r="J57" s="133" t="str">
        <f>IF(J$3&lt;=time,'Overall savings and benefits'!AS7,"")</f>
        <v/>
      </c>
      <c r="K57" s="133" t="str">
        <f>IF(K$3&lt;=time,'Overall savings and benefits'!AT7,"")</f>
        <v/>
      </c>
      <c r="L57" s="133" t="str">
        <f>IF(L$3&lt;=time,'Overall savings and benefits'!AU7,"")</f>
        <v/>
      </c>
      <c r="M57" s="133" t="str">
        <f>IF(M$3&lt;=time,'Overall savings and benefits'!AV7,"")</f>
        <v/>
      </c>
      <c r="N57" s="133" t="str">
        <f>IF(N$3&lt;=time,'Overall savings and benefits'!AW7,"")</f>
        <v/>
      </c>
      <c r="O57" s="133" t="str">
        <f>IF(O$3&lt;=time,'Overall savings and benefits'!AX7,"")</f>
        <v/>
      </c>
      <c r="P57" s="133" t="str">
        <f>IF(P$3&lt;=time,'Overall savings and benefits'!AY7,"")</f>
        <v/>
      </c>
      <c r="Q57" s="133" t="str">
        <f>IF(Q$3&lt;=time,'Overall savings and benefits'!AZ7,"")</f>
        <v/>
      </c>
      <c r="R57" s="133" t="str">
        <f>IF(R$3&lt;=time,'Overall savings and benefits'!BA7,"")</f>
        <v/>
      </c>
      <c r="S57" s="133" t="str">
        <f>IF(S$3&lt;=time,'Overall savings and benefits'!BB7,"")</f>
        <v/>
      </c>
      <c r="T57" s="133" t="str">
        <f>IF(T$3&lt;=time,'Overall savings and benefits'!BC7,"")</f>
        <v/>
      </c>
      <c r="U57" s="133" t="str">
        <f>IF(U$3&lt;=time,'Overall savings and benefits'!BD7,"")</f>
        <v/>
      </c>
      <c r="V57" s="133" t="str">
        <f>IF(V$3&lt;=time,'Overall savings and benefits'!BE7,"")</f>
        <v/>
      </c>
      <c r="W57" s="133" t="str">
        <f>IF(W$3&lt;=time,'Overall savings and benefits'!BF7,"")</f>
        <v/>
      </c>
      <c r="X57" s="133" t="str">
        <f>IF(X$3&lt;=time,'Overall savings and benefits'!BG7,"")</f>
        <v/>
      </c>
      <c r="Y57" s="133" t="str">
        <f>IF(Y$3&lt;=time,'Overall savings and benefits'!BH7,"")</f>
        <v/>
      </c>
      <c r="Z57" s="134" t="str">
        <f>IF(Z$3&lt;=time,'Overall savings and benefits'!BI7,"")</f>
        <v/>
      </c>
      <c r="AA57" s="1035">
        <f t="array" ref="AA57">(SUM( IF(ISERROR(B57:Z57),"", B57:Z57)))</f>
        <v>0</v>
      </c>
      <c r="AB57" s="1036">
        <f t="shared" si="4"/>
        <v>0</v>
      </c>
      <c r="AC57" s="529">
        <v>4</v>
      </c>
    </row>
    <row r="58" spans="1:29" hidden="1">
      <c r="A58" s="664" t="s">
        <v>302</v>
      </c>
      <c r="B58" s="133">
        <f>IF(B$3&lt;=time,'Overall savings and benefits'!AK8,"")</f>
        <v>0</v>
      </c>
      <c r="C58" s="133">
        <f>IF(C$3&lt;=time,'Overall savings and benefits'!AL8,"")</f>
        <v>0</v>
      </c>
      <c r="D58" s="133">
        <f>IF(D$3&lt;=time,'Overall savings and benefits'!AM8,"")</f>
        <v>0</v>
      </c>
      <c r="E58" s="133">
        <f>IF(E$3&lt;=time,'Overall savings and benefits'!AN8,"")</f>
        <v>0</v>
      </c>
      <c r="F58" s="133">
        <f>IF(F$3&lt;=time,'Overall savings and benefits'!AO8,"")</f>
        <v>0</v>
      </c>
      <c r="G58" s="133" t="str">
        <f>IF(G$3&lt;=time,'Overall savings and benefits'!AP8,"")</f>
        <v/>
      </c>
      <c r="H58" s="133" t="str">
        <f>IF(H$3&lt;=time,'Overall savings and benefits'!AQ8,"")</f>
        <v/>
      </c>
      <c r="I58" s="133" t="str">
        <f>IF(I$3&lt;=time,'Overall savings and benefits'!AR8,"")</f>
        <v/>
      </c>
      <c r="J58" s="133" t="str">
        <f>IF(J$3&lt;=time,'Overall savings and benefits'!AS8,"")</f>
        <v/>
      </c>
      <c r="K58" s="133" t="str">
        <f>IF(K$3&lt;=time,'Overall savings and benefits'!AT8,"")</f>
        <v/>
      </c>
      <c r="L58" s="133" t="str">
        <f>IF(L$3&lt;=time,'Overall savings and benefits'!AU8,"")</f>
        <v/>
      </c>
      <c r="M58" s="133" t="str">
        <f>IF(M$3&lt;=time,'Overall savings and benefits'!AV8,"")</f>
        <v/>
      </c>
      <c r="N58" s="133" t="str">
        <f>IF(N$3&lt;=time,'Overall savings and benefits'!AW8,"")</f>
        <v/>
      </c>
      <c r="O58" s="133" t="str">
        <f>IF(O$3&lt;=time,'Overall savings and benefits'!AX8,"")</f>
        <v/>
      </c>
      <c r="P58" s="133" t="str">
        <f>IF(P$3&lt;=time,'Overall savings and benefits'!AY8,"")</f>
        <v/>
      </c>
      <c r="Q58" s="133" t="str">
        <f>IF(Q$3&lt;=time,'Overall savings and benefits'!AZ8,"")</f>
        <v/>
      </c>
      <c r="R58" s="133" t="str">
        <f>IF(R$3&lt;=time,'Overall savings and benefits'!BA8,"")</f>
        <v/>
      </c>
      <c r="S58" s="133" t="str">
        <f>IF(S$3&lt;=time,'Overall savings and benefits'!BB8,"")</f>
        <v/>
      </c>
      <c r="T58" s="133" t="str">
        <f>IF(T$3&lt;=time,'Overall savings and benefits'!BC8,"")</f>
        <v/>
      </c>
      <c r="U58" s="133" t="str">
        <f>IF(U$3&lt;=time,'Overall savings and benefits'!BD8,"")</f>
        <v/>
      </c>
      <c r="V58" s="133" t="str">
        <f>IF(V$3&lt;=time,'Overall savings and benefits'!BE8,"")</f>
        <v/>
      </c>
      <c r="W58" s="133" t="str">
        <f>IF(W$3&lt;=time,'Overall savings and benefits'!BF8,"")</f>
        <v/>
      </c>
      <c r="X58" s="133" t="str">
        <f>IF(X$3&lt;=time,'Overall savings and benefits'!BG8,"")</f>
        <v/>
      </c>
      <c r="Y58" s="133" t="str">
        <f>IF(Y$3&lt;=time,'Overall savings and benefits'!BH8,"")</f>
        <v/>
      </c>
      <c r="Z58" s="134" t="str">
        <f>IF(Z$3&lt;=time,'Overall savings and benefits'!BI8,"")</f>
        <v/>
      </c>
      <c r="AA58" s="1035">
        <f t="array" ref="AA58">(SUM( IF(ISERROR(B58:Z58),"", B58:Z58)))</f>
        <v>0</v>
      </c>
      <c r="AB58" s="1036">
        <f t="shared" si="4"/>
        <v>0</v>
      </c>
      <c r="AC58" s="529">
        <v>5</v>
      </c>
    </row>
    <row r="59" spans="1:29" hidden="1">
      <c r="A59" s="664" t="s">
        <v>303</v>
      </c>
      <c r="B59" s="133">
        <f>IF(B$3&lt;=time,'Overall savings and benefits'!AK9,"")</f>
        <v>0</v>
      </c>
      <c r="C59" s="133">
        <f>IF(C$3&lt;=time,'Overall savings and benefits'!AL9,"")</f>
        <v>0</v>
      </c>
      <c r="D59" s="133">
        <f>IF(D$3&lt;=time,'Overall savings and benefits'!AM9,"")</f>
        <v>0</v>
      </c>
      <c r="E59" s="133">
        <f>IF(E$3&lt;=time,'Overall savings and benefits'!AN9,"")</f>
        <v>0</v>
      </c>
      <c r="F59" s="133">
        <f>IF(F$3&lt;=time,'Overall savings and benefits'!AO9,"")</f>
        <v>0</v>
      </c>
      <c r="G59" s="133" t="str">
        <f>IF(G$3&lt;=time,'Overall savings and benefits'!AP9,"")</f>
        <v/>
      </c>
      <c r="H59" s="133" t="str">
        <f>IF(H$3&lt;=time,'Overall savings and benefits'!AQ9,"")</f>
        <v/>
      </c>
      <c r="I59" s="133" t="str">
        <f>IF(I$3&lt;=time,'Overall savings and benefits'!AR9,"")</f>
        <v/>
      </c>
      <c r="J59" s="133" t="str">
        <f>IF(J$3&lt;=time,'Overall savings and benefits'!AS9,"")</f>
        <v/>
      </c>
      <c r="K59" s="133" t="str">
        <f>IF(K$3&lt;=time,'Overall savings and benefits'!AT9,"")</f>
        <v/>
      </c>
      <c r="L59" s="133" t="str">
        <f>IF(L$3&lt;=time,'Overall savings and benefits'!AU9,"")</f>
        <v/>
      </c>
      <c r="M59" s="133" t="str">
        <f>IF(M$3&lt;=time,'Overall savings and benefits'!AV9,"")</f>
        <v/>
      </c>
      <c r="N59" s="133" t="str">
        <f>IF(N$3&lt;=time,'Overall savings and benefits'!AW9,"")</f>
        <v/>
      </c>
      <c r="O59" s="133" t="str">
        <f>IF(O$3&lt;=time,'Overall savings and benefits'!AX9,"")</f>
        <v/>
      </c>
      <c r="P59" s="133" t="str">
        <f>IF(P$3&lt;=time,'Overall savings and benefits'!AY9,"")</f>
        <v/>
      </c>
      <c r="Q59" s="133" t="str">
        <f>IF(Q$3&lt;=time,'Overall savings and benefits'!AZ9,"")</f>
        <v/>
      </c>
      <c r="R59" s="133" t="str">
        <f>IF(R$3&lt;=time,'Overall savings and benefits'!BA9,"")</f>
        <v/>
      </c>
      <c r="S59" s="133" t="str">
        <f>IF(S$3&lt;=time,'Overall savings and benefits'!BB9,"")</f>
        <v/>
      </c>
      <c r="T59" s="133" t="str">
        <f>IF(T$3&lt;=time,'Overall savings and benefits'!BC9,"")</f>
        <v/>
      </c>
      <c r="U59" s="133" t="str">
        <f>IF(U$3&lt;=time,'Overall savings and benefits'!BD9,"")</f>
        <v/>
      </c>
      <c r="V59" s="133" t="str">
        <f>IF(V$3&lt;=time,'Overall savings and benefits'!BE9,"")</f>
        <v/>
      </c>
      <c r="W59" s="133" t="str">
        <f>IF(W$3&lt;=time,'Overall savings and benefits'!BF9,"")</f>
        <v/>
      </c>
      <c r="X59" s="133" t="str">
        <f>IF(X$3&lt;=time,'Overall savings and benefits'!BG9,"")</f>
        <v/>
      </c>
      <c r="Y59" s="133" t="str">
        <f>IF(Y$3&lt;=time,'Overall savings and benefits'!BH9,"")</f>
        <v/>
      </c>
      <c r="Z59" s="134" t="str">
        <f>IF(Z$3&lt;=time,'Overall savings and benefits'!BI9,"")</f>
        <v/>
      </c>
      <c r="AA59" s="1035">
        <f t="array" ref="AA59">(SUM( IF(ISERROR(B59:Z59),"", B59:Z59)))</f>
        <v>0</v>
      </c>
      <c r="AB59" s="1036">
        <f t="shared" si="4"/>
        <v>0</v>
      </c>
      <c r="AC59" s="529">
        <v>6</v>
      </c>
    </row>
    <row r="60" spans="1:29" hidden="1">
      <c r="A60" s="664" t="s">
        <v>304</v>
      </c>
      <c r="B60" s="133">
        <f>IF(B$3&lt;=time,'Overall savings and benefits'!AK10,"")</f>
        <v>0</v>
      </c>
      <c r="C60" s="133">
        <f>IF(C$3&lt;=time,'Overall savings and benefits'!AL10,"")</f>
        <v>0</v>
      </c>
      <c r="D60" s="133">
        <f>IF(D$3&lt;=time,'Overall savings and benefits'!AM10,"")</f>
        <v>0</v>
      </c>
      <c r="E60" s="133">
        <f>IF(E$3&lt;=time,'Overall savings and benefits'!AN10,"")</f>
        <v>0</v>
      </c>
      <c r="F60" s="133">
        <f>IF(F$3&lt;=time,'Overall savings and benefits'!AO10,"")</f>
        <v>0</v>
      </c>
      <c r="G60" s="133" t="str">
        <f>IF(G$3&lt;=time,'Overall savings and benefits'!AP10,"")</f>
        <v/>
      </c>
      <c r="H60" s="133" t="str">
        <f>IF(H$3&lt;=time,'Overall savings and benefits'!AQ10,"")</f>
        <v/>
      </c>
      <c r="I60" s="133" t="str">
        <f>IF(I$3&lt;=time,'Overall savings and benefits'!AR10,"")</f>
        <v/>
      </c>
      <c r="J60" s="133" t="str">
        <f>IF(J$3&lt;=time,'Overall savings and benefits'!AS10,"")</f>
        <v/>
      </c>
      <c r="K60" s="133" t="str">
        <f>IF(K$3&lt;=time,'Overall savings and benefits'!AT10,"")</f>
        <v/>
      </c>
      <c r="L60" s="133" t="str">
        <f>IF(L$3&lt;=time,'Overall savings and benefits'!AU10,"")</f>
        <v/>
      </c>
      <c r="M60" s="133" t="str">
        <f>IF(M$3&lt;=time,'Overall savings and benefits'!AV10,"")</f>
        <v/>
      </c>
      <c r="N60" s="133" t="str">
        <f>IF(N$3&lt;=time,'Overall savings and benefits'!AW10,"")</f>
        <v/>
      </c>
      <c r="O60" s="133" t="str">
        <f>IF(O$3&lt;=time,'Overall savings and benefits'!AX10,"")</f>
        <v/>
      </c>
      <c r="P60" s="133" t="str">
        <f>IF(P$3&lt;=time,'Overall savings and benefits'!AY10,"")</f>
        <v/>
      </c>
      <c r="Q60" s="133" t="str">
        <f>IF(Q$3&lt;=time,'Overall savings and benefits'!AZ10,"")</f>
        <v/>
      </c>
      <c r="R60" s="133" t="str">
        <f>IF(R$3&lt;=time,'Overall savings and benefits'!BA10,"")</f>
        <v/>
      </c>
      <c r="S60" s="133" t="str">
        <f>IF(S$3&lt;=time,'Overall savings and benefits'!BB10,"")</f>
        <v/>
      </c>
      <c r="T60" s="133" t="str">
        <f>IF(T$3&lt;=time,'Overall savings and benefits'!BC10,"")</f>
        <v/>
      </c>
      <c r="U60" s="133" t="str">
        <f>IF(U$3&lt;=time,'Overall savings and benefits'!BD10,"")</f>
        <v/>
      </c>
      <c r="V60" s="133" t="str">
        <f>IF(V$3&lt;=time,'Overall savings and benefits'!BE10,"")</f>
        <v/>
      </c>
      <c r="W60" s="133" t="str">
        <f>IF(W$3&lt;=time,'Overall savings and benefits'!BF10,"")</f>
        <v/>
      </c>
      <c r="X60" s="133" t="str">
        <f>IF(X$3&lt;=time,'Overall savings and benefits'!BG10,"")</f>
        <v/>
      </c>
      <c r="Y60" s="133" t="str">
        <f>IF(Y$3&lt;=time,'Overall savings and benefits'!BH10,"")</f>
        <v/>
      </c>
      <c r="Z60" s="134" t="str">
        <f>IF(Z$3&lt;=time,'Overall savings and benefits'!BI10,"")</f>
        <v/>
      </c>
      <c r="AA60" s="1035">
        <f t="array" ref="AA60">(SUM( IF(ISERROR(B60:Z60),"", B60:Z60)))</f>
        <v>0</v>
      </c>
      <c r="AB60" s="1036">
        <f t="shared" si="4"/>
        <v>0</v>
      </c>
      <c r="AC60" s="529">
        <v>7</v>
      </c>
    </row>
    <row r="61" spans="1:29" hidden="1">
      <c r="A61" s="664" t="s">
        <v>305</v>
      </c>
      <c r="B61" s="133">
        <f>IF(B$3&lt;=time,'Overall savings and benefits'!AK11,"")</f>
        <v>0</v>
      </c>
      <c r="C61" s="133">
        <f>IF(C$3&lt;=time,'Overall savings and benefits'!AL11,"")</f>
        <v>0</v>
      </c>
      <c r="D61" s="133">
        <f>IF(D$3&lt;=time,'Overall savings and benefits'!AM11,"")</f>
        <v>0</v>
      </c>
      <c r="E61" s="133">
        <f>IF(E$3&lt;=time,'Overall savings and benefits'!AN11,"")</f>
        <v>0</v>
      </c>
      <c r="F61" s="133">
        <f>IF(F$3&lt;=time,'Overall savings and benefits'!AO11,"")</f>
        <v>0</v>
      </c>
      <c r="G61" s="133" t="str">
        <f>IF(G$3&lt;=time,'Overall savings and benefits'!AP11,"")</f>
        <v/>
      </c>
      <c r="H61" s="133" t="str">
        <f>IF(H$3&lt;=time,'Overall savings and benefits'!AQ11,"")</f>
        <v/>
      </c>
      <c r="I61" s="133" t="str">
        <f>IF(I$3&lt;=time,'Overall savings and benefits'!AR11,"")</f>
        <v/>
      </c>
      <c r="J61" s="133" t="str">
        <f>IF(J$3&lt;=time,'Overall savings and benefits'!AS11,"")</f>
        <v/>
      </c>
      <c r="K61" s="133" t="str">
        <f>IF(K$3&lt;=time,'Overall savings and benefits'!AT11,"")</f>
        <v/>
      </c>
      <c r="L61" s="133" t="str">
        <f>IF(L$3&lt;=time,'Overall savings and benefits'!AU11,"")</f>
        <v/>
      </c>
      <c r="M61" s="133" t="str">
        <f>IF(M$3&lt;=time,'Overall savings and benefits'!AV11,"")</f>
        <v/>
      </c>
      <c r="N61" s="133" t="str">
        <f>IF(N$3&lt;=time,'Overall savings and benefits'!AW11,"")</f>
        <v/>
      </c>
      <c r="O61" s="133" t="str">
        <f>IF(O$3&lt;=time,'Overall savings and benefits'!AX11,"")</f>
        <v/>
      </c>
      <c r="P61" s="133" t="str">
        <f>IF(P$3&lt;=time,'Overall savings and benefits'!AY11,"")</f>
        <v/>
      </c>
      <c r="Q61" s="133" t="str">
        <f>IF(Q$3&lt;=time,'Overall savings and benefits'!AZ11,"")</f>
        <v/>
      </c>
      <c r="R61" s="133" t="str">
        <f>IF(R$3&lt;=time,'Overall savings and benefits'!BA11,"")</f>
        <v/>
      </c>
      <c r="S61" s="133" t="str">
        <f>IF(S$3&lt;=time,'Overall savings and benefits'!BB11,"")</f>
        <v/>
      </c>
      <c r="T61" s="133" t="str">
        <f>IF(T$3&lt;=time,'Overall savings and benefits'!BC11,"")</f>
        <v/>
      </c>
      <c r="U61" s="133" t="str">
        <f>IF(U$3&lt;=time,'Overall savings and benefits'!BD11,"")</f>
        <v/>
      </c>
      <c r="V61" s="133" t="str">
        <f>IF(V$3&lt;=time,'Overall savings and benefits'!BE11,"")</f>
        <v/>
      </c>
      <c r="W61" s="133" t="str">
        <f>IF(W$3&lt;=time,'Overall savings and benefits'!BF11,"")</f>
        <v/>
      </c>
      <c r="X61" s="133" t="str">
        <f>IF(X$3&lt;=time,'Overall savings and benefits'!BG11,"")</f>
        <v/>
      </c>
      <c r="Y61" s="133" t="str">
        <f>IF(Y$3&lt;=time,'Overall savings and benefits'!BH11,"")</f>
        <v/>
      </c>
      <c r="Z61" s="134" t="str">
        <f>IF(Z$3&lt;=time,'Overall savings and benefits'!BI11,"")</f>
        <v/>
      </c>
      <c r="AA61" s="1035">
        <f t="array" ref="AA61">(SUM( IF(ISERROR(B61:Z61),"", B61:Z61)))</f>
        <v>0</v>
      </c>
      <c r="AB61" s="1036">
        <f t="shared" si="4"/>
        <v>0</v>
      </c>
      <c r="AC61" s="529">
        <v>8</v>
      </c>
    </row>
    <row r="62" spans="1:29" hidden="1">
      <c r="A62" s="664" t="s">
        <v>306</v>
      </c>
      <c r="B62" s="133">
        <f>IF(B$3&lt;=time,'Overall savings and benefits'!AK12,"")</f>
        <v>0</v>
      </c>
      <c r="C62" s="133">
        <f>IF(C$3&lt;=time,'Overall savings and benefits'!AL12,"")</f>
        <v>0</v>
      </c>
      <c r="D62" s="133">
        <f>IF(D$3&lt;=time,'Overall savings and benefits'!AM12,"")</f>
        <v>0</v>
      </c>
      <c r="E62" s="133">
        <f>IF(E$3&lt;=time,'Overall savings and benefits'!AN12,"")</f>
        <v>0</v>
      </c>
      <c r="F62" s="133">
        <f>IF(F$3&lt;=time,'Overall savings and benefits'!AO12,"")</f>
        <v>0</v>
      </c>
      <c r="G62" s="133" t="str">
        <f>IF(G$3&lt;=time,'Overall savings and benefits'!AP12,"")</f>
        <v/>
      </c>
      <c r="H62" s="133" t="str">
        <f>IF(H$3&lt;=time,'Overall savings and benefits'!AQ12,"")</f>
        <v/>
      </c>
      <c r="I62" s="133" t="str">
        <f>IF(I$3&lt;=time,'Overall savings and benefits'!AR12,"")</f>
        <v/>
      </c>
      <c r="J62" s="133" t="str">
        <f>IF(J$3&lt;=time,'Overall savings and benefits'!AS12,"")</f>
        <v/>
      </c>
      <c r="K62" s="133" t="str">
        <f>IF(K$3&lt;=time,'Overall savings and benefits'!AT12,"")</f>
        <v/>
      </c>
      <c r="L62" s="133" t="str">
        <f>IF(L$3&lt;=time,'Overall savings and benefits'!AU12,"")</f>
        <v/>
      </c>
      <c r="M62" s="133" t="str">
        <f>IF(M$3&lt;=time,'Overall savings and benefits'!AV12,"")</f>
        <v/>
      </c>
      <c r="N62" s="133" t="str">
        <f>IF(N$3&lt;=time,'Overall savings and benefits'!AW12,"")</f>
        <v/>
      </c>
      <c r="O62" s="133" t="str">
        <f>IF(O$3&lt;=time,'Overall savings and benefits'!AX12,"")</f>
        <v/>
      </c>
      <c r="P62" s="133" t="str">
        <f>IF(P$3&lt;=time,'Overall savings and benefits'!AY12,"")</f>
        <v/>
      </c>
      <c r="Q62" s="133" t="str">
        <f>IF(Q$3&lt;=time,'Overall savings and benefits'!AZ12,"")</f>
        <v/>
      </c>
      <c r="R62" s="133" t="str">
        <f>IF(R$3&lt;=time,'Overall savings and benefits'!BA12,"")</f>
        <v/>
      </c>
      <c r="S62" s="133" t="str">
        <f>IF(S$3&lt;=time,'Overall savings and benefits'!BB12,"")</f>
        <v/>
      </c>
      <c r="T62" s="133" t="str">
        <f>IF(T$3&lt;=time,'Overall savings and benefits'!BC12,"")</f>
        <v/>
      </c>
      <c r="U62" s="133" t="str">
        <f>IF(U$3&lt;=time,'Overall savings and benefits'!BD12,"")</f>
        <v/>
      </c>
      <c r="V62" s="133" t="str">
        <f>IF(V$3&lt;=time,'Overall savings and benefits'!BE12,"")</f>
        <v/>
      </c>
      <c r="W62" s="133" t="str">
        <f>IF(W$3&lt;=time,'Overall savings and benefits'!BF12,"")</f>
        <v/>
      </c>
      <c r="X62" s="133" t="str">
        <f>IF(X$3&lt;=time,'Overall savings and benefits'!BG12,"")</f>
        <v/>
      </c>
      <c r="Y62" s="133" t="str">
        <f>IF(Y$3&lt;=time,'Overall savings and benefits'!BH12,"")</f>
        <v/>
      </c>
      <c r="Z62" s="134" t="str">
        <f>IF(Z$3&lt;=time,'Overall savings and benefits'!BI12,"")</f>
        <v/>
      </c>
      <c r="AA62" s="1035">
        <f t="array" ref="AA62">(SUM( IF(ISERROR(B62:Z62),"", B62:Z62)))</f>
        <v>0</v>
      </c>
      <c r="AB62" s="1036">
        <f t="shared" si="4"/>
        <v>0</v>
      </c>
      <c r="AC62" s="529">
        <v>9</v>
      </c>
    </row>
    <row r="63" spans="1:29" ht="16" hidden="1" thickBot="1">
      <c r="A63" s="665" t="s">
        <v>307</v>
      </c>
      <c r="B63" s="1024">
        <f>IF(B$3&lt;=time,'Overall savings and benefits'!AK13,"")</f>
        <v>0</v>
      </c>
      <c r="C63" s="1024">
        <f>IF(C$3&lt;=time,'Overall savings and benefits'!AL13,"")</f>
        <v>0</v>
      </c>
      <c r="D63" s="1024">
        <f>IF(D$3&lt;=time,'Overall savings and benefits'!AM13,"")</f>
        <v>0</v>
      </c>
      <c r="E63" s="1024">
        <f>IF(E$3&lt;=time,'Overall savings and benefits'!AN13,"")</f>
        <v>0</v>
      </c>
      <c r="F63" s="1024">
        <f>IF(F$3&lt;=time,'Overall savings and benefits'!AO13,"")</f>
        <v>0</v>
      </c>
      <c r="G63" s="1024" t="str">
        <f>IF(G$3&lt;=time,'Overall savings and benefits'!AP13,"")</f>
        <v/>
      </c>
      <c r="H63" s="1024" t="str">
        <f>IF(H$3&lt;=time,'Overall savings and benefits'!AQ13,"")</f>
        <v/>
      </c>
      <c r="I63" s="1024" t="str">
        <f>IF(I$3&lt;=time,'Overall savings and benefits'!AR13,"")</f>
        <v/>
      </c>
      <c r="J63" s="1024" t="str">
        <f>IF(J$3&lt;=time,'Overall savings and benefits'!AS13,"")</f>
        <v/>
      </c>
      <c r="K63" s="1024" t="str">
        <f>IF(K$3&lt;=time,'Overall savings and benefits'!AT13,"")</f>
        <v/>
      </c>
      <c r="L63" s="1024" t="str">
        <f>IF(L$3&lt;=time,'Overall savings and benefits'!AU13,"")</f>
        <v/>
      </c>
      <c r="M63" s="1024" t="str">
        <f>IF(M$3&lt;=time,'Overall savings and benefits'!AV13,"")</f>
        <v/>
      </c>
      <c r="N63" s="1024" t="str">
        <f>IF(N$3&lt;=time,'Overall savings and benefits'!AW13,"")</f>
        <v/>
      </c>
      <c r="O63" s="1024" t="str">
        <f>IF(O$3&lt;=time,'Overall savings and benefits'!AX13,"")</f>
        <v/>
      </c>
      <c r="P63" s="1024" t="str">
        <f>IF(P$3&lt;=time,'Overall savings and benefits'!AY13,"")</f>
        <v/>
      </c>
      <c r="Q63" s="1024" t="str">
        <f>IF(Q$3&lt;=time,'Overall savings and benefits'!AZ13,"")</f>
        <v/>
      </c>
      <c r="R63" s="1024" t="str">
        <f>IF(R$3&lt;=time,'Overall savings and benefits'!BA13,"")</f>
        <v/>
      </c>
      <c r="S63" s="1024" t="str">
        <f>IF(S$3&lt;=time,'Overall savings and benefits'!BB13,"")</f>
        <v/>
      </c>
      <c r="T63" s="1024" t="str">
        <f>IF(T$3&lt;=time,'Overall savings and benefits'!BC13,"")</f>
        <v/>
      </c>
      <c r="U63" s="1024" t="str">
        <f>IF(U$3&lt;=time,'Overall savings and benefits'!BD13,"")</f>
        <v/>
      </c>
      <c r="V63" s="1024" t="str">
        <f>IF(V$3&lt;=time,'Overall savings and benefits'!BE13,"")</f>
        <v/>
      </c>
      <c r="W63" s="1024" t="str">
        <f>IF(W$3&lt;=time,'Overall savings and benefits'!BF13,"")</f>
        <v/>
      </c>
      <c r="X63" s="1024" t="str">
        <f>IF(X$3&lt;=time,'Overall savings and benefits'!BG13,"")</f>
        <v/>
      </c>
      <c r="Y63" s="1024" t="str">
        <f>IF(Y$3&lt;=time,'Overall savings and benefits'!BH13,"")</f>
        <v/>
      </c>
      <c r="Z63" s="1025" t="str">
        <f>IF(Z$3&lt;=time,'Overall savings and benefits'!BI13,"")</f>
        <v/>
      </c>
      <c r="AA63" s="1037">
        <f t="array" ref="AA63">(SUM( IF(ISERROR(B63:Z63),"", B63:Z63)))</f>
        <v>0</v>
      </c>
      <c r="AB63" s="1038">
        <f t="shared" si="4"/>
        <v>0</v>
      </c>
      <c r="AC63" s="529">
        <v>10</v>
      </c>
    </row>
    <row r="64" spans="1:29" ht="16" hidden="1" thickBot="1">
      <c r="A64" s="1020" t="s">
        <v>335</v>
      </c>
      <c r="B64" s="1028">
        <f>IF(B$3&lt;=time,'Overall savings and benefits'!AK14,"")</f>
        <v>0</v>
      </c>
      <c r="C64" s="1028">
        <f>IF(C$3&lt;=time,'Overall savings and benefits'!AL14,"")</f>
        <v>0</v>
      </c>
      <c r="D64" s="1028">
        <f>IF(D$3&lt;=time,'Overall savings and benefits'!AM14,"")</f>
        <v>0</v>
      </c>
      <c r="E64" s="1028">
        <f>IF(E$3&lt;=time,'Overall savings and benefits'!AN14,"")</f>
        <v>0</v>
      </c>
      <c r="F64" s="1028">
        <f>IF(F$3&lt;=time,'Overall savings and benefits'!AO14,"")</f>
        <v>0</v>
      </c>
      <c r="G64" s="1028" t="str">
        <f>IF(G$3&lt;=time,'Overall savings and benefits'!AP14,"")</f>
        <v/>
      </c>
      <c r="H64" s="1028" t="str">
        <f>IF(H$3&lt;=time,'Overall savings and benefits'!AQ14,"")</f>
        <v/>
      </c>
      <c r="I64" s="1028" t="str">
        <f>IF(I$3&lt;=time,'Overall savings and benefits'!AR14,"")</f>
        <v/>
      </c>
      <c r="J64" s="1028" t="str">
        <f>IF(J$3&lt;=time,'Overall savings and benefits'!AS14,"")</f>
        <v/>
      </c>
      <c r="K64" s="1028" t="str">
        <f>IF(K$3&lt;=time,'Overall savings and benefits'!AT14,"")</f>
        <v/>
      </c>
      <c r="L64" s="1028" t="str">
        <f>IF(L$3&lt;=time,'Overall savings and benefits'!AU14,"")</f>
        <v/>
      </c>
      <c r="M64" s="1028" t="str">
        <f>IF(M$3&lt;=time,'Overall savings and benefits'!AV14,"")</f>
        <v/>
      </c>
      <c r="N64" s="1028" t="str">
        <f>IF(N$3&lt;=time,'Overall savings and benefits'!AW14,"")</f>
        <v/>
      </c>
      <c r="O64" s="1028" t="str">
        <f>IF(O$3&lt;=time,'Overall savings and benefits'!AX14,"")</f>
        <v/>
      </c>
      <c r="P64" s="1028" t="str">
        <f>IF(P$3&lt;=time,'Overall savings and benefits'!AY14,"")</f>
        <v/>
      </c>
      <c r="Q64" s="1028" t="str">
        <f>IF(Q$3&lt;=time,'Overall savings and benefits'!AZ14,"")</f>
        <v/>
      </c>
      <c r="R64" s="1028" t="str">
        <f>IF(R$3&lt;=time,'Overall savings and benefits'!BA14,"")</f>
        <v/>
      </c>
      <c r="S64" s="1028" t="str">
        <f>IF(S$3&lt;=time,'Overall savings and benefits'!BB14,"")</f>
        <v/>
      </c>
      <c r="T64" s="1028" t="str">
        <f>IF(T$3&lt;=time,'Overall savings and benefits'!BC14,"")</f>
        <v/>
      </c>
      <c r="U64" s="1028" t="str">
        <f>IF(U$3&lt;=time,'Overall savings and benefits'!BD14,"")</f>
        <v/>
      </c>
      <c r="V64" s="1028" t="str">
        <f>IF(V$3&lt;=time,'Overall savings and benefits'!BE14,"")</f>
        <v/>
      </c>
      <c r="W64" s="1028" t="str">
        <f>IF(W$3&lt;=time,'Overall savings and benefits'!BF14,"")</f>
        <v/>
      </c>
      <c r="X64" s="1028" t="str">
        <f>IF(X$3&lt;=time,'Overall savings and benefits'!BG14,"")</f>
        <v/>
      </c>
      <c r="Y64" s="1028" t="str">
        <f>IF(Y$3&lt;=time,'Overall savings and benefits'!BH14,"")</f>
        <v/>
      </c>
      <c r="Z64" s="1029" t="str">
        <f>IF(Z$3&lt;=time,'Overall savings and benefits'!BI14,"")</f>
        <v/>
      </c>
      <c r="AA64" s="1030">
        <f t="array" ref="AA64">(SUM( IF(ISERROR(B64:Z64),"", B64:Z64)))</f>
        <v>0</v>
      </c>
      <c r="AB64" s="1029">
        <f t="shared" si="4"/>
        <v>0</v>
      </c>
    </row>
    <row r="65" spans="1:28" ht="16" hidden="1" thickBot="1">
      <c r="A65" s="1020" t="s">
        <v>334</v>
      </c>
      <c r="B65" s="1028">
        <f>IF(B$3&lt;=time,'Overall savings and benefits'!AK68,"")</f>
        <v>0</v>
      </c>
      <c r="C65" s="1028">
        <f>IF(C$3&lt;=time,'Overall savings and benefits'!AL68,"")</f>
        <v>4092.4230181837293</v>
      </c>
      <c r="D65" s="1028">
        <f>IF(D$3&lt;=time,'Overall savings and benefits'!AM68,"")</f>
        <v>0</v>
      </c>
      <c r="E65" s="1028">
        <f>IF(E$3&lt;=time,'Overall savings and benefits'!AN68,"")</f>
        <v>0</v>
      </c>
      <c r="F65" s="1028">
        <f>IF(F$3&lt;=time,'Overall savings and benefits'!AO68,"")</f>
        <v>0</v>
      </c>
      <c r="G65" s="1028" t="str">
        <f>IF(G$3&lt;=time,'Overall savings and benefits'!AP68,"")</f>
        <v/>
      </c>
      <c r="H65" s="1028" t="str">
        <f>IF(H$3&lt;=time,'Overall savings and benefits'!AQ68,"")</f>
        <v/>
      </c>
      <c r="I65" s="1028" t="str">
        <f>IF(I$3&lt;=time,'Overall savings and benefits'!AR68,"")</f>
        <v/>
      </c>
      <c r="J65" s="1028" t="str">
        <f>IF(J$3&lt;=time,'Overall savings and benefits'!AS68,"")</f>
        <v/>
      </c>
      <c r="K65" s="1028" t="str">
        <f>IF(K$3&lt;=time,'Overall savings and benefits'!AT68,"")</f>
        <v/>
      </c>
      <c r="L65" s="1028" t="str">
        <f>IF(L$3&lt;=time,'Overall savings and benefits'!AU68,"")</f>
        <v/>
      </c>
      <c r="M65" s="1028" t="str">
        <f>IF(M$3&lt;=time,'Overall savings and benefits'!AV68,"")</f>
        <v/>
      </c>
      <c r="N65" s="1028" t="str">
        <f>IF(N$3&lt;=time,'Overall savings and benefits'!AW68,"")</f>
        <v/>
      </c>
      <c r="O65" s="1028" t="str">
        <f>IF(O$3&lt;=time,'Overall savings and benefits'!AX68,"")</f>
        <v/>
      </c>
      <c r="P65" s="1028" t="str">
        <f>IF(P$3&lt;=time,'Overall savings and benefits'!AY68,"")</f>
        <v/>
      </c>
      <c r="Q65" s="1028" t="str">
        <f>IF(Q$3&lt;=time,'Overall savings and benefits'!AZ68,"")</f>
        <v/>
      </c>
      <c r="R65" s="1028" t="str">
        <f>IF(R$3&lt;=time,'Overall savings and benefits'!BA68,"")</f>
        <v/>
      </c>
      <c r="S65" s="1028" t="str">
        <f>IF(S$3&lt;=time,'Overall savings and benefits'!BB68,"")</f>
        <v/>
      </c>
      <c r="T65" s="1028" t="str">
        <f>IF(T$3&lt;=time,'Overall savings and benefits'!BC68,"")</f>
        <v/>
      </c>
      <c r="U65" s="1028" t="str">
        <f>IF(U$3&lt;=time,'Overall savings and benefits'!BD68,"")</f>
        <v/>
      </c>
      <c r="V65" s="1028" t="str">
        <f>IF(V$3&lt;=time,'Overall savings and benefits'!BE68,"")</f>
        <v/>
      </c>
      <c r="W65" s="1028" t="str">
        <f>IF(W$3&lt;=time,'Overall savings and benefits'!BF68,"")</f>
        <v/>
      </c>
      <c r="X65" s="1028" t="str">
        <f>IF(X$3&lt;=time,'Overall savings and benefits'!BG68,"")</f>
        <v/>
      </c>
      <c r="Y65" s="1028" t="str">
        <f>IF(Y$3&lt;=time,'Overall savings and benefits'!BH68,"")</f>
        <v/>
      </c>
      <c r="Z65" s="1029" t="str">
        <f>IF(Z$3&lt;=time,'Overall savings and benefits'!BI68,"")</f>
        <v/>
      </c>
      <c r="AA65" s="1030">
        <f t="array" ref="AA65">(SUM( IF(ISERROR(B65:Z65),"", B65:Z65)))</f>
        <v>4092.4230181837293</v>
      </c>
      <c r="AB65" s="1029">
        <f t="shared" si="4"/>
        <v>818.48460363674587</v>
      </c>
    </row>
    <row r="67" spans="1:28" ht="47" customHeight="1" thickBot="1">
      <c r="A67" s="1011" t="s">
        <v>380</v>
      </c>
    </row>
    <row r="68" spans="1:28" ht="109" thickBot="1">
      <c r="A68" s="969" t="s">
        <v>308</v>
      </c>
      <c r="B68" s="820" t="str">
        <f>CONCATENATE("Financial savings due to avoided crime in Year 1"," ", "(",'Proposition Summary'!$B$76,")")</f>
        <v>Financial savings due to avoided crime in Year 1 (GBP (£))</v>
      </c>
      <c r="C68" s="820" t="str">
        <f>CONCATENATE("Financial savings due to avoided crime in Year 2"," ", "(",'Proposition Summary'!$B$76,")")</f>
        <v>Financial savings due to avoided crime in Year 2 (GBP (£))</v>
      </c>
      <c r="D68" s="820" t="str">
        <f>CONCATENATE("Financial savings due to avoided crime in Year 3"," ", "(",'Proposition Summary'!$B$76,")")</f>
        <v>Financial savings due to avoided crime in Year 3 (GBP (£))</v>
      </c>
      <c r="E68" s="820" t="str">
        <f>CONCATENATE("Financial savings due to avoided crime in Year 4"," ", "(",'Proposition Summary'!$B$76,")")</f>
        <v>Financial savings due to avoided crime in Year 4 (GBP (£))</v>
      </c>
      <c r="F68" s="820" t="str">
        <f>CONCATENATE("Financial savings due to avoided crime in Year 5"," ", "(",'Proposition Summary'!$B$76,")")</f>
        <v>Financial savings due to avoided crime in Year 5 (GBP (£))</v>
      </c>
      <c r="G68" s="820" t="str">
        <f>CONCATENATE("Financial savings due to avoided crime in Year 6"," ", "(",'Proposition Summary'!$B$76,")")</f>
        <v>Financial savings due to avoided crime in Year 6 (GBP (£))</v>
      </c>
      <c r="H68" s="820" t="str">
        <f>CONCATENATE("Financial savings due to avoided crime in Year 7"," ", "(",'Proposition Summary'!$B$76,")")</f>
        <v>Financial savings due to avoided crime in Year 7 (GBP (£))</v>
      </c>
      <c r="I68" s="820" t="str">
        <f>CONCATENATE("Financial savings due to avoided crime in Year 8"," ", "(",'Proposition Summary'!$B$76,")")</f>
        <v>Financial savings due to avoided crime in Year 8 (GBP (£))</v>
      </c>
      <c r="J68" s="820" t="str">
        <f>CONCATENATE("Financial savings due to avoided crime in Year 9"," ", "(",'Proposition Summary'!$B$76,")")</f>
        <v>Financial savings due to avoided crime in Year 9 (GBP (£))</v>
      </c>
      <c r="K68" s="820" t="str">
        <f>CONCATENATE("Financial savings due to avoided crime in Year 10"," ", "(",'Proposition Summary'!$B$76,")")</f>
        <v>Financial savings due to avoided crime in Year 10 (GBP (£))</v>
      </c>
      <c r="L68" s="820" t="str">
        <f>CONCATENATE("Financial savings due to avoided crime in Year 11"," ", "(",'Proposition Summary'!$B$76,")")</f>
        <v>Financial savings due to avoided crime in Year 11 (GBP (£))</v>
      </c>
      <c r="M68" s="820" t="str">
        <f>CONCATENATE("Financial savings due to avoided crime in Year 12"," ", "(",'Proposition Summary'!$B$76,")")</f>
        <v>Financial savings due to avoided crime in Year 12 (GBP (£))</v>
      </c>
      <c r="N68" s="820" t="str">
        <f>CONCATENATE("Financial savings due to avoided crime in Year 13"," ", "(",'Proposition Summary'!$B$76,")")</f>
        <v>Financial savings due to avoided crime in Year 13 (GBP (£))</v>
      </c>
      <c r="O68" s="820" t="str">
        <f>CONCATENATE("Financial savings due to avoided crime in Year 14"," ", "(",'Proposition Summary'!$B$76,")")</f>
        <v>Financial savings due to avoided crime in Year 14 (GBP (£))</v>
      </c>
      <c r="P68" s="820" t="str">
        <f>CONCATENATE("Financial savings due to avoided crime in Year 15"," ", "(",'Proposition Summary'!$B$76,")")</f>
        <v>Financial savings due to avoided crime in Year 15 (GBP (£))</v>
      </c>
      <c r="Q68" s="820" t="str">
        <f>CONCATENATE("Financial savings due to avoided crime in Year 16"," ", "(",'Proposition Summary'!$B$76,")")</f>
        <v>Financial savings due to avoided crime in Year 16 (GBP (£))</v>
      </c>
      <c r="R68" s="820" t="str">
        <f>CONCATENATE("Financial savings due to avoided crime in Year 17"," ", "(",'Proposition Summary'!$B$76,")")</f>
        <v>Financial savings due to avoided crime in Year 17 (GBP (£))</v>
      </c>
      <c r="S68" s="820" t="str">
        <f>CONCATENATE("Financial savings due to avoided crime in Year 18"," ", "(",'Proposition Summary'!$B$76,")")</f>
        <v>Financial savings due to avoided crime in Year 18 (GBP (£))</v>
      </c>
      <c r="T68" s="820" t="str">
        <f>CONCATENATE("Financial savings due to avoided crime in Year 19"," ", "(",'Proposition Summary'!$B$76,")")</f>
        <v>Financial savings due to avoided crime in Year 19 (GBP (£))</v>
      </c>
      <c r="U68" s="820" t="str">
        <f>CONCATENATE("Financial savings due to avoided crime in Year 20"," ", "(",'Proposition Summary'!$B$76,")")</f>
        <v>Financial savings due to avoided crime in Year 20 (GBP (£))</v>
      </c>
      <c r="V68" s="820" t="str">
        <f>CONCATENATE("Financial savings due to avoided crime in Year 21"," ", "(",'Proposition Summary'!$B$76,")")</f>
        <v>Financial savings due to avoided crime in Year 21 (GBP (£))</v>
      </c>
      <c r="W68" s="820" t="str">
        <f>CONCATENATE("Financial savings due to avoided crime in Year 22"," ", "(",'Proposition Summary'!$B$76,")")</f>
        <v>Financial savings due to avoided crime in Year 22 (GBP (£))</v>
      </c>
      <c r="X68" s="820" t="str">
        <f>CONCATENATE("Financial savings due to avoided crime in Year 23"," ", "(",'Proposition Summary'!$B$76,")")</f>
        <v>Financial savings due to avoided crime in Year 23 (GBP (£))</v>
      </c>
      <c r="Y68" s="820" t="str">
        <f>CONCATENATE("Financial savings due to avoided crime in Year 24"," ", "(",'Proposition Summary'!$B$76,")")</f>
        <v>Financial savings due to avoided crime in Year 24 (GBP (£))</v>
      </c>
      <c r="Z68" s="820" t="str">
        <f>CONCATENATE("Financial savings due to avoided crime in Year 25"," ", "(",'Proposition Summary'!$B$76,")")</f>
        <v>Financial savings due to avoided crime in Year 25 (GBP (£))</v>
      </c>
      <c r="AA68" s="820" t="str">
        <f>CONCATENATE("Total Savings"," ", "(",'Proposition Summary'!$B$76,")")</f>
        <v>Total Savings (GBP (£))</v>
      </c>
      <c r="AB68" s="1012" t="str">
        <f>CONCATENATE("Annual Savings"," ", "(",'Proposition Summary'!$B$76,")")</f>
        <v>Annual Savings (GBP (£))</v>
      </c>
    </row>
    <row r="69" spans="1:28" ht="16" hidden="1" thickTop="1">
      <c r="A69" s="649"/>
      <c r="B69" s="650"/>
      <c r="C69" s="650"/>
      <c r="D69" s="650"/>
      <c r="E69" s="650"/>
      <c r="F69" s="650"/>
      <c r="G69" s="650"/>
      <c r="H69" s="650"/>
      <c r="I69" s="650"/>
      <c r="J69" s="650"/>
      <c r="K69" s="650"/>
      <c r="L69" s="650"/>
      <c r="M69" s="650"/>
      <c r="N69" s="650"/>
      <c r="O69" s="650"/>
      <c r="P69" s="650"/>
      <c r="Q69" s="650"/>
      <c r="R69" s="650"/>
      <c r="S69" s="650"/>
      <c r="T69" s="650"/>
      <c r="U69" s="650"/>
      <c r="V69" s="650"/>
      <c r="W69" s="650"/>
      <c r="X69" s="650"/>
      <c r="Y69" s="650"/>
      <c r="Z69" s="650"/>
      <c r="AB69" s="569"/>
    </row>
    <row r="70" spans="1:28" ht="31.5" thickTop="1">
      <c r="A70" s="434" t="s">
        <v>561</v>
      </c>
      <c r="B70" s="666"/>
      <c r="C70" s="666"/>
      <c r="D70" s="666"/>
      <c r="E70" s="666"/>
      <c r="F70" s="666"/>
      <c r="G70" s="666"/>
      <c r="H70" s="666"/>
      <c r="I70" s="666"/>
      <c r="J70" s="666"/>
      <c r="K70" s="666"/>
      <c r="L70" s="666"/>
      <c r="M70" s="666"/>
      <c r="N70" s="666"/>
      <c r="O70" s="666"/>
      <c r="P70" s="666"/>
      <c r="Q70" s="666"/>
      <c r="R70" s="666"/>
      <c r="S70" s="666"/>
      <c r="T70" s="666"/>
      <c r="U70" s="666"/>
      <c r="V70" s="666"/>
      <c r="W70" s="666"/>
      <c r="X70" s="666"/>
      <c r="Y70" s="666"/>
      <c r="Z70" s="666"/>
      <c r="AA70" s="667"/>
      <c r="AB70" s="668"/>
    </row>
    <row r="71" spans="1:28">
      <c r="A71" s="113" t="s">
        <v>290</v>
      </c>
      <c r="B71" s="1039">
        <f>IF(B$3&lt;=time,B7*(1+Economics!$B$4)^(B$3-$B$3)/((1+Economics!$B$3)^(B$3-$B$3)),"")</f>
        <v>0</v>
      </c>
      <c r="C71" s="1039">
        <f>IF(C$3&lt;=time,C7*(1+Economics!$B$4)^(C$3-$B$3)/((1+Economics!$B$3)^(C$3-$B$3)),"")</f>
        <v>0</v>
      </c>
      <c r="D71" s="1039">
        <f>IF(D$3&lt;=time,D7*(1+Economics!$B$4)^(D$3-$B$3)/((1+Economics!$B$3)^(D$3-$B$3)),"")</f>
        <v>0</v>
      </c>
      <c r="E71" s="1039">
        <f>IF(E$3&lt;=time,E7*(1+Economics!$B$4)^(E$3-$B$3)/((1+Economics!$B$3)^(E$3-$B$3)),"")</f>
        <v>0</v>
      </c>
      <c r="F71" s="1039">
        <f>IF(F$3&lt;=time,F7*(1+Economics!$B$4)^(F$3-$B$3)/((1+Economics!$B$3)^(F$3-$B$3)),"")</f>
        <v>0</v>
      </c>
      <c r="G71" s="1039" t="str">
        <f>IF(G$3&lt;=time,G7*(1+Economics!$B$4)^(G$3-$B$3)/((1+Economics!$B$3)^(G$3-$B$3)),"")</f>
        <v/>
      </c>
      <c r="H71" s="1039" t="str">
        <f>IF(H$3&lt;=time,H7*(1+Economics!$B$4)^(H$3-$B$3)/((1+Economics!$B$3)^(H$3-$B$3)),"")</f>
        <v/>
      </c>
      <c r="I71" s="1039" t="str">
        <f>IF(I$3&lt;=time,I7*(1+Economics!$B$4)^(I$3-$B$3)/((1+Economics!$B$3)^(I$3-$B$3)),"")</f>
        <v/>
      </c>
      <c r="J71" s="1039" t="str">
        <f>IF(J$3&lt;=time,J7*(1+Economics!$B$4)^(J$3-$B$3)/((1+Economics!$B$3)^(J$3-$B$3)),"")</f>
        <v/>
      </c>
      <c r="K71" s="1039" t="str">
        <f>IF(K$3&lt;=time,K7*(1+Economics!$B$4)^(K$3-$B$3)/((1+Economics!$B$3)^(K$3-$B$3)),"")</f>
        <v/>
      </c>
      <c r="L71" s="1039" t="str">
        <f>IF(L$3&lt;=time,L7*(1+Economics!$B$4)^(L$3-$B$3)/((1+Economics!$B$3)^(L$3-$B$3)),"")</f>
        <v/>
      </c>
      <c r="M71" s="1039" t="str">
        <f>IF(M$3&lt;=time,M7*(1+Economics!$B$4)^(M$3-$B$3)/((1+Economics!$B$3)^(M$3-$B$3)),"")</f>
        <v/>
      </c>
      <c r="N71" s="1039" t="str">
        <f>IF(N$3&lt;=time,N7*(1+Economics!$B$4)^(N$3-$B$3)/((1+Economics!$B$3)^(N$3-$B$3)),"")</f>
        <v/>
      </c>
      <c r="O71" s="1039" t="str">
        <f>IF(O$3&lt;=time,O7*(1+Economics!$B$4)^(O$3-$B$3)/((1+Economics!$B$3)^(O$3-$B$3)),"")</f>
        <v/>
      </c>
      <c r="P71" s="1039" t="str">
        <f>IF(P$3&lt;=time,P7*(1+Economics!$B$4)^(P$3-$B$3)/((1+Economics!$B$3)^(P$3-$B$3)),"")</f>
        <v/>
      </c>
      <c r="Q71" s="1039" t="str">
        <f>IF(Q$3&lt;=time,Q7*(1+Economics!$B$4)^(Q$3-$B$3)/((1+Economics!$B$3)^(Q$3-$B$3)),"")</f>
        <v/>
      </c>
      <c r="R71" s="1039" t="str">
        <f>IF(R$3&lt;=time,R7*(1+Economics!$B$4)^(R$3-$B$3)/((1+Economics!$B$3)^(R$3-$B$3)),"")</f>
        <v/>
      </c>
      <c r="S71" s="1039" t="str">
        <f>IF(S$3&lt;=time,S7*(1+Economics!$B$4)^(S$3-$B$3)/((1+Economics!$B$3)^(S$3-$B$3)),"")</f>
        <v/>
      </c>
      <c r="T71" s="1039" t="str">
        <f>IF(T$3&lt;=time,T7*(1+Economics!$B$4)^(T$3-$B$3)/((1+Economics!$B$3)^(T$3-$B$3)),"")</f>
        <v/>
      </c>
      <c r="U71" s="1039" t="str">
        <f>IF(U$3&lt;=time,U7*(1+Economics!$B$4)^(U$3-$B$3)/((1+Economics!$B$3)^(U$3-$B$3)),"")</f>
        <v/>
      </c>
      <c r="V71" s="1039" t="str">
        <f>IF(V$3&lt;=time,V7*(1+Economics!$B$4)^(V$3-$B$3)/((1+Economics!$B$3)^(V$3-$B$3)),"")</f>
        <v/>
      </c>
      <c r="W71" s="1039" t="str">
        <f>IF(W$3&lt;=time,W7*(1+Economics!$B$4)^(W$3-$B$3)/((1+Economics!$B$3)^(W$3-$B$3)),"")</f>
        <v/>
      </c>
      <c r="X71" s="1039" t="str">
        <f>IF(X$3&lt;=time,X7*(1+Economics!$B$4)^(X$3-$B$3)/((1+Economics!$B$3)^(X$3-$B$3)),"")</f>
        <v/>
      </c>
      <c r="Y71" s="1039" t="str">
        <f>IF(Y$3&lt;=time,Y7*(1+Economics!$B$4)^(Y$3-$B$3)/((1+Economics!$B$3)^(Y$3-$B$3)),"")</f>
        <v/>
      </c>
      <c r="Z71" s="1039" t="str">
        <f>IF(Z$3&lt;=time,Z7*(1+Economics!$B$4)^(Z$3-$B$3)/((1+Economics!$B$3)^(Z$3-$B$3)),"")</f>
        <v/>
      </c>
      <c r="AA71" s="1022">
        <f t="array" ref="AA71">(SUM( IF(ISERROR(B71:Z71),"", B71:Z71)))</f>
        <v>0</v>
      </c>
      <c r="AB71" s="1023">
        <f t="shared" ref="AB71:AB84" si="5">AA71/time</f>
        <v>0</v>
      </c>
    </row>
    <row r="72" spans="1:28">
      <c r="A72" s="113" t="s">
        <v>542</v>
      </c>
      <c r="B72" s="1039">
        <f>IF(B$3&lt;=time,B8*(1+Economics!$B$4)^(B$3-$B$3)/((1+Economics!$B$3)^(B$3-$B$3)),"")</f>
        <v>0</v>
      </c>
      <c r="C72" s="1039">
        <f>IF(C$3&lt;=time,C8*(1+Economics!$B$4)^(C$3-$B$3)/((1+Economics!$B$3)^(C$3-$B$3)),"")</f>
        <v>1086.4794328604592</v>
      </c>
      <c r="D72" s="1039">
        <f>IF(D$3&lt;=time,D8*(1+Economics!$B$4)^(D$3-$B$3)/((1+Economics!$B$3)^(D$3-$B$3)),"")</f>
        <v>0</v>
      </c>
      <c r="E72" s="1039">
        <f>IF(E$3&lt;=time,E8*(1+Economics!$B$4)^(E$3-$B$3)/((1+Economics!$B$3)^(E$3-$B$3)),"")</f>
        <v>0</v>
      </c>
      <c r="F72" s="1039">
        <f>IF(F$3&lt;=time,F8*(1+Economics!$B$4)^(F$3-$B$3)/((1+Economics!$B$3)^(F$3-$B$3)),"")</f>
        <v>0</v>
      </c>
      <c r="G72" s="1039" t="str">
        <f>IF(G$3&lt;=time,G8*(1+Economics!$B$4)^(G$3-$B$3)/((1+Economics!$B$3)^(G$3-$B$3)),"")</f>
        <v/>
      </c>
      <c r="H72" s="1039" t="str">
        <f>IF(H$3&lt;=time,H8*(1+Economics!$B$4)^(H$3-$B$3)/((1+Economics!$B$3)^(H$3-$B$3)),"")</f>
        <v/>
      </c>
      <c r="I72" s="1039" t="str">
        <f>IF(I$3&lt;=time,I8*(1+Economics!$B$4)^(I$3-$B$3)/((1+Economics!$B$3)^(I$3-$B$3)),"")</f>
        <v/>
      </c>
      <c r="J72" s="1039" t="str">
        <f>IF(J$3&lt;=time,J8*(1+Economics!$B$4)^(J$3-$B$3)/((1+Economics!$B$3)^(J$3-$B$3)),"")</f>
        <v/>
      </c>
      <c r="K72" s="1039" t="str">
        <f>IF(K$3&lt;=time,K8*(1+Economics!$B$4)^(K$3-$B$3)/((1+Economics!$B$3)^(K$3-$B$3)),"")</f>
        <v/>
      </c>
      <c r="L72" s="1039" t="str">
        <f>IF(L$3&lt;=time,L8*(1+Economics!$B$4)^(L$3-$B$3)/((1+Economics!$B$3)^(L$3-$B$3)),"")</f>
        <v/>
      </c>
      <c r="M72" s="1039" t="str">
        <f>IF(M$3&lt;=time,M8*(1+Economics!$B$4)^(M$3-$B$3)/((1+Economics!$B$3)^(M$3-$B$3)),"")</f>
        <v/>
      </c>
      <c r="N72" s="1039" t="str">
        <f>IF(N$3&lt;=time,N8*(1+Economics!$B$4)^(N$3-$B$3)/((1+Economics!$B$3)^(N$3-$B$3)),"")</f>
        <v/>
      </c>
      <c r="O72" s="1039" t="str">
        <f>IF(O$3&lt;=time,O8*(1+Economics!$B$4)^(O$3-$B$3)/((1+Economics!$B$3)^(O$3-$B$3)),"")</f>
        <v/>
      </c>
      <c r="P72" s="1039" t="str">
        <f>IF(P$3&lt;=time,P8*(1+Economics!$B$4)^(P$3-$B$3)/((1+Economics!$B$3)^(P$3-$B$3)),"")</f>
        <v/>
      </c>
      <c r="Q72" s="1039" t="str">
        <f>IF(Q$3&lt;=time,Q8*(1+Economics!$B$4)^(Q$3-$B$3)/((1+Economics!$B$3)^(Q$3-$B$3)),"")</f>
        <v/>
      </c>
      <c r="R72" s="1039" t="str">
        <f>IF(R$3&lt;=time,R8*(1+Economics!$B$4)^(R$3-$B$3)/((1+Economics!$B$3)^(R$3-$B$3)),"")</f>
        <v/>
      </c>
      <c r="S72" s="1039" t="str">
        <f>IF(S$3&lt;=time,S8*(1+Economics!$B$4)^(S$3-$B$3)/((1+Economics!$B$3)^(S$3-$B$3)),"")</f>
        <v/>
      </c>
      <c r="T72" s="1039" t="str">
        <f>IF(T$3&lt;=time,T8*(1+Economics!$B$4)^(T$3-$B$3)/((1+Economics!$B$3)^(T$3-$B$3)),"")</f>
        <v/>
      </c>
      <c r="U72" s="1039" t="str">
        <f>IF(U$3&lt;=time,U8*(1+Economics!$B$4)^(U$3-$B$3)/((1+Economics!$B$3)^(U$3-$B$3)),"")</f>
        <v/>
      </c>
      <c r="V72" s="1039" t="str">
        <f>IF(V$3&lt;=time,V8*(1+Economics!$B$4)^(V$3-$B$3)/((1+Economics!$B$3)^(V$3-$B$3)),"")</f>
        <v/>
      </c>
      <c r="W72" s="1039" t="str">
        <f>IF(W$3&lt;=time,W8*(1+Economics!$B$4)^(W$3-$B$3)/((1+Economics!$B$3)^(W$3-$B$3)),"")</f>
        <v/>
      </c>
      <c r="X72" s="1039" t="str">
        <f>IF(X$3&lt;=time,X8*(1+Economics!$B$4)^(X$3-$B$3)/((1+Economics!$B$3)^(X$3-$B$3)),"")</f>
        <v/>
      </c>
      <c r="Y72" s="1039" t="str">
        <f>IF(Y$3&lt;=time,Y8*(1+Economics!$B$4)^(Y$3-$B$3)/((1+Economics!$B$3)^(Y$3-$B$3)),"")</f>
        <v/>
      </c>
      <c r="Z72" s="1039" t="str">
        <f>IF(Z$3&lt;=time,Z8*(1+Economics!$B$4)^(Z$3-$B$3)/((1+Economics!$B$3)^(Z$3-$B$3)),"")</f>
        <v/>
      </c>
      <c r="AA72" s="1022">
        <f t="array" ref="AA72">(SUM( IF(ISERROR(B72:Z72),"", B72:Z72)))</f>
        <v>1086.4794328604592</v>
      </c>
      <c r="AB72" s="1023">
        <f t="shared" si="5"/>
        <v>217.29588657209183</v>
      </c>
    </row>
    <row r="73" spans="1:28">
      <c r="A73" s="113" t="s">
        <v>543</v>
      </c>
      <c r="B73" s="1039">
        <f>IF(B$3&lt;=time,B9*(1+Economics!$B$4)^(B$3-$B$3)/((1+Economics!$B$3)^(B$3-$B$3)),"")</f>
        <v>0</v>
      </c>
      <c r="C73" s="1039">
        <f>IF(C$3&lt;=time,C9*(1+Economics!$B$4)^(C$3-$B$3)/((1+Economics!$B$3)^(C$3-$B$3)),"")</f>
        <v>212.32818838574698</v>
      </c>
      <c r="D73" s="1039">
        <f>IF(D$3&lt;=time,D9*(1+Economics!$B$4)^(D$3-$B$3)/((1+Economics!$B$3)^(D$3-$B$3)),"")</f>
        <v>0</v>
      </c>
      <c r="E73" s="1039">
        <f>IF(E$3&lt;=time,E9*(1+Economics!$B$4)^(E$3-$B$3)/((1+Economics!$B$3)^(E$3-$B$3)),"")</f>
        <v>0</v>
      </c>
      <c r="F73" s="1039">
        <f>IF(F$3&lt;=time,F9*(1+Economics!$B$4)^(F$3-$B$3)/((1+Economics!$B$3)^(F$3-$B$3)),"")</f>
        <v>0</v>
      </c>
      <c r="G73" s="1039" t="str">
        <f>IF(G$3&lt;=time,G9*(1+Economics!$B$4)^(G$3-$B$3)/((1+Economics!$B$3)^(G$3-$B$3)),"")</f>
        <v/>
      </c>
      <c r="H73" s="1039" t="str">
        <f>IF(H$3&lt;=time,H9*(1+Economics!$B$4)^(H$3-$B$3)/((1+Economics!$B$3)^(H$3-$B$3)),"")</f>
        <v/>
      </c>
      <c r="I73" s="1039" t="str">
        <f>IF(I$3&lt;=time,I9*(1+Economics!$B$4)^(I$3-$B$3)/((1+Economics!$B$3)^(I$3-$B$3)),"")</f>
        <v/>
      </c>
      <c r="J73" s="1039" t="str">
        <f>IF(J$3&lt;=time,J9*(1+Economics!$B$4)^(J$3-$B$3)/((1+Economics!$B$3)^(J$3-$B$3)),"")</f>
        <v/>
      </c>
      <c r="K73" s="1039" t="str">
        <f>IF(K$3&lt;=time,K9*(1+Economics!$B$4)^(K$3-$B$3)/((1+Economics!$B$3)^(K$3-$B$3)),"")</f>
        <v/>
      </c>
      <c r="L73" s="1039" t="str">
        <f>IF(L$3&lt;=time,L9*(1+Economics!$B$4)^(L$3-$B$3)/((1+Economics!$B$3)^(L$3-$B$3)),"")</f>
        <v/>
      </c>
      <c r="M73" s="1039" t="str">
        <f>IF(M$3&lt;=time,M9*(1+Economics!$B$4)^(M$3-$B$3)/((1+Economics!$B$3)^(M$3-$B$3)),"")</f>
        <v/>
      </c>
      <c r="N73" s="1039" t="str">
        <f>IF(N$3&lt;=time,N9*(1+Economics!$B$4)^(N$3-$B$3)/((1+Economics!$B$3)^(N$3-$B$3)),"")</f>
        <v/>
      </c>
      <c r="O73" s="1039" t="str">
        <f>IF(O$3&lt;=time,O9*(1+Economics!$B$4)^(O$3-$B$3)/((1+Economics!$B$3)^(O$3-$B$3)),"")</f>
        <v/>
      </c>
      <c r="P73" s="1039" t="str">
        <f>IF(P$3&lt;=time,P9*(1+Economics!$B$4)^(P$3-$B$3)/((1+Economics!$B$3)^(P$3-$B$3)),"")</f>
        <v/>
      </c>
      <c r="Q73" s="1039" t="str">
        <f>IF(Q$3&lt;=time,Q9*(1+Economics!$B$4)^(Q$3-$B$3)/((1+Economics!$B$3)^(Q$3-$B$3)),"")</f>
        <v/>
      </c>
      <c r="R73" s="1039" t="str">
        <f>IF(R$3&lt;=time,R9*(1+Economics!$B$4)^(R$3-$B$3)/((1+Economics!$B$3)^(R$3-$B$3)),"")</f>
        <v/>
      </c>
      <c r="S73" s="1039" t="str">
        <f>IF(S$3&lt;=time,S9*(1+Economics!$B$4)^(S$3-$B$3)/((1+Economics!$B$3)^(S$3-$B$3)),"")</f>
        <v/>
      </c>
      <c r="T73" s="1039" t="str">
        <f>IF(T$3&lt;=time,T9*(1+Economics!$B$4)^(T$3-$B$3)/((1+Economics!$B$3)^(T$3-$B$3)),"")</f>
        <v/>
      </c>
      <c r="U73" s="1039" t="str">
        <f>IF(U$3&lt;=time,U9*(1+Economics!$B$4)^(U$3-$B$3)/((1+Economics!$B$3)^(U$3-$B$3)),"")</f>
        <v/>
      </c>
      <c r="V73" s="1039" t="str">
        <f>IF(V$3&lt;=time,V9*(1+Economics!$B$4)^(V$3-$B$3)/((1+Economics!$B$3)^(V$3-$B$3)),"")</f>
        <v/>
      </c>
      <c r="W73" s="1039" t="str">
        <f>IF(W$3&lt;=time,W9*(1+Economics!$B$4)^(W$3-$B$3)/((1+Economics!$B$3)^(W$3-$B$3)),"")</f>
        <v/>
      </c>
      <c r="X73" s="1039" t="str">
        <f>IF(X$3&lt;=time,X9*(1+Economics!$B$4)^(X$3-$B$3)/((1+Economics!$B$3)^(X$3-$B$3)),"")</f>
        <v/>
      </c>
      <c r="Y73" s="1039" t="str">
        <f>IF(Y$3&lt;=time,Y9*(1+Economics!$B$4)^(Y$3-$B$3)/((1+Economics!$B$3)^(Y$3-$B$3)),"")</f>
        <v/>
      </c>
      <c r="Z73" s="1039" t="str">
        <f>IF(Z$3&lt;=time,Z9*(1+Economics!$B$4)^(Z$3-$B$3)/((1+Economics!$B$3)^(Z$3-$B$3)),"")</f>
        <v/>
      </c>
      <c r="AA73" s="1022">
        <f t="array" ref="AA73">(SUM( IF(ISERROR(B73:Z73),"", B73:Z73)))</f>
        <v>212.32818838574698</v>
      </c>
      <c r="AB73" s="1023">
        <f t="shared" si="5"/>
        <v>42.465637677149395</v>
      </c>
    </row>
    <row r="74" spans="1:28">
      <c r="A74" s="113" t="s">
        <v>544</v>
      </c>
      <c r="B74" s="1039">
        <f>IF(B$3&lt;=time,B10*(1+Economics!$B$4)^(B$3-$B$3)/((1+Economics!$B$3)^(B$3-$B$3)),"")</f>
        <v>0</v>
      </c>
      <c r="C74" s="1039">
        <f>IF(C$3&lt;=time,C10*(1+Economics!$B$4)^(C$3-$B$3)/((1+Economics!$B$3)^(C$3-$B$3)),"")</f>
        <v>33.217795411195354</v>
      </c>
      <c r="D74" s="1039">
        <f>IF(D$3&lt;=time,D10*(1+Economics!$B$4)^(D$3-$B$3)/((1+Economics!$B$3)^(D$3-$B$3)),"")</f>
        <v>0</v>
      </c>
      <c r="E74" s="1039">
        <f>IF(E$3&lt;=time,E10*(1+Economics!$B$4)^(E$3-$B$3)/((1+Economics!$B$3)^(E$3-$B$3)),"")</f>
        <v>0</v>
      </c>
      <c r="F74" s="1039">
        <f>IF(F$3&lt;=time,F10*(1+Economics!$B$4)^(F$3-$B$3)/((1+Economics!$B$3)^(F$3-$B$3)),"")</f>
        <v>0</v>
      </c>
      <c r="G74" s="1039" t="str">
        <f>IF(G$3&lt;=time,G10*(1+Economics!$B$4)^(G$3-$B$3)/((1+Economics!$B$3)^(G$3-$B$3)),"")</f>
        <v/>
      </c>
      <c r="H74" s="1039" t="str">
        <f>IF(H$3&lt;=time,H10*(1+Economics!$B$4)^(H$3-$B$3)/((1+Economics!$B$3)^(H$3-$B$3)),"")</f>
        <v/>
      </c>
      <c r="I74" s="1039" t="str">
        <f>IF(I$3&lt;=time,I10*(1+Economics!$B$4)^(I$3-$B$3)/((1+Economics!$B$3)^(I$3-$B$3)),"")</f>
        <v/>
      </c>
      <c r="J74" s="1039" t="str">
        <f>IF(J$3&lt;=time,J10*(1+Economics!$B$4)^(J$3-$B$3)/((1+Economics!$B$3)^(J$3-$B$3)),"")</f>
        <v/>
      </c>
      <c r="K74" s="1039" t="str">
        <f>IF(K$3&lt;=time,K10*(1+Economics!$B$4)^(K$3-$B$3)/((1+Economics!$B$3)^(K$3-$B$3)),"")</f>
        <v/>
      </c>
      <c r="L74" s="1039" t="str">
        <f>IF(L$3&lt;=time,L10*(1+Economics!$B$4)^(L$3-$B$3)/((1+Economics!$B$3)^(L$3-$B$3)),"")</f>
        <v/>
      </c>
      <c r="M74" s="1039" t="str">
        <f>IF(M$3&lt;=time,M10*(1+Economics!$B$4)^(M$3-$B$3)/((1+Economics!$B$3)^(M$3-$B$3)),"")</f>
        <v/>
      </c>
      <c r="N74" s="1039" t="str">
        <f>IF(N$3&lt;=time,N10*(1+Economics!$B$4)^(N$3-$B$3)/((1+Economics!$B$3)^(N$3-$B$3)),"")</f>
        <v/>
      </c>
      <c r="O74" s="1039" t="str">
        <f>IF(O$3&lt;=time,O10*(1+Economics!$B$4)^(O$3-$B$3)/((1+Economics!$B$3)^(O$3-$B$3)),"")</f>
        <v/>
      </c>
      <c r="P74" s="1039" t="str">
        <f>IF(P$3&lt;=time,P10*(1+Economics!$B$4)^(P$3-$B$3)/((1+Economics!$B$3)^(P$3-$B$3)),"")</f>
        <v/>
      </c>
      <c r="Q74" s="1039" t="str">
        <f>IF(Q$3&lt;=time,Q10*(1+Economics!$B$4)^(Q$3-$B$3)/((1+Economics!$B$3)^(Q$3-$B$3)),"")</f>
        <v/>
      </c>
      <c r="R74" s="1039" t="str">
        <f>IF(R$3&lt;=time,R10*(1+Economics!$B$4)^(R$3-$B$3)/((1+Economics!$B$3)^(R$3-$B$3)),"")</f>
        <v/>
      </c>
      <c r="S74" s="1039" t="str">
        <f>IF(S$3&lt;=time,S10*(1+Economics!$B$4)^(S$3-$B$3)/((1+Economics!$B$3)^(S$3-$B$3)),"")</f>
        <v/>
      </c>
      <c r="T74" s="1039" t="str">
        <f>IF(T$3&lt;=time,T10*(1+Economics!$B$4)^(T$3-$B$3)/((1+Economics!$B$3)^(T$3-$B$3)),"")</f>
        <v/>
      </c>
      <c r="U74" s="1039" t="str">
        <f>IF(U$3&lt;=time,U10*(1+Economics!$B$4)^(U$3-$B$3)/((1+Economics!$B$3)^(U$3-$B$3)),"")</f>
        <v/>
      </c>
      <c r="V74" s="1039" t="str">
        <f>IF(V$3&lt;=time,V10*(1+Economics!$B$4)^(V$3-$B$3)/((1+Economics!$B$3)^(V$3-$B$3)),"")</f>
        <v/>
      </c>
      <c r="W74" s="1039" t="str">
        <f>IF(W$3&lt;=time,W10*(1+Economics!$B$4)^(W$3-$B$3)/((1+Economics!$B$3)^(W$3-$B$3)),"")</f>
        <v/>
      </c>
      <c r="X74" s="1039" t="str">
        <f>IF(X$3&lt;=time,X10*(1+Economics!$B$4)^(X$3-$B$3)/((1+Economics!$B$3)^(X$3-$B$3)),"")</f>
        <v/>
      </c>
      <c r="Y74" s="1039" t="str">
        <f>IF(Y$3&lt;=time,Y10*(1+Economics!$B$4)^(Y$3-$B$3)/((1+Economics!$B$3)^(Y$3-$B$3)),"")</f>
        <v/>
      </c>
      <c r="Z74" s="1039" t="str">
        <f>IF(Z$3&lt;=time,Z10*(1+Economics!$B$4)^(Z$3-$B$3)/((1+Economics!$B$3)^(Z$3-$B$3)),"")</f>
        <v/>
      </c>
      <c r="AA74" s="1022">
        <f t="array" ref="AA74">(SUM( IF(ISERROR(B74:Z74),"", B74:Z74)))</f>
        <v>33.217795411195354</v>
      </c>
      <c r="AB74" s="1023">
        <f t="shared" si="5"/>
        <v>6.6435590822390704</v>
      </c>
    </row>
    <row r="75" spans="1:28">
      <c r="A75" s="113" t="s">
        <v>545</v>
      </c>
      <c r="B75" s="1039">
        <f>IF(B$3&lt;=time,B11*(1+Economics!$B$4)^(B$3-$B$3)/((1+Economics!$B$3)^(B$3-$B$3)),"")</f>
        <v>0</v>
      </c>
      <c r="C75" s="1039">
        <f>IF(C$3&lt;=time,C11*(1+Economics!$B$4)^(C$3-$B$3)/((1+Economics!$B$3)^(C$3-$B$3)),"")</f>
        <v>248.91784863001948</v>
      </c>
      <c r="D75" s="1039">
        <f>IF(D$3&lt;=time,D11*(1+Economics!$B$4)^(D$3-$B$3)/((1+Economics!$B$3)^(D$3-$B$3)),"")</f>
        <v>0</v>
      </c>
      <c r="E75" s="1039">
        <f>IF(E$3&lt;=time,E11*(1+Economics!$B$4)^(E$3-$B$3)/((1+Economics!$B$3)^(E$3-$B$3)),"")</f>
        <v>0</v>
      </c>
      <c r="F75" s="1039">
        <f>IF(F$3&lt;=time,F11*(1+Economics!$B$4)^(F$3-$B$3)/((1+Economics!$B$3)^(F$3-$B$3)),"")</f>
        <v>0</v>
      </c>
      <c r="G75" s="1039" t="str">
        <f>IF(G$3&lt;=time,G11*(1+Economics!$B$4)^(G$3-$B$3)/((1+Economics!$B$3)^(G$3-$B$3)),"")</f>
        <v/>
      </c>
      <c r="H75" s="1039" t="str">
        <f>IF(H$3&lt;=time,H11*(1+Economics!$B$4)^(H$3-$B$3)/((1+Economics!$B$3)^(H$3-$B$3)),"")</f>
        <v/>
      </c>
      <c r="I75" s="1039" t="str">
        <f>IF(I$3&lt;=time,I11*(1+Economics!$B$4)^(I$3-$B$3)/((1+Economics!$B$3)^(I$3-$B$3)),"")</f>
        <v/>
      </c>
      <c r="J75" s="1039" t="str">
        <f>IF(J$3&lt;=time,J11*(1+Economics!$B$4)^(J$3-$B$3)/((1+Economics!$B$3)^(J$3-$B$3)),"")</f>
        <v/>
      </c>
      <c r="K75" s="1039" t="str">
        <f>IF(K$3&lt;=time,K11*(1+Economics!$B$4)^(K$3-$B$3)/((1+Economics!$B$3)^(K$3-$B$3)),"")</f>
        <v/>
      </c>
      <c r="L75" s="1039" t="str">
        <f>IF(L$3&lt;=time,L11*(1+Economics!$B$4)^(L$3-$B$3)/((1+Economics!$B$3)^(L$3-$B$3)),"")</f>
        <v/>
      </c>
      <c r="M75" s="1039" t="str">
        <f>IF(M$3&lt;=time,M11*(1+Economics!$B$4)^(M$3-$B$3)/((1+Economics!$B$3)^(M$3-$B$3)),"")</f>
        <v/>
      </c>
      <c r="N75" s="1039" t="str">
        <f>IF(N$3&lt;=time,N11*(1+Economics!$B$4)^(N$3-$B$3)/((1+Economics!$B$3)^(N$3-$B$3)),"")</f>
        <v/>
      </c>
      <c r="O75" s="1039" t="str">
        <f>IF(O$3&lt;=time,O11*(1+Economics!$B$4)^(O$3-$B$3)/((1+Economics!$B$3)^(O$3-$B$3)),"")</f>
        <v/>
      </c>
      <c r="P75" s="1039" t="str">
        <f>IF(P$3&lt;=time,P11*(1+Economics!$B$4)^(P$3-$B$3)/((1+Economics!$B$3)^(P$3-$B$3)),"")</f>
        <v/>
      </c>
      <c r="Q75" s="1039" t="str">
        <f>IF(Q$3&lt;=time,Q11*(1+Economics!$B$4)^(Q$3-$B$3)/((1+Economics!$B$3)^(Q$3-$B$3)),"")</f>
        <v/>
      </c>
      <c r="R75" s="1039" t="str">
        <f>IF(R$3&lt;=time,R11*(1+Economics!$B$4)^(R$3-$B$3)/((1+Economics!$B$3)^(R$3-$B$3)),"")</f>
        <v/>
      </c>
      <c r="S75" s="1039" t="str">
        <f>IF(S$3&lt;=time,S11*(1+Economics!$B$4)^(S$3-$B$3)/((1+Economics!$B$3)^(S$3-$B$3)),"")</f>
        <v/>
      </c>
      <c r="T75" s="1039" t="str">
        <f>IF(T$3&lt;=time,T11*(1+Economics!$B$4)^(T$3-$B$3)/((1+Economics!$B$3)^(T$3-$B$3)),"")</f>
        <v/>
      </c>
      <c r="U75" s="1039" t="str">
        <f>IF(U$3&lt;=time,U11*(1+Economics!$B$4)^(U$3-$B$3)/((1+Economics!$B$3)^(U$3-$B$3)),"")</f>
        <v/>
      </c>
      <c r="V75" s="1039" t="str">
        <f>IF(V$3&lt;=time,V11*(1+Economics!$B$4)^(V$3-$B$3)/((1+Economics!$B$3)^(V$3-$B$3)),"")</f>
        <v/>
      </c>
      <c r="W75" s="1039" t="str">
        <f>IF(W$3&lt;=time,W11*(1+Economics!$B$4)^(W$3-$B$3)/((1+Economics!$B$3)^(W$3-$B$3)),"")</f>
        <v/>
      </c>
      <c r="X75" s="1039" t="str">
        <f>IF(X$3&lt;=time,X11*(1+Economics!$B$4)^(X$3-$B$3)/((1+Economics!$B$3)^(X$3-$B$3)),"")</f>
        <v/>
      </c>
      <c r="Y75" s="1039" t="str">
        <f>IF(Y$3&lt;=time,Y11*(1+Economics!$B$4)^(Y$3-$B$3)/((1+Economics!$B$3)^(Y$3-$B$3)),"")</f>
        <v/>
      </c>
      <c r="Z75" s="1039" t="str">
        <f>IF(Z$3&lt;=time,Z11*(1+Economics!$B$4)^(Z$3-$B$3)/((1+Economics!$B$3)^(Z$3-$B$3)),"")</f>
        <v/>
      </c>
      <c r="AA75" s="1022">
        <f t="array" ref="AA75">(SUM( IF(ISERROR(B75:Z75),"", B75:Z75)))</f>
        <v>248.91784863001948</v>
      </c>
      <c r="AB75" s="1023">
        <f t="shared" si="5"/>
        <v>49.783569726003897</v>
      </c>
    </row>
    <row r="76" spans="1:28">
      <c r="A76" s="113" t="s">
        <v>292</v>
      </c>
      <c r="B76" s="1039">
        <f>IF(B$3&lt;=time,B12*(1+Economics!$B$4)^(B$3-$B$3)/((1+Economics!$B$3)^(B$3-$B$3)),"")</f>
        <v>0</v>
      </c>
      <c r="C76" s="1039">
        <f>IF(C$3&lt;=time,C12*(1+Economics!$B$4)^(C$3-$B$3)/((1+Economics!$B$3)^(C$3-$B$3)),"")</f>
        <v>369.43302558777293</v>
      </c>
      <c r="D76" s="1039">
        <f>IF(D$3&lt;=time,D12*(1+Economics!$B$4)^(D$3-$B$3)/((1+Economics!$B$3)^(D$3-$B$3)),"")</f>
        <v>0</v>
      </c>
      <c r="E76" s="1039">
        <f>IF(E$3&lt;=time,E12*(1+Economics!$B$4)^(E$3-$B$3)/((1+Economics!$B$3)^(E$3-$B$3)),"")</f>
        <v>0</v>
      </c>
      <c r="F76" s="1039">
        <f>IF(F$3&lt;=time,F12*(1+Economics!$B$4)^(F$3-$B$3)/((1+Economics!$B$3)^(F$3-$B$3)),"")</f>
        <v>0</v>
      </c>
      <c r="G76" s="1039" t="str">
        <f>IF(G$3&lt;=time,G12*(1+Economics!$B$4)^(G$3-$B$3)/((1+Economics!$B$3)^(G$3-$B$3)),"")</f>
        <v/>
      </c>
      <c r="H76" s="1039" t="str">
        <f>IF(H$3&lt;=time,H12*(1+Economics!$B$4)^(H$3-$B$3)/((1+Economics!$B$3)^(H$3-$B$3)),"")</f>
        <v/>
      </c>
      <c r="I76" s="1039" t="str">
        <f>IF(I$3&lt;=time,I12*(1+Economics!$B$4)^(I$3-$B$3)/((1+Economics!$B$3)^(I$3-$B$3)),"")</f>
        <v/>
      </c>
      <c r="J76" s="1039" t="str">
        <f>IF(J$3&lt;=time,J12*(1+Economics!$B$4)^(J$3-$B$3)/((1+Economics!$B$3)^(J$3-$B$3)),"")</f>
        <v/>
      </c>
      <c r="K76" s="1039" t="str">
        <f>IF(K$3&lt;=time,K12*(1+Economics!$B$4)^(K$3-$B$3)/((1+Economics!$B$3)^(K$3-$B$3)),"")</f>
        <v/>
      </c>
      <c r="L76" s="1039" t="str">
        <f>IF(L$3&lt;=time,L12*(1+Economics!$B$4)^(L$3-$B$3)/((1+Economics!$B$3)^(L$3-$B$3)),"")</f>
        <v/>
      </c>
      <c r="M76" s="1039" t="str">
        <f>IF(M$3&lt;=time,M12*(1+Economics!$B$4)^(M$3-$B$3)/((1+Economics!$B$3)^(M$3-$B$3)),"")</f>
        <v/>
      </c>
      <c r="N76" s="1039" t="str">
        <f>IF(N$3&lt;=time,N12*(1+Economics!$B$4)^(N$3-$B$3)/((1+Economics!$B$3)^(N$3-$B$3)),"")</f>
        <v/>
      </c>
      <c r="O76" s="1039" t="str">
        <f>IF(O$3&lt;=time,O12*(1+Economics!$B$4)^(O$3-$B$3)/((1+Economics!$B$3)^(O$3-$B$3)),"")</f>
        <v/>
      </c>
      <c r="P76" s="1039" t="str">
        <f>IF(P$3&lt;=time,P12*(1+Economics!$B$4)^(P$3-$B$3)/((1+Economics!$B$3)^(P$3-$B$3)),"")</f>
        <v/>
      </c>
      <c r="Q76" s="1039" t="str">
        <f>IF(Q$3&lt;=time,Q12*(1+Economics!$B$4)^(Q$3-$B$3)/((1+Economics!$B$3)^(Q$3-$B$3)),"")</f>
        <v/>
      </c>
      <c r="R76" s="1039" t="str">
        <f>IF(R$3&lt;=time,R12*(1+Economics!$B$4)^(R$3-$B$3)/((1+Economics!$B$3)^(R$3-$B$3)),"")</f>
        <v/>
      </c>
      <c r="S76" s="1039" t="str">
        <f>IF(S$3&lt;=time,S12*(1+Economics!$B$4)^(S$3-$B$3)/((1+Economics!$B$3)^(S$3-$B$3)),"")</f>
        <v/>
      </c>
      <c r="T76" s="1039" t="str">
        <f>IF(T$3&lt;=time,T12*(1+Economics!$B$4)^(T$3-$B$3)/((1+Economics!$B$3)^(T$3-$B$3)),"")</f>
        <v/>
      </c>
      <c r="U76" s="1039" t="str">
        <f>IF(U$3&lt;=time,U12*(1+Economics!$B$4)^(U$3-$B$3)/((1+Economics!$B$3)^(U$3-$B$3)),"")</f>
        <v/>
      </c>
      <c r="V76" s="1039" t="str">
        <f>IF(V$3&lt;=time,V12*(1+Economics!$B$4)^(V$3-$B$3)/((1+Economics!$B$3)^(V$3-$B$3)),"")</f>
        <v/>
      </c>
      <c r="W76" s="1039" t="str">
        <f>IF(W$3&lt;=time,W12*(1+Economics!$B$4)^(W$3-$B$3)/((1+Economics!$B$3)^(W$3-$B$3)),"")</f>
        <v/>
      </c>
      <c r="X76" s="1039" t="str">
        <f>IF(X$3&lt;=time,X12*(1+Economics!$B$4)^(X$3-$B$3)/((1+Economics!$B$3)^(X$3-$B$3)),"")</f>
        <v/>
      </c>
      <c r="Y76" s="1039" t="str">
        <f>IF(Y$3&lt;=time,Y12*(1+Economics!$B$4)^(Y$3-$B$3)/((1+Economics!$B$3)^(Y$3-$B$3)),"")</f>
        <v/>
      </c>
      <c r="Z76" s="1039" t="str">
        <f>IF(Z$3&lt;=time,Z12*(1+Economics!$B$4)^(Z$3-$B$3)/((1+Economics!$B$3)^(Z$3-$B$3)),"")</f>
        <v/>
      </c>
      <c r="AA76" s="1022">
        <f t="array" ref="AA76">(SUM( IF(ISERROR(B76:Z76),"", B76:Z76)))</f>
        <v>369.43302558777293</v>
      </c>
      <c r="AB76" s="1023">
        <f t="shared" si="5"/>
        <v>73.886605117554581</v>
      </c>
    </row>
    <row r="77" spans="1:28">
      <c r="A77" s="113" t="s">
        <v>546</v>
      </c>
      <c r="B77" s="1039">
        <f>IF(B$3&lt;=time,B13*(1+Economics!$B$4)^(B$3-$B$3)/((1+Economics!$B$3)^(B$3-$B$3)),"")</f>
        <v>0</v>
      </c>
      <c r="C77" s="1039">
        <f>IF(C$3&lt;=time,C13*(1+Economics!$B$4)^(C$3-$B$3)/((1+Economics!$B$3)^(C$3-$B$3)),"")</f>
        <v>862.12983366156379</v>
      </c>
      <c r="D77" s="1039">
        <f>IF(D$3&lt;=time,D13*(1+Economics!$B$4)^(D$3-$B$3)/((1+Economics!$B$3)^(D$3-$B$3)),"")</f>
        <v>0</v>
      </c>
      <c r="E77" s="1039">
        <f>IF(E$3&lt;=time,E13*(1+Economics!$B$4)^(E$3-$B$3)/((1+Economics!$B$3)^(E$3-$B$3)),"")</f>
        <v>0</v>
      </c>
      <c r="F77" s="1039">
        <f>IF(F$3&lt;=time,F13*(1+Economics!$B$4)^(F$3-$B$3)/((1+Economics!$B$3)^(F$3-$B$3)),"")</f>
        <v>0</v>
      </c>
      <c r="G77" s="1039" t="str">
        <f>IF(G$3&lt;=time,G13*(1+Economics!$B$4)^(G$3-$B$3)/((1+Economics!$B$3)^(G$3-$B$3)),"")</f>
        <v/>
      </c>
      <c r="H77" s="1039" t="str">
        <f>IF(H$3&lt;=time,H13*(1+Economics!$B$4)^(H$3-$B$3)/((1+Economics!$B$3)^(H$3-$B$3)),"")</f>
        <v/>
      </c>
      <c r="I77" s="1039" t="str">
        <f>IF(I$3&lt;=time,I13*(1+Economics!$B$4)^(I$3-$B$3)/((1+Economics!$B$3)^(I$3-$B$3)),"")</f>
        <v/>
      </c>
      <c r="J77" s="1039" t="str">
        <f>IF(J$3&lt;=time,J13*(1+Economics!$B$4)^(J$3-$B$3)/((1+Economics!$B$3)^(J$3-$B$3)),"")</f>
        <v/>
      </c>
      <c r="K77" s="1039" t="str">
        <f>IF(K$3&lt;=time,K13*(1+Economics!$B$4)^(K$3-$B$3)/((1+Economics!$B$3)^(K$3-$B$3)),"")</f>
        <v/>
      </c>
      <c r="L77" s="1039" t="str">
        <f>IF(L$3&lt;=time,L13*(1+Economics!$B$4)^(L$3-$B$3)/((1+Economics!$B$3)^(L$3-$B$3)),"")</f>
        <v/>
      </c>
      <c r="M77" s="1039" t="str">
        <f>IF(M$3&lt;=time,M13*(1+Economics!$B$4)^(M$3-$B$3)/((1+Economics!$B$3)^(M$3-$B$3)),"")</f>
        <v/>
      </c>
      <c r="N77" s="1039" t="str">
        <f>IF(N$3&lt;=time,N13*(1+Economics!$B$4)^(N$3-$B$3)/((1+Economics!$B$3)^(N$3-$B$3)),"")</f>
        <v/>
      </c>
      <c r="O77" s="1039" t="str">
        <f>IF(O$3&lt;=time,O13*(1+Economics!$B$4)^(O$3-$B$3)/((1+Economics!$B$3)^(O$3-$B$3)),"")</f>
        <v/>
      </c>
      <c r="P77" s="1039" t="str">
        <f>IF(P$3&lt;=time,P13*(1+Economics!$B$4)^(P$3-$B$3)/((1+Economics!$B$3)^(P$3-$B$3)),"")</f>
        <v/>
      </c>
      <c r="Q77" s="1039" t="str">
        <f>IF(Q$3&lt;=time,Q13*(1+Economics!$B$4)^(Q$3-$B$3)/((1+Economics!$B$3)^(Q$3-$B$3)),"")</f>
        <v/>
      </c>
      <c r="R77" s="1039" t="str">
        <f>IF(R$3&lt;=time,R13*(1+Economics!$B$4)^(R$3-$B$3)/((1+Economics!$B$3)^(R$3-$B$3)),"")</f>
        <v/>
      </c>
      <c r="S77" s="1039" t="str">
        <f>IF(S$3&lt;=time,S13*(1+Economics!$B$4)^(S$3-$B$3)/((1+Economics!$B$3)^(S$3-$B$3)),"")</f>
        <v/>
      </c>
      <c r="T77" s="1039" t="str">
        <f>IF(T$3&lt;=time,T13*(1+Economics!$B$4)^(T$3-$B$3)/((1+Economics!$B$3)^(T$3-$B$3)),"")</f>
        <v/>
      </c>
      <c r="U77" s="1039" t="str">
        <f>IF(U$3&lt;=time,U13*(1+Economics!$B$4)^(U$3-$B$3)/((1+Economics!$B$3)^(U$3-$B$3)),"")</f>
        <v/>
      </c>
      <c r="V77" s="1039" t="str">
        <f>IF(V$3&lt;=time,V13*(1+Economics!$B$4)^(V$3-$B$3)/((1+Economics!$B$3)^(V$3-$B$3)),"")</f>
        <v/>
      </c>
      <c r="W77" s="1039" t="str">
        <f>IF(W$3&lt;=time,W13*(1+Economics!$B$4)^(W$3-$B$3)/((1+Economics!$B$3)^(W$3-$B$3)),"")</f>
        <v/>
      </c>
      <c r="X77" s="1039" t="str">
        <f>IF(X$3&lt;=time,X13*(1+Economics!$B$4)^(X$3-$B$3)/((1+Economics!$B$3)^(X$3-$B$3)),"")</f>
        <v/>
      </c>
      <c r="Y77" s="1039" t="str">
        <f>IF(Y$3&lt;=time,Y13*(1+Economics!$B$4)^(Y$3-$B$3)/((1+Economics!$B$3)^(Y$3-$B$3)),"")</f>
        <v/>
      </c>
      <c r="Z77" s="1039" t="str">
        <f>IF(Z$3&lt;=time,Z13*(1+Economics!$B$4)^(Z$3-$B$3)/((1+Economics!$B$3)^(Z$3-$B$3)),"")</f>
        <v/>
      </c>
      <c r="AA77" s="1022">
        <f t="array" ref="AA77">(SUM( IF(ISERROR(B77:Z77),"", B77:Z77)))</f>
        <v>862.12983366156379</v>
      </c>
      <c r="AB77" s="1023">
        <f t="shared" si="5"/>
        <v>172.42596673231276</v>
      </c>
    </row>
    <row r="78" spans="1:28">
      <c r="A78" s="113" t="s">
        <v>547</v>
      </c>
      <c r="B78" s="1039">
        <f>IF(B$3&lt;=time,B14*(1+Economics!$B$4)^(B$3-$B$3)/((1+Economics!$B$3)^(B$3-$B$3)),"")</f>
        <v>0</v>
      </c>
      <c r="C78" s="1039">
        <f>IF(C$3&lt;=time,C14*(1+Economics!$B$4)^(C$3-$B$3)/((1+Economics!$B$3)^(C$3-$B$3)),"")</f>
        <v>32.27847262046842</v>
      </c>
      <c r="D78" s="1039">
        <f>IF(D$3&lt;=time,D14*(1+Economics!$B$4)^(D$3-$B$3)/((1+Economics!$B$3)^(D$3-$B$3)),"")</f>
        <v>0</v>
      </c>
      <c r="E78" s="1039">
        <f>IF(E$3&lt;=time,E14*(1+Economics!$B$4)^(E$3-$B$3)/((1+Economics!$B$3)^(E$3-$B$3)),"")</f>
        <v>0</v>
      </c>
      <c r="F78" s="1039">
        <f>IF(F$3&lt;=time,F14*(1+Economics!$B$4)^(F$3-$B$3)/((1+Economics!$B$3)^(F$3-$B$3)),"")</f>
        <v>0</v>
      </c>
      <c r="G78" s="1039" t="str">
        <f>IF(G$3&lt;=time,G14*(1+Economics!$B$4)^(G$3-$B$3)/((1+Economics!$B$3)^(G$3-$B$3)),"")</f>
        <v/>
      </c>
      <c r="H78" s="1039" t="str">
        <f>IF(H$3&lt;=time,H14*(1+Economics!$B$4)^(H$3-$B$3)/((1+Economics!$B$3)^(H$3-$B$3)),"")</f>
        <v/>
      </c>
      <c r="I78" s="1039" t="str">
        <f>IF(I$3&lt;=time,I14*(1+Economics!$B$4)^(I$3-$B$3)/((1+Economics!$B$3)^(I$3-$B$3)),"")</f>
        <v/>
      </c>
      <c r="J78" s="1039" t="str">
        <f>IF(J$3&lt;=time,J14*(1+Economics!$B$4)^(J$3-$B$3)/((1+Economics!$B$3)^(J$3-$B$3)),"")</f>
        <v/>
      </c>
      <c r="K78" s="1039" t="str">
        <f>IF(K$3&lt;=time,K14*(1+Economics!$B$4)^(K$3-$B$3)/((1+Economics!$B$3)^(K$3-$B$3)),"")</f>
        <v/>
      </c>
      <c r="L78" s="1039" t="str">
        <f>IF(L$3&lt;=time,L14*(1+Economics!$B$4)^(L$3-$B$3)/((1+Economics!$B$3)^(L$3-$B$3)),"")</f>
        <v/>
      </c>
      <c r="M78" s="1039" t="str">
        <f>IF(M$3&lt;=time,M14*(1+Economics!$B$4)^(M$3-$B$3)/((1+Economics!$B$3)^(M$3-$B$3)),"")</f>
        <v/>
      </c>
      <c r="N78" s="1039" t="str">
        <f>IF(N$3&lt;=time,N14*(1+Economics!$B$4)^(N$3-$B$3)/((1+Economics!$B$3)^(N$3-$B$3)),"")</f>
        <v/>
      </c>
      <c r="O78" s="1039" t="str">
        <f>IF(O$3&lt;=time,O14*(1+Economics!$B$4)^(O$3-$B$3)/((1+Economics!$B$3)^(O$3-$B$3)),"")</f>
        <v/>
      </c>
      <c r="P78" s="1039" t="str">
        <f>IF(P$3&lt;=time,P14*(1+Economics!$B$4)^(P$3-$B$3)/((1+Economics!$B$3)^(P$3-$B$3)),"")</f>
        <v/>
      </c>
      <c r="Q78" s="1039" t="str">
        <f>IF(Q$3&lt;=time,Q14*(1+Economics!$B$4)^(Q$3-$B$3)/((1+Economics!$B$3)^(Q$3-$B$3)),"")</f>
        <v/>
      </c>
      <c r="R78" s="1039" t="str">
        <f>IF(R$3&lt;=time,R14*(1+Economics!$B$4)^(R$3-$B$3)/((1+Economics!$B$3)^(R$3-$B$3)),"")</f>
        <v/>
      </c>
      <c r="S78" s="1039" t="str">
        <f>IF(S$3&lt;=time,S14*(1+Economics!$B$4)^(S$3-$B$3)/((1+Economics!$B$3)^(S$3-$B$3)),"")</f>
        <v/>
      </c>
      <c r="T78" s="1039" t="str">
        <f>IF(T$3&lt;=time,T14*(1+Economics!$B$4)^(T$3-$B$3)/((1+Economics!$B$3)^(T$3-$B$3)),"")</f>
        <v/>
      </c>
      <c r="U78" s="1039" t="str">
        <f>IF(U$3&lt;=time,U14*(1+Economics!$B$4)^(U$3-$B$3)/((1+Economics!$B$3)^(U$3-$B$3)),"")</f>
        <v/>
      </c>
      <c r="V78" s="1039" t="str">
        <f>IF(V$3&lt;=time,V14*(1+Economics!$B$4)^(V$3-$B$3)/((1+Economics!$B$3)^(V$3-$B$3)),"")</f>
        <v/>
      </c>
      <c r="W78" s="1039" t="str">
        <f>IF(W$3&lt;=time,W14*(1+Economics!$B$4)^(W$3-$B$3)/((1+Economics!$B$3)^(W$3-$B$3)),"")</f>
        <v/>
      </c>
      <c r="X78" s="1039" t="str">
        <f>IF(X$3&lt;=time,X14*(1+Economics!$B$4)^(X$3-$B$3)/((1+Economics!$B$3)^(X$3-$B$3)),"")</f>
        <v/>
      </c>
      <c r="Y78" s="1039" t="str">
        <f>IF(Y$3&lt;=time,Y14*(1+Economics!$B$4)^(Y$3-$B$3)/((1+Economics!$B$3)^(Y$3-$B$3)),"")</f>
        <v/>
      </c>
      <c r="Z78" s="1039" t="str">
        <f>IF(Z$3&lt;=time,Z14*(1+Economics!$B$4)^(Z$3-$B$3)/((1+Economics!$B$3)^(Z$3-$B$3)),"")</f>
        <v/>
      </c>
      <c r="AA78" s="1022">
        <f t="array" ref="AA78">(SUM( IF(ISERROR(B78:Z78),"", B78:Z78)))</f>
        <v>32.27847262046842</v>
      </c>
      <c r="AB78" s="1023">
        <f t="shared" si="5"/>
        <v>6.4556945240936843</v>
      </c>
    </row>
    <row r="79" spans="1:28">
      <c r="A79" s="113" t="s">
        <v>548</v>
      </c>
      <c r="B79" s="1039">
        <f>IF(B$3&lt;=time,B15*(1+Economics!$B$4)^(B$3-$B$3)/((1+Economics!$B$3)^(B$3-$B$3)),"")</f>
        <v>0</v>
      </c>
      <c r="C79" s="1039">
        <f>IF(C$3&lt;=time,C15*(1+Economics!$B$4)^(C$3-$B$3)/((1+Economics!$B$3)^(C$3-$B$3)),"")</f>
        <v>75.476859829254877</v>
      </c>
      <c r="D79" s="1039">
        <f>IF(D$3&lt;=time,D15*(1+Economics!$B$4)^(D$3-$B$3)/((1+Economics!$B$3)^(D$3-$B$3)),"")</f>
        <v>0</v>
      </c>
      <c r="E79" s="1039">
        <f>IF(E$3&lt;=time,E15*(1+Economics!$B$4)^(E$3-$B$3)/((1+Economics!$B$3)^(E$3-$B$3)),"")</f>
        <v>0</v>
      </c>
      <c r="F79" s="1039">
        <f>IF(F$3&lt;=time,F15*(1+Economics!$B$4)^(F$3-$B$3)/((1+Economics!$B$3)^(F$3-$B$3)),"")</f>
        <v>0</v>
      </c>
      <c r="G79" s="1039" t="str">
        <f>IF(G$3&lt;=time,G15*(1+Economics!$B$4)^(G$3-$B$3)/((1+Economics!$B$3)^(G$3-$B$3)),"")</f>
        <v/>
      </c>
      <c r="H79" s="1039" t="str">
        <f>IF(H$3&lt;=time,H15*(1+Economics!$B$4)^(H$3-$B$3)/((1+Economics!$B$3)^(H$3-$B$3)),"")</f>
        <v/>
      </c>
      <c r="I79" s="1039" t="str">
        <f>IF(I$3&lt;=time,I15*(1+Economics!$B$4)^(I$3-$B$3)/((1+Economics!$B$3)^(I$3-$B$3)),"")</f>
        <v/>
      </c>
      <c r="J79" s="1039" t="str">
        <f>IF(J$3&lt;=time,J15*(1+Economics!$B$4)^(J$3-$B$3)/((1+Economics!$B$3)^(J$3-$B$3)),"")</f>
        <v/>
      </c>
      <c r="K79" s="1039" t="str">
        <f>IF(K$3&lt;=time,K15*(1+Economics!$B$4)^(K$3-$B$3)/((1+Economics!$B$3)^(K$3-$B$3)),"")</f>
        <v/>
      </c>
      <c r="L79" s="1039" t="str">
        <f>IF(L$3&lt;=time,L15*(1+Economics!$B$4)^(L$3-$B$3)/((1+Economics!$B$3)^(L$3-$B$3)),"")</f>
        <v/>
      </c>
      <c r="M79" s="1039" t="str">
        <f>IF(M$3&lt;=time,M15*(1+Economics!$B$4)^(M$3-$B$3)/((1+Economics!$B$3)^(M$3-$B$3)),"")</f>
        <v/>
      </c>
      <c r="N79" s="1039" t="str">
        <f>IF(N$3&lt;=time,N15*(1+Economics!$B$4)^(N$3-$B$3)/((1+Economics!$B$3)^(N$3-$B$3)),"")</f>
        <v/>
      </c>
      <c r="O79" s="1039" t="str">
        <f>IF(O$3&lt;=time,O15*(1+Economics!$B$4)^(O$3-$B$3)/((1+Economics!$B$3)^(O$3-$B$3)),"")</f>
        <v/>
      </c>
      <c r="P79" s="1039" t="str">
        <f>IF(P$3&lt;=time,P15*(1+Economics!$B$4)^(P$3-$B$3)/((1+Economics!$B$3)^(P$3-$B$3)),"")</f>
        <v/>
      </c>
      <c r="Q79" s="1039" t="str">
        <f>IF(Q$3&lt;=time,Q15*(1+Economics!$B$4)^(Q$3-$B$3)/((1+Economics!$B$3)^(Q$3-$B$3)),"")</f>
        <v/>
      </c>
      <c r="R79" s="1039" t="str">
        <f>IF(R$3&lt;=time,R15*(1+Economics!$B$4)^(R$3-$B$3)/((1+Economics!$B$3)^(R$3-$B$3)),"")</f>
        <v/>
      </c>
      <c r="S79" s="1039" t="str">
        <f>IF(S$3&lt;=time,S15*(1+Economics!$B$4)^(S$3-$B$3)/((1+Economics!$B$3)^(S$3-$B$3)),"")</f>
        <v/>
      </c>
      <c r="T79" s="1039" t="str">
        <f>IF(T$3&lt;=time,T15*(1+Economics!$B$4)^(T$3-$B$3)/((1+Economics!$B$3)^(T$3-$B$3)),"")</f>
        <v/>
      </c>
      <c r="U79" s="1039" t="str">
        <f>IF(U$3&lt;=time,U15*(1+Economics!$B$4)^(U$3-$B$3)/((1+Economics!$B$3)^(U$3-$B$3)),"")</f>
        <v/>
      </c>
      <c r="V79" s="1039" t="str">
        <f>IF(V$3&lt;=time,V15*(1+Economics!$B$4)^(V$3-$B$3)/((1+Economics!$B$3)^(V$3-$B$3)),"")</f>
        <v/>
      </c>
      <c r="W79" s="1039" t="str">
        <f>IF(W$3&lt;=time,W15*(1+Economics!$B$4)^(W$3-$B$3)/((1+Economics!$B$3)^(W$3-$B$3)),"")</f>
        <v/>
      </c>
      <c r="X79" s="1039" t="str">
        <f>IF(X$3&lt;=time,X15*(1+Economics!$B$4)^(X$3-$B$3)/((1+Economics!$B$3)^(X$3-$B$3)),"")</f>
        <v/>
      </c>
      <c r="Y79" s="1039" t="str">
        <f>IF(Y$3&lt;=time,Y15*(1+Economics!$B$4)^(Y$3-$B$3)/((1+Economics!$B$3)^(Y$3-$B$3)),"")</f>
        <v/>
      </c>
      <c r="Z79" s="1039" t="str">
        <f>IF(Z$3&lt;=time,Z15*(1+Economics!$B$4)^(Z$3-$B$3)/((1+Economics!$B$3)^(Z$3-$B$3)),"")</f>
        <v/>
      </c>
      <c r="AA79" s="1022">
        <f t="array" ref="AA79">(SUM( IF(ISERROR(B79:Z79),"", B79:Z79)))</f>
        <v>75.476859829254877</v>
      </c>
      <c r="AB79" s="1023">
        <f t="shared" si="5"/>
        <v>15.095371965850976</v>
      </c>
    </row>
    <row r="80" spans="1:28">
      <c r="A80" s="113" t="s">
        <v>549</v>
      </c>
      <c r="B80" s="1039">
        <f>IF(B$3&lt;=time,B16*(1+Economics!$B$4)^(B$3-$B$3)/((1+Economics!$B$3)^(B$3-$B$3)),"")</f>
        <v>0</v>
      </c>
      <c r="C80" s="1039">
        <f>IF(C$3&lt;=time,C16*(1+Economics!$B$4)^(C$3-$B$3)/((1+Economics!$B$3)^(C$3-$B$3)),"")</f>
        <v>243.86017147599</v>
      </c>
      <c r="D80" s="1039">
        <f>IF(D$3&lt;=time,D16*(1+Economics!$B$4)^(D$3-$B$3)/((1+Economics!$B$3)^(D$3-$B$3)),"")</f>
        <v>0</v>
      </c>
      <c r="E80" s="1039">
        <f>IF(E$3&lt;=time,E16*(1+Economics!$B$4)^(E$3-$B$3)/((1+Economics!$B$3)^(E$3-$B$3)),"")</f>
        <v>0</v>
      </c>
      <c r="F80" s="1039">
        <f>IF(F$3&lt;=time,F16*(1+Economics!$B$4)^(F$3-$B$3)/((1+Economics!$B$3)^(F$3-$B$3)),"")</f>
        <v>0</v>
      </c>
      <c r="G80" s="1039" t="str">
        <f>IF(G$3&lt;=time,G16*(1+Economics!$B$4)^(G$3-$B$3)/((1+Economics!$B$3)^(G$3-$B$3)),"")</f>
        <v/>
      </c>
      <c r="H80" s="1039" t="str">
        <f>IF(H$3&lt;=time,H16*(1+Economics!$B$4)^(H$3-$B$3)/((1+Economics!$B$3)^(H$3-$B$3)),"")</f>
        <v/>
      </c>
      <c r="I80" s="1039" t="str">
        <f>IF(I$3&lt;=time,I16*(1+Economics!$B$4)^(I$3-$B$3)/((1+Economics!$B$3)^(I$3-$B$3)),"")</f>
        <v/>
      </c>
      <c r="J80" s="1039" t="str">
        <f>IF(J$3&lt;=time,J16*(1+Economics!$B$4)^(J$3-$B$3)/((1+Economics!$B$3)^(J$3-$B$3)),"")</f>
        <v/>
      </c>
      <c r="K80" s="1039" t="str">
        <f>IF(K$3&lt;=time,K16*(1+Economics!$B$4)^(K$3-$B$3)/((1+Economics!$B$3)^(K$3-$B$3)),"")</f>
        <v/>
      </c>
      <c r="L80" s="1039" t="str">
        <f>IF(L$3&lt;=time,L16*(1+Economics!$B$4)^(L$3-$B$3)/((1+Economics!$B$3)^(L$3-$B$3)),"")</f>
        <v/>
      </c>
      <c r="M80" s="1039" t="str">
        <f>IF(M$3&lt;=time,M16*(1+Economics!$B$4)^(M$3-$B$3)/((1+Economics!$B$3)^(M$3-$B$3)),"")</f>
        <v/>
      </c>
      <c r="N80" s="1039" t="str">
        <f>IF(N$3&lt;=time,N16*(1+Economics!$B$4)^(N$3-$B$3)/((1+Economics!$B$3)^(N$3-$B$3)),"")</f>
        <v/>
      </c>
      <c r="O80" s="1039" t="str">
        <f>IF(O$3&lt;=time,O16*(1+Economics!$B$4)^(O$3-$B$3)/((1+Economics!$B$3)^(O$3-$B$3)),"")</f>
        <v/>
      </c>
      <c r="P80" s="1039" t="str">
        <f>IF(P$3&lt;=time,P16*(1+Economics!$B$4)^(P$3-$B$3)/((1+Economics!$B$3)^(P$3-$B$3)),"")</f>
        <v/>
      </c>
      <c r="Q80" s="1039" t="str">
        <f>IF(Q$3&lt;=time,Q16*(1+Economics!$B$4)^(Q$3-$B$3)/((1+Economics!$B$3)^(Q$3-$B$3)),"")</f>
        <v/>
      </c>
      <c r="R80" s="1039" t="str">
        <f>IF(R$3&lt;=time,R16*(1+Economics!$B$4)^(R$3-$B$3)/((1+Economics!$B$3)^(R$3-$B$3)),"")</f>
        <v/>
      </c>
      <c r="S80" s="1039" t="str">
        <f>IF(S$3&lt;=time,S16*(1+Economics!$B$4)^(S$3-$B$3)/((1+Economics!$B$3)^(S$3-$B$3)),"")</f>
        <v/>
      </c>
      <c r="T80" s="1039" t="str">
        <f>IF(T$3&lt;=time,T16*(1+Economics!$B$4)^(T$3-$B$3)/((1+Economics!$B$3)^(T$3-$B$3)),"")</f>
        <v/>
      </c>
      <c r="U80" s="1039" t="str">
        <f>IF(U$3&lt;=time,U16*(1+Economics!$B$4)^(U$3-$B$3)/((1+Economics!$B$3)^(U$3-$B$3)),"")</f>
        <v/>
      </c>
      <c r="V80" s="1039" t="str">
        <f>IF(V$3&lt;=time,V16*(1+Economics!$B$4)^(V$3-$B$3)/((1+Economics!$B$3)^(V$3-$B$3)),"")</f>
        <v/>
      </c>
      <c r="W80" s="1039" t="str">
        <f>IF(W$3&lt;=time,W16*(1+Economics!$B$4)^(W$3-$B$3)/((1+Economics!$B$3)^(W$3-$B$3)),"")</f>
        <v/>
      </c>
      <c r="X80" s="1039" t="str">
        <f>IF(X$3&lt;=time,X16*(1+Economics!$B$4)^(X$3-$B$3)/((1+Economics!$B$3)^(X$3-$B$3)),"")</f>
        <v/>
      </c>
      <c r="Y80" s="1039" t="str">
        <f>IF(Y$3&lt;=time,Y16*(1+Economics!$B$4)^(Y$3-$B$3)/((1+Economics!$B$3)^(Y$3-$B$3)),"")</f>
        <v/>
      </c>
      <c r="Z80" s="1039" t="str">
        <f>IF(Z$3&lt;=time,Z16*(1+Economics!$B$4)^(Z$3-$B$3)/((1+Economics!$B$3)^(Z$3-$B$3)),"")</f>
        <v/>
      </c>
      <c r="AA80" s="1022">
        <f t="array" ref="AA80">(SUM( IF(ISERROR(B80:Z80),"", B80:Z80)))</f>
        <v>243.86017147599</v>
      </c>
      <c r="AB80" s="1023">
        <f t="shared" si="5"/>
        <v>48.772034295197997</v>
      </c>
    </row>
    <row r="81" spans="1:28">
      <c r="A81" s="113" t="s">
        <v>550</v>
      </c>
      <c r="B81" s="1039">
        <f>IF(B$3&lt;=time,B17*(1+Economics!$B$4)^(B$3-$B$3)/((1+Economics!$B$3)^(B$3-$B$3)),"")</f>
        <v>0</v>
      </c>
      <c r="C81" s="1039">
        <f>IF(C$3&lt;=time,C17*(1+Economics!$B$4)^(C$3-$B$3)/((1+Economics!$B$3)^(C$3-$B$3)),"")</f>
        <v>0.22387986389282419</v>
      </c>
      <c r="D81" s="1039">
        <f>IF(D$3&lt;=time,D17*(1+Economics!$B$4)^(D$3-$B$3)/((1+Economics!$B$3)^(D$3-$B$3)),"")</f>
        <v>0</v>
      </c>
      <c r="E81" s="1039">
        <f>IF(E$3&lt;=time,E17*(1+Economics!$B$4)^(E$3-$B$3)/((1+Economics!$B$3)^(E$3-$B$3)),"")</f>
        <v>0</v>
      </c>
      <c r="F81" s="1039">
        <f>IF(F$3&lt;=time,F17*(1+Economics!$B$4)^(F$3-$B$3)/((1+Economics!$B$3)^(F$3-$B$3)),"")</f>
        <v>0</v>
      </c>
      <c r="G81" s="1039" t="str">
        <f>IF(G$3&lt;=time,G17*(1+Economics!$B$4)^(G$3-$B$3)/((1+Economics!$B$3)^(G$3-$B$3)),"")</f>
        <v/>
      </c>
      <c r="H81" s="1039" t="str">
        <f>IF(H$3&lt;=time,H17*(1+Economics!$B$4)^(H$3-$B$3)/((1+Economics!$B$3)^(H$3-$B$3)),"")</f>
        <v/>
      </c>
      <c r="I81" s="1039" t="str">
        <f>IF(I$3&lt;=time,I17*(1+Economics!$B$4)^(I$3-$B$3)/((1+Economics!$B$3)^(I$3-$B$3)),"")</f>
        <v/>
      </c>
      <c r="J81" s="1039" t="str">
        <f>IF(J$3&lt;=time,J17*(1+Economics!$B$4)^(J$3-$B$3)/((1+Economics!$B$3)^(J$3-$B$3)),"")</f>
        <v/>
      </c>
      <c r="K81" s="1039" t="str">
        <f>IF(K$3&lt;=time,K17*(1+Economics!$B$4)^(K$3-$B$3)/((1+Economics!$B$3)^(K$3-$B$3)),"")</f>
        <v/>
      </c>
      <c r="L81" s="1039" t="str">
        <f>IF(L$3&lt;=time,L17*(1+Economics!$B$4)^(L$3-$B$3)/((1+Economics!$B$3)^(L$3-$B$3)),"")</f>
        <v/>
      </c>
      <c r="M81" s="1039" t="str">
        <f>IF(M$3&lt;=time,M17*(1+Economics!$B$4)^(M$3-$B$3)/((1+Economics!$B$3)^(M$3-$B$3)),"")</f>
        <v/>
      </c>
      <c r="N81" s="1039" t="str">
        <f>IF(N$3&lt;=time,N17*(1+Economics!$B$4)^(N$3-$B$3)/((1+Economics!$B$3)^(N$3-$B$3)),"")</f>
        <v/>
      </c>
      <c r="O81" s="1039" t="str">
        <f>IF(O$3&lt;=time,O17*(1+Economics!$B$4)^(O$3-$B$3)/((1+Economics!$B$3)^(O$3-$B$3)),"")</f>
        <v/>
      </c>
      <c r="P81" s="1039" t="str">
        <f>IF(P$3&lt;=time,P17*(1+Economics!$B$4)^(P$3-$B$3)/((1+Economics!$B$3)^(P$3-$B$3)),"")</f>
        <v/>
      </c>
      <c r="Q81" s="1039" t="str">
        <f>IF(Q$3&lt;=time,Q17*(1+Economics!$B$4)^(Q$3-$B$3)/((1+Economics!$B$3)^(Q$3-$B$3)),"")</f>
        <v/>
      </c>
      <c r="R81" s="1039" t="str">
        <f>IF(R$3&lt;=time,R17*(1+Economics!$B$4)^(R$3-$B$3)/((1+Economics!$B$3)^(R$3-$B$3)),"")</f>
        <v/>
      </c>
      <c r="S81" s="1039" t="str">
        <f>IF(S$3&lt;=time,S17*(1+Economics!$B$4)^(S$3-$B$3)/((1+Economics!$B$3)^(S$3-$B$3)),"")</f>
        <v/>
      </c>
      <c r="T81" s="1039" t="str">
        <f>IF(T$3&lt;=time,T17*(1+Economics!$B$4)^(T$3-$B$3)/((1+Economics!$B$3)^(T$3-$B$3)),"")</f>
        <v/>
      </c>
      <c r="U81" s="1039" t="str">
        <f>IF(U$3&lt;=time,U17*(1+Economics!$B$4)^(U$3-$B$3)/((1+Economics!$B$3)^(U$3-$B$3)),"")</f>
        <v/>
      </c>
      <c r="V81" s="1039" t="str">
        <f>IF(V$3&lt;=time,V17*(1+Economics!$B$4)^(V$3-$B$3)/((1+Economics!$B$3)^(V$3-$B$3)),"")</f>
        <v/>
      </c>
      <c r="W81" s="1039" t="str">
        <f>IF(W$3&lt;=time,W17*(1+Economics!$B$4)^(W$3-$B$3)/((1+Economics!$B$3)^(W$3-$B$3)),"")</f>
        <v/>
      </c>
      <c r="X81" s="1039" t="str">
        <f>IF(X$3&lt;=time,X17*(1+Economics!$B$4)^(X$3-$B$3)/((1+Economics!$B$3)^(X$3-$B$3)),"")</f>
        <v/>
      </c>
      <c r="Y81" s="1039" t="str">
        <f>IF(Y$3&lt;=time,Y17*(1+Economics!$B$4)^(Y$3-$B$3)/((1+Economics!$B$3)^(Y$3-$B$3)),"")</f>
        <v/>
      </c>
      <c r="Z81" s="1039" t="str">
        <f>IF(Z$3&lt;=time,Z17*(1+Economics!$B$4)^(Z$3-$B$3)/((1+Economics!$B$3)^(Z$3-$B$3)),"")</f>
        <v/>
      </c>
      <c r="AA81" s="1022">
        <f t="array" ref="AA81">(SUM( IF(ISERROR(B81:Z81),"", B81:Z81)))</f>
        <v>0.22387986389282419</v>
      </c>
      <c r="AB81" s="1023">
        <f t="shared" si="5"/>
        <v>4.4775972778564835E-2</v>
      </c>
    </row>
    <row r="82" spans="1:28">
      <c r="A82" s="113" t="s">
        <v>551</v>
      </c>
      <c r="B82" s="1039">
        <f>IF(B$3&lt;=time,B18*(1+Economics!$B$4)^(B$3-$B$3)/((1+Economics!$B$3)^(B$3-$B$3)),"")</f>
        <v>0</v>
      </c>
      <c r="C82" s="1039">
        <f>IF(C$3&lt;=time,C18*(1+Economics!$B$4)^(C$3-$B$3)/((1+Economics!$B$3)^(C$3-$B$3)),"")</f>
        <v>2.9769122413867732</v>
      </c>
      <c r="D82" s="1039">
        <f>IF(D$3&lt;=time,D18*(1+Economics!$B$4)^(D$3-$B$3)/((1+Economics!$B$3)^(D$3-$B$3)),"")</f>
        <v>0</v>
      </c>
      <c r="E82" s="1039">
        <f>IF(E$3&lt;=time,E18*(1+Economics!$B$4)^(E$3-$B$3)/((1+Economics!$B$3)^(E$3-$B$3)),"")</f>
        <v>0</v>
      </c>
      <c r="F82" s="1039">
        <f>IF(F$3&lt;=time,F18*(1+Economics!$B$4)^(F$3-$B$3)/((1+Economics!$B$3)^(F$3-$B$3)),"")</f>
        <v>0</v>
      </c>
      <c r="G82" s="1039" t="str">
        <f>IF(G$3&lt;=time,G18*(1+Economics!$B$4)^(G$3-$B$3)/((1+Economics!$B$3)^(G$3-$B$3)),"")</f>
        <v/>
      </c>
      <c r="H82" s="1039" t="str">
        <f>IF(H$3&lt;=time,H18*(1+Economics!$B$4)^(H$3-$B$3)/((1+Economics!$B$3)^(H$3-$B$3)),"")</f>
        <v/>
      </c>
      <c r="I82" s="1039" t="str">
        <f>IF(I$3&lt;=time,I18*(1+Economics!$B$4)^(I$3-$B$3)/((1+Economics!$B$3)^(I$3-$B$3)),"")</f>
        <v/>
      </c>
      <c r="J82" s="1039" t="str">
        <f>IF(J$3&lt;=time,J18*(1+Economics!$B$4)^(J$3-$B$3)/((1+Economics!$B$3)^(J$3-$B$3)),"")</f>
        <v/>
      </c>
      <c r="K82" s="1039" t="str">
        <f>IF(K$3&lt;=time,K18*(1+Economics!$B$4)^(K$3-$B$3)/((1+Economics!$B$3)^(K$3-$B$3)),"")</f>
        <v/>
      </c>
      <c r="L82" s="1039" t="str">
        <f>IF(L$3&lt;=time,L18*(1+Economics!$B$4)^(L$3-$B$3)/((1+Economics!$B$3)^(L$3-$B$3)),"")</f>
        <v/>
      </c>
      <c r="M82" s="1039" t="str">
        <f>IF(M$3&lt;=time,M18*(1+Economics!$B$4)^(M$3-$B$3)/((1+Economics!$B$3)^(M$3-$B$3)),"")</f>
        <v/>
      </c>
      <c r="N82" s="1039" t="str">
        <f>IF(N$3&lt;=time,N18*(1+Economics!$B$4)^(N$3-$B$3)/((1+Economics!$B$3)^(N$3-$B$3)),"")</f>
        <v/>
      </c>
      <c r="O82" s="1039" t="str">
        <f>IF(O$3&lt;=time,O18*(1+Economics!$B$4)^(O$3-$B$3)/((1+Economics!$B$3)^(O$3-$B$3)),"")</f>
        <v/>
      </c>
      <c r="P82" s="1039" t="str">
        <f>IF(P$3&lt;=time,P18*(1+Economics!$B$4)^(P$3-$B$3)/((1+Economics!$B$3)^(P$3-$B$3)),"")</f>
        <v/>
      </c>
      <c r="Q82" s="1039" t="str">
        <f>IF(Q$3&lt;=time,Q18*(1+Economics!$B$4)^(Q$3-$B$3)/((1+Economics!$B$3)^(Q$3-$B$3)),"")</f>
        <v/>
      </c>
      <c r="R82" s="1039" t="str">
        <f>IF(R$3&lt;=time,R18*(1+Economics!$B$4)^(R$3-$B$3)/((1+Economics!$B$3)^(R$3-$B$3)),"")</f>
        <v/>
      </c>
      <c r="S82" s="1039" t="str">
        <f>IF(S$3&lt;=time,S18*(1+Economics!$B$4)^(S$3-$B$3)/((1+Economics!$B$3)^(S$3-$B$3)),"")</f>
        <v/>
      </c>
      <c r="T82" s="1039" t="str">
        <f>IF(T$3&lt;=time,T18*(1+Economics!$B$4)^(T$3-$B$3)/((1+Economics!$B$3)^(T$3-$B$3)),"")</f>
        <v/>
      </c>
      <c r="U82" s="1039" t="str">
        <f>IF(U$3&lt;=time,U18*(1+Economics!$B$4)^(U$3-$B$3)/((1+Economics!$B$3)^(U$3-$B$3)),"")</f>
        <v/>
      </c>
      <c r="V82" s="1039" t="str">
        <f>IF(V$3&lt;=time,V18*(1+Economics!$B$4)^(V$3-$B$3)/((1+Economics!$B$3)^(V$3-$B$3)),"")</f>
        <v/>
      </c>
      <c r="W82" s="1039" t="str">
        <f>IF(W$3&lt;=time,W18*(1+Economics!$B$4)^(W$3-$B$3)/((1+Economics!$B$3)^(W$3-$B$3)),"")</f>
        <v/>
      </c>
      <c r="X82" s="1039" t="str">
        <f>IF(X$3&lt;=time,X18*(1+Economics!$B$4)^(X$3-$B$3)/((1+Economics!$B$3)^(X$3-$B$3)),"")</f>
        <v/>
      </c>
      <c r="Y82" s="1039" t="str">
        <f>IF(Y$3&lt;=time,Y18*(1+Economics!$B$4)^(Y$3-$B$3)/((1+Economics!$B$3)^(Y$3-$B$3)),"")</f>
        <v/>
      </c>
      <c r="Z82" s="1039" t="str">
        <f>IF(Z$3&lt;=time,Z18*(1+Economics!$B$4)^(Z$3-$B$3)/((1+Economics!$B$3)^(Z$3-$B$3)),"")</f>
        <v/>
      </c>
      <c r="AA82" s="1022">
        <f t="array" ref="AA82">(SUM( IF(ISERROR(B82:Z82),"", B82:Z82)))</f>
        <v>2.9769122413867732</v>
      </c>
      <c r="AB82" s="1023">
        <f t="shared" si="5"/>
        <v>0.59538244827735465</v>
      </c>
    </row>
    <row r="83" spans="1:28">
      <c r="A83" s="113" t="s">
        <v>424</v>
      </c>
      <c r="B83" s="1039">
        <f>IF(B$3&lt;=time,B19*(1+Economics!$B$4)^(B$3-$B$3)/((1+Economics!$B$3)^(B$3-$B$3)),"")</f>
        <v>0</v>
      </c>
      <c r="C83" s="1039">
        <f>IF(C$3&lt;=time,C19*(1+Economics!$B$4)^(C$3-$B$3)/((1+Economics!$B$3)^(C$3-$B$3)),"")</f>
        <v>0</v>
      </c>
      <c r="D83" s="1039">
        <f>IF(D$3&lt;=time,D19*(1+Economics!$B$4)^(D$3-$B$3)/((1+Economics!$B$3)^(D$3-$B$3)),"")</f>
        <v>0</v>
      </c>
      <c r="E83" s="1039">
        <f>IF(E$3&lt;=time,E19*(1+Economics!$B$4)^(E$3-$B$3)/((1+Economics!$B$3)^(E$3-$B$3)),"")</f>
        <v>0</v>
      </c>
      <c r="F83" s="1039">
        <f>IF(F$3&lt;=time,F19*(1+Economics!$B$4)^(F$3-$B$3)/((1+Economics!$B$3)^(F$3-$B$3)),"")</f>
        <v>0</v>
      </c>
      <c r="G83" s="1039" t="str">
        <f>IF(G$3&lt;=time,G19*(1+Economics!$B$4)^(G$3-$B$3)/((1+Economics!$B$3)^(G$3-$B$3)),"")</f>
        <v/>
      </c>
      <c r="H83" s="1039" t="str">
        <f>IF(H$3&lt;=time,H19*(1+Economics!$B$4)^(H$3-$B$3)/((1+Economics!$B$3)^(H$3-$B$3)),"")</f>
        <v/>
      </c>
      <c r="I83" s="1039" t="str">
        <f>IF(I$3&lt;=time,I19*(1+Economics!$B$4)^(I$3-$B$3)/((1+Economics!$B$3)^(I$3-$B$3)),"")</f>
        <v/>
      </c>
      <c r="J83" s="1039" t="str">
        <f>IF(J$3&lt;=time,J19*(1+Economics!$B$4)^(J$3-$B$3)/((1+Economics!$B$3)^(J$3-$B$3)),"")</f>
        <v/>
      </c>
      <c r="K83" s="1039" t="str">
        <f>IF(K$3&lt;=time,K19*(1+Economics!$B$4)^(K$3-$B$3)/((1+Economics!$B$3)^(K$3-$B$3)),"")</f>
        <v/>
      </c>
      <c r="L83" s="1039" t="str">
        <f>IF(L$3&lt;=time,L19*(1+Economics!$B$4)^(L$3-$B$3)/((1+Economics!$B$3)^(L$3-$B$3)),"")</f>
        <v/>
      </c>
      <c r="M83" s="1039" t="str">
        <f>IF(M$3&lt;=time,M19*(1+Economics!$B$4)^(M$3-$B$3)/((1+Economics!$B$3)^(M$3-$B$3)),"")</f>
        <v/>
      </c>
      <c r="N83" s="1039" t="str">
        <f>IF(N$3&lt;=time,N19*(1+Economics!$B$4)^(N$3-$B$3)/((1+Economics!$B$3)^(N$3-$B$3)),"")</f>
        <v/>
      </c>
      <c r="O83" s="1039" t="str">
        <f>IF(O$3&lt;=time,O19*(1+Economics!$B$4)^(O$3-$B$3)/((1+Economics!$B$3)^(O$3-$B$3)),"")</f>
        <v/>
      </c>
      <c r="P83" s="1039" t="str">
        <f>IF(P$3&lt;=time,P19*(1+Economics!$B$4)^(P$3-$B$3)/((1+Economics!$B$3)^(P$3-$B$3)),"")</f>
        <v/>
      </c>
      <c r="Q83" s="1039" t="str">
        <f>IF(Q$3&lt;=time,Q19*(1+Economics!$B$4)^(Q$3-$B$3)/((1+Economics!$B$3)^(Q$3-$B$3)),"")</f>
        <v/>
      </c>
      <c r="R83" s="1039" t="str">
        <f>IF(R$3&lt;=time,R19*(1+Economics!$B$4)^(R$3-$B$3)/((1+Economics!$B$3)^(R$3-$B$3)),"")</f>
        <v/>
      </c>
      <c r="S83" s="1039" t="str">
        <f>IF(S$3&lt;=time,S19*(1+Economics!$B$4)^(S$3-$B$3)/((1+Economics!$B$3)^(S$3-$B$3)),"")</f>
        <v/>
      </c>
      <c r="T83" s="1039" t="str">
        <f>IF(T$3&lt;=time,T19*(1+Economics!$B$4)^(T$3-$B$3)/((1+Economics!$B$3)^(T$3-$B$3)),"")</f>
        <v/>
      </c>
      <c r="U83" s="1039" t="str">
        <f>IF(U$3&lt;=time,U19*(1+Economics!$B$4)^(U$3-$B$3)/((1+Economics!$B$3)^(U$3-$B$3)),"")</f>
        <v/>
      </c>
      <c r="V83" s="1039" t="str">
        <f>IF(V$3&lt;=time,V19*(1+Economics!$B$4)^(V$3-$B$3)/((1+Economics!$B$3)^(V$3-$B$3)),"")</f>
        <v/>
      </c>
      <c r="W83" s="1039" t="str">
        <f>IF(W$3&lt;=time,W19*(1+Economics!$B$4)^(W$3-$B$3)/((1+Economics!$B$3)^(W$3-$B$3)),"")</f>
        <v/>
      </c>
      <c r="X83" s="1039" t="str">
        <f>IF(X$3&lt;=time,X19*(1+Economics!$B$4)^(X$3-$B$3)/((1+Economics!$B$3)^(X$3-$B$3)),"")</f>
        <v/>
      </c>
      <c r="Y83" s="1039" t="str">
        <f>IF(Y$3&lt;=time,Y19*(1+Economics!$B$4)^(Y$3-$B$3)/((1+Economics!$B$3)^(Y$3-$B$3)),"")</f>
        <v/>
      </c>
      <c r="Z83" s="1039" t="str">
        <f>IF(Z$3&lt;=time,Z19*(1+Economics!$B$4)^(Z$3-$B$3)/((1+Economics!$B$3)^(Z$3-$B$3)),"")</f>
        <v/>
      </c>
      <c r="AA83" s="1022">
        <f t="array" ref="AA83">(SUM( IF(ISERROR(B83:Z83),"", B83:Z83)))</f>
        <v>0</v>
      </c>
      <c r="AB83" s="1023">
        <f t="shared" si="5"/>
        <v>0</v>
      </c>
    </row>
    <row r="84" spans="1:28" ht="16" thickBot="1">
      <c r="A84" s="113" t="s">
        <v>552</v>
      </c>
      <c r="B84" s="1040">
        <f>IF(B$3&lt;=time,B20*(1+Economics!$B$4)^(B$3-$B$3)/((1+Economics!$B$3)^(B$3-$B$3)),"")</f>
        <v>0</v>
      </c>
      <c r="C84" s="1040">
        <f>IF(C$3&lt;=time,C20*(1+Economics!$B$4)^(C$3-$B$3)/((1+Economics!$B$3)^(C$3-$B$3)),"")</f>
        <v>0</v>
      </c>
      <c r="D84" s="1040">
        <f>IF(D$3&lt;=time,D20*(1+Economics!$B$4)^(D$3-$B$3)/((1+Economics!$B$3)^(D$3-$B$3)),"")</f>
        <v>0</v>
      </c>
      <c r="E84" s="1040">
        <f>IF(E$3&lt;=time,E20*(1+Economics!$B$4)^(E$3-$B$3)/((1+Economics!$B$3)^(E$3-$B$3)),"")</f>
        <v>0</v>
      </c>
      <c r="F84" s="1040">
        <f>IF(F$3&lt;=time,F20*(1+Economics!$B$4)^(F$3-$B$3)/((1+Economics!$B$3)^(F$3-$B$3)),"")</f>
        <v>0</v>
      </c>
      <c r="G84" s="1040" t="str">
        <f>IF(G$3&lt;=time,G20*(1+Economics!$B$4)^(G$3-$B$3)/((1+Economics!$B$3)^(G$3-$B$3)),"")</f>
        <v/>
      </c>
      <c r="H84" s="1040" t="str">
        <f>IF(H$3&lt;=time,H20*(1+Economics!$B$4)^(H$3-$B$3)/((1+Economics!$B$3)^(H$3-$B$3)),"")</f>
        <v/>
      </c>
      <c r="I84" s="1040" t="str">
        <f>IF(I$3&lt;=time,I20*(1+Economics!$B$4)^(I$3-$B$3)/((1+Economics!$B$3)^(I$3-$B$3)),"")</f>
        <v/>
      </c>
      <c r="J84" s="1040" t="str">
        <f>IF(J$3&lt;=time,J20*(1+Economics!$B$4)^(J$3-$B$3)/((1+Economics!$B$3)^(J$3-$B$3)),"")</f>
        <v/>
      </c>
      <c r="K84" s="1040" t="str">
        <f>IF(K$3&lt;=time,K20*(1+Economics!$B$4)^(K$3-$B$3)/((1+Economics!$B$3)^(K$3-$B$3)),"")</f>
        <v/>
      </c>
      <c r="L84" s="1040" t="str">
        <f>IF(L$3&lt;=time,L20*(1+Economics!$B$4)^(L$3-$B$3)/((1+Economics!$B$3)^(L$3-$B$3)),"")</f>
        <v/>
      </c>
      <c r="M84" s="1040" t="str">
        <f>IF(M$3&lt;=time,M20*(1+Economics!$B$4)^(M$3-$B$3)/((1+Economics!$B$3)^(M$3-$B$3)),"")</f>
        <v/>
      </c>
      <c r="N84" s="1040" t="str">
        <f>IF(N$3&lt;=time,N20*(1+Economics!$B$4)^(N$3-$B$3)/((1+Economics!$B$3)^(N$3-$B$3)),"")</f>
        <v/>
      </c>
      <c r="O84" s="1040" t="str">
        <f>IF(O$3&lt;=time,O20*(1+Economics!$B$4)^(O$3-$B$3)/((1+Economics!$B$3)^(O$3-$B$3)),"")</f>
        <v/>
      </c>
      <c r="P84" s="1040" t="str">
        <f>IF(P$3&lt;=time,P20*(1+Economics!$B$4)^(P$3-$B$3)/((1+Economics!$B$3)^(P$3-$B$3)),"")</f>
        <v/>
      </c>
      <c r="Q84" s="1040" t="str">
        <f>IF(Q$3&lt;=time,Q20*(1+Economics!$B$4)^(Q$3-$B$3)/((1+Economics!$B$3)^(Q$3-$B$3)),"")</f>
        <v/>
      </c>
      <c r="R84" s="1040" t="str">
        <f>IF(R$3&lt;=time,R20*(1+Economics!$B$4)^(R$3-$B$3)/((1+Economics!$B$3)^(R$3-$B$3)),"")</f>
        <v/>
      </c>
      <c r="S84" s="1040" t="str">
        <f>IF(S$3&lt;=time,S20*(1+Economics!$B$4)^(S$3-$B$3)/((1+Economics!$B$3)^(S$3-$B$3)),"")</f>
        <v/>
      </c>
      <c r="T84" s="1040" t="str">
        <f>IF(T$3&lt;=time,T20*(1+Economics!$B$4)^(T$3-$B$3)/((1+Economics!$B$3)^(T$3-$B$3)),"")</f>
        <v/>
      </c>
      <c r="U84" s="1040" t="str">
        <f>IF(U$3&lt;=time,U20*(1+Economics!$B$4)^(U$3-$B$3)/((1+Economics!$B$3)^(U$3-$B$3)),"")</f>
        <v/>
      </c>
      <c r="V84" s="1040" t="str">
        <f>IF(V$3&lt;=time,V20*(1+Economics!$B$4)^(V$3-$B$3)/((1+Economics!$B$3)^(V$3-$B$3)),"")</f>
        <v/>
      </c>
      <c r="W84" s="1040" t="str">
        <f>IF(W$3&lt;=time,W20*(1+Economics!$B$4)^(W$3-$B$3)/((1+Economics!$B$3)^(W$3-$B$3)),"")</f>
        <v/>
      </c>
      <c r="X84" s="1040" t="str">
        <f>IF(X$3&lt;=time,X20*(1+Economics!$B$4)^(X$3-$B$3)/((1+Economics!$B$3)^(X$3-$B$3)),"")</f>
        <v/>
      </c>
      <c r="Y84" s="1040" t="str">
        <f>IF(Y$3&lt;=time,Y20*(1+Economics!$B$4)^(Y$3-$B$3)/((1+Economics!$B$3)^(Y$3-$B$3)),"")</f>
        <v/>
      </c>
      <c r="Z84" s="1040" t="str">
        <f>IF(Z$3&lt;=time,Z20*(1+Economics!$B$4)^(Z$3-$B$3)/((1+Economics!$B$3)^(Z$3-$B$3)),"")</f>
        <v/>
      </c>
      <c r="AA84" s="1026">
        <f t="array" ref="AA84">(SUM( IF(ISERROR(B84:Z84),"", B84:Z84)))</f>
        <v>0</v>
      </c>
      <c r="AB84" s="1027">
        <f t="shared" si="5"/>
        <v>0</v>
      </c>
    </row>
    <row r="85" spans="1:28" ht="31.5" thickBot="1">
      <c r="A85" s="984" t="s">
        <v>425</v>
      </c>
      <c r="B85" s="1032">
        <f>IF(B$3&lt;=time,B21*(1+Economics!$B$4)^(B$3-$B$3)/((1+Economics!$B$3)^(B$3-$B$3)),"")</f>
        <v>0</v>
      </c>
      <c r="C85" s="1032">
        <f>IF(C$3&lt;=time,C21*(1+Economics!$B$4)^(C$3-$B$3)/((1+Economics!$B$3)^(C$3-$B$3)),"")</f>
        <v>3167.3224205677502</v>
      </c>
      <c r="D85" s="1032">
        <f>IF(D$3&lt;=time,D21*(1+Economics!$B$4)^(D$3-$B$3)/((1+Economics!$B$3)^(D$3-$B$3)),"")</f>
        <v>0</v>
      </c>
      <c r="E85" s="1032">
        <f>IF(E$3&lt;=time,E21*(1+Economics!$B$4)^(E$3-$B$3)/((1+Economics!$B$3)^(E$3-$B$3)),"")</f>
        <v>0</v>
      </c>
      <c r="F85" s="1032">
        <f>IF(F$3&lt;=time,F21*(1+Economics!$B$4)^(F$3-$B$3)/((1+Economics!$B$3)^(F$3-$B$3)),"")</f>
        <v>0</v>
      </c>
      <c r="G85" s="1032" t="str">
        <f>IF(G$3&lt;=time,G21*(1+Economics!$B$4)^(G$3-$B$3)/((1+Economics!$B$3)^(G$3-$B$3)),"")</f>
        <v/>
      </c>
      <c r="H85" s="1032" t="str">
        <f>IF(H$3&lt;=time,H21*(1+Economics!$B$4)^(H$3-$B$3)/((1+Economics!$B$3)^(H$3-$B$3)),"")</f>
        <v/>
      </c>
      <c r="I85" s="1032" t="str">
        <f>IF(I$3&lt;=time,I21*(1+Economics!$B$4)^(I$3-$B$3)/((1+Economics!$B$3)^(I$3-$B$3)),"")</f>
        <v/>
      </c>
      <c r="J85" s="1032" t="str">
        <f>IF(J$3&lt;=time,J21*(1+Economics!$B$4)^(J$3-$B$3)/((1+Economics!$B$3)^(J$3-$B$3)),"")</f>
        <v/>
      </c>
      <c r="K85" s="1032" t="str">
        <f>IF(K$3&lt;=time,K21*(1+Economics!$B$4)^(K$3-$B$3)/((1+Economics!$B$3)^(K$3-$B$3)),"")</f>
        <v/>
      </c>
      <c r="L85" s="1032" t="str">
        <f>IF(L$3&lt;=time,L21*(1+Economics!$B$4)^(L$3-$B$3)/((1+Economics!$B$3)^(L$3-$B$3)),"")</f>
        <v/>
      </c>
      <c r="M85" s="1032" t="str">
        <f>IF(M$3&lt;=time,M21*(1+Economics!$B$4)^(M$3-$B$3)/((1+Economics!$B$3)^(M$3-$B$3)),"")</f>
        <v/>
      </c>
      <c r="N85" s="1032" t="str">
        <f>IF(N$3&lt;=time,N21*(1+Economics!$B$4)^(N$3-$B$3)/((1+Economics!$B$3)^(N$3-$B$3)),"")</f>
        <v/>
      </c>
      <c r="O85" s="1032" t="str">
        <f>IF(O$3&lt;=time,O21*(1+Economics!$B$4)^(O$3-$B$3)/((1+Economics!$B$3)^(O$3-$B$3)),"")</f>
        <v/>
      </c>
      <c r="P85" s="1032" t="str">
        <f>IF(P$3&lt;=time,P21*(1+Economics!$B$4)^(P$3-$B$3)/((1+Economics!$B$3)^(P$3-$B$3)),"")</f>
        <v/>
      </c>
      <c r="Q85" s="1032" t="str">
        <f>IF(Q$3&lt;=time,Q21*(1+Economics!$B$4)^(Q$3-$B$3)/((1+Economics!$B$3)^(Q$3-$B$3)),"")</f>
        <v/>
      </c>
      <c r="R85" s="1032" t="str">
        <f>IF(R$3&lt;=time,R21*(1+Economics!$B$4)^(R$3-$B$3)/((1+Economics!$B$3)^(R$3-$B$3)),"")</f>
        <v/>
      </c>
      <c r="S85" s="1032" t="str">
        <f>IF(S$3&lt;=time,S21*(1+Economics!$B$4)^(S$3-$B$3)/((1+Economics!$B$3)^(S$3-$B$3)),"")</f>
        <v/>
      </c>
      <c r="T85" s="1032" t="str">
        <f>IF(T$3&lt;=time,T21*(1+Economics!$B$4)^(T$3-$B$3)/((1+Economics!$B$3)^(T$3-$B$3)),"")</f>
        <v/>
      </c>
      <c r="U85" s="1032" t="str">
        <f>IF(U$3&lt;=time,U21*(1+Economics!$B$4)^(U$3-$B$3)/((1+Economics!$B$3)^(U$3-$B$3)),"")</f>
        <v/>
      </c>
      <c r="V85" s="1032" t="str">
        <f>IF(V$3&lt;=time,V21*(1+Economics!$B$4)^(V$3-$B$3)/((1+Economics!$B$3)^(V$3-$B$3)),"")</f>
        <v/>
      </c>
      <c r="W85" s="1032" t="str">
        <f>IF(W$3&lt;=time,W21*(1+Economics!$B$4)^(W$3-$B$3)/((1+Economics!$B$3)^(W$3-$B$3)),"")</f>
        <v/>
      </c>
      <c r="X85" s="1032" t="str">
        <f>IF(X$3&lt;=time,X21*(1+Economics!$B$4)^(X$3-$B$3)/((1+Economics!$B$3)^(X$3-$B$3)),"")</f>
        <v/>
      </c>
      <c r="Y85" s="1032" t="str">
        <f>IF(Y$3&lt;=time,Y21*(1+Economics!$B$4)^(Y$3-$B$3)/((1+Economics!$B$3)^(Y$3-$B$3)),"")</f>
        <v/>
      </c>
      <c r="Z85" s="1032" t="str">
        <f>IF(Z$3&lt;=time,Z21*(1+Economics!$B$4)^(Z$3-$B$3)/((1+Economics!$B$3)^(Z$3-$B$3)),"")</f>
        <v/>
      </c>
      <c r="AA85" s="1030">
        <f t="array" ref="AA85">(SUM( IF(ISERROR(B85:Z85),"", B85:Z85)))</f>
        <v>3167.3224205677502</v>
      </c>
      <c r="AB85" s="1031">
        <f t="shared" ref="AB85:AB102" si="6">AA85/time</f>
        <v>633.46448411355004</v>
      </c>
    </row>
    <row r="86" spans="1:28" ht="31">
      <c r="A86" s="434" t="s">
        <v>563</v>
      </c>
      <c r="B86" s="671"/>
      <c r="C86" s="671"/>
      <c r="D86" s="671"/>
      <c r="E86" s="671"/>
      <c r="F86" s="671"/>
      <c r="G86" s="671"/>
      <c r="H86" s="671"/>
      <c r="I86" s="671"/>
      <c r="J86" s="671"/>
      <c r="K86" s="671"/>
      <c r="L86" s="671"/>
      <c r="M86" s="671"/>
      <c r="N86" s="671"/>
      <c r="O86" s="671"/>
      <c r="P86" s="671"/>
      <c r="Q86" s="671"/>
      <c r="R86" s="671"/>
      <c r="S86" s="671"/>
      <c r="T86" s="671"/>
      <c r="U86" s="671"/>
      <c r="V86" s="671"/>
      <c r="W86" s="671"/>
      <c r="X86" s="671"/>
      <c r="Y86" s="671"/>
      <c r="Z86" s="671"/>
      <c r="AA86" s="657"/>
      <c r="AB86" s="658"/>
    </row>
    <row r="87" spans="1:28">
      <c r="A87" s="113" t="s">
        <v>555</v>
      </c>
      <c r="B87" s="1039">
        <f>IF(B$3&lt;=time,B23*(1+Economics!$B$4)^(B$3-$B$3)/((1+Economics!$B$3)^(B$3-$B$3)),"")</f>
        <v>0</v>
      </c>
      <c r="C87" s="1039">
        <f>IF(C$3&lt;=time,C23*(1+Economics!$B$4)^(C$3-$B$3)/((1+Economics!$B$3)^(C$3-$B$3)),"")</f>
        <v>226.34006605389877</v>
      </c>
      <c r="D87" s="1039">
        <f>IF(D$3&lt;=time,D23*(1+Economics!$B$4)^(D$3-$B$3)/((1+Economics!$B$3)^(D$3-$B$3)),"")</f>
        <v>0</v>
      </c>
      <c r="E87" s="1039">
        <f>IF(E$3&lt;=time,E23*(1+Economics!$B$4)^(E$3-$B$3)/((1+Economics!$B$3)^(E$3-$B$3)),"")</f>
        <v>0</v>
      </c>
      <c r="F87" s="1039">
        <f>IF(F$3&lt;=time,F23*(1+Economics!$B$4)^(F$3-$B$3)/((1+Economics!$B$3)^(F$3-$B$3)),"")</f>
        <v>0</v>
      </c>
      <c r="G87" s="1039" t="str">
        <f>IF(G$3&lt;=time,G23*(1+Economics!$B$4)^(G$3-$B$3)/((1+Economics!$B$3)^(G$3-$B$3)),"")</f>
        <v/>
      </c>
      <c r="H87" s="1039" t="str">
        <f>IF(H$3&lt;=time,H23*(1+Economics!$B$4)^(H$3-$B$3)/((1+Economics!$B$3)^(H$3-$B$3)),"")</f>
        <v/>
      </c>
      <c r="I87" s="1039" t="str">
        <f>IF(I$3&lt;=time,I23*(1+Economics!$B$4)^(I$3-$B$3)/((1+Economics!$B$3)^(I$3-$B$3)),"")</f>
        <v/>
      </c>
      <c r="J87" s="1039" t="str">
        <f>IF(J$3&lt;=time,J23*(1+Economics!$B$4)^(J$3-$B$3)/((1+Economics!$B$3)^(J$3-$B$3)),"")</f>
        <v/>
      </c>
      <c r="K87" s="1039" t="str">
        <f>IF(K$3&lt;=time,K23*(1+Economics!$B$4)^(K$3-$B$3)/((1+Economics!$B$3)^(K$3-$B$3)),"")</f>
        <v/>
      </c>
      <c r="L87" s="1039" t="str">
        <f>IF(L$3&lt;=time,L23*(1+Economics!$B$4)^(L$3-$B$3)/((1+Economics!$B$3)^(L$3-$B$3)),"")</f>
        <v/>
      </c>
      <c r="M87" s="1039" t="str">
        <f>IF(M$3&lt;=time,M23*(1+Economics!$B$4)^(M$3-$B$3)/((1+Economics!$B$3)^(M$3-$B$3)),"")</f>
        <v/>
      </c>
      <c r="N87" s="1039" t="str">
        <f>IF(N$3&lt;=time,N23*(1+Economics!$B$4)^(N$3-$B$3)/((1+Economics!$B$3)^(N$3-$B$3)),"")</f>
        <v/>
      </c>
      <c r="O87" s="1039" t="str">
        <f>IF(O$3&lt;=time,O23*(1+Economics!$B$4)^(O$3-$B$3)/((1+Economics!$B$3)^(O$3-$B$3)),"")</f>
        <v/>
      </c>
      <c r="P87" s="1039" t="str">
        <f>IF(P$3&lt;=time,P23*(1+Economics!$B$4)^(P$3-$B$3)/((1+Economics!$B$3)^(P$3-$B$3)),"")</f>
        <v/>
      </c>
      <c r="Q87" s="1039" t="str">
        <f>IF(Q$3&lt;=time,Q23*(1+Economics!$B$4)^(Q$3-$B$3)/((1+Economics!$B$3)^(Q$3-$B$3)),"")</f>
        <v/>
      </c>
      <c r="R87" s="1039" t="str">
        <f>IF(R$3&lt;=time,R23*(1+Economics!$B$4)^(R$3-$B$3)/((1+Economics!$B$3)^(R$3-$B$3)),"")</f>
        <v/>
      </c>
      <c r="S87" s="1039" t="str">
        <f>IF(S$3&lt;=time,S23*(1+Economics!$B$4)^(S$3-$B$3)/((1+Economics!$B$3)^(S$3-$B$3)),"")</f>
        <v/>
      </c>
      <c r="T87" s="1039" t="str">
        <f>IF(T$3&lt;=time,T23*(1+Economics!$B$4)^(T$3-$B$3)/((1+Economics!$B$3)^(T$3-$B$3)),"")</f>
        <v/>
      </c>
      <c r="U87" s="1039" t="str">
        <f>IF(U$3&lt;=time,U23*(1+Economics!$B$4)^(U$3-$B$3)/((1+Economics!$B$3)^(U$3-$B$3)),"")</f>
        <v/>
      </c>
      <c r="V87" s="1039" t="str">
        <f>IF(V$3&lt;=time,V23*(1+Economics!$B$4)^(V$3-$B$3)/((1+Economics!$B$3)^(V$3-$B$3)),"")</f>
        <v/>
      </c>
      <c r="W87" s="1039" t="str">
        <f>IF(W$3&lt;=time,W23*(1+Economics!$B$4)^(W$3-$B$3)/((1+Economics!$B$3)^(W$3-$B$3)),"")</f>
        <v/>
      </c>
      <c r="X87" s="1039" t="str">
        <f>IF(X$3&lt;=time,X23*(1+Economics!$B$4)^(X$3-$B$3)/((1+Economics!$B$3)^(X$3-$B$3)),"")</f>
        <v/>
      </c>
      <c r="Y87" s="1039" t="str">
        <f>IF(Y$3&lt;=time,Y23*(1+Economics!$B$4)^(Y$3-$B$3)/((1+Economics!$B$3)^(Y$3-$B$3)),"")</f>
        <v/>
      </c>
      <c r="Z87" s="1039" t="str">
        <f>IF(Z$3&lt;=time,Z23*(1+Economics!$B$4)^(Z$3-$B$3)/((1+Economics!$B$3)^(Z$3-$B$3)),"")</f>
        <v/>
      </c>
      <c r="AA87" s="1022">
        <f t="array" ref="AA87">(SUM( IF(ISERROR(B87:Z87),"", B87:Z87)))</f>
        <v>226.34006605389877</v>
      </c>
      <c r="AB87" s="1023">
        <f t="shared" si="6"/>
        <v>45.268013210779756</v>
      </c>
    </row>
    <row r="88" spans="1:28">
      <c r="A88" s="113" t="s">
        <v>556</v>
      </c>
      <c r="B88" s="1039">
        <f>IF(B$3&lt;=time,B24*(1+Economics!$B$4)^(B$3-$B$3)/((1+Economics!$B$3)^(B$3-$B$3)),"")</f>
        <v>0</v>
      </c>
      <c r="C88" s="1039">
        <f>IF(C$3&lt;=time,C24*(1+Economics!$B$4)^(C$3-$B$3)/((1+Economics!$B$3)^(C$3-$B$3)),"")</f>
        <v>548.90262106473926</v>
      </c>
      <c r="D88" s="1039">
        <f>IF(D$3&lt;=time,D24*(1+Economics!$B$4)^(D$3-$B$3)/((1+Economics!$B$3)^(D$3-$B$3)),"")</f>
        <v>0</v>
      </c>
      <c r="E88" s="1039">
        <f>IF(E$3&lt;=time,E24*(1+Economics!$B$4)^(E$3-$B$3)/((1+Economics!$B$3)^(E$3-$B$3)),"")</f>
        <v>0</v>
      </c>
      <c r="F88" s="1039">
        <f>IF(F$3&lt;=time,F24*(1+Economics!$B$4)^(F$3-$B$3)/((1+Economics!$B$3)^(F$3-$B$3)),"")</f>
        <v>0</v>
      </c>
      <c r="G88" s="1039" t="str">
        <f>IF(G$3&lt;=time,G24*(1+Economics!$B$4)^(G$3-$B$3)/((1+Economics!$B$3)^(G$3-$B$3)),"")</f>
        <v/>
      </c>
      <c r="H88" s="1039" t="str">
        <f>IF(H$3&lt;=time,H24*(1+Economics!$B$4)^(H$3-$B$3)/((1+Economics!$B$3)^(H$3-$B$3)),"")</f>
        <v/>
      </c>
      <c r="I88" s="1039" t="str">
        <f>IF(I$3&lt;=time,I24*(1+Economics!$B$4)^(I$3-$B$3)/((1+Economics!$B$3)^(I$3-$B$3)),"")</f>
        <v/>
      </c>
      <c r="J88" s="1039" t="str">
        <f>IF(J$3&lt;=time,J24*(1+Economics!$B$4)^(J$3-$B$3)/((1+Economics!$B$3)^(J$3-$B$3)),"")</f>
        <v/>
      </c>
      <c r="K88" s="1039" t="str">
        <f>IF(K$3&lt;=time,K24*(1+Economics!$B$4)^(K$3-$B$3)/((1+Economics!$B$3)^(K$3-$B$3)),"")</f>
        <v/>
      </c>
      <c r="L88" s="1039" t="str">
        <f>IF(L$3&lt;=time,L24*(1+Economics!$B$4)^(L$3-$B$3)/((1+Economics!$B$3)^(L$3-$B$3)),"")</f>
        <v/>
      </c>
      <c r="M88" s="1039" t="str">
        <f>IF(M$3&lt;=time,M24*(1+Economics!$B$4)^(M$3-$B$3)/((1+Economics!$B$3)^(M$3-$B$3)),"")</f>
        <v/>
      </c>
      <c r="N88" s="1039" t="str">
        <f>IF(N$3&lt;=time,N24*(1+Economics!$B$4)^(N$3-$B$3)/((1+Economics!$B$3)^(N$3-$B$3)),"")</f>
        <v/>
      </c>
      <c r="O88" s="1039" t="str">
        <f>IF(O$3&lt;=time,O24*(1+Economics!$B$4)^(O$3-$B$3)/((1+Economics!$B$3)^(O$3-$B$3)),"")</f>
        <v/>
      </c>
      <c r="P88" s="1039" t="str">
        <f>IF(P$3&lt;=time,P24*(1+Economics!$B$4)^(P$3-$B$3)/((1+Economics!$B$3)^(P$3-$B$3)),"")</f>
        <v/>
      </c>
      <c r="Q88" s="1039" t="str">
        <f>IF(Q$3&lt;=time,Q24*(1+Economics!$B$4)^(Q$3-$B$3)/((1+Economics!$B$3)^(Q$3-$B$3)),"")</f>
        <v/>
      </c>
      <c r="R88" s="1039" t="str">
        <f>IF(R$3&lt;=time,R24*(1+Economics!$B$4)^(R$3-$B$3)/((1+Economics!$B$3)^(R$3-$B$3)),"")</f>
        <v/>
      </c>
      <c r="S88" s="1039" t="str">
        <f>IF(S$3&lt;=time,S24*(1+Economics!$B$4)^(S$3-$B$3)/((1+Economics!$B$3)^(S$3-$B$3)),"")</f>
        <v/>
      </c>
      <c r="T88" s="1039" t="str">
        <f>IF(T$3&lt;=time,T24*(1+Economics!$B$4)^(T$3-$B$3)/((1+Economics!$B$3)^(T$3-$B$3)),"")</f>
        <v/>
      </c>
      <c r="U88" s="1039" t="str">
        <f>IF(U$3&lt;=time,U24*(1+Economics!$B$4)^(U$3-$B$3)/((1+Economics!$B$3)^(U$3-$B$3)),"")</f>
        <v/>
      </c>
      <c r="V88" s="1039" t="str">
        <f>IF(V$3&lt;=time,V24*(1+Economics!$B$4)^(V$3-$B$3)/((1+Economics!$B$3)^(V$3-$B$3)),"")</f>
        <v/>
      </c>
      <c r="W88" s="1039" t="str">
        <f>IF(W$3&lt;=time,W24*(1+Economics!$B$4)^(W$3-$B$3)/((1+Economics!$B$3)^(W$3-$B$3)),"")</f>
        <v/>
      </c>
      <c r="X88" s="1039" t="str">
        <f>IF(X$3&lt;=time,X24*(1+Economics!$B$4)^(X$3-$B$3)/((1+Economics!$B$3)^(X$3-$B$3)),"")</f>
        <v/>
      </c>
      <c r="Y88" s="1039" t="str">
        <f>IF(Y$3&lt;=time,Y24*(1+Economics!$B$4)^(Y$3-$B$3)/((1+Economics!$B$3)^(Y$3-$B$3)),"")</f>
        <v/>
      </c>
      <c r="Z88" s="1039" t="str">
        <f>IF(Z$3&lt;=time,Z24*(1+Economics!$B$4)^(Z$3-$B$3)/((1+Economics!$B$3)^(Z$3-$B$3)),"")</f>
        <v/>
      </c>
      <c r="AA88" s="1022">
        <f t="array" ref="AA88">(SUM( IF(ISERROR(B88:Z88),"", B88:Z88)))</f>
        <v>548.90262106473926</v>
      </c>
      <c r="AB88" s="1023">
        <f t="shared" si="6"/>
        <v>109.78052421294785</v>
      </c>
    </row>
    <row r="89" spans="1:28">
      <c r="A89" s="113" t="s">
        <v>557</v>
      </c>
      <c r="B89" s="1039">
        <f>IF(B$3&lt;=time,B25*(1+Economics!$B$4)^(B$3-$B$3)/((1+Economics!$B$3)^(B$3-$B$3)),"")</f>
        <v>0</v>
      </c>
      <c r="C89" s="1039">
        <f>IF(C$3&lt;=time,C25*(1+Economics!$B$4)^(C$3-$B$3)/((1+Economics!$B$3)^(C$3-$B$3)),"")</f>
        <v>2.4780379182009842</v>
      </c>
      <c r="D89" s="1039">
        <f>IF(D$3&lt;=time,D25*(1+Economics!$B$4)^(D$3-$B$3)/((1+Economics!$B$3)^(D$3-$B$3)),"")</f>
        <v>0</v>
      </c>
      <c r="E89" s="1039">
        <f>IF(E$3&lt;=time,E25*(1+Economics!$B$4)^(E$3-$B$3)/((1+Economics!$B$3)^(E$3-$B$3)),"")</f>
        <v>0</v>
      </c>
      <c r="F89" s="1039">
        <f>IF(F$3&lt;=time,F25*(1+Economics!$B$4)^(F$3-$B$3)/((1+Economics!$B$3)^(F$3-$B$3)),"")</f>
        <v>0</v>
      </c>
      <c r="G89" s="1039" t="str">
        <f>IF(G$3&lt;=time,G25*(1+Economics!$B$4)^(G$3-$B$3)/((1+Economics!$B$3)^(G$3-$B$3)),"")</f>
        <v/>
      </c>
      <c r="H89" s="1039" t="str">
        <f>IF(H$3&lt;=time,H25*(1+Economics!$B$4)^(H$3-$B$3)/((1+Economics!$B$3)^(H$3-$B$3)),"")</f>
        <v/>
      </c>
      <c r="I89" s="1039" t="str">
        <f>IF(I$3&lt;=time,I25*(1+Economics!$B$4)^(I$3-$B$3)/((1+Economics!$B$3)^(I$3-$B$3)),"")</f>
        <v/>
      </c>
      <c r="J89" s="1039" t="str">
        <f>IF(J$3&lt;=time,J25*(1+Economics!$B$4)^(J$3-$B$3)/((1+Economics!$B$3)^(J$3-$B$3)),"")</f>
        <v/>
      </c>
      <c r="K89" s="1039" t="str">
        <f>IF(K$3&lt;=time,K25*(1+Economics!$B$4)^(K$3-$B$3)/((1+Economics!$B$3)^(K$3-$B$3)),"")</f>
        <v/>
      </c>
      <c r="L89" s="1039" t="str">
        <f>IF(L$3&lt;=time,L25*(1+Economics!$B$4)^(L$3-$B$3)/((1+Economics!$B$3)^(L$3-$B$3)),"")</f>
        <v/>
      </c>
      <c r="M89" s="1039" t="str">
        <f>IF(M$3&lt;=time,M25*(1+Economics!$B$4)^(M$3-$B$3)/((1+Economics!$B$3)^(M$3-$B$3)),"")</f>
        <v/>
      </c>
      <c r="N89" s="1039" t="str">
        <f>IF(N$3&lt;=time,N25*(1+Economics!$B$4)^(N$3-$B$3)/((1+Economics!$B$3)^(N$3-$B$3)),"")</f>
        <v/>
      </c>
      <c r="O89" s="1039" t="str">
        <f>IF(O$3&lt;=time,O25*(1+Economics!$B$4)^(O$3-$B$3)/((1+Economics!$B$3)^(O$3-$B$3)),"")</f>
        <v/>
      </c>
      <c r="P89" s="1039" t="str">
        <f>IF(P$3&lt;=time,P25*(1+Economics!$B$4)^(P$3-$B$3)/((1+Economics!$B$3)^(P$3-$B$3)),"")</f>
        <v/>
      </c>
      <c r="Q89" s="1039" t="str">
        <f>IF(Q$3&lt;=time,Q25*(1+Economics!$B$4)^(Q$3-$B$3)/((1+Economics!$B$3)^(Q$3-$B$3)),"")</f>
        <v/>
      </c>
      <c r="R89" s="1039" t="str">
        <f>IF(R$3&lt;=time,R25*(1+Economics!$B$4)^(R$3-$B$3)/((1+Economics!$B$3)^(R$3-$B$3)),"")</f>
        <v/>
      </c>
      <c r="S89" s="1039" t="str">
        <f>IF(S$3&lt;=time,S25*(1+Economics!$B$4)^(S$3-$B$3)/((1+Economics!$B$3)^(S$3-$B$3)),"")</f>
        <v/>
      </c>
      <c r="T89" s="1039" t="str">
        <f>IF(T$3&lt;=time,T25*(1+Economics!$B$4)^(T$3-$B$3)/((1+Economics!$B$3)^(T$3-$B$3)),"")</f>
        <v/>
      </c>
      <c r="U89" s="1039" t="str">
        <f>IF(U$3&lt;=time,U25*(1+Economics!$B$4)^(U$3-$B$3)/((1+Economics!$B$3)^(U$3-$B$3)),"")</f>
        <v/>
      </c>
      <c r="V89" s="1039" t="str">
        <f>IF(V$3&lt;=time,V25*(1+Economics!$B$4)^(V$3-$B$3)/((1+Economics!$B$3)^(V$3-$B$3)),"")</f>
        <v/>
      </c>
      <c r="W89" s="1039" t="str">
        <f>IF(W$3&lt;=time,W25*(1+Economics!$B$4)^(W$3-$B$3)/((1+Economics!$B$3)^(W$3-$B$3)),"")</f>
        <v/>
      </c>
      <c r="X89" s="1039" t="str">
        <f>IF(X$3&lt;=time,X25*(1+Economics!$B$4)^(X$3-$B$3)/((1+Economics!$B$3)^(X$3-$B$3)),"")</f>
        <v/>
      </c>
      <c r="Y89" s="1039" t="str">
        <f>IF(Y$3&lt;=time,Y25*(1+Economics!$B$4)^(Y$3-$B$3)/((1+Economics!$B$3)^(Y$3-$B$3)),"")</f>
        <v/>
      </c>
      <c r="Z89" s="1039" t="str">
        <f>IF(Z$3&lt;=time,Z25*(1+Economics!$B$4)^(Z$3-$B$3)/((1+Economics!$B$3)^(Z$3-$B$3)),"")</f>
        <v/>
      </c>
      <c r="AA89" s="1022">
        <f t="array" ref="AA89">(SUM( IF(ISERROR(B89:Z89),"", B89:Z89)))</f>
        <v>2.4780379182009842</v>
      </c>
      <c r="AB89" s="1023">
        <f t="shared" si="6"/>
        <v>0.49560758364019686</v>
      </c>
    </row>
    <row r="90" spans="1:28">
      <c r="A90" s="113" t="s">
        <v>408</v>
      </c>
      <c r="B90" s="1039">
        <f>IF(B$3&lt;=time,B26*(1+Economics!$B$4)^(B$3-$B$3)/((1+Economics!$B$3)^(B$3-$B$3)),"")</f>
        <v>0</v>
      </c>
      <c r="C90" s="1039">
        <f>IF(C$3&lt;=time,C26*(1+Economics!$B$4)^(C$3-$B$3)/((1+Economics!$B$3)^(C$3-$B$3)),"")</f>
        <v>97.175981034425007</v>
      </c>
      <c r="D90" s="1039">
        <f>IF(D$3&lt;=time,D26*(1+Economics!$B$4)^(D$3-$B$3)/((1+Economics!$B$3)^(D$3-$B$3)),"")</f>
        <v>0</v>
      </c>
      <c r="E90" s="1039">
        <f>IF(E$3&lt;=time,E26*(1+Economics!$B$4)^(E$3-$B$3)/((1+Economics!$B$3)^(E$3-$B$3)),"")</f>
        <v>0</v>
      </c>
      <c r="F90" s="1039">
        <f>IF(F$3&lt;=time,F26*(1+Economics!$B$4)^(F$3-$B$3)/((1+Economics!$B$3)^(F$3-$B$3)),"")</f>
        <v>0</v>
      </c>
      <c r="G90" s="1039" t="str">
        <f>IF(G$3&lt;=time,G26*(1+Economics!$B$4)^(G$3-$B$3)/((1+Economics!$B$3)^(G$3-$B$3)),"")</f>
        <v/>
      </c>
      <c r="H90" s="1039" t="str">
        <f>IF(H$3&lt;=time,H26*(1+Economics!$B$4)^(H$3-$B$3)/((1+Economics!$B$3)^(H$3-$B$3)),"")</f>
        <v/>
      </c>
      <c r="I90" s="1039" t="str">
        <f>IF(I$3&lt;=time,I26*(1+Economics!$B$4)^(I$3-$B$3)/((1+Economics!$B$3)^(I$3-$B$3)),"")</f>
        <v/>
      </c>
      <c r="J90" s="1039" t="str">
        <f>IF(J$3&lt;=time,J26*(1+Economics!$B$4)^(J$3-$B$3)/((1+Economics!$B$3)^(J$3-$B$3)),"")</f>
        <v/>
      </c>
      <c r="K90" s="1039" t="str">
        <f>IF(K$3&lt;=time,K26*(1+Economics!$B$4)^(K$3-$B$3)/((1+Economics!$B$3)^(K$3-$B$3)),"")</f>
        <v/>
      </c>
      <c r="L90" s="1039" t="str">
        <f>IF(L$3&lt;=time,L26*(1+Economics!$B$4)^(L$3-$B$3)/((1+Economics!$B$3)^(L$3-$B$3)),"")</f>
        <v/>
      </c>
      <c r="M90" s="1039" t="str">
        <f>IF(M$3&lt;=time,M26*(1+Economics!$B$4)^(M$3-$B$3)/((1+Economics!$B$3)^(M$3-$B$3)),"")</f>
        <v/>
      </c>
      <c r="N90" s="1039" t="str">
        <f>IF(N$3&lt;=time,N26*(1+Economics!$B$4)^(N$3-$B$3)/((1+Economics!$B$3)^(N$3-$B$3)),"")</f>
        <v/>
      </c>
      <c r="O90" s="1039" t="str">
        <f>IF(O$3&lt;=time,O26*(1+Economics!$B$4)^(O$3-$B$3)/((1+Economics!$B$3)^(O$3-$B$3)),"")</f>
        <v/>
      </c>
      <c r="P90" s="1039" t="str">
        <f>IF(P$3&lt;=time,P26*(1+Economics!$B$4)^(P$3-$B$3)/((1+Economics!$B$3)^(P$3-$B$3)),"")</f>
        <v/>
      </c>
      <c r="Q90" s="1039" t="str">
        <f>IF(Q$3&lt;=time,Q26*(1+Economics!$B$4)^(Q$3-$B$3)/((1+Economics!$B$3)^(Q$3-$B$3)),"")</f>
        <v/>
      </c>
      <c r="R90" s="1039" t="str">
        <f>IF(R$3&lt;=time,R26*(1+Economics!$B$4)^(R$3-$B$3)/((1+Economics!$B$3)^(R$3-$B$3)),"")</f>
        <v/>
      </c>
      <c r="S90" s="1039" t="str">
        <f>IF(S$3&lt;=time,S26*(1+Economics!$B$4)^(S$3-$B$3)/((1+Economics!$B$3)^(S$3-$B$3)),"")</f>
        <v/>
      </c>
      <c r="T90" s="1039" t="str">
        <f>IF(T$3&lt;=time,T26*(1+Economics!$B$4)^(T$3-$B$3)/((1+Economics!$B$3)^(T$3-$B$3)),"")</f>
        <v/>
      </c>
      <c r="U90" s="1039" t="str">
        <f>IF(U$3&lt;=time,U26*(1+Economics!$B$4)^(U$3-$B$3)/((1+Economics!$B$3)^(U$3-$B$3)),"")</f>
        <v/>
      </c>
      <c r="V90" s="1039" t="str">
        <f>IF(V$3&lt;=time,V26*(1+Economics!$B$4)^(V$3-$B$3)/((1+Economics!$B$3)^(V$3-$B$3)),"")</f>
        <v/>
      </c>
      <c r="W90" s="1039" t="str">
        <f>IF(W$3&lt;=time,W26*(1+Economics!$B$4)^(W$3-$B$3)/((1+Economics!$B$3)^(W$3-$B$3)),"")</f>
        <v/>
      </c>
      <c r="X90" s="1039" t="str">
        <f>IF(X$3&lt;=time,X26*(1+Economics!$B$4)^(X$3-$B$3)/((1+Economics!$B$3)^(X$3-$B$3)),"")</f>
        <v/>
      </c>
      <c r="Y90" s="1039" t="str">
        <f>IF(Y$3&lt;=time,Y26*(1+Economics!$B$4)^(Y$3-$B$3)/((1+Economics!$B$3)^(Y$3-$B$3)),"")</f>
        <v/>
      </c>
      <c r="Z90" s="1039" t="str">
        <f>IF(Z$3&lt;=time,Z26*(1+Economics!$B$4)^(Z$3-$B$3)/((1+Economics!$B$3)^(Z$3-$B$3)),"")</f>
        <v/>
      </c>
      <c r="AA90" s="1022">
        <f t="array" ref="AA90">(SUM( IF(ISERROR(B90:Z90),"", B90:Z90)))</f>
        <v>97.175981034425007</v>
      </c>
      <c r="AB90" s="1023">
        <f t="shared" si="6"/>
        <v>19.435196206885003</v>
      </c>
    </row>
    <row r="91" spans="1:28" ht="31">
      <c r="A91" s="113" t="s">
        <v>409</v>
      </c>
      <c r="B91" s="1039">
        <f>IF(B$3&lt;=time,B27*(1+Economics!$B$4)^(B$3-$B$3)/((1+Economics!$B$3)^(B$3-$B$3)),"")</f>
        <v>0</v>
      </c>
      <c r="C91" s="1039">
        <f>IF(C$3&lt;=time,C27*(1+Economics!$B$4)^(C$3-$B$3)/((1+Economics!$B$3)^(C$3-$B$3)),"")</f>
        <v>38.123211656201001</v>
      </c>
      <c r="D91" s="1039">
        <f>IF(D$3&lt;=time,D27*(1+Economics!$B$4)^(D$3-$B$3)/((1+Economics!$B$3)^(D$3-$B$3)),"")</f>
        <v>0</v>
      </c>
      <c r="E91" s="1039">
        <f>IF(E$3&lt;=time,E27*(1+Economics!$B$4)^(E$3-$B$3)/((1+Economics!$B$3)^(E$3-$B$3)),"")</f>
        <v>0</v>
      </c>
      <c r="F91" s="1039">
        <f>IF(F$3&lt;=time,F27*(1+Economics!$B$4)^(F$3-$B$3)/((1+Economics!$B$3)^(F$3-$B$3)),"")</f>
        <v>0</v>
      </c>
      <c r="G91" s="1039" t="str">
        <f>IF(G$3&lt;=time,G27*(1+Economics!$B$4)^(G$3-$B$3)/((1+Economics!$B$3)^(G$3-$B$3)),"")</f>
        <v/>
      </c>
      <c r="H91" s="1039" t="str">
        <f>IF(H$3&lt;=time,H27*(1+Economics!$B$4)^(H$3-$B$3)/((1+Economics!$B$3)^(H$3-$B$3)),"")</f>
        <v/>
      </c>
      <c r="I91" s="1039" t="str">
        <f>IF(I$3&lt;=time,I27*(1+Economics!$B$4)^(I$3-$B$3)/((1+Economics!$B$3)^(I$3-$B$3)),"")</f>
        <v/>
      </c>
      <c r="J91" s="1039" t="str">
        <f>IF(J$3&lt;=time,J27*(1+Economics!$B$4)^(J$3-$B$3)/((1+Economics!$B$3)^(J$3-$B$3)),"")</f>
        <v/>
      </c>
      <c r="K91" s="1039" t="str">
        <f>IF(K$3&lt;=time,K27*(1+Economics!$B$4)^(K$3-$B$3)/((1+Economics!$B$3)^(K$3-$B$3)),"")</f>
        <v/>
      </c>
      <c r="L91" s="1039" t="str">
        <f>IF(L$3&lt;=time,L27*(1+Economics!$B$4)^(L$3-$B$3)/((1+Economics!$B$3)^(L$3-$B$3)),"")</f>
        <v/>
      </c>
      <c r="M91" s="1039" t="str">
        <f>IF(M$3&lt;=time,M27*(1+Economics!$B$4)^(M$3-$B$3)/((1+Economics!$B$3)^(M$3-$B$3)),"")</f>
        <v/>
      </c>
      <c r="N91" s="1039" t="str">
        <f>IF(N$3&lt;=time,N27*(1+Economics!$B$4)^(N$3-$B$3)/((1+Economics!$B$3)^(N$3-$B$3)),"")</f>
        <v/>
      </c>
      <c r="O91" s="1039" t="str">
        <f>IF(O$3&lt;=time,O27*(1+Economics!$B$4)^(O$3-$B$3)/((1+Economics!$B$3)^(O$3-$B$3)),"")</f>
        <v/>
      </c>
      <c r="P91" s="1039" t="str">
        <f>IF(P$3&lt;=time,P27*(1+Economics!$B$4)^(P$3-$B$3)/((1+Economics!$B$3)^(P$3-$B$3)),"")</f>
        <v/>
      </c>
      <c r="Q91" s="1039" t="str">
        <f>IF(Q$3&lt;=time,Q27*(1+Economics!$B$4)^(Q$3-$B$3)/((1+Economics!$B$3)^(Q$3-$B$3)),"")</f>
        <v/>
      </c>
      <c r="R91" s="1039" t="str">
        <f>IF(R$3&lt;=time,R27*(1+Economics!$B$4)^(R$3-$B$3)/((1+Economics!$B$3)^(R$3-$B$3)),"")</f>
        <v/>
      </c>
      <c r="S91" s="1039" t="str">
        <f>IF(S$3&lt;=time,S27*(1+Economics!$B$4)^(S$3-$B$3)/((1+Economics!$B$3)^(S$3-$B$3)),"")</f>
        <v/>
      </c>
      <c r="T91" s="1039" t="str">
        <f>IF(T$3&lt;=time,T27*(1+Economics!$B$4)^(T$3-$B$3)/((1+Economics!$B$3)^(T$3-$B$3)),"")</f>
        <v/>
      </c>
      <c r="U91" s="1039" t="str">
        <f>IF(U$3&lt;=time,U27*(1+Economics!$B$4)^(U$3-$B$3)/((1+Economics!$B$3)^(U$3-$B$3)),"")</f>
        <v/>
      </c>
      <c r="V91" s="1039" t="str">
        <f>IF(V$3&lt;=time,V27*(1+Economics!$B$4)^(V$3-$B$3)/((1+Economics!$B$3)^(V$3-$B$3)),"")</f>
        <v/>
      </c>
      <c r="W91" s="1039" t="str">
        <f>IF(W$3&lt;=time,W27*(1+Economics!$B$4)^(W$3-$B$3)/((1+Economics!$B$3)^(W$3-$B$3)),"")</f>
        <v/>
      </c>
      <c r="X91" s="1039" t="str">
        <f>IF(X$3&lt;=time,X27*(1+Economics!$B$4)^(X$3-$B$3)/((1+Economics!$B$3)^(X$3-$B$3)),"")</f>
        <v/>
      </c>
      <c r="Y91" s="1039" t="str">
        <f>IF(Y$3&lt;=time,Y27*(1+Economics!$B$4)^(Y$3-$B$3)/((1+Economics!$B$3)^(Y$3-$B$3)),"")</f>
        <v/>
      </c>
      <c r="Z91" s="1039" t="str">
        <f>IF(Z$3&lt;=time,Z27*(1+Economics!$B$4)^(Z$3-$B$3)/((1+Economics!$B$3)^(Z$3-$B$3)),"")</f>
        <v/>
      </c>
      <c r="AA91" s="1022">
        <f t="array" ref="AA91">(SUM( IF(ISERROR(B91:Z91),"", B91:Z91)))</f>
        <v>38.123211656201001</v>
      </c>
      <c r="AB91" s="1023">
        <f t="shared" si="6"/>
        <v>7.6246423312402003</v>
      </c>
    </row>
    <row r="92" spans="1:28" ht="31">
      <c r="A92" s="113" t="s">
        <v>558</v>
      </c>
      <c r="B92" s="1039">
        <f>IF(B$3&lt;=time,B28*(1+Economics!$B$4)^(B$3-$B$3)/((1+Economics!$B$3)^(B$3-$B$3)),"")</f>
        <v>0</v>
      </c>
      <c r="C92" s="1039">
        <f>IF(C$3&lt;=time,C28*(1+Economics!$B$4)^(C$3-$B$3)/((1+Economics!$B$3)^(C$3-$B$3)),"")</f>
        <v>1.1394340302684083</v>
      </c>
      <c r="D92" s="1039">
        <f>IF(D$3&lt;=time,D28*(1+Economics!$B$4)^(D$3-$B$3)/((1+Economics!$B$3)^(D$3-$B$3)),"")</f>
        <v>0</v>
      </c>
      <c r="E92" s="1039">
        <f>IF(E$3&lt;=time,E28*(1+Economics!$B$4)^(E$3-$B$3)/((1+Economics!$B$3)^(E$3-$B$3)),"")</f>
        <v>0</v>
      </c>
      <c r="F92" s="1039">
        <f>IF(F$3&lt;=time,F28*(1+Economics!$B$4)^(F$3-$B$3)/((1+Economics!$B$3)^(F$3-$B$3)),"")</f>
        <v>0</v>
      </c>
      <c r="G92" s="1039" t="str">
        <f>IF(G$3&lt;=time,G28*(1+Economics!$B$4)^(G$3-$B$3)/((1+Economics!$B$3)^(G$3-$B$3)),"")</f>
        <v/>
      </c>
      <c r="H92" s="1039" t="str">
        <f>IF(H$3&lt;=time,H28*(1+Economics!$B$4)^(H$3-$B$3)/((1+Economics!$B$3)^(H$3-$B$3)),"")</f>
        <v/>
      </c>
      <c r="I92" s="1039" t="str">
        <f>IF(I$3&lt;=time,I28*(1+Economics!$B$4)^(I$3-$B$3)/((1+Economics!$B$3)^(I$3-$B$3)),"")</f>
        <v/>
      </c>
      <c r="J92" s="1039" t="str">
        <f>IF(J$3&lt;=time,J28*(1+Economics!$B$4)^(J$3-$B$3)/((1+Economics!$B$3)^(J$3-$B$3)),"")</f>
        <v/>
      </c>
      <c r="K92" s="1039" t="str">
        <f>IF(K$3&lt;=time,K28*(1+Economics!$B$4)^(K$3-$B$3)/((1+Economics!$B$3)^(K$3-$B$3)),"")</f>
        <v/>
      </c>
      <c r="L92" s="1039" t="str">
        <f>IF(L$3&lt;=time,L28*(1+Economics!$B$4)^(L$3-$B$3)/((1+Economics!$B$3)^(L$3-$B$3)),"")</f>
        <v/>
      </c>
      <c r="M92" s="1039" t="str">
        <f>IF(M$3&lt;=time,M28*(1+Economics!$B$4)^(M$3-$B$3)/((1+Economics!$B$3)^(M$3-$B$3)),"")</f>
        <v/>
      </c>
      <c r="N92" s="1039" t="str">
        <f>IF(N$3&lt;=time,N28*(1+Economics!$B$4)^(N$3-$B$3)/((1+Economics!$B$3)^(N$3-$B$3)),"")</f>
        <v/>
      </c>
      <c r="O92" s="1039" t="str">
        <f>IF(O$3&lt;=time,O28*(1+Economics!$B$4)^(O$3-$B$3)/((1+Economics!$B$3)^(O$3-$B$3)),"")</f>
        <v/>
      </c>
      <c r="P92" s="1039" t="str">
        <f>IF(P$3&lt;=time,P28*(1+Economics!$B$4)^(P$3-$B$3)/((1+Economics!$B$3)^(P$3-$B$3)),"")</f>
        <v/>
      </c>
      <c r="Q92" s="1039" t="str">
        <f>IF(Q$3&lt;=time,Q28*(1+Economics!$B$4)^(Q$3-$B$3)/((1+Economics!$B$3)^(Q$3-$B$3)),"")</f>
        <v/>
      </c>
      <c r="R92" s="1039" t="str">
        <f>IF(R$3&lt;=time,R28*(1+Economics!$B$4)^(R$3-$B$3)/((1+Economics!$B$3)^(R$3-$B$3)),"")</f>
        <v/>
      </c>
      <c r="S92" s="1039" t="str">
        <f>IF(S$3&lt;=time,S28*(1+Economics!$B$4)^(S$3-$B$3)/((1+Economics!$B$3)^(S$3-$B$3)),"")</f>
        <v/>
      </c>
      <c r="T92" s="1039" t="str">
        <f>IF(T$3&lt;=time,T28*(1+Economics!$B$4)^(T$3-$B$3)/((1+Economics!$B$3)^(T$3-$B$3)),"")</f>
        <v/>
      </c>
      <c r="U92" s="1039" t="str">
        <f>IF(U$3&lt;=time,U28*(1+Economics!$B$4)^(U$3-$B$3)/((1+Economics!$B$3)^(U$3-$B$3)),"")</f>
        <v/>
      </c>
      <c r="V92" s="1039" t="str">
        <f>IF(V$3&lt;=time,V28*(1+Economics!$B$4)^(V$3-$B$3)/((1+Economics!$B$3)^(V$3-$B$3)),"")</f>
        <v/>
      </c>
      <c r="W92" s="1039" t="str">
        <f>IF(W$3&lt;=time,W28*(1+Economics!$B$4)^(W$3-$B$3)/((1+Economics!$B$3)^(W$3-$B$3)),"")</f>
        <v/>
      </c>
      <c r="X92" s="1039" t="str">
        <f>IF(X$3&lt;=time,X28*(1+Economics!$B$4)^(X$3-$B$3)/((1+Economics!$B$3)^(X$3-$B$3)),"")</f>
        <v/>
      </c>
      <c r="Y92" s="1039" t="str">
        <f>IF(Y$3&lt;=time,Y28*(1+Economics!$B$4)^(Y$3-$B$3)/((1+Economics!$B$3)^(Y$3-$B$3)),"")</f>
        <v/>
      </c>
      <c r="Z92" s="1039" t="str">
        <f>IF(Z$3&lt;=time,Z28*(1+Economics!$B$4)^(Z$3-$B$3)/((1+Economics!$B$3)^(Z$3-$B$3)),"")</f>
        <v/>
      </c>
      <c r="AA92" s="1022">
        <f t="array" ref="AA92">(SUM( IF(ISERROR(B92:Z92),"", B92:Z92)))</f>
        <v>1.1394340302684083</v>
      </c>
      <c r="AB92" s="1023">
        <f t="shared" si="6"/>
        <v>0.22788680605368167</v>
      </c>
    </row>
    <row r="93" spans="1:28" ht="31.5" thickBot="1">
      <c r="A93" s="113" t="s">
        <v>559</v>
      </c>
      <c r="B93" s="1040">
        <f>IF(B$3&lt;=time,B29*(1+Economics!$B$4)^(B$3-$B$3)/((1+Economics!$B$3)^(B$3-$B$3)),"")</f>
        <v>0</v>
      </c>
      <c r="C93" s="1040">
        <f>IF(C$3&lt;=time,C29*(1+Economics!$B$4)^(C$3-$B$3)/((1+Economics!$B$3)^(C$3-$B$3)),"")</f>
        <v>10.941245858245487</v>
      </c>
      <c r="D93" s="1040">
        <f>IF(D$3&lt;=time,D29*(1+Economics!$B$4)^(D$3-$B$3)/((1+Economics!$B$3)^(D$3-$B$3)),"")</f>
        <v>0</v>
      </c>
      <c r="E93" s="1040">
        <f>IF(E$3&lt;=time,E29*(1+Economics!$B$4)^(E$3-$B$3)/((1+Economics!$B$3)^(E$3-$B$3)),"")</f>
        <v>0</v>
      </c>
      <c r="F93" s="1040">
        <f>IF(F$3&lt;=time,F29*(1+Economics!$B$4)^(F$3-$B$3)/((1+Economics!$B$3)^(F$3-$B$3)),"")</f>
        <v>0</v>
      </c>
      <c r="G93" s="1040" t="str">
        <f>IF(G$3&lt;=time,G29*(1+Economics!$B$4)^(G$3-$B$3)/((1+Economics!$B$3)^(G$3-$B$3)),"")</f>
        <v/>
      </c>
      <c r="H93" s="1040" t="str">
        <f>IF(H$3&lt;=time,H29*(1+Economics!$B$4)^(H$3-$B$3)/((1+Economics!$B$3)^(H$3-$B$3)),"")</f>
        <v/>
      </c>
      <c r="I93" s="1040" t="str">
        <f>IF(I$3&lt;=time,I29*(1+Economics!$B$4)^(I$3-$B$3)/((1+Economics!$B$3)^(I$3-$B$3)),"")</f>
        <v/>
      </c>
      <c r="J93" s="1040" t="str">
        <f>IF(J$3&lt;=time,J29*(1+Economics!$B$4)^(J$3-$B$3)/((1+Economics!$B$3)^(J$3-$B$3)),"")</f>
        <v/>
      </c>
      <c r="K93" s="1040" t="str">
        <f>IF(K$3&lt;=time,K29*(1+Economics!$B$4)^(K$3-$B$3)/((1+Economics!$B$3)^(K$3-$B$3)),"")</f>
        <v/>
      </c>
      <c r="L93" s="1040" t="str">
        <f>IF(L$3&lt;=time,L29*(1+Economics!$B$4)^(L$3-$B$3)/((1+Economics!$B$3)^(L$3-$B$3)),"")</f>
        <v/>
      </c>
      <c r="M93" s="1040" t="str">
        <f>IF(M$3&lt;=time,M29*(1+Economics!$B$4)^(M$3-$B$3)/((1+Economics!$B$3)^(M$3-$B$3)),"")</f>
        <v/>
      </c>
      <c r="N93" s="1040" t="str">
        <f>IF(N$3&lt;=time,N29*(1+Economics!$B$4)^(N$3-$B$3)/((1+Economics!$B$3)^(N$3-$B$3)),"")</f>
        <v/>
      </c>
      <c r="O93" s="1040" t="str">
        <f>IF(O$3&lt;=time,O29*(1+Economics!$B$4)^(O$3-$B$3)/((1+Economics!$B$3)^(O$3-$B$3)),"")</f>
        <v/>
      </c>
      <c r="P93" s="1040" t="str">
        <f>IF(P$3&lt;=time,P29*(1+Economics!$B$4)^(P$3-$B$3)/((1+Economics!$B$3)^(P$3-$B$3)),"")</f>
        <v/>
      </c>
      <c r="Q93" s="1040" t="str">
        <f>IF(Q$3&lt;=time,Q29*(1+Economics!$B$4)^(Q$3-$B$3)/((1+Economics!$B$3)^(Q$3-$B$3)),"")</f>
        <v/>
      </c>
      <c r="R93" s="1040" t="str">
        <f>IF(R$3&lt;=time,R29*(1+Economics!$B$4)^(R$3-$B$3)/((1+Economics!$B$3)^(R$3-$B$3)),"")</f>
        <v/>
      </c>
      <c r="S93" s="1040" t="str">
        <f>IF(S$3&lt;=time,S29*(1+Economics!$B$4)^(S$3-$B$3)/((1+Economics!$B$3)^(S$3-$B$3)),"")</f>
        <v/>
      </c>
      <c r="T93" s="1040" t="str">
        <f>IF(T$3&lt;=time,T29*(1+Economics!$B$4)^(T$3-$B$3)/((1+Economics!$B$3)^(T$3-$B$3)),"")</f>
        <v/>
      </c>
      <c r="U93" s="1040" t="str">
        <f>IF(U$3&lt;=time,U29*(1+Economics!$B$4)^(U$3-$B$3)/((1+Economics!$B$3)^(U$3-$B$3)),"")</f>
        <v/>
      </c>
      <c r="V93" s="1040" t="str">
        <f>IF(V$3&lt;=time,V29*(1+Economics!$B$4)^(V$3-$B$3)/((1+Economics!$B$3)^(V$3-$B$3)),"")</f>
        <v/>
      </c>
      <c r="W93" s="1040" t="str">
        <f>IF(W$3&lt;=time,W29*(1+Economics!$B$4)^(W$3-$B$3)/((1+Economics!$B$3)^(W$3-$B$3)),"")</f>
        <v/>
      </c>
      <c r="X93" s="1040" t="str">
        <f>IF(X$3&lt;=time,X29*(1+Economics!$B$4)^(X$3-$B$3)/((1+Economics!$B$3)^(X$3-$B$3)),"")</f>
        <v/>
      </c>
      <c r="Y93" s="1040" t="str">
        <f>IF(Y$3&lt;=time,Y29*(1+Economics!$B$4)^(Y$3-$B$3)/((1+Economics!$B$3)^(Y$3-$B$3)),"")</f>
        <v/>
      </c>
      <c r="Z93" s="1040" t="str">
        <f>IF(Z$3&lt;=time,Z29*(1+Economics!$B$4)^(Z$3-$B$3)/((1+Economics!$B$3)^(Z$3-$B$3)),"")</f>
        <v/>
      </c>
      <c r="AA93" s="1026">
        <f t="array" ref="AA93">(SUM( IF(ISERROR(B93:Z93),"", B93:Z93)))</f>
        <v>10.941245858245487</v>
      </c>
      <c r="AB93" s="1027">
        <f t="shared" si="6"/>
        <v>2.1882491716490975</v>
      </c>
    </row>
    <row r="94" spans="1:28" ht="31.5" thickBot="1">
      <c r="A94" s="984" t="s">
        <v>412</v>
      </c>
      <c r="B94" s="1032">
        <f>IF(B$3&lt;=time,B30*(1+Economics!$B$4)^(B$3-$B$3)/((1+Economics!$B$3)^(B$3-$B$3)),"")</f>
        <v>0</v>
      </c>
      <c r="C94" s="1032">
        <f>IF(C$3&lt;=time,C30*(1+Economics!$B$4)^(C$3-$B$3)/((1+Economics!$B$3)^(C$3-$B$3)),"")</f>
        <v>925.10059761597893</v>
      </c>
      <c r="D94" s="1032">
        <f>IF(D$3&lt;=time,D30*(1+Economics!$B$4)^(D$3-$B$3)/((1+Economics!$B$3)^(D$3-$B$3)),"")</f>
        <v>0</v>
      </c>
      <c r="E94" s="1032">
        <f>IF(E$3&lt;=time,E30*(1+Economics!$B$4)^(E$3-$B$3)/((1+Economics!$B$3)^(E$3-$B$3)),"")</f>
        <v>0</v>
      </c>
      <c r="F94" s="1032">
        <f>IF(F$3&lt;=time,F30*(1+Economics!$B$4)^(F$3-$B$3)/((1+Economics!$B$3)^(F$3-$B$3)),"")</f>
        <v>0</v>
      </c>
      <c r="G94" s="1032" t="str">
        <f>IF(G$3&lt;=time,G30*(1+Economics!$B$4)^(G$3-$B$3)/((1+Economics!$B$3)^(G$3-$B$3)),"")</f>
        <v/>
      </c>
      <c r="H94" s="1032" t="str">
        <f>IF(H$3&lt;=time,H30*(1+Economics!$B$4)^(H$3-$B$3)/((1+Economics!$B$3)^(H$3-$B$3)),"")</f>
        <v/>
      </c>
      <c r="I94" s="1032" t="str">
        <f>IF(I$3&lt;=time,I30*(1+Economics!$B$4)^(I$3-$B$3)/((1+Economics!$B$3)^(I$3-$B$3)),"")</f>
        <v/>
      </c>
      <c r="J94" s="1032" t="str">
        <f>IF(J$3&lt;=time,J30*(1+Economics!$B$4)^(J$3-$B$3)/((1+Economics!$B$3)^(J$3-$B$3)),"")</f>
        <v/>
      </c>
      <c r="K94" s="1032" t="str">
        <f>IF(K$3&lt;=time,K30*(1+Economics!$B$4)^(K$3-$B$3)/((1+Economics!$B$3)^(K$3-$B$3)),"")</f>
        <v/>
      </c>
      <c r="L94" s="1032" t="str">
        <f>IF(L$3&lt;=time,L30*(1+Economics!$B$4)^(L$3-$B$3)/((1+Economics!$B$3)^(L$3-$B$3)),"")</f>
        <v/>
      </c>
      <c r="M94" s="1032" t="str">
        <f>IF(M$3&lt;=time,M30*(1+Economics!$B$4)^(M$3-$B$3)/((1+Economics!$B$3)^(M$3-$B$3)),"")</f>
        <v/>
      </c>
      <c r="N94" s="1032" t="str">
        <f>IF(N$3&lt;=time,N30*(1+Economics!$B$4)^(N$3-$B$3)/((1+Economics!$B$3)^(N$3-$B$3)),"")</f>
        <v/>
      </c>
      <c r="O94" s="1032" t="str">
        <f>IF(O$3&lt;=time,O30*(1+Economics!$B$4)^(O$3-$B$3)/((1+Economics!$B$3)^(O$3-$B$3)),"")</f>
        <v/>
      </c>
      <c r="P94" s="1032" t="str">
        <f>IF(P$3&lt;=time,P30*(1+Economics!$B$4)^(P$3-$B$3)/((1+Economics!$B$3)^(P$3-$B$3)),"")</f>
        <v/>
      </c>
      <c r="Q94" s="1032" t="str">
        <f>IF(Q$3&lt;=time,Q30*(1+Economics!$B$4)^(Q$3-$B$3)/((1+Economics!$B$3)^(Q$3-$B$3)),"")</f>
        <v/>
      </c>
      <c r="R94" s="1032" t="str">
        <f>IF(R$3&lt;=time,R30*(1+Economics!$B$4)^(R$3-$B$3)/((1+Economics!$B$3)^(R$3-$B$3)),"")</f>
        <v/>
      </c>
      <c r="S94" s="1032" t="str">
        <f>IF(S$3&lt;=time,S30*(1+Economics!$B$4)^(S$3-$B$3)/((1+Economics!$B$3)^(S$3-$B$3)),"")</f>
        <v/>
      </c>
      <c r="T94" s="1032" t="str">
        <f>IF(T$3&lt;=time,T30*(1+Economics!$B$4)^(T$3-$B$3)/((1+Economics!$B$3)^(T$3-$B$3)),"")</f>
        <v/>
      </c>
      <c r="U94" s="1032" t="str">
        <f>IF(U$3&lt;=time,U30*(1+Economics!$B$4)^(U$3-$B$3)/((1+Economics!$B$3)^(U$3-$B$3)),"")</f>
        <v/>
      </c>
      <c r="V94" s="1032" t="str">
        <f>IF(V$3&lt;=time,V30*(1+Economics!$B$4)^(V$3-$B$3)/((1+Economics!$B$3)^(V$3-$B$3)),"")</f>
        <v/>
      </c>
      <c r="W94" s="1032" t="str">
        <f>IF(W$3&lt;=time,W30*(1+Economics!$B$4)^(W$3-$B$3)/((1+Economics!$B$3)^(W$3-$B$3)),"")</f>
        <v/>
      </c>
      <c r="X94" s="1032" t="str">
        <f>IF(X$3&lt;=time,X30*(1+Economics!$B$4)^(X$3-$B$3)/((1+Economics!$B$3)^(X$3-$B$3)),"")</f>
        <v/>
      </c>
      <c r="Y94" s="1032" t="str">
        <f>IF(Y$3&lt;=time,Y30*(1+Economics!$B$4)^(Y$3-$B$3)/((1+Economics!$B$3)^(Y$3-$B$3)),"")</f>
        <v/>
      </c>
      <c r="Z94" s="1032" t="str">
        <f>IF(Z$3&lt;=time,Z30*(1+Economics!$B$4)^(Z$3-$B$3)/((1+Economics!$B$3)^(Z$3-$B$3)),"")</f>
        <v/>
      </c>
      <c r="AA94" s="1030">
        <f t="array" ref="AA94">(SUM( IF(ISERROR(B94:Z94),"", B94:Z94)))</f>
        <v>925.10059761597893</v>
      </c>
      <c r="AB94" s="1031">
        <f t="shared" si="6"/>
        <v>185.02011952319577</v>
      </c>
    </row>
    <row r="95" spans="1:28" ht="31">
      <c r="A95" s="444" t="s">
        <v>413</v>
      </c>
      <c r="B95" s="671"/>
      <c r="C95" s="671"/>
      <c r="D95" s="671"/>
      <c r="E95" s="671"/>
      <c r="F95" s="671"/>
      <c r="G95" s="671"/>
      <c r="H95" s="671"/>
      <c r="I95" s="671"/>
      <c r="J95" s="671"/>
      <c r="K95" s="671"/>
      <c r="L95" s="671"/>
      <c r="M95" s="671"/>
      <c r="N95" s="671"/>
      <c r="O95" s="671"/>
      <c r="P95" s="671"/>
      <c r="Q95" s="671"/>
      <c r="R95" s="671"/>
      <c r="S95" s="671"/>
      <c r="T95" s="671"/>
      <c r="U95" s="671"/>
      <c r="V95" s="671"/>
      <c r="W95" s="671"/>
      <c r="X95" s="671"/>
      <c r="Y95" s="671"/>
      <c r="Z95" s="671"/>
      <c r="AA95" s="657"/>
      <c r="AB95" s="658"/>
    </row>
    <row r="96" spans="1:28" ht="31">
      <c r="A96" s="440" t="s">
        <v>421</v>
      </c>
      <c r="B96" s="669">
        <f>IF(B$3&lt;=time,B32*(1+Economics!$B$4)^(B$3-$B$3)/((1+Economics!$B$3)^(B$3-$B$3)),"")</f>
        <v>0</v>
      </c>
      <c r="C96" s="669">
        <f>IF(C$3&lt;=time,C32*(1+Economics!$B$4)^(C$3-$B$3)/((1+Economics!$B$3)^(C$3-$B$3)),"")</f>
        <v>0</v>
      </c>
      <c r="D96" s="669">
        <f>IF(D$3&lt;=time,D32*(1+Economics!$B$4)^(D$3-$B$3)/((1+Economics!$B$3)^(D$3-$B$3)),"")</f>
        <v>0</v>
      </c>
      <c r="E96" s="669">
        <f>IF(E$3&lt;=time,E32*(1+Economics!$B$4)^(E$3-$B$3)/((1+Economics!$B$3)^(E$3-$B$3)),"")</f>
        <v>0</v>
      </c>
      <c r="F96" s="669">
        <f>IF(F$3&lt;=time,F32*(1+Economics!$B$4)^(F$3-$B$3)/((1+Economics!$B$3)^(F$3-$B$3)),"")</f>
        <v>0</v>
      </c>
      <c r="G96" s="669" t="str">
        <f>IF(G$3&lt;=time,G32*(1+Economics!$B$4)^(G$3-$B$3)/((1+Economics!$B$3)^(G$3-$B$3)),"")</f>
        <v/>
      </c>
      <c r="H96" s="669" t="str">
        <f>IF(H$3&lt;=time,H32*(1+Economics!$B$4)^(H$3-$B$3)/((1+Economics!$B$3)^(H$3-$B$3)),"")</f>
        <v/>
      </c>
      <c r="I96" s="669" t="str">
        <f>IF(I$3&lt;=time,I32*(1+Economics!$B$4)^(I$3-$B$3)/((1+Economics!$B$3)^(I$3-$B$3)),"")</f>
        <v/>
      </c>
      <c r="J96" s="669" t="str">
        <f>IF(J$3&lt;=time,J32*(1+Economics!$B$4)^(J$3-$B$3)/((1+Economics!$B$3)^(J$3-$B$3)),"")</f>
        <v/>
      </c>
      <c r="K96" s="669" t="str">
        <f>IF(K$3&lt;=time,K32*(1+Economics!$B$4)^(K$3-$B$3)/((1+Economics!$B$3)^(K$3-$B$3)),"")</f>
        <v/>
      </c>
      <c r="L96" s="669" t="str">
        <f>IF(L$3&lt;=time,L32*(1+Economics!$B$4)^(L$3-$B$3)/((1+Economics!$B$3)^(L$3-$B$3)),"")</f>
        <v/>
      </c>
      <c r="M96" s="669" t="str">
        <f>IF(M$3&lt;=time,M32*(1+Economics!$B$4)^(M$3-$B$3)/((1+Economics!$B$3)^(M$3-$B$3)),"")</f>
        <v/>
      </c>
      <c r="N96" s="669" t="str">
        <f>IF(N$3&lt;=time,N32*(1+Economics!$B$4)^(N$3-$B$3)/((1+Economics!$B$3)^(N$3-$B$3)),"")</f>
        <v/>
      </c>
      <c r="O96" s="669" t="str">
        <f>IF(O$3&lt;=time,O32*(1+Economics!$B$4)^(O$3-$B$3)/((1+Economics!$B$3)^(O$3-$B$3)),"")</f>
        <v/>
      </c>
      <c r="P96" s="669" t="str">
        <f>IF(P$3&lt;=time,P32*(1+Economics!$B$4)^(P$3-$B$3)/((1+Economics!$B$3)^(P$3-$B$3)),"")</f>
        <v/>
      </c>
      <c r="Q96" s="669" t="str">
        <f>IF(Q$3&lt;=time,Q32*(1+Economics!$B$4)^(Q$3-$B$3)/((1+Economics!$B$3)^(Q$3-$B$3)),"")</f>
        <v/>
      </c>
      <c r="R96" s="669" t="str">
        <f>IF(R$3&lt;=time,R32*(1+Economics!$B$4)^(R$3-$B$3)/((1+Economics!$B$3)^(R$3-$B$3)),"")</f>
        <v/>
      </c>
      <c r="S96" s="669" t="str">
        <f>IF(S$3&lt;=time,S32*(1+Economics!$B$4)^(S$3-$B$3)/((1+Economics!$B$3)^(S$3-$B$3)),"")</f>
        <v/>
      </c>
      <c r="T96" s="669" t="str">
        <f>IF(T$3&lt;=time,T32*(1+Economics!$B$4)^(T$3-$B$3)/((1+Economics!$B$3)^(T$3-$B$3)),"")</f>
        <v/>
      </c>
      <c r="U96" s="669" t="str">
        <f>IF(U$3&lt;=time,U32*(1+Economics!$B$4)^(U$3-$B$3)/((1+Economics!$B$3)^(U$3-$B$3)),"")</f>
        <v/>
      </c>
      <c r="V96" s="669" t="str">
        <f>IF(V$3&lt;=time,V32*(1+Economics!$B$4)^(V$3-$B$3)/((1+Economics!$B$3)^(V$3-$B$3)),"")</f>
        <v/>
      </c>
      <c r="W96" s="669" t="str">
        <f>IF(W$3&lt;=time,W32*(1+Economics!$B$4)^(W$3-$B$3)/((1+Economics!$B$3)^(W$3-$B$3)),"")</f>
        <v/>
      </c>
      <c r="X96" s="669" t="str">
        <f>IF(X$3&lt;=time,X32*(1+Economics!$B$4)^(X$3-$B$3)/((1+Economics!$B$3)^(X$3-$B$3)),"")</f>
        <v/>
      </c>
      <c r="Y96" s="669" t="str">
        <f>IF(Y$3&lt;=time,Y32*(1+Economics!$B$4)^(Y$3-$B$3)/((1+Economics!$B$3)^(Y$3-$B$3)),"")</f>
        <v/>
      </c>
      <c r="Z96" s="669" t="str">
        <f>IF(Z$3&lt;=time,Z32*(1+Economics!$B$4)^(Z$3-$B$3)/((1+Economics!$B$3)^(Z$3-$B$3)),"")</f>
        <v/>
      </c>
      <c r="AA96" s="1013">
        <f t="array" ref="AA96">(SUM( IF(ISERROR(B96:Z96),"", B96:Z96)))</f>
        <v>0</v>
      </c>
      <c r="AB96" s="1014">
        <f t="shared" si="6"/>
        <v>0</v>
      </c>
    </row>
    <row r="97" spans="1:29" ht="31">
      <c r="A97" s="440" t="s">
        <v>422</v>
      </c>
      <c r="B97" s="669">
        <f>IF(B$3&lt;=time,B33*(1+Economics!$B$4)^(B$3-$B$3)/((1+Economics!$B$3)^(B$3-$B$3)),"")</f>
        <v>0</v>
      </c>
      <c r="C97" s="669">
        <f>IF(C$3&lt;=time,C33*(1+Economics!$B$4)^(C$3-$B$3)/((1+Economics!$B$3)^(C$3-$B$3)),"")</f>
        <v>0</v>
      </c>
      <c r="D97" s="669">
        <f>IF(D$3&lt;=time,D33*(1+Economics!$B$4)^(D$3-$B$3)/((1+Economics!$B$3)^(D$3-$B$3)),"")</f>
        <v>0</v>
      </c>
      <c r="E97" s="669">
        <f>IF(E$3&lt;=time,E33*(1+Economics!$B$4)^(E$3-$B$3)/((1+Economics!$B$3)^(E$3-$B$3)),"")</f>
        <v>0</v>
      </c>
      <c r="F97" s="669">
        <f>IF(F$3&lt;=time,F33*(1+Economics!$B$4)^(F$3-$B$3)/((1+Economics!$B$3)^(F$3-$B$3)),"")</f>
        <v>0</v>
      </c>
      <c r="G97" s="669" t="str">
        <f>IF(G$3&lt;=time,G33*(1+Economics!$B$4)^(G$3-$B$3)/((1+Economics!$B$3)^(G$3-$B$3)),"")</f>
        <v/>
      </c>
      <c r="H97" s="669" t="str">
        <f>IF(H$3&lt;=time,H33*(1+Economics!$B$4)^(H$3-$B$3)/((1+Economics!$B$3)^(H$3-$B$3)),"")</f>
        <v/>
      </c>
      <c r="I97" s="669" t="str">
        <f>IF(I$3&lt;=time,I33*(1+Economics!$B$4)^(I$3-$B$3)/((1+Economics!$B$3)^(I$3-$B$3)),"")</f>
        <v/>
      </c>
      <c r="J97" s="669" t="str">
        <f>IF(J$3&lt;=time,J33*(1+Economics!$B$4)^(J$3-$B$3)/((1+Economics!$B$3)^(J$3-$B$3)),"")</f>
        <v/>
      </c>
      <c r="K97" s="669" t="str">
        <f>IF(K$3&lt;=time,K33*(1+Economics!$B$4)^(K$3-$B$3)/((1+Economics!$B$3)^(K$3-$B$3)),"")</f>
        <v/>
      </c>
      <c r="L97" s="669" t="str">
        <f>IF(L$3&lt;=time,L33*(1+Economics!$B$4)^(L$3-$B$3)/((1+Economics!$B$3)^(L$3-$B$3)),"")</f>
        <v/>
      </c>
      <c r="M97" s="669" t="str">
        <f>IF(M$3&lt;=time,M33*(1+Economics!$B$4)^(M$3-$B$3)/((1+Economics!$B$3)^(M$3-$B$3)),"")</f>
        <v/>
      </c>
      <c r="N97" s="669" t="str">
        <f>IF(N$3&lt;=time,N33*(1+Economics!$B$4)^(N$3-$B$3)/((1+Economics!$B$3)^(N$3-$B$3)),"")</f>
        <v/>
      </c>
      <c r="O97" s="669" t="str">
        <f>IF(O$3&lt;=time,O33*(1+Economics!$B$4)^(O$3-$B$3)/((1+Economics!$B$3)^(O$3-$B$3)),"")</f>
        <v/>
      </c>
      <c r="P97" s="669" t="str">
        <f>IF(P$3&lt;=time,P33*(1+Economics!$B$4)^(P$3-$B$3)/((1+Economics!$B$3)^(P$3-$B$3)),"")</f>
        <v/>
      </c>
      <c r="Q97" s="669" t="str">
        <f>IF(Q$3&lt;=time,Q33*(1+Economics!$B$4)^(Q$3-$B$3)/((1+Economics!$B$3)^(Q$3-$B$3)),"")</f>
        <v/>
      </c>
      <c r="R97" s="669" t="str">
        <f>IF(R$3&lt;=time,R33*(1+Economics!$B$4)^(R$3-$B$3)/((1+Economics!$B$3)^(R$3-$B$3)),"")</f>
        <v/>
      </c>
      <c r="S97" s="669" t="str">
        <f>IF(S$3&lt;=time,S33*(1+Economics!$B$4)^(S$3-$B$3)/((1+Economics!$B$3)^(S$3-$B$3)),"")</f>
        <v/>
      </c>
      <c r="T97" s="669" t="str">
        <f>IF(T$3&lt;=time,T33*(1+Economics!$B$4)^(T$3-$B$3)/((1+Economics!$B$3)^(T$3-$B$3)),"")</f>
        <v/>
      </c>
      <c r="U97" s="669" t="str">
        <f>IF(U$3&lt;=time,U33*(1+Economics!$B$4)^(U$3-$B$3)/((1+Economics!$B$3)^(U$3-$B$3)),"")</f>
        <v/>
      </c>
      <c r="V97" s="669" t="str">
        <f>IF(V$3&lt;=time,V33*(1+Economics!$B$4)^(V$3-$B$3)/((1+Economics!$B$3)^(V$3-$B$3)),"")</f>
        <v/>
      </c>
      <c r="W97" s="669" t="str">
        <f>IF(W$3&lt;=time,W33*(1+Economics!$B$4)^(W$3-$B$3)/((1+Economics!$B$3)^(W$3-$B$3)),"")</f>
        <v/>
      </c>
      <c r="X97" s="669" t="str">
        <f>IF(X$3&lt;=time,X33*(1+Economics!$B$4)^(X$3-$B$3)/((1+Economics!$B$3)^(X$3-$B$3)),"")</f>
        <v/>
      </c>
      <c r="Y97" s="669" t="str">
        <f>IF(Y$3&lt;=time,Y33*(1+Economics!$B$4)^(Y$3-$B$3)/((1+Economics!$B$3)^(Y$3-$B$3)),"")</f>
        <v/>
      </c>
      <c r="Z97" s="669" t="str">
        <f>IF(Z$3&lt;=time,Z33*(1+Economics!$B$4)^(Z$3-$B$3)/((1+Economics!$B$3)^(Z$3-$B$3)),"")</f>
        <v/>
      </c>
      <c r="AA97" s="1013">
        <f t="array" ref="AA97">(SUM( IF(ISERROR(B97:Z97),"", B97:Z97)))</f>
        <v>0</v>
      </c>
      <c r="AB97" s="1014">
        <f t="shared" si="6"/>
        <v>0</v>
      </c>
    </row>
    <row r="98" spans="1:29" ht="31">
      <c r="A98" s="440" t="s">
        <v>415</v>
      </c>
      <c r="B98" s="669">
        <f>IF(B$3&lt;=time,B34*(1+Economics!$B$4)^(B$3-$B$3)/((1+Economics!$B$3)^(B$3-$B$3)),"")</f>
        <v>0</v>
      </c>
      <c r="C98" s="669">
        <f>IF(C$3&lt;=time,C34*(1+Economics!$B$4)^(C$3-$B$3)/((1+Economics!$B$3)^(C$3-$B$3)),"")</f>
        <v>0</v>
      </c>
      <c r="D98" s="669">
        <f>IF(D$3&lt;=time,D34*(1+Economics!$B$4)^(D$3-$B$3)/((1+Economics!$B$3)^(D$3-$B$3)),"")</f>
        <v>0</v>
      </c>
      <c r="E98" s="669">
        <f>IF(E$3&lt;=time,E34*(1+Economics!$B$4)^(E$3-$B$3)/((1+Economics!$B$3)^(E$3-$B$3)),"")</f>
        <v>0</v>
      </c>
      <c r="F98" s="669">
        <f>IF(F$3&lt;=time,F34*(1+Economics!$B$4)^(F$3-$B$3)/((1+Economics!$B$3)^(F$3-$B$3)),"")</f>
        <v>0</v>
      </c>
      <c r="G98" s="669" t="str">
        <f>IF(G$3&lt;=time,G34*(1+Economics!$B$4)^(G$3-$B$3)/((1+Economics!$B$3)^(G$3-$B$3)),"")</f>
        <v/>
      </c>
      <c r="H98" s="669" t="str">
        <f>IF(H$3&lt;=time,H34*(1+Economics!$B$4)^(H$3-$B$3)/((1+Economics!$B$3)^(H$3-$B$3)),"")</f>
        <v/>
      </c>
      <c r="I98" s="669" t="str">
        <f>IF(I$3&lt;=time,I34*(1+Economics!$B$4)^(I$3-$B$3)/((1+Economics!$B$3)^(I$3-$B$3)),"")</f>
        <v/>
      </c>
      <c r="J98" s="669" t="str">
        <f>IF(J$3&lt;=time,J34*(1+Economics!$B$4)^(J$3-$B$3)/((1+Economics!$B$3)^(J$3-$B$3)),"")</f>
        <v/>
      </c>
      <c r="K98" s="669" t="str">
        <f>IF(K$3&lt;=time,K34*(1+Economics!$B$4)^(K$3-$B$3)/((1+Economics!$B$3)^(K$3-$B$3)),"")</f>
        <v/>
      </c>
      <c r="L98" s="669" t="str">
        <f>IF(L$3&lt;=time,L34*(1+Economics!$B$4)^(L$3-$B$3)/((1+Economics!$B$3)^(L$3-$B$3)),"")</f>
        <v/>
      </c>
      <c r="M98" s="669" t="str">
        <f>IF(M$3&lt;=time,M34*(1+Economics!$B$4)^(M$3-$B$3)/((1+Economics!$B$3)^(M$3-$B$3)),"")</f>
        <v/>
      </c>
      <c r="N98" s="669" t="str">
        <f>IF(N$3&lt;=time,N34*(1+Economics!$B$4)^(N$3-$B$3)/((1+Economics!$B$3)^(N$3-$B$3)),"")</f>
        <v/>
      </c>
      <c r="O98" s="669" t="str">
        <f>IF(O$3&lt;=time,O34*(1+Economics!$B$4)^(O$3-$B$3)/((1+Economics!$B$3)^(O$3-$B$3)),"")</f>
        <v/>
      </c>
      <c r="P98" s="669" t="str">
        <f>IF(P$3&lt;=time,P34*(1+Economics!$B$4)^(P$3-$B$3)/((1+Economics!$B$3)^(P$3-$B$3)),"")</f>
        <v/>
      </c>
      <c r="Q98" s="669" t="str">
        <f>IF(Q$3&lt;=time,Q34*(1+Economics!$B$4)^(Q$3-$B$3)/((1+Economics!$B$3)^(Q$3-$B$3)),"")</f>
        <v/>
      </c>
      <c r="R98" s="669" t="str">
        <f>IF(R$3&lt;=time,R34*(1+Economics!$B$4)^(R$3-$B$3)/((1+Economics!$B$3)^(R$3-$B$3)),"")</f>
        <v/>
      </c>
      <c r="S98" s="669" t="str">
        <f>IF(S$3&lt;=time,S34*(1+Economics!$B$4)^(S$3-$B$3)/((1+Economics!$B$3)^(S$3-$B$3)),"")</f>
        <v/>
      </c>
      <c r="T98" s="669" t="str">
        <f>IF(T$3&lt;=time,T34*(1+Economics!$B$4)^(T$3-$B$3)/((1+Economics!$B$3)^(T$3-$B$3)),"")</f>
        <v/>
      </c>
      <c r="U98" s="669" t="str">
        <f>IF(U$3&lt;=time,U34*(1+Economics!$B$4)^(U$3-$B$3)/((1+Economics!$B$3)^(U$3-$B$3)),"")</f>
        <v/>
      </c>
      <c r="V98" s="669" t="str">
        <f>IF(V$3&lt;=time,V34*(1+Economics!$B$4)^(V$3-$B$3)/((1+Economics!$B$3)^(V$3-$B$3)),"")</f>
        <v/>
      </c>
      <c r="W98" s="669" t="str">
        <f>IF(W$3&lt;=time,W34*(1+Economics!$B$4)^(W$3-$B$3)/((1+Economics!$B$3)^(W$3-$B$3)),"")</f>
        <v/>
      </c>
      <c r="X98" s="669" t="str">
        <f>IF(X$3&lt;=time,X34*(1+Economics!$B$4)^(X$3-$B$3)/((1+Economics!$B$3)^(X$3-$B$3)),"")</f>
        <v/>
      </c>
      <c r="Y98" s="669" t="str">
        <f>IF(Y$3&lt;=time,Y34*(1+Economics!$B$4)^(Y$3-$B$3)/((1+Economics!$B$3)^(Y$3-$B$3)),"")</f>
        <v/>
      </c>
      <c r="Z98" s="669" t="str">
        <f>IF(Z$3&lt;=time,Z34*(1+Economics!$B$4)^(Z$3-$B$3)/((1+Economics!$B$3)^(Z$3-$B$3)),"")</f>
        <v/>
      </c>
      <c r="AA98" s="1013">
        <f t="array" ref="AA98">(SUM( IF(ISERROR(B98:Z98),"", B98:Z98)))</f>
        <v>0</v>
      </c>
      <c r="AB98" s="1014">
        <f t="shared" si="6"/>
        <v>0</v>
      </c>
    </row>
    <row r="99" spans="1:29">
      <c r="A99" s="440" t="s">
        <v>416</v>
      </c>
      <c r="B99" s="669">
        <f>IF(B$3&lt;=time,B35*(1+Economics!$B$4)^(B$3-$B$3)/((1+Economics!$B$3)^(B$3-$B$3)),"")</f>
        <v>0</v>
      </c>
      <c r="C99" s="669">
        <f>IF(C$3&lt;=time,C35*(1+Economics!$B$4)^(C$3-$B$3)/((1+Economics!$B$3)^(C$3-$B$3)),"")</f>
        <v>0</v>
      </c>
      <c r="D99" s="669">
        <f>IF(D$3&lt;=time,D35*(1+Economics!$B$4)^(D$3-$B$3)/((1+Economics!$B$3)^(D$3-$B$3)),"")</f>
        <v>0</v>
      </c>
      <c r="E99" s="669">
        <f>IF(E$3&lt;=time,E35*(1+Economics!$B$4)^(E$3-$B$3)/((1+Economics!$B$3)^(E$3-$B$3)),"")</f>
        <v>0</v>
      </c>
      <c r="F99" s="669">
        <f>IF(F$3&lt;=time,F35*(1+Economics!$B$4)^(F$3-$B$3)/((1+Economics!$B$3)^(F$3-$B$3)),"")</f>
        <v>0</v>
      </c>
      <c r="G99" s="669" t="str">
        <f>IF(G$3&lt;=time,G35*(1+Economics!$B$4)^(G$3-$B$3)/((1+Economics!$B$3)^(G$3-$B$3)),"")</f>
        <v/>
      </c>
      <c r="H99" s="669" t="str">
        <f>IF(H$3&lt;=time,H35*(1+Economics!$B$4)^(H$3-$B$3)/((1+Economics!$B$3)^(H$3-$B$3)),"")</f>
        <v/>
      </c>
      <c r="I99" s="669" t="str">
        <f>IF(I$3&lt;=time,I35*(1+Economics!$B$4)^(I$3-$B$3)/((1+Economics!$B$3)^(I$3-$B$3)),"")</f>
        <v/>
      </c>
      <c r="J99" s="669" t="str">
        <f>IF(J$3&lt;=time,J35*(1+Economics!$B$4)^(J$3-$B$3)/((1+Economics!$B$3)^(J$3-$B$3)),"")</f>
        <v/>
      </c>
      <c r="K99" s="669" t="str">
        <f>IF(K$3&lt;=time,K35*(1+Economics!$B$4)^(K$3-$B$3)/((1+Economics!$B$3)^(K$3-$B$3)),"")</f>
        <v/>
      </c>
      <c r="L99" s="669" t="str">
        <f>IF(L$3&lt;=time,L35*(1+Economics!$B$4)^(L$3-$B$3)/((1+Economics!$B$3)^(L$3-$B$3)),"")</f>
        <v/>
      </c>
      <c r="M99" s="669" t="str">
        <f>IF(M$3&lt;=time,M35*(1+Economics!$B$4)^(M$3-$B$3)/((1+Economics!$B$3)^(M$3-$B$3)),"")</f>
        <v/>
      </c>
      <c r="N99" s="669" t="str">
        <f>IF(N$3&lt;=time,N35*(1+Economics!$B$4)^(N$3-$B$3)/((1+Economics!$B$3)^(N$3-$B$3)),"")</f>
        <v/>
      </c>
      <c r="O99" s="669" t="str">
        <f>IF(O$3&lt;=time,O35*(1+Economics!$B$4)^(O$3-$B$3)/((1+Economics!$B$3)^(O$3-$B$3)),"")</f>
        <v/>
      </c>
      <c r="P99" s="669" t="str">
        <f>IF(P$3&lt;=time,P35*(1+Economics!$B$4)^(P$3-$B$3)/((1+Economics!$B$3)^(P$3-$B$3)),"")</f>
        <v/>
      </c>
      <c r="Q99" s="669" t="str">
        <f>IF(Q$3&lt;=time,Q35*(1+Economics!$B$4)^(Q$3-$B$3)/((1+Economics!$B$3)^(Q$3-$B$3)),"")</f>
        <v/>
      </c>
      <c r="R99" s="669" t="str">
        <f>IF(R$3&lt;=time,R35*(1+Economics!$B$4)^(R$3-$B$3)/((1+Economics!$B$3)^(R$3-$B$3)),"")</f>
        <v/>
      </c>
      <c r="S99" s="669" t="str">
        <f>IF(S$3&lt;=time,S35*(1+Economics!$B$4)^(S$3-$B$3)/((1+Economics!$B$3)^(S$3-$B$3)),"")</f>
        <v/>
      </c>
      <c r="T99" s="669" t="str">
        <f>IF(T$3&lt;=time,T35*(1+Economics!$B$4)^(T$3-$B$3)/((1+Economics!$B$3)^(T$3-$B$3)),"")</f>
        <v/>
      </c>
      <c r="U99" s="669" t="str">
        <f>IF(U$3&lt;=time,U35*(1+Economics!$B$4)^(U$3-$B$3)/((1+Economics!$B$3)^(U$3-$B$3)),"")</f>
        <v/>
      </c>
      <c r="V99" s="669" t="str">
        <f>IF(V$3&lt;=time,V35*(1+Economics!$B$4)^(V$3-$B$3)/((1+Economics!$B$3)^(V$3-$B$3)),"")</f>
        <v/>
      </c>
      <c r="W99" s="669" t="str">
        <f>IF(W$3&lt;=time,W35*(1+Economics!$B$4)^(W$3-$B$3)/((1+Economics!$B$3)^(W$3-$B$3)),"")</f>
        <v/>
      </c>
      <c r="X99" s="669" t="str">
        <f>IF(X$3&lt;=time,X35*(1+Economics!$B$4)^(X$3-$B$3)/((1+Economics!$B$3)^(X$3-$B$3)),"")</f>
        <v/>
      </c>
      <c r="Y99" s="669" t="str">
        <f>IF(Y$3&lt;=time,Y35*(1+Economics!$B$4)^(Y$3-$B$3)/((1+Economics!$B$3)^(Y$3-$B$3)),"")</f>
        <v/>
      </c>
      <c r="Z99" s="669" t="str">
        <f>IF(Z$3&lt;=time,Z35*(1+Economics!$B$4)^(Z$3-$B$3)/((1+Economics!$B$3)^(Z$3-$B$3)),"")</f>
        <v/>
      </c>
      <c r="AA99" s="1013">
        <f t="array" ref="AA99">(SUM( IF(ISERROR(B99:Z99),"", B99:Z99)))</f>
        <v>0</v>
      </c>
      <c r="AB99" s="1014">
        <f t="shared" si="6"/>
        <v>0</v>
      </c>
    </row>
    <row r="100" spans="1:29" ht="31">
      <c r="A100" s="440" t="s">
        <v>417</v>
      </c>
      <c r="B100" s="669">
        <f>IF(B$3&lt;=time,B36*(1+Economics!$B$4)^(B$3-$B$3)/((1+Economics!$B$3)^(B$3-$B$3)),"")</f>
        <v>0</v>
      </c>
      <c r="C100" s="669">
        <f>IF(C$3&lt;=time,C36*(1+Economics!$B$4)^(C$3-$B$3)/((1+Economics!$B$3)^(C$3-$B$3)),"")</f>
        <v>0</v>
      </c>
      <c r="D100" s="669">
        <f>IF(D$3&lt;=time,D36*(1+Economics!$B$4)^(D$3-$B$3)/((1+Economics!$B$3)^(D$3-$B$3)),"")</f>
        <v>0</v>
      </c>
      <c r="E100" s="669">
        <f>IF(E$3&lt;=time,E36*(1+Economics!$B$4)^(E$3-$B$3)/((1+Economics!$B$3)^(E$3-$B$3)),"")</f>
        <v>0</v>
      </c>
      <c r="F100" s="669">
        <f>IF(F$3&lt;=time,F36*(1+Economics!$B$4)^(F$3-$B$3)/((1+Economics!$B$3)^(F$3-$B$3)),"")</f>
        <v>0</v>
      </c>
      <c r="G100" s="669" t="str">
        <f>IF(G$3&lt;=time,G36*(1+Economics!$B$4)^(G$3-$B$3)/((1+Economics!$B$3)^(G$3-$B$3)),"")</f>
        <v/>
      </c>
      <c r="H100" s="669" t="str">
        <f>IF(H$3&lt;=time,H36*(1+Economics!$B$4)^(H$3-$B$3)/((1+Economics!$B$3)^(H$3-$B$3)),"")</f>
        <v/>
      </c>
      <c r="I100" s="669" t="str">
        <f>IF(I$3&lt;=time,I36*(1+Economics!$B$4)^(I$3-$B$3)/((1+Economics!$B$3)^(I$3-$B$3)),"")</f>
        <v/>
      </c>
      <c r="J100" s="669" t="str">
        <f>IF(J$3&lt;=time,J36*(1+Economics!$B$4)^(J$3-$B$3)/((1+Economics!$B$3)^(J$3-$B$3)),"")</f>
        <v/>
      </c>
      <c r="K100" s="669" t="str">
        <f>IF(K$3&lt;=time,K36*(1+Economics!$B$4)^(K$3-$B$3)/((1+Economics!$B$3)^(K$3-$B$3)),"")</f>
        <v/>
      </c>
      <c r="L100" s="669" t="str">
        <f>IF(L$3&lt;=time,L36*(1+Economics!$B$4)^(L$3-$B$3)/((1+Economics!$B$3)^(L$3-$B$3)),"")</f>
        <v/>
      </c>
      <c r="M100" s="669" t="str">
        <f>IF(M$3&lt;=time,M36*(1+Economics!$B$4)^(M$3-$B$3)/((1+Economics!$B$3)^(M$3-$B$3)),"")</f>
        <v/>
      </c>
      <c r="N100" s="669" t="str">
        <f>IF(N$3&lt;=time,N36*(1+Economics!$B$4)^(N$3-$B$3)/((1+Economics!$B$3)^(N$3-$B$3)),"")</f>
        <v/>
      </c>
      <c r="O100" s="669" t="str">
        <f>IF(O$3&lt;=time,O36*(1+Economics!$B$4)^(O$3-$B$3)/((1+Economics!$B$3)^(O$3-$B$3)),"")</f>
        <v/>
      </c>
      <c r="P100" s="669" t="str">
        <f>IF(P$3&lt;=time,P36*(1+Economics!$B$4)^(P$3-$B$3)/((1+Economics!$B$3)^(P$3-$B$3)),"")</f>
        <v/>
      </c>
      <c r="Q100" s="669" t="str">
        <f>IF(Q$3&lt;=time,Q36*(1+Economics!$B$4)^(Q$3-$B$3)/((1+Economics!$B$3)^(Q$3-$B$3)),"")</f>
        <v/>
      </c>
      <c r="R100" s="669" t="str">
        <f>IF(R$3&lt;=time,R36*(1+Economics!$B$4)^(R$3-$B$3)/((1+Economics!$B$3)^(R$3-$B$3)),"")</f>
        <v/>
      </c>
      <c r="S100" s="669" t="str">
        <f>IF(S$3&lt;=time,S36*(1+Economics!$B$4)^(S$3-$B$3)/((1+Economics!$B$3)^(S$3-$B$3)),"")</f>
        <v/>
      </c>
      <c r="T100" s="669" t="str">
        <f>IF(T$3&lt;=time,T36*(1+Economics!$B$4)^(T$3-$B$3)/((1+Economics!$B$3)^(T$3-$B$3)),"")</f>
        <v/>
      </c>
      <c r="U100" s="669" t="str">
        <f>IF(U$3&lt;=time,U36*(1+Economics!$B$4)^(U$3-$B$3)/((1+Economics!$B$3)^(U$3-$B$3)),"")</f>
        <v/>
      </c>
      <c r="V100" s="669" t="str">
        <f>IF(V$3&lt;=time,V36*(1+Economics!$B$4)^(V$3-$B$3)/((1+Economics!$B$3)^(V$3-$B$3)),"")</f>
        <v/>
      </c>
      <c r="W100" s="669" t="str">
        <f>IF(W$3&lt;=time,W36*(1+Economics!$B$4)^(W$3-$B$3)/((1+Economics!$B$3)^(W$3-$B$3)),"")</f>
        <v/>
      </c>
      <c r="X100" s="669" t="str">
        <f>IF(X$3&lt;=time,X36*(1+Economics!$B$4)^(X$3-$B$3)/((1+Economics!$B$3)^(X$3-$B$3)),"")</f>
        <v/>
      </c>
      <c r="Y100" s="669" t="str">
        <f>IF(Y$3&lt;=time,Y36*(1+Economics!$B$4)^(Y$3-$B$3)/((1+Economics!$B$3)^(Y$3-$B$3)),"")</f>
        <v/>
      </c>
      <c r="Z100" s="669" t="str">
        <f>IF(Z$3&lt;=time,Z36*(1+Economics!$B$4)^(Z$3-$B$3)/((1+Economics!$B$3)^(Z$3-$B$3)),"")</f>
        <v/>
      </c>
      <c r="AA100" s="1013">
        <f t="array" ref="AA100">(SUM( IF(ISERROR(B100:Z100),"", B100:Z100)))</f>
        <v>0</v>
      </c>
      <c r="AB100" s="1014">
        <f t="shared" si="6"/>
        <v>0</v>
      </c>
    </row>
    <row r="101" spans="1:29" ht="16" thickBot="1">
      <c r="A101" s="441" t="s">
        <v>418</v>
      </c>
      <c r="B101" s="670">
        <f>IF(B$3&lt;=time,B37*(1+Economics!$B$4)^(B$3-$B$3)/((1+Economics!$B$3)^(B$3-$B$3)),"")</f>
        <v>0</v>
      </c>
      <c r="C101" s="670">
        <f>IF(C$3&lt;=time,C37*(1+Economics!$B$4)^(C$3-$B$3)/((1+Economics!$B$3)^(C$3-$B$3)),"")</f>
        <v>0</v>
      </c>
      <c r="D101" s="670">
        <f>IF(D$3&lt;=time,D37*(1+Economics!$B$4)^(D$3-$B$3)/((1+Economics!$B$3)^(D$3-$B$3)),"")</f>
        <v>0</v>
      </c>
      <c r="E101" s="670">
        <f>IF(E$3&lt;=time,E37*(1+Economics!$B$4)^(E$3-$B$3)/((1+Economics!$B$3)^(E$3-$B$3)),"")</f>
        <v>0</v>
      </c>
      <c r="F101" s="670">
        <f>IF(F$3&lt;=time,F37*(1+Economics!$B$4)^(F$3-$B$3)/((1+Economics!$B$3)^(F$3-$B$3)),"")</f>
        <v>0</v>
      </c>
      <c r="G101" s="670" t="str">
        <f>IF(G$3&lt;=time,G37*(1+Economics!$B$4)^(G$3-$B$3)/((1+Economics!$B$3)^(G$3-$B$3)),"")</f>
        <v/>
      </c>
      <c r="H101" s="670" t="str">
        <f>IF(H$3&lt;=time,H37*(1+Economics!$B$4)^(H$3-$B$3)/((1+Economics!$B$3)^(H$3-$B$3)),"")</f>
        <v/>
      </c>
      <c r="I101" s="670" t="str">
        <f>IF(I$3&lt;=time,I37*(1+Economics!$B$4)^(I$3-$B$3)/((1+Economics!$B$3)^(I$3-$B$3)),"")</f>
        <v/>
      </c>
      <c r="J101" s="670" t="str">
        <f>IF(J$3&lt;=time,J37*(1+Economics!$B$4)^(J$3-$B$3)/((1+Economics!$B$3)^(J$3-$B$3)),"")</f>
        <v/>
      </c>
      <c r="K101" s="670" t="str">
        <f>IF(K$3&lt;=time,K37*(1+Economics!$B$4)^(K$3-$B$3)/((1+Economics!$B$3)^(K$3-$B$3)),"")</f>
        <v/>
      </c>
      <c r="L101" s="670" t="str">
        <f>IF(L$3&lt;=time,L37*(1+Economics!$B$4)^(L$3-$B$3)/((1+Economics!$B$3)^(L$3-$B$3)),"")</f>
        <v/>
      </c>
      <c r="M101" s="670" t="str">
        <f>IF(M$3&lt;=time,M37*(1+Economics!$B$4)^(M$3-$B$3)/((1+Economics!$B$3)^(M$3-$B$3)),"")</f>
        <v/>
      </c>
      <c r="N101" s="670" t="str">
        <f>IF(N$3&lt;=time,N37*(1+Economics!$B$4)^(N$3-$B$3)/((1+Economics!$B$3)^(N$3-$B$3)),"")</f>
        <v/>
      </c>
      <c r="O101" s="670" t="str">
        <f>IF(O$3&lt;=time,O37*(1+Economics!$B$4)^(O$3-$B$3)/((1+Economics!$B$3)^(O$3-$B$3)),"")</f>
        <v/>
      </c>
      <c r="P101" s="670" t="str">
        <f>IF(P$3&lt;=time,P37*(1+Economics!$B$4)^(P$3-$B$3)/((1+Economics!$B$3)^(P$3-$B$3)),"")</f>
        <v/>
      </c>
      <c r="Q101" s="670" t="str">
        <f>IF(Q$3&lt;=time,Q37*(1+Economics!$B$4)^(Q$3-$B$3)/((1+Economics!$B$3)^(Q$3-$B$3)),"")</f>
        <v/>
      </c>
      <c r="R101" s="670" t="str">
        <f>IF(R$3&lt;=time,R37*(1+Economics!$B$4)^(R$3-$B$3)/((1+Economics!$B$3)^(R$3-$B$3)),"")</f>
        <v/>
      </c>
      <c r="S101" s="670" t="str">
        <f>IF(S$3&lt;=time,S37*(1+Economics!$B$4)^(S$3-$B$3)/((1+Economics!$B$3)^(S$3-$B$3)),"")</f>
        <v/>
      </c>
      <c r="T101" s="670" t="str">
        <f>IF(T$3&lt;=time,T37*(1+Economics!$B$4)^(T$3-$B$3)/((1+Economics!$B$3)^(T$3-$B$3)),"")</f>
        <v/>
      </c>
      <c r="U101" s="670" t="str">
        <f>IF(U$3&lt;=time,U37*(1+Economics!$B$4)^(U$3-$B$3)/((1+Economics!$B$3)^(U$3-$B$3)),"")</f>
        <v/>
      </c>
      <c r="V101" s="670" t="str">
        <f>IF(V$3&lt;=time,V37*(1+Economics!$B$4)^(V$3-$B$3)/((1+Economics!$B$3)^(V$3-$B$3)),"")</f>
        <v/>
      </c>
      <c r="W101" s="670" t="str">
        <f>IF(W$3&lt;=time,W37*(1+Economics!$B$4)^(W$3-$B$3)/((1+Economics!$B$3)^(W$3-$B$3)),"")</f>
        <v/>
      </c>
      <c r="X101" s="670" t="str">
        <f>IF(X$3&lt;=time,X37*(1+Economics!$B$4)^(X$3-$B$3)/((1+Economics!$B$3)^(X$3-$B$3)),"")</f>
        <v/>
      </c>
      <c r="Y101" s="670" t="str">
        <f>IF(Y$3&lt;=time,Y37*(1+Economics!$B$4)^(Y$3-$B$3)/((1+Economics!$B$3)^(Y$3-$B$3)),"")</f>
        <v/>
      </c>
      <c r="Z101" s="670" t="str">
        <f>IF(Z$3&lt;=time,Z37*(1+Economics!$B$4)^(Z$3-$B$3)/((1+Economics!$B$3)^(Z$3-$B$3)),"")</f>
        <v/>
      </c>
      <c r="AA101" s="1015">
        <f t="array" ref="AA101">(SUM( IF(ISERROR(B101:Z101),"", B101:Z101)))</f>
        <v>0</v>
      </c>
      <c r="AB101" s="1016">
        <f t="shared" si="6"/>
        <v>0</v>
      </c>
    </row>
    <row r="102" spans="1:29" ht="31.5" thickBot="1">
      <c r="A102" s="984" t="s">
        <v>419</v>
      </c>
      <c r="B102" s="1019">
        <f>IF(B$3&lt;=time,B38*(1+Economics!$B$4)^(B$3-$B$3)/((1+Economics!$B$3)^(B$3-$B$3)),"")</f>
        <v>0</v>
      </c>
      <c r="C102" s="1019">
        <f>IF(C$3&lt;=time,C38*(1+Economics!$B$4)^(C$3-$B$3)/((1+Economics!$B$3)^(C$3-$B$3)),"")</f>
        <v>0</v>
      </c>
      <c r="D102" s="1019">
        <f>IF(D$3&lt;=time,D38*(1+Economics!$B$4)^(D$3-$B$3)/((1+Economics!$B$3)^(D$3-$B$3)),"")</f>
        <v>0</v>
      </c>
      <c r="E102" s="1019">
        <f>IF(E$3&lt;=time,E38*(1+Economics!$B$4)^(E$3-$B$3)/((1+Economics!$B$3)^(E$3-$B$3)),"")</f>
        <v>0</v>
      </c>
      <c r="F102" s="1019">
        <f>IF(F$3&lt;=time,F38*(1+Economics!$B$4)^(F$3-$B$3)/((1+Economics!$B$3)^(F$3-$B$3)),"")</f>
        <v>0</v>
      </c>
      <c r="G102" s="1019" t="str">
        <f>IF(G$3&lt;=time,G38*(1+Economics!$B$4)^(G$3-$B$3)/((1+Economics!$B$3)^(G$3-$B$3)),"")</f>
        <v/>
      </c>
      <c r="H102" s="1019" t="str">
        <f>IF(H$3&lt;=time,H38*(1+Economics!$B$4)^(H$3-$B$3)/((1+Economics!$B$3)^(H$3-$B$3)),"")</f>
        <v/>
      </c>
      <c r="I102" s="1019" t="str">
        <f>IF(I$3&lt;=time,I38*(1+Economics!$B$4)^(I$3-$B$3)/((1+Economics!$B$3)^(I$3-$B$3)),"")</f>
        <v/>
      </c>
      <c r="J102" s="1019" t="str">
        <f>IF(J$3&lt;=time,J38*(1+Economics!$B$4)^(J$3-$B$3)/((1+Economics!$B$3)^(J$3-$B$3)),"")</f>
        <v/>
      </c>
      <c r="K102" s="1019" t="str">
        <f>IF(K$3&lt;=time,K38*(1+Economics!$B$4)^(K$3-$B$3)/((1+Economics!$B$3)^(K$3-$B$3)),"")</f>
        <v/>
      </c>
      <c r="L102" s="1019" t="str">
        <f>IF(L$3&lt;=time,L38*(1+Economics!$B$4)^(L$3-$B$3)/((1+Economics!$B$3)^(L$3-$B$3)),"")</f>
        <v/>
      </c>
      <c r="M102" s="1019" t="str">
        <f>IF(M$3&lt;=time,M38*(1+Economics!$B$4)^(M$3-$B$3)/((1+Economics!$B$3)^(M$3-$B$3)),"")</f>
        <v/>
      </c>
      <c r="N102" s="1019" t="str">
        <f>IF(N$3&lt;=time,N38*(1+Economics!$B$4)^(N$3-$B$3)/((1+Economics!$B$3)^(N$3-$B$3)),"")</f>
        <v/>
      </c>
      <c r="O102" s="1019" t="str">
        <f>IF(O$3&lt;=time,O38*(1+Economics!$B$4)^(O$3-$B$3)/((1+Economics!$B$3)^(O$3-$B$3)),"")</f>
        <v/>
      </c>
      <c r="P102" s="1019" t="str">
        <f>IF(P$3&lt;=time,P38*(1+Economics!$B$4)^(P$3-$B$3)/((1+Economics!$B$3)^(P$3-$B$3)),"")</f>
        <v/>
      </c>
      <c r="Q102" s="1019" t="str">
        <f>IF(Q$3&lt;=time,Q38*(1+Economics!$B$4)^(Q$3-$B$3)/((1+Economics!$B$3)^(Q$3-$B$3)),"")</f>
        <v/>
      </c>
      <c r="R102" s="1019" t="str">
        <f>IF(R$3&lt;=time,R38*(1+Economics!$B$4)^(R$3-$B$3)/((1+Economics!$B$3)^(R$3-$B$3)),"")</f>
        <v/>
      </c>
      <c r="S102" s="1019" t="str">
        <f>IF(S$3&lt;=time,S38*(1+Economics!$B$4)^(S$3-$B$3)/((1+Economics!$B$3)^(S$3-$B$3)),"")</f>
        <v/>
      </c>
      <c r="T102" s="1019" t="str">
        <f>IF(T$3&lt;=time,T38*(1+Economics!$B$4)^(T$3-$B$3)/((1+Economics!$B$3)^(T$3-$B$3)),"")</f>
        <v/>
      </c>
      <c r="U102" s="1019" t="str">
        <f>IF(U$3&lt;=time,U38*(1+Economics!$B$4)^(U$3-$B$3)/((1+Economics!$B$3)^(U$3-$B$3)),"")</f>
        <v/>
      </c>
      <c r="V102" s="1019" t="str">
        <f>IF(V$3&lt;=time,V38*(1+Economics!$B$4)^(V$3-$B$3)/((1+Economics!$B$3)^(V$3-$B$3)),"")</f>
        <v/>
      </c>
      <c r="W102" s="1019" t="str">
        <f>IF(W$3&lt;=time,W38*(1+Economics!$B$4)^(W$3-$B$3)/((1+Economics!$B$3)^(W$3-$B$3)),"")</f>
        <v/>
      </c>
      <c r="X102" s="1019" t="str">
        <f>IF(X$3&lt;=time,X38*(1+Economics!$B$4)^(X$3-$B$3)/((1+Economics!$B$3)^(X$3-$B$3)),"")</f>
        <v/>
      </c>
      <c r="Y102" s="1019" t="str">
        <f>IF(Y$3&lt;=time,Y38*(1+Economics!$B$4)^(Y$3-$B$3)/((1+Economics!$B$3)^(Y$3-$B$3)),"")</f>
        <v/>
      </c>
      <c r="Z102" s="1019" t="str">
        <f>IF(Z$3&lt;=time,Z38*(1+Economics!$B$4)^(Z$3-$B$3)/((1+Economics!$B$3)^(Z$3-$B$3)),"")</f>
        <v/>
      </c>
      <c r="AA102" s="977">
        <f t="array" ref="AA102">(SUM( IF(ISERROR(B102:Z102),"", B102:Z102)))</f>
        <v>0</v>
      </c>
      <c r="AB102" s="1017">
        <f t="shared" si="6"/>
        <v>0</v>
      </c>
    </row>
    <row r="103" spans="1:29" ht="16" thickBot="1">
      <c r="A103" s="672" t="s">
        <v>524</v>
      </c>
      <c r="B103" s="673"/>
      <c r="C103" s="673"/>
      <c r="D103" s="673"/>
      <c r="E103" s="673"/>
      <c r="F103" s="673"/>
      <c r="G103" s="673"/>
      <c r="H103" s="673"/>
      <c r="I103" s="673"/>
      <c r="J103" s="673"/>
      <c r="K103" s="673"/>
      <c r="L103" s="673"/>
      <c r="M103" s="673"/>
      <c r="N103" s="673"/>
      <c r="O103" s="673"/>
      <c r="P103" s="673"/>
      <c r="Q103" s="673"/>
      <c r="R103" s="673"/>
      <c r="S103" s="673"/>
      <c r="T103" s="673"/>
      <c r="U103" s="673"/>
      <c r="V103" s="673"/>
      <c r="W103" s="673"/>
      <c r="X103" s="673"/>
      <c r="Y103" s="673"/>
      <c r="Z103" s="673"/>
      <c r="AA103" s="661"/>
      <c r="AB103" s="662"/>
    </row>
    <row r="104" spans="1:29" hidden="1">
      <c r="A104" s="440" t="s">
        <v>526</v>
      </c>
      <c r="B104" s="669">
        <f>IF(B$3&lt;=time,B40*(1+Economics!$B$4)^(B$3-$B$3)/((1+Economics!$B$3)^(B$3-$B$3)),"")</f>
        <v>0</v>
      </c>
      <c r="C104" s="669">
        <f>IF(C$3&lt;=time,C40*(1+Economics!$B$4)^(C$3-$B$3)/((1+Economics!$B$3)^(C$3-$B$3)),"")</f>
        <v>0</v>
      </c>
      <c r="D104" s="669">
        <f>IF(D$3&lt;=time,D40*(1+Economics!$B$4)^(D$3-$B$3)/((1+Economics!$B$3)^(D$3-$B$3)),"")</f>
        <v>0</v>
      </c>
      <c r="E104" s="669">
        <f>IF(E$3&lt;=time,E40*(1+Economics!$B$4)^(E$3-$B$3)/((1+Economics!$B$3)^(E$3-$B$3)),"")</f>
        <v>0</v>
      </c>
      <c r="F104" s="669">
        <f>IF(F$3&lt;=time,F40*(1+Economics!$B$4)^(F$3-$B$3)/((1+Economics!$B$3)^(F$3-$B$3)),"")</f>
        <v>0</v>
      </c>
      <c r="G104" s="669" t="str">
        <f>IF(G$3&lt;=time,G40*(1+Economics!$B$4)^(G$3-$B$3)/((1+Economics!$B$3)^(G$3-$B$3)),"")</f>
        <v/>
      </c>
      <c r="H104" s="669" t="str">
        <f>IF(H$3&lt;=time,H40*(1+Economics!$B$4)^(H$3-$B$3)/((1+Economics!$B$3)^(H$3-$B$3)),"")</f>
        <v/>
      </c>
      <c r="I104" s="669" t="str">
        <f>IF(I$3&lt;=time,I40*(1+Economics!$B$4)^(I$3-$B$3)/((1+Economics!$B$3)^(I$3-$B$3)),"")</f>
        <v/>
      </c>
      <c r="J104" s="669" t="str">
        <f>IF(J$3&lt;=time,J40*(1+Economics!$B$4)^(J$3-$B$3)/((1+Economics!$B$3)^(J$3-$B$3)),"")</f>
        <v/>
      </c>
      <c r="K104" s="669" t="str">
        <f>IF(K$3&lt;=time,K40*(1+Economics!$B$4)^(K$3-$B$3)/((1+Economics!$B$3)^(K$3-$B$3)),"")</f>
        <v/>
      </c>
      <c r="L104" s="669" t="str">
        <f>IF(L$3&lt;=time,L40*(1+Economics!$B$4)^(L$3-$B$3)/((1+Economics!$B$3)^(L$3-$B$3)),"")</f>
        <v/>
      </c>
      <c r="M104" s="669" t="str">
        <f>IF(M$3&lt;=time,M40*(1+Economics!$B$4)^(M$3-$B$3)/((1+Economics!$B$3)^(M$3-$B$3)),"")</f>
        <v/>
      </c>
      <c r="N104" s="669" t="str">
        <f>IF(N$3&lt;=time,N40*(1+Economics!$B$4)^(N$3-$B$3)/((1+Economics!$B$3)^(N$3-$B$3)),"")</f>
        <v/>
      </c>
      <c r="O104" s="669" t="str">
        <f>IF(O$3&lt;=time,O40*(1+Economics!$B$4)^(O$3-$B$3)/((1+Economics!$B$3)^(O$3-$B$3)),"")</f>
        <v/>
      </c>
      <c r="P104" s="669" t="str">
        <f>IF(P$3&lt;=time,P40*(1+Economics!$B$4)^(P$3-$B$3)/((1+Economics!$B$3)^(P$3-$B$3)),"")</f>
        <v/>
      </c>
      <c r="Q104" s="669" t="str">
        <f>IF(Q$3&lt;=time,Q40*(1+Economics!$B$4)^(Q$3-$B$3)/((1+Economics!$B$3)^(Q$3-$B$3)),"")</f>
        <v/>
      </c>
      <c r="R104" s="669" t="str">
        <f>IF(R$3&lt;=time,R40*(1+Economics!$B$4)^(R$3-$B$3)/((1+Economics!$B$3)^(R$3-$B$3)),"")</f>
        <v/>
      </c>
      <c r="S104" s="669" t="str">
        <f>IF(S$3&lt;=time,S40*(1+Economics!$B$4)^(S$3-$B$3)/((1+Economics!$B$3)^(S$3-$B$3)),"")</f>
        <v/>
      </c>
      <c r="T104" s="669" t="str">
        <f>IF(T$3&lt;=time,T40*(1+Economics!$B$4)^(T$3-$B$3)/((1+Economics!$B$3)^(T$3-$B$3)),"")</f>
        <v/>
      </c>
      <c r="U104" s="669" t="str">
        <f>IF(U$3&lt;=time,U40*(1+Economics!$B$4)^(U$3-$B$3)/((1+Economics!$B$3)^(U$3-$B$3)),"")</f>
        <v/>
      </c>
      <c r="V104" s="669" t="str">
        <f>IF(V$3&lt;=time,V40*(1+Economics!$B$4)^(V$3-$B$3)/((1+Economics!$B$3)^(V$3-$B$3)),"")</f>
        <v/>
      </c>
      <c r="W104" s="669" t="str">
        <f>IF(W$3&lt;=time,W40*(1+Economics!$B$4)^(W$3-$B$3)/((1+Economics!$B$3)^(W$3-$B$3)),"")</f>
        <v/>
      </c>
      <c r="X104" s="669" t="str">
        <f>IF(X$3&lt;=time,X40*(1+Economics!$B$4)^(X$3-$B$3)/((1+Economics!$B$3)^(X$3-$B$3)),"")</f>
        <v/>
      </c>
      <c r="Y104" s="669" t="str">
        <f>IF(Y$3&lt;=time,Y40*(1+Economics!$B$4)^(Y$3-$B$3)/((1+Economics!$B$3)^(Y$3-$B$3)),"")</f>
        <v/>
      </c>
      <c r="Z104" s="669" t="str">
        <f>IF(Z$3&lt;=time,Z40*(1+Economics!$B$4)^(Z$3-$B$3)/((1+Economics!$B$3)^(Z$3-$B$3)),"")</f>
        <v/>
      </c>
      <c r="AA104" s="651">
        <f t="array" ref="AA104">(SUM( IF(ISERROR(B104:Z104),"", B104:Z104)))</f>
        <v>0</v>
      </c>
      <c r="AB104" s="652">
        <f t="shared" ref="AB104" si="7">AA104/time</f>
        <v>0</v>
      </c>
      <c r="AC104" s="529">
        <v>1</v>
      </c>
    </row>
    <row r="105" spans="1:29" hidden="1">
      <c r="A105" s="440" t="s">
        <v>527</v>
      </c>
      <c r="B105" s="669">
        <f>IF(B$3&lt;=time,B41*(1+Economics!$B$4)^(B$3-$B$3)/((1+Economics!$B$3)^(B$3-$B$3)),"")</f>
        <v>0</v>
      </c>
      <c r="C105" s="669">
        <f>IF(C$3&lt;=time,C41*(1+Economics!$B$4)^(C$3-$B$3)/((1+Economics!$B$3)^(C$3-$B$3)),"")</f>
        <v>0</v>
      </c>
      <c r="D105" s="669">
        <f>IF(D$3&lt;=time,D41*(1+Economics!$B$4)^(D$3-$B$3)/((1+Economics!$B$3)^(D$3-$B$3)),"")</f>
        <v>0</v>
      </c>
      <c r="E105" s="669">
        <f>IF(E$3&lt;=time,E41*(1+Economics!$B$4)^(E$3-$B$3)/((1+Economics!$B$3)^(E$3-$B$3)),"")</f>
        <v>0</v>
      </c>
      <c r="F105" s="669">
        <f>IF(F$3&lt;=time,F41*(1+Economics!$B$4)^(F$3-$B$3)/((1+Economics!$B$3)^(F$3-$B$3)),"")</f>
        <v>0</v>
      </c>
      <c r="G105" s="669" t="str">
        <f>IF(G$3&lt;=time,G41*(1+Economics!$B$4)^(G$3-$B$3)/((1+Economics!$B$3)^(G$3-$B$3)),"")</f>
        <v/>
      </c>
      <c r="H105" s="669" t="str">
        <f>IF(H$3&lt;=time,H41*(1+Economics!$B$4)^(H$3-$B$3)/((1+Economics!$B$3)^(H$3-$B$3)),"")</f>
        <v/>
      </c>
      <c r="I105" s="669" t="str">
        <f>IF(I$3&lt;=time,I41*(1+Economics!$B$4)^(I$3-$B$3)/((1+Economics!$B$3)^(I$3-$B$3)),"")</f>
        <v/>
      </c>
      <c r="J105" s="669" t="str">
        <f>IF(J$3&lt;=time,J41*(1+Economics!$B$4)^(J$3-$B$3)/((1+Economics!$B$3)^(J$3-$B$3)),"")</f>
        <v/>
      </c>
      <c r="K105" s="669" t="str">
        <f>IF(K$3&lt;=time,K41*(1+Economics!$B$4)^(K$3-$B$3)/((1+Economics!$B$3)^(K$3-$B$3)),"")</f>
        <v/>
      </c>
      <c r="L105" s="669" t="str">
        <f>IF(L$3&lt;=time,L41*(1+Economics!$B$4)^(L$3-$B$3)/((1+Economics!$B$3)^(L$3-$B$3)),"")</f>
        <v/>
      </c>
      <c r="M105" s="669" t="str">
        <f>IF(M$3&lt;=time,M41*(1+Economics!$B$4)^(M$3-$B$3)/((1+Economics!$B$3)^(M$3-$B$3)),"")</f>
        <v/>
      </c>
      <c r="N105" s="669" t="str">
        <f>IF(N$3&lt;=time,N41*(1+Economics!$B$4)^(N$3-$B$3)/((1+Economics!$B$3)^(N$3-$B$3)),"")</f>
        <v/>
      </c>
      <c r="O105" s="669" t="str">
        <f>IF(O$3&lt;=time,O41*(1+Economics!$B$4)^(O$3-$B$3)/((1+Economics!$B$3)^(O$3-$B$3)),"")</f>
        <v/>
      </c>
      <c r="P105" s="669" t="str">
        <f>IF(P$3&lt;=time,P41*(1+Economics!$B$4)^(P$3-$B$3)/((1+Economics!$B$3)^(P$3-$B$3)),"")</f>
        <v/>
      </c>
      <c r="Q105" s="669" t="str">
        <f>IF(Q$3&lt;=time,Q41*(1+Economics!$B$4)^(Q$3-$B$3)/((1+Economics!$B$3)^(Q$3-$B$3)),"")</f>
        <v/>
      </c>
      <c r="R105" s="669" t="str">
        <f>IF(R$3&lt;=time,R41*(1+Economics!$B$4)^(R$3-$B$3)/((1+Economics!$B$3)^(R$3-$B$3)),"")</f>
        <v/>
      </c>
      <c r="S105" s="669" t="str">
        <f>IF(S$3&lt;=time,S41*(1+Economics!$B$4)^(S$3-$B$3)/((1+Economics!$B$3)^(S$3-$B$3)),"")</f>
        <v/>
      </c>
      <c r="T105" s="669" t="str">
        <f>IF(T$3&lt;=time,T41*(1+Economics!$B$4)^(T$3-$B$3)/((1+Economics!$B$3)^(T$3-$B$3)),"")</f>
        <v/>
      </c>
      <c r="U105" s="669" t="str">
        <f>IF(U$3&lt;=time,U41*(1+Economics!$B$4)^(U$3-$B$3)/((1+Economics!$B$3)^(U$3-$B$3)),"")</f>
        <v/>
      </c>
      <c r="V105" s="669" t="str">
        <f>IF(V$3&lt;=time,V41*(1+Economics!$B$4)^(V$3-$B$3)/((1+Economics!$B$3)^(V$3-$B$3)),"")</f>
        <v/>
      </c>
      <c r="W105" s="669" t="str">
        <f>IF(W$3&lt;=time,W41*(1+Economics!$B$4)^(W$3-$B$3)/((1+Economics!$B$3)^(W$3-$B$3)),"")</f>
        <v/>
      </c>
      <c r="X105" s="669" t="str">
        <f>IF(X$3&lt;=time,X41*(1+Economics!$B$4)^(X$3-$B$3)/((1+Economics!$B$3)^(X$3-$B$3)),"")</f>
        <v/>
      </c>
      <c r="Y105" s="669" t="str">
        <f>IF(Y$3&lt;=time,Y41*(1+Economics!$B$4)^(Y$3-$B$3)/((1+Economics!$B$3)^(Y$3-$B$3)),"")</f>
        <v/>
      </c>
      <c r="Z105" s="669" t="str">
        <f>IF(Z$3&lt;=time,Z41*(1+Economics!$B$4)^(Z$3-$B$3)/((1+Economics!$B$3)^(Z$3-$B$3)),"")</f>
        <v/>
      </c>
      <c r="AA105" s="651">
        <f t="array" ref="AA105">(SUM( IF(ISERROR(B105:Z105),"", B105:Z105)))</f>
        <v>0</v>
      </c>
      <c r="AB105" s="652">
        <f t="shared" ref="AB105:AB114" si="8">AA105/time</f>
        <v>0</v>
      </c>
      <c r="AC105" s="529">
        <v>2</v>
      </c>
    </row>
    <row r="106" spans="1:29" hidden="1">
      <c r="A106" s="440" t="s">
        <v>528</v>
      </c>
      <c r="B106" s="669">
        <f>IF(B$3&lt;=time,B42*(1+Economics!$B$4)^(B$3-$B$3)/((1+Economics!$B$3)^(B$3-$B$3)),"")</f>
        <v>0</v>
      </c>
      <c r="C106" s="669">
        <f>IF(C$3&lt;=time,C42*(1+Economics!$B$4)^(C$3-$B$3)/((1+Economics!$B$3)^(C$3-$B$3)),"")</f>
        <v>0</v>
      </c>
      <c r="D106" s="669">
        <f>IF(D$3&lt;=time,D42*(1+Economics!$B$4)^(D$3-$B$3)/((1+Economics!$B$3)^(D$3-$B$3)),"")</f>
        <v>0</v>
      </c>
      <c r="E106" s="669">
        <f>IF(E$3&lt;=time,E42*(1+Economics!$B$4)^(E$3-$B$3)/((1+Economics!$B$3)^(E$3-$B$3)),"")</f>
        <v>0</v>
      </c>
      <c r="F106" s="669">
        <f>IF(F$3&lt;=time,F42*(1+Economics!$B$4)^(F$3-$B$3)/((1+Economics!$B$3)^(F$3-$B$3)),"")</f>
        <v>0</v>
      </c>
      <c r="G106" s="669" t="str">
        <f>IF(G$3&lt;=time,G42*(1+Economics!$B$4)^(G$3-$B$3)/((1+Economics!$B$3)^(G$3-$B$3)),"")</f>
        <v/>
      </c>
      <c r="H106" s="669" t="str">
        <f>IF(H$3&lt;=time,H42*(1+Economics!$B$4)^(H$3-$B$3)/((1+Economics!$B$3)^(H$3-$B$3)),"")</f>
        <v/>
      </c>
      <c r="I106" s="669" t="str">
        <f>IF(I$3&lt;=time,I42*(1+Economics!$B$4)^(I$3-$B$3)/((1+Economics!$B$3)^(I$3-$B$3)),"")</f>
        <v/>
      </c>
      <c r="J106" s="669" t="str">
        <f>IF(J$3&lt;=time,J42*(1+Economics!$B$4)^(J$3-$B$3)/((1+Economics!$B$3)^(J$3-$B$3)),"")</f>
        <v/>
      </c>
      <c r="K106" s="669" t="str">
        <f>IF(K$3&lt;=time,K42*(1+Economics!$B$4)^(K$3-$B$3)/((1+Economics!$B$3)^(K$3-$B$3)),"")</f>
        <v/>
      </c>
      <c r="L106" s="669" t="str">
        <f>IF(L$3&lt;=time,L42*(1+Economics!$B$4)^(L$3-$B$3)/((1+Economics!$B$3)^(L$3-$B$3)),"")</f>
        <v/>
      </c>
      <c r="M106" s="669" t="str">
        <f>IF(M$3&lt;=time,M42*(1+Economics!$B$4)^(M$3-$B$3)/((1+Economics!$B$3)^(M$3-$B$3)),"")</f>
        <v/>
      </c>
      <c r="N106" s="669" t="str">
        <f>IF(N$3&lt;=time,N42*(1+Economics!$B$4)^(N$3-$B$3)/((1+Economics!$B$3)^(N$3-$B$3)),"")</f>
        <v/>
      </c>
      <c r="O106" s="669" t="str">
        <f>IF(O$3&lt;=time,O42*(1+Economics!$B$4)^(O$3-$B$3)/((1+Economics!$B$3)^(O$3-$B$3)),"")</f>
        <v/>
      </c>
      <c r="P106" s="669" t="str">
        <f>IF(P$3&lt;=time,P42*(1+Economics!$B$4)^(P$3-$B$3)/((1+Economics!$B$3)^(P$3-$B$3)),"")</f>
        <v/>
      </c>
      <c r="Q106" s="669" t="str">
        <f>IF(Q$3&lt;=time,Q42*(1+Economics!$B$4)^(Q$3-$B$3)/((1+Economics!$B$3)^(Q$3-$B$3)),"")</f>
        <v/>
      </c>
      <c r="R106" s="669" t="str">
        <f>IF(R$3&lt;=time,R42*(1+Economics!$B$4)^(R$3-$B$3)/((1+Economics!$B$3)^(R$3-$B$3)),"")</f>
        <v/>
      </c>
      <c r="S106" s="669" t="str">
        <f>IF(S$3&lt;=time,S42*(1+Economics!$B$4)^(S$3-$B$3)/((1+Economics!$B$3)^(S$3-$B$3)),"")</f>
        <v/>
      </c>
      <c r="T106" s="669" t="str">
        <f>IF(T$3&lt;=time,T42*(1+Economics!$B$4)^(T$3-$B$3)/((1+Economics!$B$3)^(T$3-$B$3)),"")</f>
        <v/>
      </c>
      <c r="U106" s="669" t="str">
        <f>IF(U$3&lt;=time,U42*(1+Economics!$B$4)^(U$3-$B$3)/((1+Economics!$B$3)^(U$3-$B$3)),"")</f>
        <v/>
      </c>
      <c r="V106" s="669" t="str">
        <f>IF(V$3&lt;=time,V42*(1+Economics!$B$4)^(V$3-$B$3)/((1+Economics!$B$3)^(V$3-$B$3)),"")</f>
        <v/>
      </c>
      <c r="W106" s="669" t="str">
        <f>IF(W$3&lt;=time,W42*(1+Economics!$B$4)^(W$3-$B$3)/((1+Economics!$B$3)^(W$3-$B$3)),"")</f>
        <v/>
      </c>
      <c r="X106" s="669" t="str">
        <f>IF(X$3&lt;=time,X42*(1+Economics!$B$4)^(X$3-$B$3)/((1+Economics!$B$3)^(X$3-$B$3)),"")</f>
        <v/>
      </c>
      <c r="Y106" s="669" t="str">
        <f>IF(Y$3&lt;=time,Y42*(1+Economics!$B$4)^(Y$3-$B$3)/((1+Economics!$B$3)^(Y$3-$B$3)),"")</f>
        <v/>
      </c>
      <c r="Z106" s="669" t="str">
        <f>IF(Z$3&lt;=time,Z42*(1+Economics!$B$4)^(Z$3-$B$3)/((1+Economics!$B$3)^(Z$3-$B$3)),"")</f>
        <v/>
      </c>
      <c r="AA106" s="651">
        <f t="array" ref="AA106">(SUM( IF(ISERROR(B106:Z106),"", B106:Z106)))</f>
        <v>0</v>
      </c>
      <c r="AB106" s="652">
        <f t="shared" si="8"/>
        <v>0</v>
      </c>
      <c r="AC106" s="529">
        <v>3</v>
      </c>
    </row>
    <row r="107" spans="1:29" hidden="1">
      <c r="A107" s="440" t="s">
        <v>529</v>
      </c>
      <c r="B107" s="669">
        <f>IF(B$3&lt;=time,B43*(1+Economics!$B$4)^(B$3-$B$3)/((1+Economics!$B$3)^(B$3-$B$3)),"")</f>
        <v>0</v>
      </c>
      <c r="C107" s="669">
        <f>IF(C$3&lt;=time,C43*(1+Economics!$B$4)^(C$3-$B$3)/((1+Economics!$B$3)^(C$3-$B$3)),"")</f>
        <v>0</v>
      </c>
      <c r="D107" s="669">
        <f>IF(D$3&lt;=time,D43*(1+Economics!$B$4)^(D$3-$B$3)/((1+Economics!$B$3)^(D$3-$B$3)),"")</f>
        <v>0</v>
      </c>
      <c r="E107" s="669">
        <f>IF(E$3&lt;=time,E43*(1+Economics!$B$4)^(E$3-$B$3)/((1+Economics!$B$3)^(E$3-$B$3)),"")</f>
        <v>0</v>
      </c>
      <c r="F107" s="669">
        <f>IF(F$3&lt;=time,F43*(1+Economics!$B$4)^(F$3-$B$3)/((1+Economics!$B$3)^(F$3-$B$3)),"")</f>
        <v>0</v>
      </c>
      <c r="G107" s="669" t="str">
        <f>IF(G$3&lt;=time,G43*(1+Economics!$B$4)^(G$3-$B$3)/((1+Economics!$B$3)^(G$3-$B$3)),"")</f>
        <v/>
      </c>
      <c r="H107" s="669" t="str">
        <f>IF(H$3&lt;=time,H43*(1+Economics!$B$4)^(H$3-$B$3)/((1+Economics!$B$3)^(H$3-$B$3)),"")</f>
        <v/>
      </c>
      <c r="I107" s="669" t="str">
        <f>IF(I$3&lt;=time,I43*(1+Economics!$B$4)^(I$3-$B$3)/((1+Economics!$B$3)^(I$3-$B$3)),"")</f>
        <v/>
      </c>
      <c r="J107" s="669" t="str">
        <f>IF(J$3&lt;=time,J43*(1+Economics!$B$4)^(J$3-$B$3)/((1+Economics!$B$3)^(J$3-$B$3)),"")</f>
        <v/>
      </c>
      <c r="K107" s="669" t="str">
        <f>IF(K$3&lt;=time,K43*(1+Economics!$B$4)^(K$3-$B$3)/((1+Economics!$B$3)^(K$3-$B$3)),"")</f>
        <v/>
      </c>
      <c r="L107" s="669" t="str">
        <f>IF(L$3&lt;=time,L43*(1+Economics!$B$4)^(L$3-$B$3)/((1+Economics!$B$3)^(L$3-$B$3)),"")</f>
        <v/>
      </c>
      <c r="M107" s="669" t="str">
        <f>IF(M$3&lt;=time,M43*(1+Economics!$B$4)^(M$3-$B$3)/((1+Economics!$B$3)^(M$3-$B$3)),"")</f>
        <v/>
      </c>
      <c r="N107" s="669" t="str">
        <f>IF(N$3&lt;=time,N43*(1+Economics!$B$4)^(N$3-$B$3)/((1+Economics!$B$3)^(N$3-$B$3)),"")</f>
        <v/>
      </c>
      <c r="O107" s="669" t="str">
        <f>IF(O$3&lt;=time,O43*(1+Economics!$B$4)^(O$3-$B$3)/((1+Economics!$B$3)^(O$3-$B$3)),"")</f>
        <v/>
      </c>
      <c r="P107" s="669" t="str">
        <f>IF(P$3&lt;=time,P43*(1+Economics!$B$4)^(P$3-$B$3)/((1+Economics!$B$3)^(P$3-$B$3)),"")</f>
        <v/>
      </c>
      <c r="Q107" s="669" t="str">
        <f>IF(Q$3&lt;=time,Q43*(1+Economics!$B$4)^(Q$3-$B$3)/((1+Economics!$B$3)^(Q$3-$B$3)),"")</f>
        <v/>
      </c>
      <c r="R107" s="669" t="str">
        <f>IF(R$3&lt;=time,R43*(1+Economics!$B$4)^(R$3-$B$3)/((1+Economics!$B$3)^(R$3-$B$3)),"")</f>
        <v/>
      </c>
      <c r="S107" s="669" t="str">
        <f>IF(S$3&lt;=time,S43*(1+Economics!$B$4)^(S$3-$B$3)/((1+Economics!$B$3)^(S$3-$B$3)),"")</f>
        <v/>
      </c>
      <c r="T107" s="669" t="str">
        <f>IF(T$3&lt;=time,T43*(1+Economics!$B$4)^(T$3-$B$3)/((1+Economics!$B$3)^(T$3-$B$3)),"")</f>
        <v/>
      </c>
      <c r="U107" s="669" t="str">
        <f>IF(U$3&lt;=time,U43*(1+Economics!$B$4)^(U$3-$B$3)/((1+Economics!$B$3)^(U$3-$B$3)),"")</f>
        <v/>
      </c>
      <c r="V107" s="669" t="str">
        <f>IF(V$3&lt;=time,V43*(1+Economics!$B$4)^(V$3-$B$3)/((1+Economics!$B$3)^(V$3-$B$3)),"")</f>
        <v/>
      </c>
      <c r="W107" s="669" t="str">
        <f>IF(W$3&lt;=time,W43*(1+Economics!$B$4)^(W$3-$B$3)/((1+Economics!$B$3)^(W$3-$B$3)),"")</f>
        <v/>
      </c>
      <c r="X107" s="669" t="str">
        <f>IF(X$3&lt;=time,X43*(1+Economics!$B$4)^(X$3-$B$3)/((1+Economics!$B$3)^(X$3-$B$3)),"")</f>
        <v/>
      </c>
      <c r="Y107" s="669" t="str">
        <f>IF(Y$3&lt;=time,Y43*(1+Economics!$B$4)^(Y$3-$B$3)/((1+Economics!$B$3)^(Y$3-$B$3)),"")</f>
        <v/>
      </c>
      <c r="Z107" s="669" t="str">
        <f>IF(Z$3&lt;=time,Z43*(1+Economics!$B$4)^(Z$3-$B$3)/((1+Economics!$B$3)^(Z$3-$B$3)),"")</f>
        <v/>
      </c>
      <c r="AA107" s="651">
        <f t="array" ref="AA107">(SUM( IF(ISERROR(B107:Z107),"", B107:Z107)))</f>
        <v>0</v>
      </c>
      <c r="AB107" s="652">
        <f t="shared" si="8"/>
        <v>0</v>
      </c>
      <c r="AC107" s="529">
        <v>4</v>
      </c>
    </row>
    <row r="108" spans="1:29" hidden="1">
      <c r="A108" s="440" t="s">
        <v>530</v>
      </c>
      <c r="B108" s="669">
        <f>IF(B$3&lt;=time,B44*(1+Economics!$B$4)^(B$3-$B$3)/((1+Economics!$B$3)^(B$3-$B$3)),"")</f>
        <v>0</v>
      </c>
      <c r="C108" s="669">
        <f>IF(C$3&lt;=time,C44*(1+Economics!$B$4)^(C$3-$B$3)/((1+Economics!$B$3)^(C$3-$B$3)),"")</f>
        <v>0</v>
      </c>
      <c r="D108" s="669">
        <f>IF(D$3&lt;=time,D44*(1+Economics!$B$4)^(D$3-$B$3)/((1+Economics!$B$3)^(D$3-$B$3)),"")</f>
        <v>0</v>
      </c>
      <c r="E108" s="669">
        <f>IF(E$3&lt;=time,E44*(1+Economics!$B$4)^(E$3-$B$3)/((1+Economics!$B$3)^(E$3-$B$3)),"")</f>
        <v>0</v>
      </c>
      <c r="F108" s="669">
        <f>IF(F$3&lt;=time,F44*(1+Economics!$B$4)^(F$3-$B$3)/((1+Economics!$B$3)^(F$3-$B$3)),"")</f>
        <v>0</v>
      </c>
      <c r="G108" s="669" t="str">
        <f>IF(G$3&lt;=time,G44*(1+Economics!$B$4)^(G$3-$B$3)/((1+Economics!$B$3)^(G$3-$B$3)),"")</f>
        <v/>
      </c>
      <c r="H108" s="669" t="str">
        <f>IF(H$3&lt;=time,H44*(1+Economics!$B$4)^(H$3-$B$3)/((1+Economics!$B$3)^(H$3-$B$3)),"")</f>
        <v/>
      </c>
      <c r="I108" s="669" t="str">
        <f>IF(I$3&lt;=time,I44*(1+Economics!$B$4)^(I$3-$B$3)/((1+Economics!$B$3)^(I$3-$B$3)),"")</f>
        <v/>
      </c>
      <c r="J108" s="669" t="str">
        <f>IF(J$3&lt;=time,J44*(1+Economics!$B$4)^(J$3-$B$3)/((1+Economics!$B$3)^(J$3-$B$3)),"")</f>
        <v/>
      </c>
      <c r="K108" s="669" t="str">
        <f>IF(K$3&lt;=time,K44*(1+Economics!$B$4)^(K$3-$B$3)/((1+Economics!$B$3)^(K$3-$B$3)),"")</f>
        <v/>
      </c>
      <c r="L108" s="669" t="str">
        <f>IF(L$3&lt;=time,L44*(1+Economics!$B$4)^(L$3-$B$3)/((1+Economics!$B$3)^(L$3-$B$3)),"")</f>
        <v/>
      </c>
      <c r="M108" s="669" t="str">
        <f>IF(M$3&lt;=time,M44*(1+Economics!$B$4)^(M$3-$B$3)/((1+Economics!$B$3)^(M$3-$B$3)),"")</f>
        <v/>
      </c>
      <c r="N108" s="669" t="str">
        <f>IF(N$3&lt;=time,N44*(1+Economics!$B$4)^(N$3-$B$3)/((1+Economics!$B$3)^(N$3-$B$3)),"")</f>
        <v/>
      </c>
      <c r="O108" s="669" t="str">
        <f>IF(O$3&lt;=time,O44*(1+Economics!$B$4)^(O$3-$B$3)/((1+Economics!$B$3)^(O$3-$B$3)),"")</f>
        <v/>
      </c>
      <c r="P108" s="669" t="str">
        <f>IF(P$3&lt;=time,P44*(1+Economics!$B$4)^(P$3-$B$3)/((1+Economics!$B$3)^(P$3-$B$3)),"")</f>
        <v/>
      </c>
      <c r="Q108" s="669" t="str">
        <f>IF(Q$3&lt;=time,Q44*(1+Economics!$B$4)^(Q$3-$B$3)/((1+Economics!$B$3)^(Q$3-$B$3)),"")</f>
        <v/>
      </c>
      <c r="R108" s="669" t="str">
        <f>IF(R$3&lt;=time,R44*(1+Economics!$B$4)^(R$3-$B$3)/((1+Economics!$B$3)^(R$3-$B$3)),"")</f>
        <v/>
      </c>
      <c r="S108" s="669" t="str">
        <f>IF(S$3&lt;=time,S44*(1+Economics!$B$4)^(S$3-$B$3)/((1+Economics!$B$3)^(S$3-$B$3)),"")</f>
        <v/>
      </c>
      <c r="T108" s="669" t="str">
        <f>IF(T$3&lt;=time,T44*(1+Economics!$B$4)^(T$3-$B$3)/((1+Economics!$B$3)^(T$3-$B$3)),"")</f>
        <v/>
      </c>
      <c r="U108" s="669" t="str">
        <f>IF(U$3&lt;=time,U44*(1+Economics!$B$4)^(U$3-$B$3)/((1+Economics!$B$3)^(U$3-$B$3)),"")</f>
        <v/>
      </c>
      <c r="V108" s="669" t="str">
        <f>IF(V$3&lt;=time,V44*(1+Economics!$B$4)^(V$3-$B$3)/((1+Economics!$B$3)^(V$3-$B$3)),"")</f>
        <v/>
      </c>
      <c r="W108" s="669" t="str">
        <f>IF(W$3&lt;=time,W44*(1+Economics!$B$4)^(W$3-$B$3)/((1+Economics!$B$3)^(W$3-$B$3)),"")</f>
        <v/>
      </c>
      <c r="X108" s="669" t="str">
        <f>IF(X$3&lt;=time,X44*(1+Economics!$B$4)^(X$3-$B$3)/((1+Economics!$B$3)^(X$3-$B$3)),"")</f>
        <v/>
      </c>
      <c r="Y108" s="669" t="str">
        <f>IF(Y$3&lt;=time,Y44*(1+Economics!$B$4)^(Y$3-$B$3)/((1+Economics!$B$3)^(Y$3-$B$3)),"")</f>
        <v/>
      </c>
      <c r="Z108" s="669" t="str">
        <f>IF(Z$3&lt;=time,Z44*(1+Economics!$B$4)^(Z$3-$B$3)/((1+Economics!$B$3)^(Z$3-$B$3)),"")</f>
        <v/>
      </c>
      <c r="AA108" s="651">
        <f t="array" ref="AA108">(SUM( IF(ISERROR(B108:Z108),"", B108:Z108)))</f>
        <v>0</v>
      </c>
      <c r="AB108" s="652">
        <f t="shared" si="8"/>
        <v>0</v>
      </c>
      <c r="AC108" s="529">
        <v>5</v>
      </c>
    </row>
    <row r="109" spans="1:29" hidden="1">
      <c r="A109" s="440" t="s">
        <v>531</v>
      </c>
      <c r="B109" s="669">
        <f>IF(B$3&lt;=time,B45*(1+Economics!$B$4)^(B$3-$B$3)/((1+Economics!$B$3)^(B$3-$B$3)),"")</f>
        <v>0</v>
      </c>
      <c r="C109" s="669">
        <f>IF(C$3&lt;=time,C45*(1+Economics!$B$4)^(C$3-$B$3)/((1+Economics!$B$3)^(C$3-$B$3)),"")</f>
        <v>0</v>
      </c>
      <c r="D109" s="669">
        <f>IF(D$3&lt;=time,D45*(1+Economics!$B$4)^(D$3-$B$3)/((1+Economics!$B$3)^(D$3-$B$3)),"")</f>
        <v>0</v>
      </c>
      <c r="E109" s="669">
        <f>IF(E$3&lt;=time,E45*(1+Economics!$B$4)^(E$3-$B$3)/((1+Economics!$B$3)^(E$3-$B$3)),"")</f>
        <v>0</v>
      </c>
      <c r="F109" s="669">
        <f>IF(F$3&lt;=time,F45*(1+Economics!$B$4)^(F$3-$B$3)/((1+Economics!$B$3)^(F$3-$B$3)),"")</f>
        <v>0</v>
      </c>
      <c r="G109" s="669" t="str">
        <f>IF(G$3&lt;=time,G45*(1+Economics!$B$4)^(G$3-$B$3)/((1+Economics!$B$3)^(G$3-$B$3)),"")</f>
        <v/>
      </c>
      <c r="H109" s="669" t="str">
        <f>IF(H$3&lt;=time,H45*(1+Economics!$B$4)^(H$3-$B$3)/((1+Economics!$B$3)^(H$3-$B$3)),"")</f>
        <v/>
      </c>
      <c r="I109" s="669" t="str">
        <f>IF(I$3&lt;=time,I45*(1+Economics!$B$4)^(I$3-$B$3)/((1+Economics!$B$3)^(I$3-$B$3)),"")</f>
        <v/>
      </c>
      <c r="J109" s="669" t="str">
        <f>IF(J$3&lt;=time,J45*(1+Economics!$B$4)^(J$3-$B$3)/((1+Economics!$B$3)^(J$3-$B$3)),"")</f>
        <v/>
      </c>
      <c r="K109" s="669" t="str">
        <f>IF(K$3&lt;=time,K45*(1+Economics!$B$4)^(K$3-$B$3)/((1+Economics!$B$3)^(K$3-$B$3)),"")</f>
        <v/>
      </c>
      <c r="L109" s="669" t="str">
        <f>IF(L$3&lt;=time,L45*(1+Economics!$B$4)^(L$3-$B$3)/((1+Economics!$B$3)^(L$3-$B$3)),"")</f>
        <v/>
      </c>
      <c r="M109" s="669" t="str">
        <f>IF(M$3&lt;=time,M45*(1+Economics!$B$4)^(M$3-$B$3)/((1+Economics!$B$3)^(M$3-$B$3)),"")</f>
        <v/>
      </c>
      <c r="N109" s="669" t="str">
        <f>IF(N$3&lt;=time,N45*(1+Economics!$B$4)^(N$3-$B$3)/((1+Economics!$B$3)^(N$3-$B$3)),"")</f>
        <v/>
      </c>
      <c r="O109" s="669" t="str">
        <f>IF(O$3&lt;=time,O45*(1+Economics!$B$4)^(O$3-$B$3)/((1+Economics!$B$3)^(O$3-$B$3)),"")</f>
        <v/>
      </c>
      <c r="P109" s="669" t="str">
        <f>IF(P$3&lt;=time,P45*(1+Economics!$B$4)^(P$3-$B$3)/((1+Economics!$B$3)^(P$3-$B$3)),"")</f>
        <v/>
      </c>
      <c r="Q109" s="669" t="str">
        <f>IF(Q$3&lt;=time,Q45*(1+Economics!$B$4)^(Q$3-$B$3)/((1+Economics!$B$3)^(Q$3-$B$3)),"")</f>
        <v/>
      </c>
      <c r="R109" s="669" t="str">
        <f>IF(R$3&lt;=time,R45*(1+Economics!$B$4)^(R$3-$B$3)/((1+Economics!$B$3)^(R$3-$B$3)),"")</f>
        <v/>
      </c>
      <c r="S109" s="669" t="str">
        <f>IF(S$3&lt;=time,S45*(1+Economics!$B$4)^(S$3-$B$3)/((1+Economics!$B$3)^(S$3-$B$3)),"")</f>
        <v/>
      </c>
      <c r="T109" s="669" t="str">
        <f>IF(T$3&lt;=time,T45*(1+Economics!$B$4)^(T$3-$B$3)/((1+Economics!$B$3)^(T$3-$B$3)),"")</f>
        <v/>
      </c>
      <c r="U109" s="669" t="str">
        <f>IF(U$3&lt;=time,U45*(1+Economics!$B$4)^(U$3-$B$3)/((1+Economics!$B$3)^(U$3-$B$3)),"")</f>
        <v/>
      </c>
      <c r="V109" s="669" t="str">
        <f>IF(V$3&lt;=time,V45*(1+Economics!$B$4)^(V$3-$B$3)/((1+Economics!$B$3)^(V$3-$B$3)),"")</f>
        <v/>
      </c>
      <c r="W109" s="669" t="str">
        <f>IF(W$3&lt;=time,W45*(1+Economics!$B$4)^(W$3-$B$3)/((1+Economics!$B$3)^(W$3-$B$3)),"")</f>
        <v/>
      </c>
      <c r="X109" s="669" t="str">
        <f>IF(X$3&lt;=time,X45*(1+Economics!$B$4)^(X$3-$B$3)/((1+Economics!$B$3)^(X$3-$B$3)),"")</f>
        <v/>
      </c>
      <c r="Y109" s="669" t="str">
        <f>IF(Y$3&lt;=time,Y45*(1+Economics!$B$4)^(Y$3-$B$3)/((1+Economics!$B$3)^(Y$3-$B$3)),"")</f>
        <v/>
      </c>
      <c r="Z109" s="669" t="str">
        <f>IF(Z$3&lt;=time,Z45*(1+Economics!$B$4)^(Z$3-$B$3)/((1+Economics!$B$3)^(Z$3-$B$3)),"")</f>
        <v/>
      </c>
      <c r="AA109" s="651">
        <f t="array" ref="AA109">(SUM( IF(ISERROR(B109:Z109),"", B109:Z109)))</f>
        <v>0</v>
      </c>
      <c r="AB109" s="652">
        <f t="shared" si="8"/>
        <v>0</v>
      </c>
      <c r="AC109" s="529">
        <v>6</v>
      </c>
    </row>
    <row r="110" spans="1:29" hidden="1">
      <c r="A110" s="440" t="s">
        <v>532</v>
      </c>
      <c r="B110" s="669">
        <f>IF(B$3&lt;=time,B46*(1+Economics!$B$4)^(B$3-$B$3)/((1+Economics!$B$3)^(B$3-$B$3)),"")</f>
        <v>0</v>
      </c>
      <c r="C110" s="669">
        <f>IF(C$3&lt;=time,C46*(1+Economics!$B$4)^(C$3-$B$3)/((1+Economics!$B$3)^(C$3-$B$3)),"")</f>
        <v>0</v>
      </c>
      <c r="D110" s="669">
        <f>IF(D$3&lt;=time,D46*(1+Economics!$B$4)^(D$3-$B$3)/((1+Economics!$B$3)^(D$3-$B$3)),"")</f>
        <v>0</v>
      </c>
      <c r="E110" s="669">
        <f>IF(E$3&lt;=time,E46*(1+Economics!$B$4)^(E$3-$B$3)/((1+Economics!$B$3)^(E$3-$B$3)),"")</f>
        <v>0</v>
      </c>
      <c r="F110" s="669">
        <f>IF(F$3&lt;=time,F46*(1+Economics!$B$4)^(F$3-$B$3)/((1+Economics!$B$3)^(F$3-$B$3)),"")</f>
        <v>0</v>
      </c>
      <c r="G110" s="669" t="str">
        <f>IF(G$3&lt;=time,G46*(1+Economics!$B$4)^(G$3-$B$3)/((1+Economics!$B$3)^(G$3-$B$3)),"")</f>
        <v/>
      </c>
      <c r="H110" s="669" t="str">
        <f>IF(H$3&lt;=time,H46*(1+Economics!$B$4)^(H$3-$B$3)/((1+Economics!$B$3)^(H$3-$B$3)),"")</f>
        <v/>
      </c>
      <c r="I110" s="669" t="str">
        <f>IF(I$3&lt;=time,I46*(1+Economics!$B$4)^(I$3-$B$3)/((1+Economics!$B$3)^(I$3-$B$3)),"")</f>
        <v/>
      </c>
      <c r="J110" s="669" t="str">
        <f>IF(J$3&lt;=time,J46*(1+Economics!$B$4)^(J$3-$B$3)/((1+Economics!$B$3)^(J$3-$B$3)),"")</f>
        <v/>
      </c>
      <c r="K110" s="669" t="str">
        <f>IF(K$3&lt;=time,K46*(1+Economics!$B$4)^(K$3-$B$3)/((1+Economics!$B$3)^(K$3-$B$3)),"")</f>
        <v/>
      </c>
      <c r="L110" s="669" t="str">
        <f>IF(L$3&lt;=time,L46*(1+Economics!$B$4)^(L$3-$B$3)/((1+Economics!$B$3)^(L$3-$B$3)),"")</f>
        <v/>
      </c>
      <c r="M110" s="669" t="str">
        <f>IF(M$3&lt;=time,M46*(1+Economics!$B$4)^(M$3-$B$3)/((1+Economics!$B$3)^(M$3-$B$3)),"")</f>
        <v/>
      </c>
      <c r="N110" s="669" t="str">
        <f>IF(N$3&lt;=time,N46*(1+Economics!$B$4)^(N$3-$B$3)/((1+Economics!$B$3)^(N$3-$B$3)),"")</f>
        <v/>
      </c>
      <c r="O110" s="669" t="str">
        <f>IF(O$3&lt;=time,O46*(1+Economics!$B$4)^(O$3-$B$3)/((1+Economics!$B$3)^(O$3-$B$3)),"")</f>
        <v/>
      </c>
      <c r="P110" s="669" t="str">
        <f>IF(P$3&lt;=time,P46*(1+Economics!$B$4)^(P$3-$B$3)/((1+Economics!$B$3)^(P$3-$B$3)),"")</f>
        <v/>
      </c>
      <c r="Q110" s="669" t="str">
        <f>IF(Q$3&lt;=time,Q46*(1+Economics!$B$4)^(Q$3-$B$3)/((1+Economics!$B$3)^(Q$3-$B$3)),"")</f>
        <v/>
      </c>
      <c r="R110" s="669" t="str">
        <f>IF(R$3&lt;=time,R46*(1+Economics!$B$4)^(R$3-$B$3)/((1+Economics!$B$3)^(R$3-$B$3)),"")</f>
        <v/>
      </c>
      <c r="S110" s="669" t="str">
        <f>IF(S$3&lt;=time,S46*(1+Economics!$B$4)^(S$3-$B$3)/((1+Economics!$B$3)^(S$3-$B$3)),"")</f>
        <v/>
      </c>
      <c r="T110" s="669" t="str">
        <f>IF(T$3&lt;=time,T46*(1+Economics!$B$4)^(T$3-$B$3)/((1+Economics!$B$3)^(T$3-$B$3)),"")</f>
        <v/>
      </c>
      <c r="U110" s="669" t="str">
        <f>IF(U$3&lt;=time,U46*(1+Economics!$B$4)^(U$3-$B$3)/((1+Economics!$B$3)^(U$3-$B$3)),"")</f>
        <v/>
      </c>
      <c r="V110" s="669" t="str">
        <f>IF(V$3&lt;=time,V46*(1+Economics!$B$4)^(V$3-$B$3)/((1+Economics!$B$3)^(V$3-$B$3)),"")</f>
        <v/>
      </c>
      <c r="W110" s="669" t="str">
        <f>IF(W$3&lt;=time,W46*(1+Economics!$B$4)^(W$3-$B$3)/((1+Economics!$B$3)^(W$3-$B$3)),"")</f>
        <v/>
      </c>
      <c r="X110" s="669" t="str">
        <f>IF(X$3&lt;=time,X46*(1+Economics!$B$4)^(X$3-$B$3)/((1+Economics!$B$3)^(X$3-$B$3)),"")</f>
        <v/>
      </c>
      <c r="Y110" s="669" t="str">
        <f>IF(Y$3&lt;=time,Y46*(1+Economics!$B$4)^(Y$3-$B$3)/((1+Economics!$B$3)^(Y$3-$B$3)),"")</f>
        <v/>
      </c>
      <c r="Z110" s="669" t="str">
        <f>IF(Z$3&lt;=time,Z46*(1+Economics!$B$4)^(Z$3-$B$3)/((1+Economics!$B$3)^(Z$3-$B$3)),"")</f>
        <v/>
      </c>
      <c r="AA110" s="651">
        <f t="array" ref="AA110">(SUM( IF(ISERROR(B110:Z110),"", B110:Z110)))</f>
        <v>0</v>
      </c>
      <c r="AB110" s="652">
        <f t="shared" si="8"/>
        <v>0</v>
      </c>
      <c r="AC110" s="529">
        <v>7</v>
      </c>
    </row>
    <row r="111" spans="1:29" hidden="1">
      <c r="A111" s="440" t="s">
        <v>533</v>
      </c>
      <c r="B111" s="669">
        <f>IF(B$3&lt;=time,B47*(1+Economics!$B$4)^(B$3-$B$3)/((1+Economics!$B$3)^(B$3-$B$3)),"")</f>
        <v>0</v>
      </c>
      <c r="C111" s="669">
        <f>IF(C$3&lt;=time,C47*(1+Economics!$B$4)^(C$3-$B$3)/((1+Economics!$B$3)^(C$3-$B$3)),"")</f>
        <v>0</v>
      </c>
      <c r="D111" s="669">
        <f>IF(D$3&lt;=time,D47*(1+Economics!$B$4)^(D$3-$B$3)/((1+Economics!$B$3)^(D$3-$B$3)),"")</f>
        <v>0</v>
      </c>
      <c r="E111" s="669">
        <f>IF(E$3&lt;=time,E47*(1+Economics!$B$4)^(E$3-$B$3)/((1+Economics!$B$3)^(E$3-$B$3)),"")</f>
        <v>0</v>
      </c>
      <c r="F111" s="669">
        <f>IF(F$3&lt;=time,F47*(1+Economics!$B$4)^(F$3-$B$3)/((1+Economics!$B$3)^(F$3-$B$3)),"")</f>
        <v>0</v>
      </c>
      <c r="G111" s="669" t="str">
        <f>IF(G$3&lt;=time,G47*(1+Economics!$B$4)^(G$3-$B$3)/((1+Economics!$B$3)^(G$3-$B$3)),"")</f>
        <v/>
      </c>
      <c r="H111" s="669" t="str">
        <f>IF(H$3&lt;=time,H47*(1+Economics!$B$4)^(H$3-$B$3)/((1+Economics!$B$3)^(H$3-$B$3)),"")</f>
        <v/>
      </c>
      <c r="I111" s="669" t="str">
        <f>IF(I$3&lt;=time,I47*(1+Economics!$B$4)^(I$3-$B$3)/((1+Economics!$B$3)^(I$3-$B$3)),"")</f>
        <v/>
      </c>
      <c r="J111" s="669" t="str">
        <f>IF(J$3&lt;=time,J47*(1+Economics!$B$4)^(J$3-$B$3)/((1+Economics!$B$3)^(J$3-$B$3)),"")</f>
        <v/>
      </c>
      <c r="K111" s="669" t="str">
        <f>IF(K$3&lt;=time,K47*(1+Economics!$B$4)^(K$3-$B$3)/((1+Economics!$B$3)^(K$3-$B$3)),"")</f>
        <v/>
      </c>
      <c r="L111" s="669" t="str">
        <f>IF(L$3&lt;=time,L47*(1+Economics!$B$4)^(L$3-$B$3)/((1+Economics!$B$3)^(L$3-$B$3)),"")</f>
        <v/>
      </c>
      <c r="M111" s="669" t="str">
        <f>IF(M$3&lt;=time,M47*(1+Economics!$B$4)^(M$3-$B$3)/((1+Economics!$B$3)^(M$3-$B$3)),"")</f>
        <v/>
      </c>
      <c r="N111" s="669" t="str">
        <f>IF(N$3&lt;=time,N47*(1+Economics!$B$4)^(N$3-$B$3)/((1+Economics!$B$3)^(N$3-$B$3)),"")</f>
        <v/>
      </c>
      <c r="O111" s="669" t="str">
        <f>IF(O$3&lt;=time,O47*(1+Economics!$B$4)^(O$3-$B$3)/((1+Economics!$B$3)^(O$3-$B$3)),"")</f>
        <v/>
      </c>
      <c r="P111" s="669" t="str">
        <f>IF(P$3&lt;=time,P47*(1+Economics!$B$4)^(P$3-$B$3)/((1+Economics!$B$3)^(P$3-$B$3)),"")</f>
        <v/>
      </c>
      <c r="Q111" s="669" t="str">
        <f>IF(Q$3&lt;=time,Q47*(1+Economics!$B$4)^(Q$3-$B$3)/((1+Economics!$B$3)^(Q$3-$B$3)),"")</f>
        <v/>
      </c>
      <c r="R111" s="669" t="str">
        <f>IF(R$3&lt;=time,R47*(1+Economics!$B$4)^(R$3-$B$3)/((1+Economics!$B$3)^(R$3-$B$3)),"")</f>
        <v/>
      </c>
      <c r="S111" s="669" t="str">
        <f>IF(S$3&lt;=time,S47*(1+Economics!$B$4)^(S$3-$B$3)/((1+Economics!$B$3)^(S$3-$B$3)),"")</f>
        <v/>
      </c>
      <c r="T111" s="669" t="str">
        <f>IF(T$3&lt;=time,T47*(1+Economics!$B$4)^(T$3-$B$3)/((1+Economics!$B$3)^(T$3-$B$3)),"")</f>
        <v/>
      </c>
      <c r="U111" s="669" t="str">
        <f>IF(U$3&lt;=time,U47*(1+Economics!$B$4)^(U$3-$B$3)/((1+Economics!$B$3)^(U$3-$B$3)),"")</f>
        <v/>
      </c>
      <c r="V111" s="669" t="str">
        <f>IF(V$3&lt;=time,V47*(1+Economics!$B$4)^(V$3-$B$3)/((1+Economics!$B$3)^(V$3-$B$3)),"")</f>
        <v/>
      </c>
      <c r="W111" s="669" t="str">
        <f>IF(W$3&lt;=time,W47*(1+Economics!$B$4)^(W$3-$B$3)/((1+Economics!$B$3)^(W$3-$B$3)),"")</f>
        <v/>
      </c>
      <c r="X111" s="669" t="str">
        <f>IF(X$3&lt;=time,X47*(1+Economics!$B$4)^(X$3-$B$3)/((1+Economics!$B$3)^(X$3-$B$3)),"")</f>
        <v/>
      </c>
      <c r="Y111" s="669" t="str">
        <f>IF(Y$3&lt;=time,Y47*(1+Economics!$B$4)^(Y$3-$B$3)/((1+Economics!$B$3)^(Y$3-$B$3)),"")</f>
        <v/>
      </c>
      <c r="Z111" s="669" t="str">
        <f>IF(Z$3&lt;=time,Z47*(1+Economics!$B$4)^(Z$3-$B$3)/((1+Economics!$B$3)^(Z$3-$B$3)),"")</f>
        <v/>
      </c>
      <c r="AA111" s="651">
        <f t="array" ref="AA111">(SUM( IF(ISERROR(B111:Z111),"", B111:Z111)))</f>
        <v>0</v>
      </c>
      <c r="AB111" s="652">
        <f t="shared" si="8"/>
        <v>0</v>
      </c>
      <c r="AC111" s="529">
        <v>8</v>
      </c>
    </row>
    <row r="112" spans="1:29" hidden="1">
      <c r="A112" s="440" t="s">
        <v>534</v>
      </c>
      <c r="B112" s="669">
        <f>IF(B$3&lt;=time,B48*(1+Economics!$B$4)^(B$3-$B$3)/((1+Economics!$B$3)^(B$3-$B$3)),"")</f>
        <v>0</v>
      </c>
      <c r="C112" s="669">
        <f>IF(C$3&lt;=time,C48*(1+Economics!$B$4)^(C$3-$B$3)/((1+Economics!$B$3)^(C$3-$B$3)),"")</f>
        <v>0</v>
      </c>
      <c r="D112" s="669">
        <f>IF(D$3&lt;=time,D48*(1+Economics!$B$4)^(D$3-$B$3)/((1+Economics!$B$3)^(D$3-$B$3)),"")</f>
        <v>0</v>
      </c>
      <c r="E112" s="669">
        <f>IF(E$3&lt;=time,E48*(1+Economics!$B$4)^(E$3-$B$3)/((1+Economics!$B$3)^(E$3-$B$3)),"")</f>
        <v>0</v>
      </c>
      <c r="F112" s="669">
        <f>IF(F$3&lt;=time,F48*(1+Economics!$B$4)^(F$3-$B$3)/((1+Economics!$B$3)^(F$3-$B$3)),"")</f>
        <v>0</v>
      </c>
      <c r="G112" s="669" t="str">
        <f>IF(G$3&lt;=time,G48*(1+Economics!$B$4)^(G$3-$B$3)/((1+Economics!$B$3)^(G$3-$B$3)),"")</f>
        <v/>
      </c>
      <c r="H112" s="669" t="str">
        <f>IF(H$3&lt;=time,H48*(1+Economics!$B$4)^(H$3-$B$3)/((1+Economics!$B$3)^(H$3-$B$3)),"")</f>
        <v/>
      </c>
      <c r="I112" s="669" t="str">
        <f>IF(I$3&lt;=time,I48*(1+Economics!$B$4)^(I$3-$B$3)/((1+Economics!$B$3)^(I$3-$B$3)),"")</f>
        <v/>
      </c>
      <c r="J112" s="669" t="str">
        <f>IF(J$3&lt;=time,J48*(1+Economics!$B$4)^(J$3-$B$3)/((1+Economics!$B$3)^(J$3-$B$3)),"")</f>
        <v/>
      </c>
      <c r="K112" s="669" t="str">
        <f>IF(K$3&lt;=time,K48*(1+Economics!$B$4)^(K$3-$B$3)/((1+Economics!$B$3)^(K$3-$B$3)),"")</f>
        <v/>
      </c>
      <c r="L112" s="669" t="str">
        <f>IF(L$3&lt;=time,L48*(1+Economics!$B$4)^(L$3-$B$3)/((1+Economics!$B$3)^(L$3-$B$3)),"")</f>
        <v/>
      </c>
      <c r="M112" s="669" t="str">
        <f>IF(M$3&lt;=time,M48*(1+Economics!$B$4)^(M$3-$B$3)/((1+Economics!$B$3)^(M$3-$B$3)),"")</f>
        <v/>
      </c>
      <c r="N112" s="669" t="str">
        <f>IF(N$3&lt;=time,N48*(1+Economics!$B$4)^(N$3-$B$3)/((1+Economics!$B$3)^(N$3-$B$3)),"")</f>
        <v/>
      </c>
      <c r="O112" s="669" t="str">
        <f>IF(O$3&lt;=time,O48*(1+Economics!$B$4)^(O$3-$B$3)/((1+Economics!$B$3)^(O$3-$B$3)),"")</f>
        <v/>
      </c>
      <c r="P112" s="669" t="str">
        <f>IF(P$3&lt;=time,P48*(1+Economics!$B$4)^(P$3-$B$3)/((1+Economics!$B$3)^(P$3-$B$3)),"")</f>
        <v/>
      </c>
      <c r="Q112" s="669" t="str">
        <f>IF(Q$3&lt;=time,Q48*(1+Economics!$B$4)^(Q$3-$B$3)/((1+Economics!$B$3)^(Q$3-$B$3)),"")</f>
        <v/>
      </c>
      <c r="R112" s="669" t="str">
        <f>IF(R$3&lt;=time,R48*(1+Economics!$B$4)^(R$3-$B$3)/((1+Economics!$B$3)^(R$3-$B$3)),"")</f>
        <v/>
      </c>
      <c r="S112" s="669" t="str">
        <f>IF(S$3&lt;=time,S48*(1+Economics!$B$4)^(S$3-$B$3)/((1+Economics!$B$3)^(S$3-$B$3)),"")</f>
        <v/>
      </c>
      <c r="T112" s="669" t="str">
        <f>IF(T$3&lt;=time,T48*(1+Economics!$B$4)^(T$3-$B$3)/((1+Economics!$B$3)^(T$3-$B$3)),"")</f>
        <v/>
      </c>
      <c r="U112" s="669" t="str">
        <f>IF(U$3&lt;=time,U48*(1+Economics!$B$4)^(U$3-$B$3)/((1+Economics!$B$3)^(U$3-$B$3)),"")</f>
        <v/>
      </c>
      <c r="V112" s="669" t="str">
        <f>IF(V$3&lt;=time,V48*(1+Economics!$B$4)^(V$3-$B$3)/((1+Economics!$B$3)^(V$3-$B$3)),"")</f>
        <v/>
      </c>
      <c r="W112" s="669" t="str">
        <f>IF(W$3&lt;=time,W48*(1+Economics!$B$4)^(W$3-$B$3)/((1+Economics!$B$3)^(W$3-$B$3)),"")</f>
        <v/>
      </c>
      <c r="X112" s="669" t="str">
        <f>IF(X$3&lt;=time,X48*(1+Economics!$B$4)^(X$3-$B$3)/((1+Economics!$B$3)^(X$3-$B$3)),"")</f>
        <v/>
      </c>
      <c r="Y112" s="669" t="str">
        <f>IF(Y$3&lt;=time,Y48*(1+Economics!$B$4)^(Y$3-$B$3)/((1+Economics!$B$3)^(Y$3-$B$3)),"")</f>
        <v/>
      </c>
      <c r="Z112" s="669" t="str">
        <f>IF(Z$3&lt;=time,Z48*(1+Economics!$B$4)^(Z$3-$B$3)/((1+Economics!$B$3)^(Z$3-$B$3)),"")</f>
        <v/>
      </c>
      <c r="AA112" s="651">
        <f t="array" ref="AA112">(SUM( IF(ISERROR(B112:Z112),"", B112:Z112)))</f>
        <v>0</v>
      </c>
      <c r="AB112" s="652">
        <f t="shared" si="8"/>
        <v>0</v>
      </c>
      <c r="AC112" s="529">
        <v>9</v>
      </c>
    </row>
    <row r="113" spans="1:29" ht="16" hidden="1" thickBot="1">
      <c r="A113" s="441" t="s">
        <v>535</v>
      </c>
      <c r="B113" s="670">
        <f>IF(B$3&lt;=time,B49*(1+Economics!$B$4)^(B$3-$B$3)/((1+Economics!$B$3)^(B$3-$B$3)),"")</f>
        <v>0</v>
      </c>
      <c r="C113" s="670">
        <f>IF(C$3&lt;=time,C49*(1+Economics!$B$4)^(C$3-$B$3)/((1+Economics!$B$3)^(C$3-$B$3)),"")</f>
        <v>0</v>
      </c>
      <c r="D113" s="670">
        <f>IF(D$3&lt;=time,D49*(1+Economics!$B$4)^(D$3-$B$3)/((1+Economics!$B$3)^(D$3-$B$3)),"")</f>
        <v>0</v>
      </c>
      <c r="E113" s="670">
        <f>IF(E$3&lt;=time,E49*(1+Economics!$B$4)^(E$3-$B$3)/((1+Economics!$B$3)^(E$3-$B$3)),"")</f>
        <v>0</v>
      </c>
      <c r="F113" s="670">
        <f>IF(F$3&lt;=time,F49*(1+Economics!$B$4)^(F$3-$B$3)/((1+Economics!$B$3)^(F$3-$B$3)),"")</f>
        <v>0</v>
      </c>
      <c r="G113" s="670" t="str">
        <f>IF(G$3&lt;=time,G49*(1+Economics!$B$4)^(G$3-$B$3)/((1+Economics!$B$3)^(G$3-$B$3)),"")</f>
        <v/>
      </c>
      <c r="H113" s="670" t="str">
        <f>IF(H$3&lt;=time,H49*(1+Economics!$B$4)^(H$3-$B$3)/((1+Economics!$B$3)^(H$3-$B$3)),"")</f>
        <v/>
      </c>
      <c r="I113" s="670" t="str">
        <f>IF(I$3&lt;=time,I49*(1+Economics!$B$4)^(I$3-$B$3)/((1+Economics!$B$3)^(I$3-$B$3)),"")</f>
        <v/>
      </c>
      <c r="J113" s="670" t="str">
        <f>IF(J$3&lt;=time,J49*(1+Economics!$B$4)^(J$3-$B$3)/((1+Economics!$B$3)^(J$3-$B$3)),"")</f>
        <v/>
      </c>
      <c r="K113" s="670" t="str">
        <f>IF(K$3&lt;=time,K49*(1+Economics!$B$4)^(K$3-$B$3)/((1+Economics!$B$3)^(K$3-$B$3)),"")</f>
        <v/>
      </c>
      <c r="L113" s="670" t="str">
        <f>IF(L$3&lt;=time,L49*(1+Economics!$B$4)^(L$3-$B$3)/((1+Economics!$B$3)^(L$3-$B$3)),"")</f>
        <v/>
      </c>
      <c r="M113" s="670" t="str">
        <f>IF(M$3&lt;=time,M49*(1+Economics!$B$4)^(M$3-$B$3)/((1+Economics!$B$3)^(M$3-$B$3)),"")</f>
        <v/>
      </c>
      <c r="N113" s="670" t="str">
        <f>IF(N$3&lt;=time,N49*(1+Economics!$B$4)^(N$3-$B$3)/((1+Economics!$B$3)^(N$3-$B$3)),"")</f>
        <v/>
      </c>
      <c r="O113" s="670" t="str">
        <f>IF(O$3&lt;=time,O49*(1+Economics!$B$4)^(O$3-$B$3)/((1+Economics!$B$3)^(O$3-$B$3)),"")</f>
        <v/>
      </c>
      <c r="P113" s="670" t="str">
        <f>IF(P$3&lt;=time,P49*(1+Economics!$B$4)^(P$3-$B$3)/((1+Economics!$B$3)^(P$3-$B$3)),"")</f>
        <v/>
      </c>
      <c r="Q113" s="670" t="str">
        <f>IF(Q$3&lt;=time,Q49*(1+Economics!$B$4)^(Q$3-$B$3)/((1+Economics!$B$3)^(Q$3-$B$3)),"")</f>
        <v/>
      </c>
      <c r="R113" s="670" t="str">
        <f>IF(R$3&lt;=time,R49*(1+Economics!$B$4)^(R$3-$B$3)/((1+Economics!$B$3)^(R$3-$B$3)),"")</f>
        <v/>
      </c>
      <c r="S113" s="670" t="str">
        <f>IF(S$3&lt;=time,S49*(1+Economics!$B$4)^(S$3-$B$3)/((1+Economics!$B$3)^(S$3-$B$3)),"")</f>
        <v/>
      </c>
      <c r="T113" s="670" t="str">
        <f>IF(T$3&lt;=time,T49*(1+Economics!$B$4)^(T$3-$B$3)/((1+Economics!$B$3)^(T$3-$B$3)),"")</f>
        <v/>
      </c>
      <c r="U113" s="670" t="str">
        <f>IF(U$3&lt;=time,U49*(1+Economics!$B$4)^(U$3-$B$3)/((1+Economics!$B$3)^(U$3-$B$3)),"")</f>
        <v/>
      </c>
      <c r="V113" s="670" t="str">
        <f>IF(V$3&lt;=time,V49*(1+Economics!$B$4)^(V$3-$B$3)/((1+Economics!$B$3)^(V$3-$B$3)),"")</f>
        <v/>
      </c>
      <c r="W113" s="670" t="str">
        <f>IF(W$3&lt;=time,W49*(1+Economics!$B$4)^(W$3-$B$3)/((1+Economics!$B$3)^(W$3-$B$3)),"")</f>
        <v/>
      </c>
      <c r="X113" s="670" t="str">
        <f>IF(X$3&lt;=time,X49*(1+Economics!$B$4)^(X$3-$B$3)/((1+Economics!$B$3)^(X$3-$B$3)),"")</f>
        <v/>
      </c>
      <c r="Y113" s="670" t="str">
        <f>IF(Y$3&lt;=time,Y49*(1+Economics!$B$4)^(Y$3-$B$3)/((1+Economics!$B$3)^(Y$3-$B$3)),"")</f>
        <v/>
      </c>
      <c r="Z113" s="670" t="str">
        <f>IF(Z$3&lt;=time,Z49*(1+Economics!$B$4)^(Z$3-$B$3)/((1+Economics!$B$3)^(Z$3-$B$3)),"")</f>
        <v/>
      </c>
      <c r="AA113" s="653">
        <f t="array" ref="AA113">(SUM( IF(ISERROR(B113:Z113),"", B113:Z113)))</f>
        <v>0</v>
      </c>
      <c r="AB113" s="654">
        <f t="shared" si="8"/>
        <v>0</v>
      </c>
      <c r="AC113" s="529">
        <v>10</v>
      </c>
    </row>
    <row r="114" spans="1:29" ht="16" thickBot="1">
      <c r="A114" s="984" t="s">
        <v>536</v>
      </c>
      <c r="B114" s="1019">
        <f>IF(B$3&lt;=time,B50*(1+Economics!$B$4)^(B$3-$B$3)/((1+Economics!$B$3)^(B$3-$B$3)),"")</f>
        <v>0</v>
      </c>
      <c r="C114" s="1019">
        <f>IF(C$3&lt;=time,C50*(1+Economics!$B$4)^(C$3-$B$3)/((1+Economics!$B$3)^(C$3-$B$3)),"")</f>
        <v>0</v>
      </c>
      <c r="D114" s="1019">
        <f>IF(D$3&lt;=time,D50*(1+Economics!$B$4)^(D$3-$B$3)/((1+Economics!$B$3)^(D$3-$B$3)),"")</f>
        <v>0</v>
      </c>
      <c r="E114" s="1019">
        <f>IF(E$3&lt;=time,E50*(1+Economics!$B$4)^(E$3-$B$3)/((1+Economics!$B$3)^(E$3-$B$3)),"")</f>
        <v>0</v>
      </c>
      <c r="F114" s="1019">
        <f>IF(F$3&lt;=time,F50*(1+Economics!$B$4)^(F$3-$B$3)/((1+Economics!$B$3)^(F$3-$B$3)),"")</f>
        <v>0</v>
      </c>
      <c r="G114" s="1019" t="str">
        <f>IF(G$3&lt;=time,G50*(1+Economics!$B$4)^(G$3-$B$3)/((1+Economics!$B$3)^(G$3-$B$3)),"")</f>
        <v/>
      </c>
      <c r="H114" s="1019" t="str">
        <f>IF(H$3&lt;=time,H50*(1+Economics!$B$4)^(H$3-$B$3)/((1+Economics!$B$3)^(H$3-$B$3)),"")</f>
        <v/>
      </c>
      <c r="I114" s="1019" t="str">
        <f>IF(I$3&lt;=time,I50*(1+Economics!$B$4)^(I$3-$B$3)/((1+Economics!$B$3)^(I$3-$B$3)),"")</f>
        <v/>
      </c>
      <c r="J114" s="1019" t="str">
        <f>IF(J$3&lt;=time,J50*(1+Economics!$B$4)^(J$3-$B$3)/((1+Economics!$B$3)^(J$3-$B$3)),"")</f>
        <v/>
      </c>
      <c r="K114" s="1019" t="str">
        <f>IF(K$3&lt;=time,K50*(1+Economics!$B$4)^(K$3-$B$3)/((1+Economics!$B$3)^(K$3-$B$3)),"")</f>
        <v/>
      </c>
      <c r="L114" s="1019" t="str">
        <f>IF(L$3&lt;=time,L50*(1+Economics!$B$4)^(L$3-$B$3)/((1+Economics!$B$3)^(L$3-$B$3)),"")</f>
        <v/>
      </c>
      <c r="M114" s="1019" t="str">
        <f>IF(M$3&lt;=time,M50*(1+Economics!$B$4)^(M$3-$B$3)/((1+Economics!$B$3)^(M$3-$B$3)),"")</f>
        <v/>
      </c>
      <c r="N114" s="1019" t="str">
        <f>IF(N$3&lt;=time,N50*(1+Economics!$B$4)^(N$3-$B$3)/((1+Economics!$B$3)^(N$3-$B$3)),"")</f>
        <v/>
      </c>
      <c r="O114" s="1019" t="str">
        <f>IF(O$3&lt;=time,O50*(1+Economics!$B$4)^(O$3-$B$3)/((1+Economics!$B$3)^(O$3-$B$3)),"")</f>
        <v/>
      </c>
      <c r="P114" s="1019" t="str">
        <f>IF(P$3&lt;=time,P50*(1+Economics!$B$4)^(P$3-$B$3)/((1+Economics!$B$3)^(P$3-$B$3)),"")</f>
        <v/>
      </c>
      <c r="Q114" s="1019" t="str">
        <f>IF(Q$3&lt;=time,Q50*(1+Economics!$B$4)^(Q$3-$B$3)/((1+Economics!$B$3)^(Q$3-$B$3)),"")</f>
        <v/>
      </c>
      <c r="R114" s="1019" t="str">
        <f>IF(R$3&lt;=time,R50*(1+Economics!$B$4)^(R$3-$B$3)/((1+Economics!$B$3)^(R$3-$B$3)),"")</f>
        <v/>
      </c>
      <c r="S114" s="1019" t="str">
        <f>IF(S$3&lt;=time,S50*(1+Economics!$B$4)^(S$3-$B$3)/((1+Economics!$B$3)^(S$3-$B$3)),"")</f>
        <v/>
      </c>
      <c r="T114" s="1019" t="str">
        <f>IF(T$3&lt;=time,T50*(1+Economics!$B$4)^(T$3-$B$3)/((1+Economics!$B$3)^(T$3-$B$3)),"")</f>
        <v/>
      </c>
      <c r="U114" s="1019" t="str">
        <f>IF(U$3&lt;=time,U50*(1+Economics!$B$4)^(U$3-$B$3)/((1+Economics!$B$3)^(U$3-$B$3)),"")</f>
        <v/>
      </c>
      <c r="V114" s="1019" t="str">
        <f>IF(V$3&lt;=time,V50*(1+Economics!$B$4)^(V$3-$B$3)/((1+Economics!$B$3)^(V$3-$B$3)),"")</f>
        <v/>
      </c>
      <c r="W114" s="1019" t="str">
        <f>IF(W$3&lt;=time,W50*(1+Economics!$B$4)^(W$3-$B$3)/((1+Economics!$B$3)^(W$3-$B$3)),"")</f>
        <v/>
      </c>
      <c r="X114" s="1019" t="str">
        <f>IF(X$3&lt;=time,X50*(1+Economics!$B$4)^(X$3-$B$3)/((1+Economics!$B$3)^(X$3-$B$3)),"")</f>
        <v/>
      </c>
      <c r="Y114" s="1019" t="str">
        <f>IF(Y$3&lt;=time,Y50*(1+Economics!$B$4)^(Y$3-$B$3)/((1+Economics!$B$3)^(Y$3-$B$3)),"")</f>
        <v/>
      </c>
      <c r="Z114" s="1019" t="str">
        <f>IF(Z$3&lt;=time,Z50*(1+Economics!$B$4)^(Z$3-$B$3)/((1+Economics!$B$3)^(Z$3-$B$3)),"")</f>
        <v/>
      </c>
      <c r="AA114" s="977">
        <f t="array" ref="AA114">(SUM( IF(ISERROR(B114:Z114),"", B114:Z114)))</f>
        <v>0</v>
      </c>
      <c r="AB114" s="1017">
        <f t="shared" si="8"/>
        <v>0</v>
      </c>
    </row>
    <row r="115" spans="1:29" ht="129.5" customHeight="1" thickBot="1">
      <c r="A115" s="1021" t="s">
        <v>336</v>
      </c>
      <c r="B115" s="1032">
        <f>IF(B$3&lt;=time,B51*(1+Economics!$B$4)^(B$3-$B$3)/((1+Economics!$B$3)^(B$3-$B$3)),"")</f>
        <v>0</v>
      </c>
      <c r="C115" s="1032">
        <f>IF(C$3&lt;=time,C51*(1+Economics!$B$4)^(C$3-$B$3)/((1+Economics!$B$3)^(C$3-$B$3)),"")</f>
        <v>4092.4230181837293</v>
      </c>
      <c r="D115" s="1032">
        <f>IF(D$3&lt;=time,D51*(1+Economics!$B$4)^(D$3-$B$3)/((1+Economics!$B$3)^(D$3-$B$3)),"")</f>
        <v>0</v>
      </c>
      <c r="E115" s="1032">
        <f>IF(E$3&lt;=time,E51*(1+Economics!$B$4)^(E$3-$B$3)/((1+Economics!$B$3)^(E$3-$B$3)),"")</f>
        <v>0</v>
      </c>
      <c r="F115" s="1032">
        <f>IF(F$3&lt;=time,F51*(1+Economics!$B$4)^(F$3-$B$3)/((1+Economics!$B$3)^(F$3-$B$3)),"")</f>
        <v>0</v>
      </c>
      <c r="G115" s="1032" t="str">
        <f>IF(G$3&lt;=time,G51*(1+Economics!$B$4)^(G$3-$B$3)/((1+Economics!$B$3)^(G$3-$B$3)),"")</f>
        <v/>
      </c>
      <c r="H115" s="1032" t="str">
        <f>IF(H$3&lt;=time,H51*(1+Economics!$B$4)^(H$3-$B$3)/((1+Economics!$B$3)^(H$3-$B$3)),"")</f>
        <v/>
      </c>
      <c r="I115" s="1032" t="str">
        <f>IF(I$3&lt;=time,I51*(1+Economics!$B$4)^(I$3-$B$3)/((1+Economics!$B$3)^(I$3-$B$3)),"")</f>
        <v/>
      </c>
      <c r="J115" s="1032" t="str">
        <f>IF(J$3&lt;=time,J51*(1+Economics!$B$4)^(J$3-$B$3)/((1+Economics!$B$3)^(J$3-$B$3)),"")</f>
        <v/>
      </c>
      <c r="K115" s="1032" t="str">
        <f>IF(K$3&lt;=time,K51*(1+Economics!$B$4)^(K$3-$B$3)/((1+Economics!$B$3)^(K$3-$B$3)),"")</f>
        <v/>
      </c>
      <c r="L115" s="1032" t="str">
        <f>IF(L$3&lt;=time,L51*(1+Economics!$B$4)^(L$3-$B$3)/((1+Economics!$B$3)^(L$3-$B$3)),"")</f>
        <v/>
      </c>
      <c r="M115" s="1032" t="str">
        <f>IF(M$3&lt;=time,M51*(1+Economics!$B$4)^(M$3-$B$3)/((1+Economics!$B$3)^(M$3-$B$3)),"")</f>
        <v/>
      </c>
      <c r="N115" s="1032" t="str">
        <f>IF(N$3&lt;=time,N51*(1+Economics!$B$4)^(N$3-$B$3)/((1+Economics!$B$3)^(N$3-$B$3)),"")</f>
        <v/>
      </c>
      <c r="O115" s="1032" t="str">
        <f>IF(O$3&lt;=time,O51*(1+Economics!$B$4)^(O$3-$B$3)/((1+Economics!$B$3)^(O$3-$B$3)),"")</f>
        <v/>
      </c>
      <c r="P115" s="1032" t="str">
        <f>IF(P$3&lt;=time,P51*(1+Economics!$B$4)^(P$3-$B$3)/((1+Economics!$B$3)^(P$3-$B$3)),"")</f>
        <v/>
      </c>
      <c r="Q115" s="1032" t="str">
        <f>IF(Q$3&lt;=time,Q51*(1+Economics!$B$4)^(Q$3-$B$3)/((1+Economics!$B$3)^(Q$3-$B$3)),"")</f>
        <v/>
      </c>
      <c r="R115" s="1032" t="str">
        <f>IF(R$3&lt;=time,R51*(1+Economics!$B$4)^(R$3-$B$3)/((1+Economics!$B$3)^(R$3-$B$3)),"")</f>
        <v/>
      </c>
      <c r="S115" s="1032" t="str">
        <f>IF(S$3&lt;=time,S51*(1+Economics!$B$4)^(S$3-$B$3)/((1+Economics!$B$3)^(S$3-$B$3)),"")</f>
        <v/>
      </c>
      <c r="T115" s="1032" t="str">
        <f>IF(T$3&lt;=time,T51*(1+Economics!$B$4)^(T$3-$B$3)/((1+Economics!$B$3)^(T$3-$B$3)),"")</f>
        <v/>
      </c>
      <c r="U115" s="1032" t="str">
        <f>IF(U$3&lt;=time,U51*(1+Economics!$B$4)^(U$3-$B$3)/((1+Economics!$B$3)^(U$3-$B$3)),"")</f>
        <v/>
      </c>
      <c r="V115" s="1032" t="str">
        <f>IF(V$3&lt;=time,V51*(1+Economics!$B$4)^(V$3-$B$3)/((1+Economics!$B$3)^(V$3-$B$3)),"")</f>
        <v/>
      </c>
      <c r="W115" s="1032" t="str">
        <f>IF(W$3&lt;=time,W51*(1+Economics!$B$4)^(W$3-$B$3)/((1+Economics!$B$3)^(W$3-$B$3)),"")</f>
        <v/>
      </c>
      <c r="X115" s="1032" t="str">
        <f>IF(X$3&lt;=time,X51*(1+Economics!$B$4)^(X$3-$B$3)/((1+Economics!$B$3)^(X$3-$B$3)),"")</f>
        <v/>
      </c>
      <c r="Y115" s="1032" t="str">
        <f>IF(Y$3&lt;=time,Y51*(1+Economics!$B$4)^(Y$3-$B$3)/((1+Economics!$B$3)^(Y$3-$B$3)),"")</f>
        <v/>
      </c>
      <c r="Z115" s="1032" t="str">
        <f>IF(Z$3&lt;=time,Z51*(1+Economics!$B$4)^(Z$3-$B$3)/((1+Economics!$B$3)^(Z$3-$B$3)),"")</f>
        <v/>
      </c>
      <c r="AA115" s="1032">
        <f t="array" ref="AA115">(SUM( IF(ISERROR(B115:Z115),"", B115:Z115)))</f>
        <v>4092.4230181837293</v>
      </c>
      <c r="AB115" s="1033">
        <f t="shared" ref="AB115" si="9">AA115/time</f>
        <v>818.48460363674587</v>
      </c>
    </row>
    <row r="116" spans="1:29">
      <c r="A116" s="663"/>
    </row>
    <row r="117" spans="1:29" ht="164.15" hidden="1" customHeight="1" thickBot="1">
      <c r="A117" s="969" t="s">
        <v>392</v>
      </c>
      <c r="B117" s="820" t="str">
        <f>CONCATENATE("Financial benefits of the intervention in Year 1"," ", "(",'Proposition Summary'!$B$76,")")</f>
        <v>Financial benefits of the intervention in Year 1 (GBP (£))</v>
      </c>
      <c r="C117" s="820" t="str">
        <f>CONCATENATE("Financial benefits of the intervention in Year 2"," ", "(",'Proposition Summary'!$B$76,")")</f>
        <v>Financial benefits of the intervention in Year 2 (GBP (£))</v>
      </c>
      <c r="D117" s="820" t="str">
        <f>CONCATENATE("Financial benefits of the intervention in Year 3"," ", "(",'Proposition Summary'!$B$76,")")</f>
        <v>Financial benefits of the intervention in Year 3 (GBP (£))</v>
      </c>
      <c r="E117" s="820" t="str">
        <f>CONCATENATE("Financial benefits of the intervention in Year 4"," ", "(",'Proposition Summary'!$B$76,")")</f>
        <v>Financial benefits of the intervention in Year 4 (GBP (£))</v>
      </c>
      <c r="F117" s="820" t="str">
        <f>CONCATENATE("Financial benefits of the intervention in Year 5"," ", "(",'Proposition Summary'!$B$76,")")</f>
        <v>Financial benefits of the intervention in Year 5 (GBP (£))</v>
      </c>
      <c r="G117" s="820" t="str">
        <f>CONCATENATE("Financial benefits of the intervention in Year 6"," ", "(",'Proposition Summary'!$B$76,")")</f>
        <v>Financial benefits of the intervention in Year 6 (GBP (£))</v>
      </c>
      <c r="H117" s="820" t="str">
        <f>CONCATENATE("Financial benefits of the intervention in Year 7"," ", "(",'Proposition Summary'!$B$76,")")</f>
        <v>Financial benefits of the intervention in Year 7 (GBP (£))</v>
      </c>
      <c r="I117" s="820" t="str">
        <f>CONCATENATE("Financial benefits of the intervention in Year 8"," ", "(",'Proposition Summary'!$B$76,")")</f>
        <v>Financial benefits of the intervention in Year 8 (GBP (£))</v>
      </c>
      <c r="J117" s="820" t="str">
        <f>CONCATENATE("Financial benefits of the intervention in Year 9"," ", "(",'Proposition Summary'!$B$76,")")</f>
        <v>Financial benefits of the intervention in Year 9 (GBP (£))</v>
      </c>
      <c r="K117" s="820" t="str">
        <f>CONCATENATE("Financial benefits of the intervention in Year 10"," ", "(",'Proposition Summary'!$B$76,")")</f>
        <v>Financial benefits of the intervention in Year 10 (GBP (£))</v>
      </c>
      <c r="L117" s="820" t="str">
        <f>CONCATENATE("Financial benefits of the intervention in Year 11"," ", "(",'Proposition Summary'!$B$76,")")</f>
        <v>Financial benefits of the intervention in Year 11 (GBP (£))</v>
      </c>
      <c r="M117" s="820" t="str">
        <f>CONCATENATE("Financial benefits of the intervention in Year 12"," ", "(",'Proposition Summary'!$B$76,")")</f>
        <v>Financial benefits of the intervention in Year 12 (GBP (£))</v>
      </c>
      <c r="N117" s="820" t="str">
        <f>CONCATENATE("Financial benefits of the intervention in Year 13"," ", "(",'Proposition Summary'!$B$76,")")</f>
        <v>Financial benefits of the intervention in Year 13 (GBP (£))</v>
      </c>
      <c r="O117" s="820" t="str">
        <f>CONCATENATE("Financial benefits of the intervention in Year 14"," ", "(",'Proposition Summary'!$B$76,")")</f>
        <v>Financial benefits of the intervention in Year 14 (GBP (£))</v>
      </c>
      <c r="P117" s="820" t="str">
        <f>CONCATENATE("Financial benefits of the intervention in Year 15"," ", "(",'Proposition Summary'!$B$76,")")</f>
        <v>Financial benefits of the intervention in Year 15 (GBP (£))</v>
      </c>
      <c r="Q117" s="820" t="str">
        <f>CONCATENATE("Financial benefits of the intervention in Year 16"," ", "(",'Proposition Summary'!$B$76,")")</f>
        <v>Financial benefits of the intervention in Year 16 (GBP (£))</v>
      </c>
      <c r="R117" s="820" t="str">
        <f>CONCATENATE("Financial benefits of the intervention in Year 17"," ", "(",'Proposition Summary'!$B$76,")")</f>
        <v>Financial benefits of the intervention in Year 17 (GBP (£))</v>
      </c>
      <c r="S117" s="820" t="str">
        <f>CONCATENATE("Financial benefits of the intervention in Year 18"," ", "(",'Proposition Summary'!$B$76,")")</f>
        <v>Financial benefits of the intervention in Year 18 (GBP (£))</v>
      </c>
      <c r="T117" s="820" t="str">
        <f>CONCATENATE("Financial benefits of the intervention in Year 19"," ", "(",'Proposition Summary'!$B$76,")")</f>
        <v>Financial benefits of the intervention in Year 19 (GBP (£))</v>
      </c>
      <c r="U117" s="820" t="str">
        <f>CONCATENATE("Financial benefits of the intervention in Year 20"," ", "(",'Proposition Summary'!$B$76,")")</f>
        <v>Financial benefits of the intervention in Year 20 (GBP (£))</v>
      </c>
      <c r="V117" s="820" t="str">
        <f>CONCATENATE("Financial benefits of the intervention in Year 21"," ", "(",'Proposition Summary'!$B$76,")")</f>
        <v>Financial benefits of the intervention in Year 21 (GBP (£))</v>
      </c>
      <c r="W117" s="820" t="str">
        <f>CONCATENATE("Financial benefits of the intervention in Year 22"," ", "(",'Proposition Summary'!$B$76,")")</f>
        <v>Financial benefits of the intervention in Year 22 (GBP (£))</v>
      </c>
      <c r="X117" s="820" t="str">
        <f>CONCATENATE("Financial benefits of the intervention in Year 23"," ", "(",'Proposition Summary'!$B$76,")")</f>
        <v>Financial benefits of the intervention in Year 23 (GBP (£))</v>
      </c>
      <c r="Y117" s="820" t="str">
        <f>CONCATENATE("Financial benefits of the intervention in Year 24"," ", "(",'Proposition Summary'!$B$76,")")</f>
        <v>Financial benefits of the intervention in Year 24 (GBP (£))</v>
      </c>
      <c r="Z117" s="820" t="str">
        <f>CONCATENATE("Financial benefits of the intervention in Year 25"," ", "(",'Proposition Summary'!$B$76,")")</f>
        <v>Financial benefits of the intervention in Year 25 (GBP (£))</v>
      </c>
      <c r="AA117" s="820" t="str">
        <f>CONCATENATE("Total Benefits"," ", "(",'Proposition Summary'!$B$76,")")</f>
        <v>Total Benefits (GBP (£))</v>
      </c>
      <c r="AB117" s="1012" t="str">
        <f>CONCATENATE("Annual Benefits"," ", "(",'Proposition Summary'!$B$76,")")</f>
        <v>Annual Benefits (GBP (£))</v>
      </c>
    </row>
    <row r="118" spans="1:29" ht="16.5" hidden="1" thickTop="1" thickBot="1">
      <c r="A118" s="664" t="s">
        <v>298</v>
      </c>
      <c r="B118" s="1039">
        <f>IF(B$3&lt;=time,B54*(1+Economics!$B$4)^(B$3-$B$3)/((1+Economics!$B$3)^(B$3-$B$3)),"")</f>
        <v>0</v>
      </c>
      <c r="C118" s="1039">
        <f>IF(C$3&lt;=time,C54*(1+Economics!$B$4)^(C$3-$B$3)/((1+Economics!$B$3)^(C$3-$B$3)),"")</f>
        <v>0</v>
      </c>
      <c r="D118" s="1039">
        <f>IF(D$3&lt;=time,D54*(1+Economics!$B$4)^(D$3-$B$3)/((1+Economics!$B$3)^(D$3-$B$3)),"")</f>
        <v>0</v>
      </c>
      <c r="E118" s="1039">
        <f>IF(E$3&lt;=time,E54*(1+Economics!$B$4)^(E$3-$B$3)/((1+Economics!$B$3)^(E$3-$B$3)),"")</f>
        <v>0</v>
      </c>
      <c r="F118" s="1039">
        <f>IF(F$3&lt;=time,F54*(1+Economics!$B$4)^(F$3-$B$3)/((1+Economics!$B$3)^(F$3-$B$3)),"")</f>
        <v>0</v>
      </c>
      <c r="G118" s="1039" t="str">
        <f>IF(G$3&lt;=time,G54*(1+Economics!$B$4)^(G$3-$B$3)/((1+Economics!$B$3)^(G$3-$B$3)),"")</f>
        <v/>
      </c>
      <c r="H118" s="1039" t="str">
        <f>IF(H$3&lt;=time,H54*(1+Economics!$B$4)^(H$3-$B$3)/((1+Economics!$B$3)^(H$3-$B$3)),"")</f>
        <v/>
      </c>
      <c r="I118" s="1039" t="str">
        <f>IF(I$3&lt;=time,I54*(1+Economics!$B$4)^(I$3-$B$3)/((1+Economics!$B$3)^(I$3-$B$3)),"")</f>
        <v/>
      </c>
      <c r="J118" s="1039" t="str">
        <f>IF(J$3&lt;=time,J54*(1+Economics!$B$4)^(J$3-$B$3)/((1+Economics!$B$3)^(J$3-$B$3)),"")</f>
        <v/>
      </c>
      <c r="K118" s="1039" t="str">
        <f>IF(K$3&lt;=time,K54*(1+Economics!$B$4)^(K$3-$B$3)/((1+Economics!$B$3)^(K$3-$B$3)),"")</f>
        <v/>
      </c>
      <c r="L118" s="1039" t="str">
        <f>IF(L$3&lt;=time,L54*(1+Economics!$B$4)^(L$3-$B$3)/((1+Economics!$B$3)^(L$3-$B$3)),"")</f>
        <v/>
      </c>
      <c r="M118" s="1039" t="str">
        <f>IF(M$3&lt;=time,M54*(1+Economics!$B$4)^(M$3-$B$3)/((1+Economics!$B$3)^(M$3-$B$3)),"")</f>
        <v/>
      </c>
      <c r="N118" s="1039" t="str">
        <f>IF(N$3&lt;=time,N54*(1+Economics!$B$4)^(N$3-$B$3)/((1+Economics!$B$3)^(N$3-$B$3)),"")</f>
        <v/>
      </c>
      <c r="O118" s="1039" t="str">
        <f>IF(O$3&lt;=time,O54*(1+Economics!$B$4)^(O$3-$B$3)/((1+Economics!$B$3)^(O$3-$B$3)),"")</f>
        <v/>
      </c>
      <c r="P118" s="1039" t="str">
        <f>IF(P$3&lt;=time,P54*(1+Economics!$B$4)^(P$3-$B$3)/((1+Economics!$B$3)^(P$3-$B$3)),"")</f>
        <v/>
      </c>
      <c r="Q118" s="1039" t="str">
        <f>IF(Q$3&lt;=time,Q54*(1+Economics!$B$4)^(Q$3-$B$3)/((1+Economics!$B$3)^(Q$3-$B$3)),"")</f>
        <v/>
      </c>
      <c r="R118" s="1039" t="str">
        <f>IF(R$3&lt;=time,R54*(1+Economics!$B$4)^(R$3-$B$3)/((1+Economics!$B$3)^(R$3-$B$3)),"")</f>
        <v/>
      </c>
      <c r="S118" s="1039" t="str">
        <f>IF(S$3&lt;=time,S54*(1+Economics!$B$4)^(S$3-$B$3)/((1+Economics!$B$3)^(S$3-$B$3)),"")</f>
        <v/>
      </c>
      <c r="T118" s="1039" t="str">
        <f>IF(T$3&lt;=time,T54*(1+Economics!$B$4)^(T$3-$B$3)/((1+Economics!$B$3)^(T$3-$B$3)),"")</f>
        <v/>
      </c>
      <c r="U118" s="1039" t="str">
        <f>IF(U$3&lt;=time,U54*(1+Economics!$B$4)^(U$3-$B$3)/((1+Economics!$B$3)^(U$3-$B$3)),"")</f>
        <v/>
      </c>
      <c r="V118" s="1039" t="str">
        <f>IF(V$3&lt;=time,V54*(1+Economics!$B$4)^(V$3-$B$3)/((1+Economics!$B$3)^(V$3-$B$3)),"")</f>
        <v/>
      </c>
      <c r="W118" s="1039" t="str">
        <f>IF(W$3&lt;=time,W54*(1+Economics!$B$4)^(W$3-$B$3)/((1+Economics!$B$3)^(W$3-$B$3)),"")</f>
        <v/>
      </c>
      <c r="X118" s="1039" t="str">
        <f>IF(X$3&lt;=time,X54*(1+Economics!$B$4)^(X$3-$B$3)/((1+Economics!$B$3)^(X$3-$B$3)),"")</f>
        <v/>
      </c>
      <c r="Y118" s="1039" t="str">
        <f>IF(Y$3&lt;=time,Y54*(1+Economics!$B$4)^(Y$3-$B$3)/((1+Economics!$B$3)^(Y$3-$B$3)),"")</f>
        <v/>
      </c>
      <c r="Z118" s="1039" t="str">
        <f>IF(Z$3&lt;=time,Z54*(1+Economics!$B$4)^(Z$3-$B$3)/((1+Economics!$B$3)^(Z$3-$B$3)),"")</f>
        <v/>
      </c>
      <c r="AA118" s="1022">
        <f t="array" ref="AA118">(SUM( IF(ISERROR(B118:Z118),"", B118:Z118)))</f>
        <v>0</v>
      </c>
      <c r="AB118" s="1034">
        <f t="shared" ref="AB118:AB129" si="10">AA118/time</f>
        <v>0</v>
      </c>
      <c r="AC118" s="529">
        <v>1</v>
      </c>
    </row>
    <row r="119" spans="1:29" hidden="1">
      <c r="A119" s="664" t="s">
        <v>299</v>
      </c>
      <c r="B119" s="1039">
        <f>IF(B$3&lt;=time,B55*(1+Economics!$B$4)^(B$3-$B$3)/((1+Economics!$B$3)^(B$3-$B$3)),"")</f>
        <v>0</v>
      </c>
      <c r="C119" s="1039">
        <f>IF(C$3&lt;=time,C55*(1+Economics!$B$4)^(C$3-$B$3)/((1+Economics!$B$3)^(C$3-$B$3)),"")</f>
        <v>0</v>
      </c>
      <c r="D119" s="1039">
        <f>IF(D$3&lt;=time,D55*(1+Economics!$B$4)^(D$3-$B$3)/((1+Economics!$B$3)^(D$3-$B$3)),"")</f>
        <v>0</v>
      </c>
      <c r="E119" s="1039">
        <f>IF(E$3&lt;=time,E55*(1+Economics!$B$4)^(E$3-$B$3)/((1+Economics!$B$3)^(E$3-$B$3)),"")</f>
        <v>0</v>
      </c>
      <c r="F119" s="1039">
        <f>IF(F$3&lt;=time,F55*(1+Economics!$B$4)^(F$3-$B$3)/((1+Economics!$B$3)^(F$3-$B$3)),"")</f>
        <v>0</v>
      </c>
      <c r="G119" s="1039" t="str">
        <f>IF(G$3&lt;=time,G55*(1+Economics!$B$4)^(G$3-$B$3)/((1+Economics!$B$3)^(G$3-$B$3)),"")</f>
        <v/>
      </c>
      <c r="H119" s="1039" t="str">
        <f>IF(H$3&lt;=time,H55*(1+Economics!$B$4)^(H$3-$B$3)/((1+Economics!$B$3)^(H$3-$B$3)),"")</f>
        <v/>
      </c>
      <c r="I119" s="1039" t="str">
        <f>IF(I$3&lt;=time,I55*(1+Economics!$B$4)^(I$3-$B$3)/((1+Economics!$B$3)^(I$3-$B$3)),"")</f>
        <v/>
      </c>
      <c r="J119" s="1039" t="str">
        <f>IF(J$3&lt;=time,J55*(1+Economics!$B$4)^(J$3-$B$3)/((1+Economics!$B$3)^(J$3-$B$3)),"")</f>
        <v/>
      </c>
      <c r="K119" s="1039" t="str">
        <f>IF(K$3&lt;=time,K55*(1+Economics!$B$4)^(K$3-$B$3)/((1+Economics!$B$3)^(K$3-$B$3)),"")</f>
        <v/>
      </c>
      <c r="L119" s="1039" t="str">
        <f>IF(L$3&lt;=time,L55*(1+Economics!$B$4)^(L$3-$B$3)/((1+Economics!$B$3)^(L$3-$B$3)),"")</f>
        <v/>
      </c>
      <c r="M119" s="1039" t="str">
        <f>IF(M$3&lt;=time,M55*(1+Economics!$B$4)^(M$3-$B$3)/((1+Economics!$B$3)^(M$3-$B$3)),"")</f>
        <v/>
      </c>
      <c r="N119" s="1039" t="str">
        <f>IF(N$3&lt;=time,N55*(1+Economics!$B$4)^(N$3-$B$3)/((1+Economics!$B$3)^(N$3-$B$3)),"")</f>
        <v/>
      </c>
      <c r="O119" s="1039" t="str">
        <f>IF(O$3&lt;=time,O55*(1+Economics!$B$4)^(O$3-$B$3)/((1+Economics!$B$3)^(O$3-$B$3)),"")</f>
        <v/>
      </c>
      <c r="P119" s="1039" t="str">
        <f>IF(P$3&lt;=time,P55*(1+Economics!$B$4)^(P$3-$B$3)/((1+Economics!$B$3)^(P$3-$B$3)),"")</f>
        <v/>
      </c>
      <c r="Q119" s="1039" t="str">
        <f>IF(Q$3&lt;=time,Q55*(1+Economics!$B$4)^(Q$3-$B$3)/((1+Economics!$B$3)^(Q$3-$B$3)),"")</f>
        <v/>
      </c>
      <c r="R119" s="1039" t="str">
        <f>IF(R$3&lt;=time,R55*(1+Economics!$B$4)^(R$3-$B$3)/((1+Economics!$B$3)^(R$3-$B$3)),"")</f>
        <v/>
      </c>
      <c r="S119" s="1039" t="str">
        <f>IF(S$3&lt;=time,S55*(1+Economics!$B$4)^(S$3-$B$3)/((1+Economics!$B$3)^(S$3-$B$3)),"")</f>
        <v/>
      </c>
      <c r="T119" s="1039" t="str">
        <f>IF(T$3&lt;=time,T55*(1+Economics!$B$4)^(T$3-$B$3)/((1+Economics!$B$3)^(T$3-$B$3)),"")</f>
        <v/>
      </c>
      <c r="U119" s="1039" t="str">
        <f>IF(U$3&lt;=time,U55*(1+Economics!$B$4)^(U$3-$B$3)/((1+Economics!$B$3)^(U$3-$B$3)),"")</f>
        <v/>
      </c>
      <c r="V119" s="1039" t="str">
        <f>IF(V$3&lt;=time,V55*(1+Economics!$B$4)^(V$3-$B$3)/((1+Economics!$B$3)^(V$3-$B$3)),"")</f>
        <v/>
      </c>
      <c r="W119" s="1039" t="str">
        <f>IF(W$3&lt;=time,W55*(1+Economics!$B$4)^(W$3-$B$3)/((1+Economics!$B$3)^(W$3-$B$3)),"")</f>
        <v/>
      </c>
      <c r="X119" s="1039" t="str">
        <f>IF(X$3&lt;=time,X55*(1+Economics!$B$4)^(X$3-$B$3)/((1+Economics!$B$3)^(X$3-$B$3)),"")</f>
        <v/>
      </c>
      <c r="Y119" s="1039" t="str">
        <f>IF(Y$3&lt;=time,Y55*(1+Economics!$B$4)^(Y$3-$B$3)/((1+Economics!$B$3)^(Y$3-$B$3)),"")</f>
        <v/>
      </c>
      <c r="Z119" s="1039" t="str">
        <f>IF(Z$3&lt;=time,Z55*(1+Economics!$B$4)^(Z$3-$B$3)/((1+Economics!$B$3)^(Z$3-$B$3)),"")</f>
        <v/>
      </c>
      <c r="AA119" s="1035">
        <f t="array" ref="AA119">(SUM( IF(ISERROR(B119:Z119),"", B119:Z119)))</f>
        <v>0</v>
      </c>
      <c r="AB119" s="1036">
        <f t="shared" si="10"/>
        <v>0</v>
      </c>
      <c r="AC119" s="529">
        <v>2</v>
      </c>
    </row>
    <row r="120" spans="1:29" hidden="1">
      <c r="A120" s="664" t="s">
        <v>300</v>
      </c>
      <c r="B120" s="1039">
        <f>IF(B$3&lt;=time,B56*(1+Economics!$B$4)^(B$3-$B$3)/((1+Economics!$B$3)^(B$3-$B$3)),"")</f>
        <v>0</v>
      </c>
      <c r="C120" s="1039">
        <f>IF(C$3&lt;=time,C56*(1+Economics!$B$4)^(C$3-$B$3)/((1+Economics!$B$3)^(C$3-$B$3)),"")</f>
        <v>0</v>
      </c>
      <c r="D120" s="1039">
        <f>IF(D$3&lt;=time,D56*(1+Economics!$B$4)^(D$3-$B$3)/((1+Economics!$B$3)^(D$3-$B$3)),"")</f>
        <v>0</v>
      </c>
      <c r="E120" s="1039">
        <f>IF(E$3&lt;=time,E56*(1+Economics!$B$4)^(E$3-$B$3)/((1+Economics!$B$3)^(E$3-$B$3)),"")</f>
        <v>0</v>
      </c>
      <c r="F120" s="1039">
        <f>IF(F$3&lt;=time,F56*(1+Economics!$B$4)^(F$3-$B$3)/((1+Economics!$B$3)^(F$3-$B$3)),"")</f>
        <v>0</v>
      </c>
      <c r="G120" s="1039" t="str">
        <f>IF(G$3&lt;=time,G56*(1+Economics!$B$4)^(G$3-$B$3)/((1+Economics!$B$3)^(G$3-$B$3)),"")</f>
        <v/>
      </c>
      <c r="H120" s="1039" t="str">
        <f>IF(H$3&lt;=time,H56*(1+Economics!$B$4)^(H$3-$B$3)/((1+Economics!$B$3)^(H$3-$B$3)),"")</f>
        <v/>
      </c>
      <c r="I120" s="1039" t="str">
        <f>IF(I$3&lt;=time,I56*(1+Economics!$B$4)^(I$3-$B$3)/((1+Economics!$B$3)^(I$3-$B$3)),"")</f>
        <v/>
      </c>
      <c r="J120" s="1039" t="str">
        <f>IF(J$3&lt;=time,J56*(1+Economics!$B$4)^(J$3-$B$3)/((1+Economics!$B$3)^(J$3-$B$3)),"")</f>
        <v/>
      </c>
      <c r="K120" s="1039" t="str">
        <f>IF(K$3&lt;=time,K56*(1+Economics!$B$4)^(K$3-$B$3)/((1+Economics!$B$3)^(K$3-$B$3)),"")</f>
        <v/>
      </c>
      <c r="L120" s="1039" t="str">
        <f>IF(L$3&lt;=time,L56*(1+Economics!$B$4)^(L$3-$B$3)/((1+Economics!$B$3)^(L$3-$B$3)),"")</f>
        <v/>
      </c>
      <c r="M120" s="1039" t="str">
        <f>IF(M$3&lt;=time,M56*(1+Economics!$B$4)^(M$3-$B$3)/((1+Economics!$B$3)^(M$3-$B$3)),"")</f>
        <v/>
      </c>
      <c r="N120" s="1039" t="str">
        <f>IF(N$3&lt;=time,N56*(1+Economics!$B$4)^(N$3-$B$3)/((1+Economics!$B$3)^(N$3-$B$3)),"")</f>
        <v/>
      </c>
      <c r="O120" s="1039" t="str">
        <f>IF(O$3&lt;=time,O56*(1+Economics!$B$4)^(O$3-$B$3)/((1+Economics!$B$3)^(O$3-$B$3)),"")</f>
        <v/>
      </c>
      <c r="P120" s="1039" t="str">
        <f>IF(P$3&lt;=time,P56*(1+Economics!$B$4)^(P$3-$B$3)/((1+Economics!$B$3)^(P$3-$B$3)),"")</f>
        <v/>
      </c>
      <c r="Q120" s="1039" t="str">
        <f>IF(Q$3&lt;=time,Q56*(1+Economics!$B$4)^(Q$3-$B$3)/((1+Economics!$B$3)^(Q$3-$B$3)),"")</f>
        <v/>
      </c>
      <c r="R120" s="1039" t="str">
        <f>IF(R$3&lt;=time,R56*(1+Economics!$B$4)^(R$3-$B$3)/((1+Economics!$B$3)^(R$3-$B$3)),"")</f>
        <v/>
      </c>
      <c r="S120" s="1039" t="str">
        <f>IF(S$3&lt;=time,S56*(1+Economics!$B$4)^(S$3-$B$3)/((1+Economics!$B$3)^(S$3-$B$3)),"")</f>
        <v/>
      </c>
      <c r="T120" s="1039" t="str">
        <f>IF(T$3&lt;=time,T56*(1+Economics!$B$4)^(T$3-$B$3)/((1+Economics!$B$3)^(T$3-$B$3)),"")</f>
        <v/>
      </c>
      <c r="U120" s="1039" t="str">
        <f>IF(U$3&lt;=time,U56*(1+Economics!$B$4)^(U$3-$B$3)/((1+Economics!$B$3)^(U$3-$B$3)),"")</f>
        <v/>
      </c>
      <c r="V120" s="1039" t="str">
        <f>IF(V$3&lt;=time,V56*(1+Economics!$B$4)^(V$3-$B$3)/((1+Economics!$B$3)^(V$3-$B$3)),"")</f>
        <v/>
      </c>
      <c r="W120" s="1039" t="str">
        <f>IF(W$3&lt;=time,W56*(1+Economics!$B$4)^(W$3-$B$3)/((1+Economics!$B$3)^(W$3-$B$3)),"")</f>
        <v/>
      </c>
      <c r="X120" s="1039" t="str">
        <f>IF(X$3&lt;=time,X56*(1+Economics!$B$4)^(X$3-$B$3)/((1+Economics!$B$3)^(X$3-$B$3)),"")</f>
        <v/>
      </c>
      <c r="Y120" s="1039" t="str">
        <f>IF(Y$3&lt;=time,Y56*(1+Economics!$B$4)^(Y$3-$B$3)/((1+Economics!$B$3)^(Y$3-$B$3)),"")</f>
        <v/>
      </c>
      <c r="Z120" s="1039" t="str">
        <f>IF(Z$3&lt;=time,Z56*(1+Economics!$B$4)^(Z$3-$B$3)/((1+Economics!$B$3)^(Z$3-$B$3)),"")</f>
        <v/>
      </c>
      <c r="AA120" s="1035">
        <f t="array" ref="AA120">(SUM( IF(ISERROR(B120:Z120),"", B120:Z120)))</f>
        <v>0</v>
      </c>
      <c r="AB120" s="1036">
        <f t="shared" si="10"/>
        <v>0</v>
      </c>
      <c r="AC120" s="529">
        <v>3</v>
      </c>
    </row>
    <row r="121" spans="1:29" hidden="1">
      <c r="A121" s="664" t="s">
        <v>301</v>
      </c>
      <c r="B121" s="1039">
        <f>IF(B$3&lt;=time,B57*(1+Economics!$B$4)^(B$3-$B$3)/((1+Economics!$B$3)^(B$3-$B$3)),"")</f>
        <v>0</v>
      </c>
      <c r="C121" s="1039">
        <f>IF(C$3&lt;=time,C57*(1+Economics!$B$4)^(C$3-$B$3)/((1+Economics!$B$3)^(C$3-$B$3)),"")</f>
        <v>0</v>
      </c>
      <c r="D121" s="1039">
        <f>IF(D$3&lt;=time,D57*(1+Economics!$B$4)^(D$3-$B$3)/((1+Economics!$B$3)^(D$3-$B$3)),"")</f>
        <v>0</v>
      </c>
      <c r="E121" s="1039">
        <f>IF(E$3&lt;=time,E57*(1+Economics!$B$4)^(E$3-$B$3)/((1+Economics!$B$3)^(E$3-$B$3)),"")</f>
        <v>0</v>
      </c>
      <c r="F121" s="1039">
        <f>IF(F$3&lt;=time,F57*(1+Economics!$B$4)^(F$3-$B$3)/((1+Economics!$B$3)^(F$3-$B$3)),"")</f>
        <v>0</v>
      </c>
      <c r="G121" s="1039" t="str">
        <f>IF(G$3&lt;=time,G57*(1+Economics!$B$4)^(G$3-$B$3)/((1+Economics!$B$3)^(G$3-$B$3)),"")</f>
        <v/>
      </c>
      <c r="H121" s="1039" t="str">
        <f>IF(H$3&lt;=time,H57*(1+Economics!$B$4)^(H$3-$B$3)/((1+Economics!$B$3)^(H$3-$B$3)),"")</f>
        <v/>
      </c>
      <c r="I121" s="1039" t="str">
        <f>IF(I$3&lt;=time,I57*(1+Economics!$B$4)^(I$3-$B$3)/((1+Economics!$B$3)^(I$3-$B$3)),"")</f>
        <v/>
      </c>
      <c r="J121" s="1039" t="str">
        <f>IF(J$3&lt;=time,J57*(1+Economics!$B$4)^(J$3-$B$3)/((1+Economics!$B$3)^(J$3-$B$3)),"")</f>
        <v/>
      </c>
      <c r="K121" s="1039" t="str">
        <f>IF(K$3&lt;=time,K57*(1+Economics!$B$4)^(K$3-$B$3)/((1+Economics!$B$3)^(K$3-$B$3)),"")</f>
        <v/>
      </c>
      <c r="L121" s="1039" t="str">
        <f>IF(L$3&lt;=time,L57*(1+Economics!$B$4)^(L$3-$B$3)/((1+Economics!$B$3)^(L$3-$B$3)),"")</f>
        <v/>
      </c>
      <c r="M121" s="1039" t="str">
        <f>IF(M$3&lt;=time,M57*(1+Economics!$B$4)^(M$3-$B$3)/((1+Economics!$B$3)^(M$3-$B$3)),"")</f>
        <v/>
      </c>
      <c r="N121" s="1039" t="str">
        <f>IF(N$3&lt;=time,N57*(1+Economics!$B$4)^(N$3-$B$3)/((1+Economics!$B$3)^(N$3-$B$3)),"")</f>
        <v/>
      </c>
      <c r="O121" s="1039" t="str">
        <f>IF(O$3&lt;=time,O57*(1+Economics!$B$4)^(O$3-$B$3)/((1+Economics!$B$3)^(O$3-$B$3)),"")</f>
        <v/>
      </c>
      <c r="P121" s="1039" t="str">
        <f>IF(P$3&lt;=time,P57*(1+Economics!$B$4)^(P$3-$B$3)/((1+Economics!$B$3)^(P$3-$B$3)),"")</f>
        <v/>
      </c>
      <c r="Q121" s="1039" t="str">
        <f>IF(Q$3&lt;=time,Q57*(1+Economics!$B$4)^(Q$3-$B$3)/((1+Economics!$B$3)^(Q$3-$B$3)),"")</f>
        <v/>
      </c>
      <c r="R121" s="1039" t="str">
        <f>IF(R$3&lt;=time,R57*(1+Economics!$B$4)^(R$3-$B$3)/((1+Economics!$B$3)^(R$3-$B$3)),"")</f>
        <v/>
      </c>
      <c r="S121" s="1039" t="str">
        <f>IF(S$3&lt;=time,S57*(1+Economics!$B$4)^(S$3-$B$3)/((1+Economics!$B$3)^(S$3-$B$3)),"")</f>
        <v/>
      </c>
      <c r="T121" s="1039" t="str">
        <f>IF(T$3&lt;=time,T57*(1+Economics!$B$4)^(T$3-$B$3)/((1+Economics!$B$3)^(T$3-$B$3)),"")</f>
        <v/>
      </c>
      <c r="U121" s="1039" t="str">
        <f>IF(U$3&lt;=time,U57*(1+Economics!$B$4)^(U$3-$B$3)/((1+Economics!$B$3)^(U$3-$B$3)),"")</f>
        <v/>
      </c>
      <c r="V121" s="1039" t="str">
        <f>IF(V$3&lt;=time,V57*(1+Economics!$B$4)^(V$3-$B$3)/((1+Economics!$B$3)^(V$3-$B$3)),"")</f>
        <v/>
      </c>
      <c r="W121" s="1039" t="str">
        <f>IF(W$3&lt;=time,W57*(1+Economics!$B$4)^(W$3-$B$3)/((1+Economics!$B$3)^(W$3-$B$3)),"")</f>
        <v/>
      </c>
      <c r="X121" s="1039" t="str">
        <f>IF(X$3&lt;=time,X57*(1+Economics!$B$4)^(X$3-$B$3)/((1+Economics!$B$3)^(X$3-$B$3)),"")</f>
        <v/>
      </c>
      <c r="Y121" s="1039" t="str">
        <f>IF(Y$3&lt;=time,Y57*(1+Economics!$B$4)^(Y$3-$B$3)/((1+Economics!$B$3)^(Y$3-$B$3)),"")</f>
        <v/>
      </c>
      <c r="Z121" s="1039" t="str">
        <f>IF(Z$3&lt;=time,Z57*(1+Economics!$B$4)^(Z$3-$B$3)/((1+Economics!$B$3)^(Z$3-$B$3)),"")</f>
        <v/>
      </c>
      <c r="AA121" s="1035">
        <f t="array" ref="AA121">(SUM( IF(ISERROR(B121:Z121),"", B121:Z121)))</f>
        <v>0</v>
      </c>
      <c r="AB121" s="1036">
        <f t="shared" si="10"/>
        <v>0</v>
      </c>
      <c r="AC121" s="529">
        <v>4</v>
      </c>
    </row>
    <row r="122" spans="1:29" hidden="1">
      <c r="A122" s="664" t="s">
        <v>302</v>
      </c>
      <c r="B122" s="1039">
        <f>IF(B$3&lt;=time,B58*(1+Economics!$B$4)^(B$3-$B$3)/((1+Economics!$B$3)^(B$3-$B$3)),"")</f>
        <v>0</v>
      </c>
      <c r="C122" s="1039">
        <f>IF(C$3&lt;=time,C58*(1+Economics!$B$4)^(C$3-$B$3)/((1+Economics!$B$3)^(C$3-$B$3)),"")</f>
        <v>0</v>
      </c>
      <c r="D122" s="1039">
        <f>IF(D$3&lt;=time,D58*(1+Economics!$B$4)^(D$3-$B$3)/((1+Economics!$B$3)^(D$3-$B$3)),"")</f>
        <v>0</v>
      </c>
      <c r="E122" s="1039">
        <f>IF(E$3&lt;=time,E58*(1+Economics!$B$4)^(E$3-$B$3)/((1+Economics!$B$3)^(E$3-$B$3)),"")</f>
        <v>0</v>
      </c>
      <c r="F122" s="1039">
        <f>IF(F$3&lt;=time,F58*(1+Economics!$B$4)^(F$3-$B$3)/((1+Economics!$B$3)^(F$3-$B$3)),"")</f>
        <v>0</v>
      </c>
      <c r="G122" s="1039" t="str">
        <f>IF(G$3&lt;=time,G58*(1+Economics!$B$4)^(G$3-$B$3)/((1+Economics!$B$3)^(G$3-$B$3)),"")</f>
        <v/>
      </c>
      <c r="H122" s="1039" t="str">
        <f>IF(H$3&lt;=time,H58*(1+Economics!$B$4)^(H$3-$B$3)/((1+Economics!$B$3)^(H$3-$B$3)),"")</f>
        <v/>
      </c>
      <c r="I122" s="1039" t="str">
        <f>IF(I$3&lt;=time,I58*(1+Economics!$B$4)^(I$3-$B$3)/((1+Economics!$B$3)^(I$3-$B$3)),"")</f>
        <v/>
      </c>
      <c r="J122" s="1039" t="str">
        <f>IF(J$3&lt;=time,J58*(1+Economics!$B$4)^(J$3-$B$3)/((1+Economics!$B$3)^(J$3-$B$3)),"")</f>
        <v/>
      </c>
      <c r="K122" s="1039" t="str">
        <f>IF(K$3&lt;=time,K58*(1+Economics!$B$4)^(K$3-$B$3)/((1+Economics!$B$3)^(K$3-$B$3)),"")</f>
        <v/>
      </c>
      <c r="L122" s="1039" t="str">
        <f>IF(L$3&lt;=time,L58*(1+Economics!$B$4)^(L$3-$B$3)/((1+Economics!$B$3)^(L$3-$B$3)),"")</f>
        <v/>
      </c>
      <c r="M122" s="1039" t="str">
        <f>IF(M$3&lt;=time,M58*(1+Economics!$B$4)^(M$3-$B$3)/((1+Economics!$B$3)^(M$3-$B$3)),"")</f>
        <v/>
      </c>
      <c r="N122" s="1039" t="str">
        <f>IF(N$3&lt;=time,N58*(1+Economics!$B$4)^(N$3-$B$3)/((1+Economics!$B$3)^(N$3-$B$3)),"")</f>
        <v/>
      </c>
      <c r="O122" s="1039" t="str">
        <f>IF(O$3&lt;=time,O58*(1+Economics!$B$4)^(O$3-$B$3)/((1+Economics!$B$3)^(O$3-$B$3)),"")</f>
        <v/>
      </c>
      <c r="P122" s="1039" t="str">
        <f>IF(P$3&lt;=time,P58*(1+Economics!$B$4)^(P$3-$B$3)/((1+Economics!$B$3)^(P$3-$B$3)),"")</f>
        <v/>
      </c>
      <c r="Q122" s="1039" t="str">
        <f>IF(Q$3&lt;=time,Q58*(1+Economics!$B$4)^(Q$3-$B$3)/((1+Economics!$B$3)^(Q$3-$B$3)),"")</f>
        <v/>
      </c>
      <c r="R122" s="1039" t="str">
        <f>IF(R$3&lt;=time,R58*(1+Economics!$B$4)^(R$3-$B$3)/((1+Economics!$B$3)^(R$3-$B$3)),"")</f>
        <v/>
      </c>
      <c r="S122" s="1039" t="str">
        <f>IF(S$3&lt;=time,S58*(1+Economics!$B$4)^(S$3-$B$3)/((1+Economics!$B$3)^(S$3-$B$3)),"")</f>
        <v/>
      </c>
      <c r="T122" s="1039" t="str">
        <f>IF(T$3&lt;=time,T58*(1+Economics!$B$4)^(T$3-$B$3)/((1+Economics!$B$3)^(T$3-$B$3)),"")</f>
        <v/>
      </c>
      <c r="U122" s="1039" t="str">
        <f>IF(U$3&lt;=time,U58*(1+Economics!$B$4)^(U$3-$B$3)/((1+Economics!$B$3)^(U$3-$B$3)),"")</f>
        <v/>
      </c>
      <c r="V122" s="1039" t="str">
        <f>IF(V$3&lt;=time,V58*(1+Economics!$B$4)^(V$3-$B$3)/((1+Economics!$B$3)^(V$3-$B$3)),"")</f>
        <v/>
      </c>
      <c r="W122" s="1039" t="str">
        <f>IF(W$3&lt;=time,W58*(1+Economics!$B$4)^(W$3-$B$3)/((1+Economics!$B$3)^(W$3-$B$3)),"")</f>
        <v/>
      </c>
      <c r="X122" s="1039" t="str">
        <f>IF(X$3&lt;=time,X58*(1+Economics!$B$4)^(X$3-$B$3)/((1+Economics!$B$3)^(X$3-$B$3)),"")</f>
        <v/>
      </c>
      <c r="Y122" s="1039" t="str">
        <f>IF(Y$3&lt;=time,Y58*(1+Economics!$B$4)^(Y$3-$B$3)/((1+Economics!$B$3)^(Y$3-$B$3)),"")</f>
        <v/>
      </c>
      <c r="Z122" s="1039" t="str">
        <f>IF(Z$3&lt;=time,Z58*(1+Economics!$B$4)^(Z$3-$B$3)/((1+Economics!$B$3)^(Z$3-$B$3)),"")</f>
        <v/>
      </c>
      <c r="AA122" s="1035">
        <f t="array" ref="AA122">(SUM( IF(ISERROR(B122:Z122),"", B122:Z122)))</f>
        <v>0</v>
      </c>
      <c r="AB122" s="1036">
        <f t="shared" si="10"/>
        <v>0</v>
      </c>
      <c r="AC122" s="529">
        <v>5</v>
      </c>
    </row>
    <row r="123" spans="1:29" hidden="1">
      <c r="A123" s="664" t="s">
        <v>303</v>
      </c>
      <c r="B123" s="1039">
        <f>IF(B$3&lt;=time,B59*(1+Economics!$B$4)^(B$3-$B$3)/((1+Economics!$B$3)^(B$3-$B$3)),"")</f>
        <v>0</v>
      </c>
      <c r="C123" s="1039">
        <f>IF(C$3&lt;=time,C59*(1+Economics!$B$4)^(C$3-$B$3)/((1+Economics!$B$3)^(C$3-$B$3)),"")</f>
        <v>0</v>
      </c>
      <c r="D123" s="1039">
        <f>IF(D$3&lt;=time,D59*(1+Economics!$B$4)^(D$3-$B$3)/((1+Economics!$B$3)^(D$3-$B$3)),"")</f>
        <v>0</v>
      </c>
      <c r="E123" s="1039">
        <f>IF(E$3&lt;=time,E59*(1+Economics!$B$4)^(E$3-$B$3)/((1+Economics!$B$3)^(E$3-$B$3)),"")</f>
        <v>0</v>
      </c>
      <c r="F123" s="1039">
        <f>IF(F$3&lt;=time,F59*(1+Economics!$B$4)^(F$3-$B$3)/((1+Economics!$B$3)^(F$3-$B$3)),"")</f>
        <v>0</v>
      </c>
      <c r="G123" s="1039" t="str">
        <f>IF(G$3&lt;=time,G59*(1+Economics!$B$4)^(G$3-$B$3)/((1+Economics!$B$3)^(G$3-$B$3)),"")</f>
        <v/>
      </c>
      <c r="H123" s="1039" t="str">
        <f>IF(H$3&lt;=time,H59*(1+Economics!$B$4)^(H$3-$B$3)/((1+Economics!$B$3)^(H$3-$B$3)),"")</f>
        <v/>
      </c>
      <c r="I123" s="1039" t="str">
        <f>IF(I$3&lt;=time,I59*(1+Economics!$B$4)^(I$3-$B$3)/((1+Economics!$B$3)^(I$3-$B$3)),"")</f>
        <v/>
      </c>
      <c r="J123" s="1039" t="str">
        <f>IF(J$3&lt;=time,J59*(1+Economics!$B$4)^(J$3-$B$3)/((1+Economics!$B$3)^(J$3-$B$3)),"")</f>
        <v/>
      </c>
      <c r="K123" s="1039" t="str">
        <f>IF(K$3&lt;=time,K59*(1+Economics!$B$4)^(K$3-$B$3)/((1+Economics!$B$3)^(K$3-$B$3)),"")</f>
        <v/>
      </c>
      <c r="L123" s="1039" t="str">
        <f>IF(L$3&lt;=time,L59*(1+Economics!$B$4)^(L$3-$B$3)/((1+Economics!$B$3)^(L$3-$B$3)),"")</f>
        <v/>
      </c>
      <c r="M123" s="1039" t="str">
        <f>IF(M$3&lt;=time,M59*(1+Economics!$B$4)^(M$3-$B$3)/((1+Economics!$B$3)^(M$3-$B$3)),"")</f>
        <v/>
      </c>
      <c r="N123" s="1039" t="str">
        <f>IF(N$3&lt;=time,N59*(1+Economics!$B$4)^(N$3-$B$3)/((1+Economics!$B$3)^(N$3-$B$3)),"")</f>
        <v/>
      </c>
      <c r="O123" s="1039" t="str">
        <f>IF(O$3&lt;=time,O59*(1+Economics!$B$4)^(O$3-$B$3)/((1+Economics!$B$3)^(O$3-$B$3)),"")</f>
        <v/>
      </c>
      <c r="P123" s="1039" t="str">
        <f>IF(P$3&lt;=time,P59*(1+Economics!$B$4)^(P$3-$B$3)/((1+Economics!$B$3)^(P$3-$B$3)),"")</f>
        <v/>
      </c>
      <c r="Q123" s="1039" t="str">
        <f>IF(Q$3&lt;=time,Q59*(1+Economics!$B$4)^(Q$3-$B$3)/((1+Economics!$B$3)^(Q$3-$B$3)),"")</f>
        <v/>
      </c>
      <c r="R123" s="1039" t="str">
        <f>IF(R$3&lt;=time,R59*(1+Economics!$B$4)^(R$3-$B$3)/((1+Economics!$B$3)^(R$3-$B$3)),"")</f>
        <v/>
      </c>
      <c r="S123" s="1039" t="str">
        <f>IF(S$3&lt;=time,S59*(1+Economics!$B$4)^(S$3-$B$3)/((1+Economics!$B$3)^(S$3-$B$3)),"")</f>
        <v/>
      </c>
      <c r="T123" s="1039" t="str">
        <f>IF(T$3&lt;=time,T59*(1+Economics!$B$4)^(T$3-$B$3)/((1+Economics!$B$3)^(T$3-$B$3)),"")</f>
        <v/>
      </c>
      <c r="U123" s="1039" t="str">
        <f>IF(U$3&lt;=time,U59*(1+Economics!$B$4)^(U$3-$B$3)/((1+Economics!$B$3)^(U$3-$B$3)),"")</f>
        <v/>
      </c>
      <c r="V123" s="1039" t="str">
        <f>IF(V$3&lt;=time,V59*(1+Economics!$B$4)^(V$3-$B$3)/((1+Economics!$B$3)^(V$3-$B$3)),"")</f>
        <v/>
      </c>
      <c r="W123" s="1039" t="str">
        <f>IF(W$3&lt;=time,W59*(1+Economics!$B$4)^(W$3-$B$3)/((1+Economics!$B$3)^(W$3-$B$3)),"")</f>
        <v/>
      </c>
      <c r="X123" s="1039" t="str">
        <f>IF(X$3&lt;=time,X59*(1+Economics!$B$4)^(X$3-$B$3)/((1+Economics!$B$3)^(X$3-$B$3)),"")</f>
        <v/>
      </c>
      <c r="Y123" s="1039" t="str">
        <f>IF(Y$3&lt;=time,Y59*(1+Economics!$B$4)^(Y$3-$B$3)/((1+Economics!$B$3)^(Y$3-$B$3)),"")</f>
        <v/>
      </c>
      <c r="Z123" s="1039" t="str">
        <f>IF(Z$3&lt;=time,Z59*(1+Economics!$B$4)^(Z$3-$B$3)/((1+Economics!$B$3)^(Z$3-$B$3)),"")</f>
        <v/>
      </c>
      <c r="AA123" s="1035">
        <f t="array" ref="AA123">(SUM( IF(ISERROR(B123:Z123),"", B123:Z123)))</f>
        <v>0</v>
      </c>
      <c r="AB123" s="1036">
        <f t="shared" si="10"/>
        <v>0</v>
      </c>
      <c r="AC123" s="529">
        <v>6</v>
      </c>
    </row>
    <row r="124" spans="1:29" hidden="1">
      <c r="A124" s="664" t="s">
        <v>304</v>
      </c>
      <c r="B124" s="1039">
        <f>IF(B$3&lt;=time,B60*(1+Economics!$B$4)^(B$3-$B$3)/((1+Economics!$B$3)^(B$3-$B$3)),"")</f>
        <v>0</v>
      </c>
      <c r="C124" s="1039">
        <f>IF(C$3&lt;=time,C60*(1+Economics!$B$4)^(C$3-$B$3)/((1+Economics!$B$3)^(C$3-$B$3)),"")</f>
        <v>0</v>
      </c>
      <c r="D124" s="1039">
        <f>IF(D$3&lt;=time,D60*(1+Economics!$B$4)^(D$3-$B$3)/((1+Economics!$B$3)^(D$3-$B$3)),"")</f>
        <v>0</v>
      </c>
      <c r="E124" s="1039">
        <f>IF(E$3&lt;=time,E60*(1+Economics!$B$4)^(E$3-$B$3)/((1+Economics!$B$3)^(E$3-$B$3)),"")</f>
        <v>0</v>
      </c>
      <c r="F124" s="1039">
        <f>IF(F$3&lt;=time,F60*(1+Economics!$B$4)^(F$3-$B$3)/((1+Economics!$B$3)^(F$3-$B$3)),"")</f>
        <v>0</v>
      </c>
      <c r="G124" s="1039" t="str">
        <f>IF(G$3&lt;=time,G60*(1+Economics!$B$4)^(G$3-$B$3)/((1+Economics!$B$3)^(G$3-$B$3)),"")</f>
        <v/>
      </c>
      <c r="H124" s="1039" t="str">
        <f>IF(H$3&lt;=time,H60*(1+Economics!$B$4)^(H$3-$B$3)/((1+Economics!$B$3)^(H$3-$B$3)),"")</f>
        <v/>
      </c>
      <c r="I124" s="1039" t="str">
        <f>IF(I$3&lt;=time,I60*(1+Economics!$B$4)^(I$3-$B$3)/((1+Economics!$B$3)^(I$3-$B$3)),"")</f>
        <v/>
      </c>
      <c r="J124" s="1039" t="str">
        <f>IF(J$3&lt;=time,J60*(1+Economics!$B$4)^(J$3-$B$3)/((1+Economics!$B$3)^(J$3-$B$3)),"")</f>
        <v/>
      </c>
      <c r="K124" s="1039" t="str">
        <f>IF(K$3&lt;=time,K60*(1+Economics!$B$4)^(K$3-$B$3)/((1+Economics!$B$3)^(K$3-$B$3)),"")</f>
        <v/>
      </c>
      <c r="L124" s="1039" t="str">
        <f>IF(L$3&lt;=time,L60*(1+Economics!$B$4)^(L$3-$B$3)/((1+Economics!$B$3)^(L$3-$B$3)),"")</f>
        <v/>
      </c>
      <c r="M124" s="1039" t="str">
        <f>IF(M$3&lt;=time,M60*(1+Economics!$B$4)^(M$3-$B$3)/((1+Economics!$B$3)^(M$3-$B$3)),"")</f>
        <v/>
      </c>
      <c r="N124" s="1039" t="str">
        <f>IF(N$3&lt;=time,N60*(1+Economics!$B$4)^(N$3-$B$3)/((1+Economics!$B$3)^(N$3-$B$3)),"")</f>
        <v/>
      </c>
      <c r="O124" s="1039" t="str">
        <f>IF(O$3&lt;=time,O60*(1+Economics!$B$4)^(O$3-$B$3)/((1+Economics!$B$3)^(O$3-$B$3)),"")</f>
        <v/>
      </c>
      <c r="P124" s="1039" t="str">
        <f>IF(P$3&lt;=time,P60*(1+Economics!$B$4)^(P$3-$B$3)/((1+Economics!$B$3)^(P$3-$B$3)),"")</f>
        <v/>
      </c>
      <c r="Q124" s="1039" t="str">
        <f>IF(Q$3&lt;=time,Q60*(1+Economics!$B$4)^(Q$3-$B$3)/((1+Economics!$B$3)^(Q$3-$B$3)),"")</f>
        <v/>
      </c>
      <c r="R124" s="1039" t="str">
        <f>IF(R$3&lt;=time,R60*(1+Economics!$B$4)^(R$3-$B$3)/((1+Economics!$B$3)^(R$3-$B$3)),"")</f>
        <v/>
      </c>
      <c r="S124" s="1039" t="str">
        <f>IF(S$3&lt;=time,S60*(1+Economics!$B$4)^(S$3-$B$3)/((1+Economics!$B$3)^(S$3-$B$3)),"")</f>
        <v/>
      </c>
      <c r="T124" s="1039" t="str">
        <f>IF(T$3&lt;=time,T60*(1+Economics!$B$4)^(T$3-$B$3)/((1+Economics!$B$3)^(T$3-$B$3)),"")</f>
        <v/>
      </c>
      <c r="U124" s="1039" t="str">
        <f>IF(U$3&lt;=time,U60*(1+Economics!$B$4)^(U$3-$B$3)/((1+Economics!$B$3)^(U$3-$B$3)),"")</f>
        <v/>
      </c>
      <c r="V124" s="1039" t="str">
        <f>IF(V$3&lt;=time,V60*(1+Economics!$B$4)^(V$3-$B$3)/((1+Economics!$B$3)^(V$3-$B$3)),"")</f>
        <v/>
      </c>
      <c r="W124" s="1039" t="str">
        <f>IF(W$3&lt;=time,W60*(1+Economics!$B$4)^(W$3-$B$3)/((1+Economics!$B$3)^(W$3-$B$3)),"")</f>
        <v/>
      </c>
      <c r="X124" s="1039" t="str">
        <f>IF(X$3&lt;=time,X60*(1+Economics!$B$4)^(X$3-$B$3)/((1+Economics!$B$3)^(X$3-$B$3)),"")</f>
        <v/>
      </c>
      <c r="Y124" s="1039" t="str">
        <f>IF(Y$3&lt;=time,Y60*(1+Economics!$B$4)^(Y$3-$B$3)/((1+Economics!$B$3)^(Y$3-$B$3)),"")</f>
        <v/>
      </c>
      <c r="Z124" s="1039" t="str">
        <f>IF(Z$3&lt;=time,Z60*(1+Economics!$B$4)^(Z$3-$B$3)/((1+Economics!$B$3)^(Z$3-$B$3)),"")</f>
        <v/>
      </c>
      <c r="AA124" s="1035">
        <f t="array" ref="AA124">(SUM( IF(ISERROR(B124:Z124),"", B124:Z124)))</f>
        <v>0</v>
      </c>
      <c r="AB124" s="1036">
        <f t="shared" si="10"/>
        <v>0</v>
      </c>
      <c r="AC124" s="529">
        <v>7</v>
      </c>
    </row>
    <row r="125" spans="1:29" hidden="1">
      <c r="A125" s="664" t="s">
        <v>305</v>
      </c>
      <c r="B125" s="1039">
        <f>IF(B$3&lt;=time,B61*(1+Economics!$B$4)^(B$3-$B$3)/((1+Economics!$B$3)^(B$3-$B$3)),"")</f>
        <v>0</v>
      </c>
      <c r="C125" s="1039">
        <f>IF(C$3&lt;=time,C61*(1+Economics!$B$4)^(C$3-$B$3)/((1+Economics!$B$3)^(C$3-$B$3)),"")</f>
        <v>0</v>
      </c>
      <c r="D125" s="1039">
        <f>IF(D$3&lt;=time,D61*(1+Economics!$B$4)^(D$3-$B$3)/((1+Economics!$B$3)^(D$3-$B$3)),"")</f>
        <v>0</v>
      </c>
      <c r="E125" s="1039">
        <f>IF(E$3&lt;=time,E61*(1+Economics!$B$4)^(E$3-$B$3)/((1+Economics!$B$3)^(E$3-$B$3)),"")</f>
        <v>0</v>
      </c>
      <c r="F125" s="1039">
        <f>IF(F$3&lt;=time,F61*(1+Economics!$B$4)^(F$3-$B$3)/((1+Economics!$B$3)^(F$3-$B$3)),"")</f>
        <v>0</v>
      </c>
      <c r="G125" s="1039" t="str">
        <f>IF(G$3&lt;=time,G61*(1+Economics!$B$4)^(G$3-$B$3)/((1+Economics!$B$3)^(G$3-$B$3)),"")</f>
        <v/>
      </c>
      <c r="H125" s="1039" t="str">
        <f>IF(H$3&lt;=time,H61*(1+Economics!$B$4)^(H$3-$B$3)/((1+Economics!$B$3)^(H$3-$B$3)),"")</f>
        <v/>
      </c>
      <c r="I125" s="1039" t="str">
        <f>IF(I$3&lt;=time,I61*(1+Economics!$B$4)^(I$3-$B$3)/((1+Economics!$B$3)^(I$3-$B$3)),"")</f>
        <v/>
      </c>
      <c r="J125" s="1039" t="str">
        <f>IF(J$3&lt;=time,J61*(1+Economics!$B$4)^(J$3-$B$3)/((1+Economics!$B$3)^(J$3-$B$3)),"")</f>
        <v/>
      </c>
      <c r="K125" s="1039" t="str">
        <f>IF(K$3&lt;=time,K61*(1+Economics!$B$4)^(K$3-$B$3)/((1+Economics!$B$3)^(K$3-$B$3)),"")</f>
        <v/>
      </c>
      <c r="L125" s="1039" t="str">
        <f>IF(L$3&lt;=time,L61*(1+Economics!$B$4)^(L$3-$B$3)/((1+Economics!$B$3)^(L$3-$B$3)),"")</f>
        <v/>
      </c>
      <c r="M125" s="1039" t="str">
        <f>IF(M$3&lt;=time,M61*(1+Economics!$B$4)^(M$3-$B$3)/((1+Economics!$B$3)^(M$3-$B$3)),"")</f>
        <v/>
      </c>
      <c r="N125" s="1039" t="str">
        <f>IF(N$3&lt;=time,N61*(1+Economics!$B$4)^(N$3-$B$3)/((1+Economics!$B$3)^(N$3-$B$3)),"")</f>
        <v/>
      </c>
      <c r="O125" s="1039" t="str">
        <f>IF(O$3&lt;=time,O61*(1+Economics!$B$4)^(O$3-$B$3)/((1+Economics!$B$3)^(O$3-$B$3)),"")</f>
        <v/>
      </c>
      <c r="P125" s="1039" t="str">
        <f>IF(P$3&lt;=time,P61*(1+Economics!$B$4)^(P$3-$B$3)/((1+Economics!$B$3)^(P$3-$B$3)),"")</f>
        <v/>
      </c>
      <c r="Q125" s="1039" t="str">
        <f>IF(Q$3&lt;=time,Q61*(1+Economics!$B$4)^(Q$3-$B$3)/((1+Economics!$B$3)^(Q$3-$B$3)),"")</f>
        <v/>
      </c>
      <c r="R125" s="1039" t="str">
        <f>IF(R$3&lt;=time,R61*(1+Economics!$B$4)^(R$3-$B$3)/((1+Economics!$B$3)^(R$3-$B$3)),"")</f>
        <v/>
      </c>
      <c r="S125" s="1039" t="str">
        <f>IF(S$3&lt;=time,S61*(1+Economics!$B$4)^(S$3-$B$3)/((1+Economics!$B$3)^(S$3-$B$3)),"")</f>
        <v/>
      </c>
      <c r="T125" s="1039" t="str">
        <f>IF(T$3&lt;=time,T61*(1+Economics!$B$4)^(T$3-$B$3)/((1+Economics!$B$3)^(T$3-$B$3)),"")</f>
        <v/>
      </c>
      <c r="U125" s="1039" t="str">
        <f>IF(U$3&lt;=time,U61*(1+Economics!$B$4)^(U$3-$B$3)/((1+Economics!$B$3)^(U$3-$B$3)),"")</f>
        <v/>
      </c>
      <c r="V125" s="1039" t="str">
        <f>IF(V$3&lt;=time,V61*(1+Economics!$B$4)^(V$3-$B$3)/((1+Economics!$B$3)^(V$3-$B$3)),"")</f>
        <v/>
      </c>
      <c r="W125" s="1039" t="str">
        <f>IF(W$3&lt;=time,W61*(1+Economics!$B$4)^(W$3-$B$3)/((1+Economics!$B$3)^(W$3-$B$3)),"")</f>
        <v/>
      </c>
      <c r="X125" s="1039" t="str">
        <f>IF(X$3&lt;=time,X61*(1+Economics!$B$4)^(X$3-$B$3)/((1+Economics!$B$3)^(X$3-$B$3)),"")</f>
        <v/>
      </c>
      <c r="Y125" s="1039" t="str">
        <f>IF(Y$3&lt;=time,Y61*(1+Economics!$B$4)^(Y$3-$B$3)/((1+Economics!$B$3)^(Y$3-$B$3)),"")</f>
        <v/>
      </c>
      <c r="Z125" s="1039" t="str">
        <f>IF(Z$3&lt;=time,Z61*(1+Economics!$B$4)^(Z$3-$B$3)/((1+Economics!$B$3)^(Z$3-$B$3)),"")</f>
        <v/>
      </c>
      <c r="AA125" s="1035">
        <f t="array" ref="AA125">(SUM( IF(ISERROR(B125:Z125),"", B125:Z125)))</f>
        <v>0</v>
      </c>
      <c r="AB125" s="1036">
        <f t="shared" si="10"/>
        <v>0</v>
      </c>
      <c r="AC125" s="529">
        <v>8</v>
      </c>
    </row>
    <row r="126" spans="1:29" hidden="1">
      <c r="A126" s="664" t="s">
        <v>306</v>
      </c>
      <c r="B126" s="1039">
        <f>IF(B$3&lt;=time,B62*(1+Economics!$B$4)^(B$3-$B$3)/((1+Economics!$B$3)^(B$3-$B$3)),"")</f>
        <v>0</v>
      </c>
      <c r="C126" s="1039">
        <f>IF(C$3&lt;=time,C62*(1+Economics!$B$4)^(C$3-$B$3)/((1+Economics!$B$3)^(C$3-$B$3)),"")</f>
        <v>0</v>
      </c>
      <c r="D126" s="1039">
        <f>IF(D$3&lt;=time,D62*(1+Economics!$B$4)^(D$3-$B$3)/((1+Economics!$B$3)^(D$3-$B$3)),"")</f>
        <v>0</v>
      </c>
      <c r="E126" s="1039">
        <f>IF(E$3&lt;=time,E62*(1+Economics!$B$4)^(E$3-$B$3)/((1+Economics!$B$3)^(E$3-$B$3)),"")</f>
        <v>0</v>
      </c>
      <c r="F126" s="1039">
        <f>IF(F$3&lt;=time,F62*(1+Economics!$B$4)^(F$3-$B$3)/((1+Economics!$B$3)^(F$3-$B$3)),"")</f>
        <v>0</v>
      </c>
      <c r="G126" s="1039" t="str">
        <f>IF(G$3&lt;=time,G62*(1+Economics!$B$4)^(G$3-$B$3)/((1+Economics!$B$3)^(G$3-$B$3)),"")</f>
        <v/>
      </c>
      <c r="H126" s="1039" t="str">
        <f>IF(H$3&lt;=time,H62*(1+Economics!$B$4)^(H$3-$B$3)/((1+Economics!$B$3)^(H$3-$B$3)),"")</f>
        <v/>
      </c>
      <c r="I126" s="1039" t="str">
        <f>IF(I$3&lt;=time,I62*(1+Economics!$B$4)^(I$3-$B$3)/((1+Economics!$B$3)^(I$3-$B$3)),"")</f>
        <v/>
      </c>
      <c r="J126" s="1039" t="str">
        <f>IF(J$3&lt;=time,J62*(1+Economics!$B$4)^(J$3-$B$3)/((1+Economics!$B$3)^(J$3-$B$3)),"")</f>
        <v/>
      </c>
      <c r="K126" s="1039" t="str">
        <f>IF(K$3&lt;=time,K62*(1+Economics!$B$4)^(K$3-$B$3)/((1+Economics!$B$3)^(K$3-$B$3)),"")</f>
        <v/>
      </c>
      <c r="L126" s="1039" t="str">
        <f>IF(L$3&lt;=time,L62*(1+Economics!$B$4)^(L$3-$B$3)/((1+Economics!$B$3)^(L$3-$B$3)),"")</f>
        <v/>
      </c>
      <c r="M126" s="1039" t="str">
        <f>IF(M$3&lt;=time,M62*(1+Economics!$B$4)^(M$3-$B$3)/((1+Economics!$B$3)^(M$3-$B$3)),"")</f>
        <v/>
      </c>
      <c r="N126" s="1039" t="str">
        <f>IF(N$3&lt;=time,N62*(1+Economics!$B$4)^(N$3-$B$3)/((1+Economics!$B$3)^(N$3-$B$3)),"")</f>
        <v/>
      </c>
      <c r="O126" s="1039" t="str">
        <f>IF(O$3&lt;=time,O62*(1+Economics!$B$4)^(O$3-$B$3)/((1+Economics!$B$3)^(O$3-$B$3)),"")</f>
        <v/>
      </c>
      <c r="P126" s="1039" t="str">
        <f>IF(P$3&lt;=time,P62*(1+Economics!$B$4)^(P$3-$B$3)/((1+Economics!$B$3)^(P$3-$B$3)),"")</f>
        <v/>
      </c>
      <c r="Q126" s="1039" t="str">
        <f>IF(Q$3&lt;=time,Q62*(1+Economics!$B$4)^(Q$3-$B$3)/((1+Economics!$B$3)^(Q$3-$B$3)),"")</f>
        <v/>
      </c>
      <c r="R126" s="1039" t="str">
        <f>IF(R$3&lt;=time,R62*(1+Economics!$B$4)^(R$3-$B$3)/((1+Economics!$B$3)^(R$3-$B$3)),"")</f>
        <v/>
      </c>
      <c r="S126" s="1039" t="str">
        <f>IF(S$3&lt;=time,S62*(1+Economics!$B$4)^(S$3-$B$3)/((1+Economics!$B$3)^(S$3-$B$3)),"")</f>
        <v/>
      </c>
      <c r="T126" s="1039" t="str">
        <f>IF(T$3&lt;=time,T62*(1+Economics!$B$4)^(T$3-$B$3)/((1+Economics!$B$3)^(T$3-$B$3)),"")</f>
        <v/>
      </c>
      <c r="U126" s="1039" t="str">
        <f>IF(U$3&lt;=time,U62*(1+Economics!$B$4)^(U$3-$B$3)/((1+Economics!$B$3)^(U$3-$B$3)),"")</f>
        <v/>
      </c>
      <c r="V126" s="1039" t="str">
        <f>IF(V$3&lt;=time,V62*(1+Economics!$B$4)^(V$3-$B$3)/((1+Economics!$B$3)^(V$3-$B$3)),"")</f>
        <v/>
      </c>
      <c r="W126" s="1039" t="str">
        <f>IF(W$3&lt;=time,W62*(1+Economics!$B$4)^(W$3-$B$3)/((1+Economics!$B$3)^(W$3-$B$3)),"")</f>
        <v/>
      </c>
      <c r="X126" s="1039" t="str">
        <f>IF(X$3&lt;=time,X62*(1+Economics!$B$4)^(X$3-$B$3)/((1+Economics!$B$3)^(X$3-$B$3)),"")</f>
        <v/>
      </c>
      <c r="Y126" s="1039" t="str">
        <f>IF(Y$3&lt;=time,Y62*(1+Economics!$B$4)^(Y$3-$B$3)/((1+Economics!$B$3)^(Y$3-$B$3)),"")</f>
        <v/>
      </c>
      <c r="Z126" s="1039" t="str">
        <f>IF(Z$3&lt;=time,Z62*(1+Economics!$B$4)^(Z$3-$B$3)/((1+Economics!$B$3)^(Z$3-$B$3)),"")</f>
        <v/>
      </c>
      <c r="AA126" s="1035">
        <f t="array" ref="AA126">(SUM( IF(ISERROR(B126:Z126),"", B126:Z126)))</f>
        <v>0</v>
      </c>
      <c r="AB126" s="1036">
        <f t="shared" si="10"/>
        <v>0</v>
      </c>
      <c r="AC126" s="529">
        <v>9</v>
      </c>
    </row>
    <row r="127" spans="1:29" ht="16" hidden="1" thickBot="1">
      <c r="A127" s="665" t="s">
        <v>307</v>
      </c>
      <c r="B127" s="1040">
        <f>IF(B$3&lt;=time,B63*(1+Economics!$B$4)^(B$3-$B$3)/((1+Economics!$B$3)^(B$3-$B$3)),"")</f>
        <v>0</v>
      </c>
      <c r="C127" s="1040">
        <f>IF(C$3&lt;=time,C63*(1+Economics!$B$4)^(C$3-$B$3)/((1+Economics!$B$3)^(C$3-$B$3)),"")</f>
        <v>0</v>
      </c>
      <c r="D127" s="1040">
        <f>IF(D$3&lt;=time,D63*(1+Economics!$B$4)^(D$3-$B$3)/((1+Economics!$B$3)^(D$3-$B$3)),"")</f>
        <v>0</v>
      </c>
      <c r="E127" s="1040">
        <f>IF(E$3&lt;=time,E63*(1+Economics!$B$4)^(E$3-$B$3)/((1+Economics!$B$3)^(E$3-$B$3)),"")</f>
        <v>0</v>
      </c>
      <c r="F127" s="1040">
        <f>IF(F$3&lt;=time,F63*(1+Economics!$B$4)^(F$3-$B$3)/((1+Economics!$B$3)^(F$3-$B$3)),"")</f>
        <v>0</v>
      </c>
      <c r="G127" s="1040" t="str">
        <f>IF(G$3&lt;=time,G63*(1+Economics!$B$4)^(G$3-$B$3)/((1+Economics!$B$3)^(G$3-$B$3)),"")</f>
        <v/>
      </c>
      <c r="H127" s="1040" t="str">
        <f>IF(H$3&lt;=time,H63*(1+Economics!$B$4)^(H$3-$B$3)/((1+Economics!$B$3)^(H$3-$B$3)),"")</f>
        <v/>
      </c>
      <c r="I127" s="1040" t="str">
        <f>IF(I$3&lt;=time,I63*(1+Economics!$B$4)^(I$3-$B$3)/((1+Economics!$B$3)^(I$3-$B$3)),"")</f>
        <v/>
      </c>
      <c r="J127" s="1040" t="str">
        <f>IF(J$3&lt;=time,J63*(1+Economics!$B$4)^(J$3-$B$3)/((1+Economics!$B$3)^(J$3-$B$3)),"")</f>
        <v/>
      </c>
      <c r="K127" s="1040" t="str">
        <f>IF(K$3&lt;=time,K63*(1+Economics!$B$4)^(K$3-$B$3)/((1+Economics!$B$3)^(K$3-$B$3)),"")</f>
        <v/>
      </c>
      <c r="L127" s="1040" t="str">
        <f>IF(L$3&lt;=time,L63*(1+Economics!$B$4)^(L$3-$B$3)/((1+Economics!$B$3)^(L$3-$B$3)),"")</f>
        <v/>
      </c>
      <c r="M127" s="1040" t="str">
        <f>IF(M$3&lt;=time,M63*(1+Economics!$B$4)^(M$3-$B$3)/((1+Economics!$B$3)^(M$3-$B$3)),"")</f>
        <v/>
      </c>
      <c r="N127" s="1040" t="str">
        <f>IF(N$3&lt;=time,N63*(1+Economics!$B$4)^(N$3-$B$3)/((1+Economics!$B$3)^(N$3-$B$3)),"")</f>
        <v/>
      </c>
      <c r="O127" s="1040" t="str">
        <f>IF(O$3&lt;=time,O63*(1+Economics!$B$4)^(O$3-$B$3)/((1+Economics!$B$3)^(O$3-$B$3)),"")</f>
        <v/>
      </c>
      <c r="P127" s="1040" t="str">
        <f>IF(P$3&lt;=time,P63*(1+Economics!$B$4)^(P$3-$B$3)/((1+Economics!$B$3)^(P$3-$B$3)),"")</f>
        <v/>
      </c>
      <c r="Q127" s="1040" t="str">
        <f>IF(Q$3&lt;=time,Q63*(1+Economics!$B$4)^(Q$3-$B$3)/((1+Economics!$B$3)^(Q$3-$B$3)),"")</f>
        <v/>
      </c>
      <c r="R127" s="1040" t="str">
        <f>IF(R$3&lt;=time,R63*(1+Economics!$B$4)^(R$3-$B$3)/((1+Economics!$B$3)^(R$3-$B$3)),"")</f>
        <v/>
      </c>
      <c r="S127" s="1040" t="str">
        <f>IF(S$3&lt;=time,S63*(1+Economics!$B$4)^(S$3-$B$3)/((1+Economics!$B$3)^(S$3-$B$3)),"")</f>
        <v/>
      </c>
      <c r="T127" s="1040" t="str">
        <f>IF(T$3&lt;=time,T63*(1+Economics!$B$4)^(T$3-$B$3)/((1+Economics!$B$3)^(T$3-$B$3)),"")</f>
        <v/>
      </c>
      <c r="U127" s="1040" t="str">
        <f>IF(U$3&lt;=time,U63*(1+Economics!$B$4)^(U$3-$B$3)/((1+Economics!$B$3)^(U$3-$B$3)),"")</f>
        <v/>
      </c>
      <c r="V127" s="1040" t="str">
        <f>IF(V$3&lt;=time,V63*(1+Economics!$B$4)^(V$3-$B$3)/((1+Economics!$B$3)^(V$3-$B$3)),"")</f>
        <v/>
      </c>
      <c r="W127" s="1040" t="str">
        <f>IF(W$3&lt;=time,W63*(1+Economics!$B$4)^(W$3-$B$3)/((1+Economics!$B$3)^(W$3-$B$3)),"")</f>
        <v/>
      </c>
      <c r="X127" s="1040" t="str">
        <f>IF(X$3&lt;=time,X63*(1+Economics!$B$4)^(X$3-$B$3)/((1+Economics!$B$3)^(X$3-$B$3)),"")</f>
        <v/>
      </c>
      <c r="Y127" s="1040" t="str">
        <f>IF(Y$3&lt;=time,Y63*(1+Economics!$B$4)^(Y$3-$B$3)/((1+Economics!$B$3)^(Y$3-$B$3)),"")</f>
        <v/>
      </c>
      <c r="Z127" s="1040" t="str">
        <f>IF(Z$3&lt;=time,Z63*(1+Economics!$B$4)^(Z$3-$B$3)/((1+Economics!$B$3)^(Z$3-$B$3)),"")</f>
        <v/>
      </c>
      <c r="AA127" s="1037">
        <f t="array" ref="AA127">(SUM( IF(ISERROR(B127:Z127),"", B127:Z127)))</f>
        <v>0</v>
      </c>
      <c r="AB127" s="1038">
        <f t="shared" si="10"/>
        <v>0</v>
      </c>
      <c r="AC127" s="529">
        <v>10</v>
      </c>
    </row>
    <row r="128" spans="1:29" ht="16" hidden="1" thickBot="1">
      <c r="A128" s="1020" t="s">
        <v>335</v>
      </c>
      <c r="B128" s="1032">
        <f>IF(B$3&lt;=time,B64*(1+Economics!$B$4)^(B$3-$B$3)/((1+Economics!$B$3)^(B$3-$B$3)),"")</f>
        <v>0</v>
      </c>
      <c r="C128" s="1032">
        <f>IF(C$3&lt;=time,C64*(1+Economics!$B$4)^(C$3-$B$3)/((1+Economics!$B$3)^(C$3-$B$3)),"")</f>
        <v>0</v>
      </c>
      <c r="D128" s="1032">
        <f>IF(D$3&lt;=time,D64*(1+Economics!$B$4)^(D$3-$B$3)/((1+Economics!$B$3)^(D$3-$B$3)),"")</f>
        <v>0</v>
      </c>
      <c r="E128" s="1032">
        <f>IF(E$3&lt;=time,E64*(1+Economics!$B$4)^(E$3-$B$3)/((1+Economics!$B$3)^(E$3-$B$3)),"")</f>
        <v>0</v>
      </c>
      <c r="F128" s="1032">
        <f>IF(F$3&lt;=time,F64*(1+Economics!$B$4)^(F$3-$B$3)/((1+Economics!$B$3)^(F$3-$B$3)),"")</f>
        <v>0</v>
      </c>
      <c r="G128" s="1032" t="str">
        <f>IF(G$3&lt;=time,G64*(1+Economics!$B$4)^(G$3-$B$3)/((1+Economics!$B$3)^(G$3-$B$3)),"")</f>
        <v/>
      </c>
      <c r="H128" s="1032" t="str">
        <f>IF(H$3&lt;=time,H64*(1+Economics!$B$4)^(H$3-$B$3)/((1+Economics!$B$3)^(H$3-$B$3)),"")</f>
        <v/>
      </c>
      <c r="I128" s="1032" t="str">
        <f>IF(I$3&lt;=time,I64*(1+Economics!$B$4)^(I$3-$B$3)/((1+Economics!$B$3)^(I$3-$B$3)),"")</f>
        <v/>
      </c>
      <c r="J128" s="1032" t="str">
        <f>IF(J$3&lt;=time,J64*(1+Economics!$B$4)^(J$3-$B$3)/((1+Economics!$B$3)^(J$3-$B$3)),"")</f>
        <v/>
      </c>
      <c r="K128" s="1032" t="str">
        <f>IF(K$3&lt;=time,K64*(1+Economics!$B$4)^(K$3-$B$3)/((1+Economics!$B$3)^(K$3-$B$3)),"")</f>
        <v/>
      </c>
      <c r="L128" s="1032" t="str">
        <f>IF(L$3&lt;=time,L64*(1+Economics!$B$4)^(L$3-$B$3)/((1+Economics!$B$3)^(L$3-$B$3)),"")</f>
        <v/>
      </c>
      <c r="M128" s="1032" t="str">
        <f>IF(M$3&lt;=time,M64*(1+Economics!$B$4)^(M$3-$B$3)/((1+Economics!$B$3)^(M$3-$B$3)),"")</f>
        <v/>
      </c>
      <c r="N128" s="1032" t="str">
        <f>IF(N$3&lt;=time,N64*(1+Economics!$B$4)^(N$3-$B$3)/((1+Economics!$B$3)^(N$3-$B$3)),"")</f>
        <v/>
      </c>
      <c r="O128" s="1032" t="str">
        <f>IF(O$3&lt;=time,O64*(1+Economics!$B$4)^(O$3-$B$3)/((1+Economics!$B$3)^(O$3-$B$3)),"")</f>
        <v/>
      </c>
      <c r="P128" s="1032" t="str">
        <f>IF(P$3&lt;=time,P64*(1+Economics!$B$4)^(P$3-$B$3)/((1+Economics!$B$3)^(P$3-$B$3)),"")</f>
        <v/>
      </c>
      <c r="Q128" s="1032" t="str">
        <f>IF(Q$3&lt;=time,Q64*(1+Economics!$B$4)^(Q$3-$B$3)/((1+Economics!$B$3)^(Q$3-$B$3)),"")</f>
        <v/>
      </c>
      <c r="R128" s="1032" t="str">
        <f>IF(R$3&lt;=time,R64*(1+Economics!$B$4)^(R$3-$B$3)/((1+Economics!$B$3)^(R$3-$B$3)),"")</f>
        <v/>
      </c>
      <c r="S128" s="1032" t="str">
        <f>IF(S$3&lt;=time,S64*(1+Economics!$B$4)^(S$3-$B$3)/((1+Economics!$B$3)^(S$3-$B$3)),"")</f>
        <v/>
      </c>
      <c r="T128" s="1032" t="str">
        <f>IF(T$3&lt;=time,T64*(1+Economics!$B$4)^(T$3-$B$3)/((1+Economics!$B$3)^(T$3-$B$3)),"")</f>
        <v/>
      </c>
      <c r="U128" s="1032" t="str">
        <f>IF(U$3&lt;=time,U64*(1+Economics!$B$4)^(U$3-$B$3)/((1+Economics!$B$3)^(U$3-$B$3)),"")</f>
        <v/>
      </c>
      <c r="V128" s="1032" t="str">
        <f>IF(V$3&lt;=time,V64*(1+Economics!$B$4)^(V$3-$B$3)/((1+Economics!$B$3)^(V$3-$B$3)),"")</f>
        <v/>
      </c>
      <c r="W128" s="1032" t="str">
        <f>IF(W$3&lt;=time,W64*(1+Economics!$B$4)^(W$3-$B$3)/((1+Economics!$B$3)^(W$3-$B$3)),"")</f>
        <v/>
      </c>
      <c r="X128" s="1032" t="str">
        <f>IF(X$3&lt;=time,X64*(1+Economics!$B$4)^(X$3-$B$3)/((1+Economics!$B$3)^(X$3-$B$3)),"")</f>
        <v/>
      </c>
      <c r="Y128" s="1032" t="str">
        <f>IF(Y$3&lt;=time,Y64*(1+Economics!$B$4)^(Y$3-$B$3)/((1+Economics!$B$3)^(Y$3-$B$3)),"")</f>
        <v/>
      </c>
      <c r="Z128" s="1032" t="str">
        <f>IF(Z$3&lt;=time,Z64*(1+Economics!$B$4)^(Z$3-$B$3)/((1+Economics!$B$3)^(Z$3-$B$3)),"")</f>
        <v/>
      </c>
      <c r="AA128" s="1030">
        <f t="array" ref="AA128">(SUM( IF(ISERROR(B128:Z128),"", B128:Z128)))</f>
        <v>0</v>
      </c>
      <c r="AB128" s="1029">
        <f t="shared" si="10"/>
        <v>0</v>
      </c>
    </row>
    <row r="129" spans="1:28" ht="16" hidden="1" thickBot="1">
      <c r="A129" s="1020" t="s">
        <v>334</v>
      </c>
      <c r="B129" s="1032">
        <f>IF(B$3&lt;=time,B65*(1+Economics!$B$4)^(B$3-$B$3)/((1+Economics!$B$3)^(B$3-$B$3)),"")</f>
        <v>0</v>
      </c>
      <c r="C129" s="1032">
        <f>IF(C$3&lt;=time,C65*(1+Economics!$B$4)^(C$3-$B$3)/((1+Economics!$B$3)^(C$3-$B$3)),"")</f>
        <v>4092.4230181837293</v>
      </c>
      <c r="D129" s="1032">
        <f>IF(D$3&lt;=time,D65*(1+Economics!$B$4)^(D$3-$B$3)/((1+Economics!$B$3)^(D$3-$B$3)),"")</f>
        <v>0</v>
      </c>
      <c r="E129" s="1032">
        <f>IF(E$3&lt;=time,E65*(1+Economics!$B$4)^(E$3-$B$3)/((1+Economics!$B$3)^(E$3-$B$3)),"")</f>
        <v>0</v>
      </c>
      <c r="F129" s="1032">
        <f>IF(F$3&lt;=time,F65*(1+Economics!$B$4)^(F$3-$B$3)/((1+Economics!$B$3)^(F$3-$B$3)),"")</f>
        <v>0</v>
      </c>
      <c r="G129" s="1032" t="str">
        <f>IF(G$3&lt;=time,G65*(1+Economics!$B$4)^(G$3-$B$3)/((1+Economics!$B$3)^(G$3-$B$3)),"")</f>
        <v/>
      </c>
      <c r="H129" s="1032" t="str">
        <f>IF(H$3&lt;=time,H65*(1+Economics!$B$4)^(H$3-$B$3)/((1+Economics!$B$3)^(H$3-$B$3)),"")</f>
        <v/>
      </c>
      <c r="I129" s="1032" t="str">
        <f>IF(I$3&lt;=time,I65*(1+Economics!$B$4)^(I$3-$B$3)/((1+Economics!$B$3)^(I$3-$B$3)),"")</f>
        <v/>
      </c>
      <c r="J129" s="1032" t="str">
        <f>IF(J$3&lt;=time,J65*(1+Economics!$B$4)^(J$3-$B$3)/((1+Economics!$B$3)^(J$3-$B$3)),"")</f>
        <v/>
      </c>
      <c r="K129" s="1032" t="str">
        <f>IF(K$3&lt;=time,K65*(1+Economics!$B$4)^(K$3-$B$3)/((1+Economics!$B$3)^(K$3-$B$3)),"")</f>
        <v/>
      </c>
      <c r="L129" s="1032" t="str">
        <f>IF(L$3&lt;=time,L65*(1+Economics!$B$4)^(L$3-$B$3)/((1+Economics!$B$3)^(L$3-$B$3)),"")</f>
        <v/>
      </c>
      <c r="M129" s="1032" t="str">
        <f>IF(M$3&lt;=time,M65*(1+Economics!$B$4)^(M$3-$B$3)/((1+Economics!$B$3)^(M$3-$B$3)),"")</f>
        <v/>
      </c>
      <c r="N129" s="1032" t="str">
        <f>IF(N$3&lt;=time,N65*(1+Economics!$B$4)^(N$3-$B$3)/((1+Economics!$B$3)^(N$3-$B$3)),"")</f>
        <v/>
      </c>
      <c r="O129" s="1032" t="str">
        <f>IF(O$3&lt;=time,O65*(1+Economics!$B$4)^(O$3-$B$3)/((1+Economics!$B$3)^(O$3-$B$3)),"")</f>
        <v/>
      </c>
      <c r="P129" s="1032" t="str">
        <f>IF(P$3&lt;=time,P65*(1+Economics!$B$4)^(P$3-$B$3)/((1+Economics!$B$3)^(P$3-$B$3)),"")</f>
        <v/>
      </c>
      <c r="Q129" s="1032" t="str">
        <f>IF(Q$3&lt;=time,Q65*(1+Economics!$B$4)^(Q$3-$B$3)/((1+Economics!$B$3)^(Q$3-$B$3)),"")</f>
        <v/>
      </c>
      <c r="R129" s="1032" t="str">
        <f>IF(R$3&lt;=time,R65*(1+Economics!$B$4)^(R$3-$B$3)/((1+Economics!$B$3)^(R$3-$B$3)),"")</f>
        <v/>
      </c>
      <c r="S129" s="1032" t="str">
        <f>IF(S$3&lt;=time,S65*(1+Economics!$B$4)^(S$3-$B$3)/((1+Economics!$B$3)^(S$3-$B$3)),"")</f>
        <v/>
      </c>
      <c r="T129" s="1032" t="str">
        <f>IF(T$3&lt;=time,T65*(1+Economics!$B$4)^(T$3-$B$3)/((1+Economics!$B$3)^(T$3-$B$3)),"")</f>
        <v/>
      </c>
      <c r="U129" s="1032" t="str">
        <f>IF(U$3&lt;=time,U65*(1+Economics!$B$4)^(U$3-$B$3)/((1+Economics!$B$3)^(U$3-$B$3)),"")</f>
        <v/>
      </c>
      <c r="V129" s="1032" t="str">
        <f>IF(V$3&lt;=time,V65*(1+Economics!$B$4)^(V$3-$B$3)/((1+Economics!$B$3)^(V$3-$B$3)),"")</f>
        <v/>
      </c>
      <c r="W129" s="1032" t="str">
        <f>IF(W$3&lt;=time,W65*(1+Economics!$B$4)^(W$3-$B$3)/((1+Economics!$B$3)^(W$3-$B$3)),"")</f>
        <v/>
      </c>
      <c r="X129" s="1032" t="str">
        <f>IF(X$3&lt;=time,X65*(1+Economics!$B$4)^(X$3-$B$3)/((1+Economics!$B$3)^(X$3-$B$3)),"")</f>
        <v/>
      </c>
      <c r="Y129" s="1032" t="str">
        <f>IF(Y$3&lt;=time,Y65*(1+Economics!$B$4)^(Y$3-$B$3)/((1+Economics!$B$3)^(Y$3-$B$3)),"")</f>
        <v/>
      </c>
      <c r="Z129" s="1032" t="str">
        <f>IF(Z$3&lt;=time,Z65*(1+Economics!$B$4)^(Z$3-$B$3)/((1+Economics!$B$3)^(Z$3-$B$3)),"")</f>
        <v/>
      </c>
      <c r="AA129" s="1030">
        <f t="array" ref="AA129">(SUM( IF(ISERROR(B129:Z129),"", B129:Z129)))</f>
        <v>4092.4230181837293</v>
      </c>
      <c r="AB129" s="1029">
        <f t="shared" si="10"/>
        <v>818.48460363674587</v>
      </c>
    </row>
  </sheetData>
  <sheetProtection formatColumns="0" formatRows="0"/>
  <phoneticPr fontId="41" type="noConversion"/>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theme="2" tint="-0.249977111117893"/>
  </sheetPr>
  <dimension ref="A1:DG93"/>
  <sheetViews>
    <sheetView workbookViewId="0"/>
  </sheetViews>
  <sheetFormatPr defaultColWidth="8.69140625" defaultRowHeight="15.5"/>
  <cols>
    <col min="1" max="1" width="23.921875" style="114" customWidth="1"/>
    <col min="2" max="2" width="2.69140625" style="389" hidden="1" customWidth="1"/>
    <col min="3" max="3" width="8.69140625" style="114"/>
    <col min="4" max="8" width="15.07421875" style="114" customWidth="1"/>
    <col min="9" max="9" width="8.69140625" style="114" hidden="1" customWidth="1"/>
    <col min="10" max="28" width="8.921875" style="114" hidden="1" customWidth="1"/>
    <col min="29" max="29" width="14.07421875" style="114" customWidth="1"/>
    <col min="30" max="30" width="13.15234375" style="114" customWidth="1"/>
    <col min="31" max="31" width="8.69140625" style="114"/>
    <col min="32" max="32" width="8.69140625" style="114" customWidth="1"/>
    <col min="33" max="33" width="5.61328125" style="114" hidden="1" customWidth="1"/>
    <col min="34" max="34" width="2.69140625" style="114" hidden="1" customWidth="1"/>
    <col min="35" max="35" width="40.69140625" style="114" hidden="1" customWidth="1"/>
    <col min="36" max="36" width="8.69140625" style="114" hidden="1" customWidth="1"/>
    <col min="37" max="38" width="10.15234375" style="114" hidden="1" customWidth="1"/>
    <col min="39" max="39" width="8.69140625" style="114" hidden="1" customWidth="1"/>
    <col min="40" max="40" width="10.15234375" style="114" hidden="1" customWidth="1"/>
    <col min="41" max="55" width="8.69140625" style="114" hidden="1" customWidth="1"/>
    <col min="56" max="56" width="14.15234375" style="114" hidden="1" customWidth="1"/>
    <col min="57" max="69" width="8.69140625" style="114" hidden="1" customWidth="1"/>
    <col min="70" max="70" width="10.4609375" style="114" hidden="1" customWidth="1"/>
    <col min="71" max="72" width="8.69140625" style="114" hidden="1" customWidth="1"/>
    <col min="73" max="73" width="14.15234375" style="114" hidden="1" customWidth="1"/>
    <col min="74" max="76" width="8.69140625" style="114" hidden="1" customWidth="1"/>
    <col min="77" max="77" width="10.4609375" style="114" hidden="1" customWidth="1"/>
    <col min="78" max="78" width="9.61328125" style="114" hidden="1" customWidth="1"/>
    <col min="79" max="79" width="10.4609375" style="114" hidden="1" customWidth="1"/>
    <col min="80" max="87" width="8.69140625" style="114" hidden="1" customWidth="1"/>
    <col min="88" max="88" width="10.4609375" style="114" hidden="1" customWidth="1"/>
    <col min="89" max="111" width="8.69140625" style="114" hidden="1" customWidth="1"/>
    <col min="112" max="119" width="0" style="114" hidden="1" customWidth="1"/>
    <col min="120" max="16384" width="8.69140625" style="114"/>
  </cols>
  <sheetData>
    <row r="1" spans="1:79" ht="20.5">
      <c r="A1" s="816" t="s">
        <v>490</v>
      </c>
      <c r="B1" s="802"/>
      <c r="C1" s="802"/>
      <c r="D1" s="802"/>
      <c r="E1" s="802"/>
      <c r="F1" s="802"/>
      <c r="G1" s="802"/>
      <c r="H1" s="802"/>
      <c r="I1" s="802"/>
      <c r="J1" s="802"/>
      <c r="K1" s="802"/>
      <c r="L1" s="802"/>
      <c r="M1" s="802"/>
      <c r="N1" s="802"/>
      <c r="O1" s="802"/>
      <c r="P1" s="802"/>
      <c r="Q1" s="802"/>
      <c r="R1" s="802"/>
      <c r="S1" s="802"/>
      <c r="T1" s="802"/>
      <c r="U1" s="802"/>
      <c r="V1" s="802"/>
      <c r="W1" s="802"/>
      <c r="X1" s="802"/>
      <c r="Y1" s="802"/>
      <c r="Z1" s="802"/>
      <c r="AA1" s="802"/>
      <c r="AB1" s="802"/>
      <c r="AC1" s="802"/>
      <c r="AD1" s="802"/>
    </row>
    <row r="2" spans="1:79" s="113" customFormat="1" ht="16" thickBot="1">
      <c r="A2" s="802"/>
      <c r="B2" s="802"/>
      <c r="C2" s="802"/>
      <c r="D2" s="802">
        <v>1</v>
      </c>
      <c r="E2" s="802">
        <v>2</v>
      </c>
      <c r="F2" s="802">
        <v>3</v>
      </c>
      <c r="G2" s="802">
        <v>4</v>
      </c>
      <c r="H2" s="802">
        <v>5</v>
      </c>
      <c r="I2" s="802">
        <v>6</v>
      </c>
      <c r="J2" s="802">
        <v>7</v>
      </c>
      <c r="K2" s="802">
        <v>8</v>
      </c>
      <c r="L2" s="802">
        <v>9</v>
      </c>
      <c r="M2" s="802">
        <v>10</v>
      </c>
      <c r="N2" s="802">
        <v>11</v>
      </c>
      <c r="O2" s="802">
        <v>12</v>
      </c>
      <c r="P2" s="802">
        <v>13</v>
      </c>
      <c r="Q2" s="802">
        <v>14</v>
      </c>
      <c r="R2" s="802">
        <v>15</v>
      </c>
      <c r="S2" s="802">
        <v>16</v>
      </c>
      <c r="T2" s="802">
        <v>17</v>
      </c>
      <c r="U2" s="802">
        <v>18</v>
      </c>
      <c r="V2" s="802">
        <v>19</v>
      </c>
      <c r="W2" s="802">
        <v>20</v>
      </c>
      <c r="X2" s="802">
        <v>21</v>
      </c>
      <c r="Y2" s="802">
        <v>22</v>
      </c>
      <c r="Z2" s="802">
        <v>23</v>
      </c>
      <c r="AA2" s="802">
        <v>24</v>
      </c>
      <c r="AB2" s="802">
        <v>25</v>
      </c>
      <c r="AC2" s="802"/>
      <c r="AD2" s="802"/>
      <c r="AE2" s="114"/>
      <c r="AF2" s="114"/>
      <c r="AG2" s="114"/>
      <c r="AH2" s="529"/>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row>
    <row r="3" spans="1:79" ht="78.75" customHeight="1" thickBot="1">
      <c r="A3" s="1001" t="str">
        <f>CONCATENATE("Sum of all savings by year"," ", "(",'Proposition Summary'!$B$76,")",":")</f>
        <v>Sum of all savings by year (GBP (£)):</v>
      </c>
      <c r="B3" s="1002"/>
      <c r="C3" s="1003"/>
      <c r="D3" s="1002" t="str">
        <f>CONCATENATE("Financial savings due to avoided crime in Year 1"," ", "(",'Proposition Summary'!$B$76,")")</f>
        <v>Financial savings due to avoided crime in Year 1 (GBP (£))</v>
      </c>
      <c r="E3" s="1002" t="str">
        <f>CONCATENATE("Financial savings due to avoided crime in Year 2"," ", "(",'Proposition Summary'!$B$76,")")</f>
        <v>Financial savings due to avoided crime in Year 2 (GBP (£))</v>
      </c>
      <c r="F3" s="1002" t="str">
        <f>CONCATENATE("Financial savings due to avoided crime in Year 3"," ", "(",'Proposition Summary'!$B$76,")")</f>
        <v>Financial savings due to avoided crime in Year 3 (GBP (£))</v>
      </c>
      <c r="G3" s="1002" t="str">
        <f>CONCATENATE("Financial savings due to avoided crime in Year 4"," ", "(",'Proposition Summary'!$B$76,")")</f>
        <v>Financial savings due to avoided crime in Year 4 (GBP (£))</v>
      </c>
      <c r="H3" s="1002" t="str">
        <f>CONCATENATE("Financial savings due to avoided crime in Year 5"," ", "(",'Proposition Summary'!$B$76,")")</f>
        <v>Financial savings due to avoided crime in Year 5 (GBP (£))</v>
      </c>
      <c r="I3" s="1002" t="str">
        <f>CONCATENATE("Financial savings due to avoided crime in Year 6"," ", "(",'Proposition Summary'!$B$76,")")</f>
        <v>Financial savings due to avoided crime in Year 6 (GBP (£))</v>
      </c>
      <c r="J3" s="1002" t="str">
        <f>CONCATENATE("Financial savings due to avoided crime in Year 7"," ", "(",'Proposition Summary'!$B$76,")")</f>
        <v>Financial savings due to avoided crime in Year 7 (GBP (£))</v>
      </c>
      <c r="K3" s="1002" t="str">
        <f>CONCATENATE("Financial savings due to avoided crime in Year 8"," ", "(",'Proposition Summary'!$B$76,")")</f>
        <v>Financial savings due to avoided crime in Year 8 (GBP (£))</v>
      </c>
      <c r="L3" s="1002" t="str">
        <f>CONCATENATE("Financial savings due to avoided crime in Year 9"," ", "(",'Proposition Summary'!$B$76,")")</f>
        <v>Financial savings due to avoided crime in Year 9 (GBP (£))</v>
      </c>
      <c r="M3" s="1002" t="str">
        <f>CONCATENATE("Financial savings due to avoided crime in Year 10"," ", "(",'Proposition Summary'!$B$76,")")</f>
        <v>Financial savings due to avoided crime in Year 10 (GBP (£))</v>
      </c>
      <c r="N3" s="1002" t="str">
        <f>CONCATENATE("Financial savings due to avoided crime in Year 11"," ", "(",'Proposition Summary'!$B$76,")")</f>
        <v>Financial savings due to avoided crime in Year 11 (GBP (£))</v>
      </c>
      <c r="O3" s="1002" t="str">
        <f>CONCATENATE("Financial savings due to avoided crime in Year 12"," ", "(",'Proposition Summary'!$B$76,")")</f>
        <v>Financial savings due to avoided crime in Year 12 (GBP (£))</v>
      </c>
      <c r="P3" s="1002" t="str">
        <f>CONCATENATE("Financial savings due to avoided crime in Year 13"," ", "(",'Proposition Summary'!$B$76,")")</f>
        <v>Financial savings due to avoided crime in Year 13 (GBP (£))</v>
      </c>
      <c r="Q3" s="1002" t="str">
        <f>CONCATENATE("Financial savings due to avoided crime in Year 14"," ", "(",'Proposition Summary'!$B$76,")")</f>
        <v>Financial savings due to avoided crime in Year 14 (GBP (£))</v>
      </c>
      <c r="R3" s="1002" t="str">
        <f>CONCATENATE("Financial savings due to avoided crime in Year 15"," ", "(",'Proposition Summary'!$B$76,")")</f>
        <v>Financial savings due to avoided crime in Year 15 (GBP (£))</v>
      </c>
      <c r="S3" s="1002" t="str">
        <f>CONCATENATE("Financial savings due to avoided crime in Year 16"," ", "(",'Proposition Summary'!$B$76,")")</f>
        <v>Financial savings due to avoided crime in Year 16 (GBP (£))</v>
      </c>
      <c r="T3" s="1002" t="str">
        <f>CONCATENATE("Financial savings due to avoided crime in Year 17"," ", "(",'Proposition Summary'!$B$76,")")</f>
        <v>Financial savings due to avoided crime in Year 17 (GBP (£))</v>
      </c>
      <c r="U3" s="1002" t="str">
        <f>CONCATENATE("Financial savings due to avoided crime in Year 18"," ", "(",'Proposition Summary'!$B$76,")")</f>
        <v>Financial savings due to avoided crime in Year 18 (GBP (£))</v>
      </c>
      <c r="V3" s="1002" t="str">
        <f>CONCATENATE("Financial savings due to avoided crime in Year 19"," ", "(",'Proposition Summary'!$B$76,")")</f>
        <v>Financial savings due to avoided crime in Year 19 (GBP (£))</v>
      </c>
      <c r="W3" s="1002" t="str">
        <f>CONCATENATE("Financial savings due to avoided crime in Year 20"," ", "(",'Proposition Summary'!$B$76,")")</f>
        <v>Financial savings due to avoided crime in Year 20 (GBP (£))</v>
      </c>
      <c r="X3" s="1002" t="str">
        <f>CONCATENATE("Financial savings due to avoided crime in Year 21"," ", "(",'Proposition Summary'!$B$76,")")</f>
        <v>Financial savings due to avoided crime in Year 21 (GBP (£))</v>
      </c>
      <c r="Y3" s="1002" t="str">
        <f>CONCATENATE("Financial savings due to avoided crime in Year 22"," ", "(",'Proposition Summary'!$B$76,")")</f>
        <v>Financial savings due to avoided crime in Year 22 (GBP (£))</v>
      </c>
      <c r="Z3" s="1002" t="str">
        <f>CONCATENATE("Financial savings due to avoided crime in Year 23"," ", "(",'Proposition Summary'!$B$76,")")</f>
        <v>Financial savings due to avoided crime in Year 23 (GBP (£))</v>
      </c>
      <c r="AA3" s="1002" t="str">
        <f>CONCATENATE("Financial savings due to avoided crime in Year 24"," ", "(",'Proposition Summary'!$B$76,")")</f>
        <v>Financial savings due to avoided crime in Year 24 (GBP (£))</v>
      </c>
      <c r="AB3" s="1002" t="str">
        <f>CONCATENATE("Financial savings due to avoided crime in Year 25"," ", "(",'Proposition Summary'!$B$76,")")</f>
        <v>Financial savings due to avoided crime in Year 25 (GBP (£))</v>
      </c>
      <c r="AC3" s="1001" t="str">
        <f>CONCATENATE("Total Savings"," ", "(",'Proposition Summary'!$B$76,")")</f>
        <v>Total Savings (GBP (£))</v>
      </c>
      <c r="AD3" s="1003" t="str">
        <f>CONCATENATE("Annual Savings"," ", "(",'Proposition Summary'!$B$76,")")</f>
        <v>Annual Savings (GBP (£))</v>
      </c>
      <c r="AG3" s="596"/>
      <c r="AH3" s="597"/>
      <c r="AI3" s="598" t="str">
        <f>CONCATENATE("Average savings by bearer (costs in anticipation of crime not included)"," ", "(",'Proposition Summary'!$B$76,")")</f>
        <v>Average savings by bearer (costs in anticipation of crime not included) (GBP (£))</v>
      </c>
      <c r="AJ3" s="599"/>
      <c r="AK3" s="113" t="s">
        <v>290</v>
      </c>
      <c r="AL3" s="113" t="s">
        <v>542</v>
      </c>
      <c r="AM3" s="113" t="s">
        <v>543</v>
      </c>
      <c r="AN3" s="113" t="s">
        <v>544</v>
      </c>
      <c r="AO3" s="113" t="s">
        <v>545</v>
      </c>
      <c r="AP3" s="113" t="s">
        <v>292</v>
      </c>
      <c r="AQ3" s="113" t="s">
        <v>546</v>
      </c>
      <c r="AR3" s="113" t="s">
        <v>547</v>
      </c>
      <c r="AS3" s="113" t="s">
        <v>548</v>
      </c>
      <c r="AT3" s="113" t="s">
        <v>549</v>
      </c>
      <c r="AU3" s="113" t="s">
        <v>550</v>
      </c>
      <c r="AV3" s="113" t="s">
        <v>551</v>
      </c>
      <c r="AW3" s="113" t="s">
        <v>424</v>
      </c>
      <c r="AX3" s="113" t="s">
        <v>552</v>
      </c>
      <c r="AY3" s="113"/>
      <c r="BA3" s="113" t="s">
        <v>555</v>
      </c>
      <c r="BB3" s="113" t="s">
        <v>556</v>
      </c>
      <c r="BC3" s="113" t="s">
        <v>557</v>
      </c>
      <c r="BD3" s="113" t="s">
        <v>408</v>
      </c>
      <c r="BE3" s="113" t="s">
        <v>409</v>
      </c>
      <c r="BF3" s="113" t="s">
        <v>558</v>
      </c>
      <c r="BG3" s="113" t="s">
        <v>559</v>
      </c>
      <c r="BH3" s="113"/>
      <c r="BJ3" s="600" t="s">
        <v>421</v>
      </c>
      <c r="BK3" s="599" t="s">
        <v>422</v>
      </c>
      <c r="BL3" s="601" t="s">
        <v>415</v>
      </c>
      <c r="BM3" s="599" t="s">
        <v>416</v>
      </c>
      <c r="BN3" s="599" t="s">
        <v>417</v>
      </c>
      <c r="BO3" s="602" t="s">
        <v>418</v>
      </c>
      <c r="BR3" s="600" t="s">
        <v>526</v>
      </c>
      <c r="BS3" s="599" t="s">
        <v>527</v>
      </c>
      <c r="BT3" s="599" t="s">
        <v>528</v>
      </c>
      <c r="BU3" s="599" t="s">
        <v>529</v>
      </c>
      <c r="BV3" s="599" t="s">
        <v>530</v>
      </c>
      <c r="BW3" s="599" t="s">
        <v>531</v>
      </c>
      <c r="BX3" s="599" t="s">
        <v>532</v>
      </c>
      <c r="BY3" s="599" t="s">
        <v>533</v>
      </c>
      <c r="BZ3" s="599" t="s">
        <v>534</v>
      </c>
      <c r="CA3" s="602" t="s">
        <v>535</v>
      </c>
    </row>
    <row r="4" spans="1:79" ht="16" thickTop="1">
      <c r="A4" s="603">
        <v>1</v>
      </c>
      <c r="B4" s="367">
        <v>1</v>
      </c>
      <c r="C4" s="604" t="str">
        <f>IF(A4&lt;&gt;"",INDEX('Bearer list'!$D$4:$D$16,A4),"")</f>
        <v>CJS</v>
      </c>
      <c r="D4" s="605">
        <f t="array" ref="D4">IF($A4&lt;&gt;"", SUM(('Overall savings and benefits'!$BT$19:$BT$61=1)*'Overall savings and benefits'!B$19:B$61*(TRANSPOSE('Savings and benefits to bearers'!$AK4:$CA4))), "")</f>
        <v>0</v>
      </c>
      <c r="E4" s="1008" cm="1">
        <f t="array" ref="E4">IF($A4&lt;&gt;"", SUM(('Overall savings and benefits'!$BT$19:$BT$61=1)*'Overall savings and benefits'!C$19:C$61*(TRANSPOSE('Savings and benefits to bearers'!$AK4:$CA4))), "")</f>
        <v>1203.9660856534467</v>
      </c>
      <c r="F4" s="1008">
        <f t="array" ref="F4">IF($A4&lt;&gt;"", SUM(('Overall savings and benefits'!$BT$19:$BT$61=1)*'Overall savings and benefits'!D$19:D$61*(TRANSPOSE('Savings and benefits to bearers'!$AK4:$CA4))), "")</f>
        <v>0</v>
      </c>
      <c r="G4" s="1008">
        <f t="array" ref="G4">IF($A4&lt;&gt;"", SUM(('Overall savings and benefits'!$BT$19:$BT$61=1)*'Overall savings and benefits'!E$19:E$61*(TRANSPOSE('Savings and benefits to bearers'!$AK4:$CA4))), "")</f>
        <v>0</v>
      </c>
      <c r="H4" s="1008">
        <f t="array" ref="H4">IF($A4&lt;&gt;"", SUM(('Overall savings and benefits'!$BT$19:$BT$61=1)*'Overall savings and benefits'!F$19:F$61*(TRANSPOSE('Savings and benefits to bearers'!$AK4:$CA4))), "")</f>
        <v>0</v>
      </c>
      <c r="I4" s="1008">
        <f t="array" ref="I4">IF($A4&lt;&gt;"", SUM(('Overall savings and benefits'!$BT$19:$BT$61=1)*'Overall savings and benefits'!G$19:G$61*(TRANSPOSE('Savings and benefits to bearers'!$AK4:$CA4))), "")</f>
        <v>0</v>
      </c>
      <c r="J4" s="1008">
        <f t="array" ref="J4">IF($A4&lt;&gt;"", SUM(('Overall savings and benefits'!$BT$19:$BT$61=1)*'Overall savings and benefits'!H$19:H$61*(TRANSPOSE('Savings and benefits to bearers'!$AK4:$CA4))), "")</f>
        <v>0</v>
      </c>
      <c r="K4" s="1008">
        <f t="array" ref="K4">IF($A4&lt;&gt;"", SUM(('Overall savings and benefits'!$BT$19:$BT$61=1)*'Overall savings and benefits'!I$19:I$61*(TRANSPOSE('Savings and benefits to bearers'!$AK4:$CA4))), "")</f>
        <v>0</v>
      </c>
      <c r="L4" s="1008">
        <f t="array" ref="L4">IF($A4&lt;&gt;"", SUM(('Overall savings and benefits'!$BT$19:$BT$61=1)*'Overall savings and benefits'!J$19:J$61*(TRANSPOSE('Savings and benefits to bearers'!$AK4:$CA4))), "")</f>
        <v>0</v>
      </c>
      <c r="M4" s="1008">
        <f t="array" ref="M4">IF($A4&lt;&gt;"", SUM(('Overall savings and benefits'!$BT$19:$BT$61=1)*'Overall savings and benefits'!K$19:K$61*(TRANSPOSE('Savings and benefits to bearers'!$AK4:$CA4))), "")</f>
        <v>0</v>
      </c>
      <c r="N4" s="1008">
        <f t="array" ref="N4">IF($A4&lt;&gt;"", SUM(('Overall savings and benefits'!$BT$19:$BT$61=1)*'Overall savings and benefits'!L$19:L$61*(TRANSPOSE('Savings and benefits to bearers'!$AK4:$CA4))), "")</f>
        <v>0</v>
      </c>
      <c r="O4" s="1008">
        <f t="array" ref="O4">IF($A4&lt;&gt;"", SUM(('Overall savings and benefits'!$BT$19:$BT$61=1)*'Overall savings and benefits'!M$19:M$61*(TRANSPOSE('Savings and benefits to bearers'!$AK4:$CA4))), "")</f>
        <v>0</v>
      </c>
      <c r="P4" s="1008">
        <f t="array" ref="P4">IF($A4&lt;&gt;"", SUM(('Overall savings and benefits'!$BT$19:$BT$61=1)*'Overall savings and benefits'!N$19:N$61*(TRANSPOSE('Savings and benefits to bearers'!$AK4:$CA4))), "")</f>
        <v>0</v>
      </c>
      <c r="Q4" s="1008">
        <f t="array" ref="Q4">IF($A4&lt;&gt;"", SUM(('Overall savings and benefits'!$BT$19:$BT$61=1)*'Overall savings and benefits'!O$19:O$61*(TRANSPOSE('Savings and benefits to bearers'!$AK4:$CA4))), "")</f>
        <v>0</v>
      </c>
      <c r="R4" s="1008">
        <f t="array" ref="R4">IF($A4&lt;&gt;"", SUM(('Overall savings and benefits'!$BT$19:$BT$61=1)*'Overall savings and benefits'!P$19:P$61*(TRANSPOSE('Savings and benefits to bearers'!$AK4:$CA4))), "")</f>
        <v>0</v>
      </c>
      <c r="S4" s="1008">
        <f t="array" ref="S4">IF($A4&lt;&gt;"", SUM(('Overall savings and benefits'!$BT$19:$BT$61=1)*'Overall savings and benefits'!Q$19:Q$61*(TRANSPOSE('Savings and benefits to bearers'!$AK4:$CA4))), "")</f>
        <v>0</v>
      </c>
      <c r="T4" s="1008">
        <f t="array" ref="T4">IF($A4&lt;&gt;"", SUM(('Overall savings and benefits'!$BT$19:$BT$61=1)*'Overall savings and benefits'!R$19:R$61*(TRANSPOSE('Savings and benefits to bearers'!$AK4:$CA4))), "")</f>
        <v>0</v>
      </c>
      <c r="U4" s="1008">
        <f t="array" ref="U4">IF($A4&lt;&gt;"", SUM(('Overall savings and benefits'!$BT$19:$BT$61=1)*'Overall savings and benefits'!S$19:S$61*(TRANSPOSE('Savings and benefits to bearers'!$AK4:$CA4))), "")</f>
        <v>0</v>
      </c>
      <c r="V4" s="1008">
        <f t="array" ref="V4">IF($A4&lt;&gt;"", SUM(('Overall savings and benefits'!$BT$19:$BT$61=1)*'Overall savings and benefits'!T$19:T$61*(TRANSPOSE('Savings and benefits to bearers'!$AK4:$CA4))), "")</f>
        <v>0</v>
      </c>
      <c r="W4" s="1008">
        <f t="array" ref="W4">IF($A4&lt;&gt;"", SUM(('Overall savings and benefits'!$BT$19:$BT$61=1)*'Overall savings and benefits'!U$19:U$61*(TRANSPOSE('Savings and benefits to bearers'!$AK4:$CA4))), "")</f>
        <v>0</v>
      </c>
      <c r="X4" s="1008">
        <f t="array" ref="X4">IF($A4&lt;&gt;"", SUM(('Overall savings and benefits'!$BT$19:$BT$61=1)*'Overall savings and benefits'!V$19:V$61*(TRANSPOSE('Savings and benefits to bearers'!$AK4:$CA4))), "")</f>
        <v>0</v>
      </c>
      <c r="Y4" s="1008">
        <f t="array" ref="Y4">IF($A4&lt;&gt;"", SUM(('Overall savings and benefits'!$BT$19:$BT$61=1)*'Overall savings and benefits'!W$19:W$61*(TRANSPOSE('Savings and benefits to bearers'!$AK4:$CA4))), "")</f>
        <v>0</v>
      </c>
      <c r="Z4" s="1008">
        <f t="array" ref="Z4">IF($A4&lt;&gt;"", SUM(('Overall savings and benefits'!$BT$19:$BT$61=1)*'Overall savings and benefits'!X$19:X$61*(TRANSPOSE('Savings and benefits to bearers'!$AK4:$CA4))), "")</f>
        <v>0</v>
      </c>
      <c r="AA4" s="1008">
        <f t="array" ref="AA4">IF($A4&lt;&gt;"", SUM(('Overall savings and benefits'!$BT$19:$BT$61=1)*'Overall savings and benefits'!Y$19:Y$61*(TRANSPOSE('Savings and benefits to bearers'!$AK4:$CA4))), "")</f>
        <v>0</v>
      </c>
      <c r="AB4" s="1008">
        <f t="array" ref="AB4">IF($A4&lt;&gt;"", SUM(('Overall savings and benefits'!$BT$19:$BT$61=1)*'Overall savings and benefits'!Z$19:Z$61*(TRANSPOSE('Savings and benefits to bearers'!$AK4:$CA4))), "")</f>
        <v>0</v>
      </c>
      <c r="AC4" s="1009">
        <f t="array" ref="AC4">IF($A4&lt;&gt;"", (SUM( IF(ISERROR(D4:AB4),"", D4:AB4))), "")</f>
        <v>1203.9660856534467</v>
      </c>
      <c r="AD4" s="1010">
        <f t="shared" ref="AD4:AD16" si="0">IF(A4&lt;&gt;"", AC4/time, "")</f>
        <v>240.79321713068936</v>
      </c>
      <c r="AG4" s="132">
        <v>1</v>
      </c>
      <c r="AH4" s="529">
        <v>1</v>
      </c>
      <c r="AI4" s="607" t="str">
        <f>IF(AG4&lt;&gt;"",INDEX('Bearer list'!$D$4:$D$16,AG4),"")</f>
        <v>CJS</v>
      </c>
      <c r="AJ4" s="608"/>
      <c r="AK4" s="609">
        <f t="shared" ref="AK4:AK16" si="1">IF(AG4&lt;&gt;"", SUMIF(AM$52:AM$58, $AI4, AL$52:AL$58), "")</f>
        <v>931276.77611328883</v>
      </c>
      <c r="AL4" s="609">
        <f t="shared" ref="AL4:AL16" si="2">IF($AG4&lt;&gt;"", SUMIF(AO$52:AO$58, $AI4, AN$52:AN$58), "")</f>
        <v>2844.7397916512582</v>
      </c>
      <c r="AM4" s="609">
        <f t="shared" ref="AM4:AM16" si="3">IF(AG4&lt;&gt;"", SUMIF(AQ$52:AQ$58, $AI4, AP$52:AP$58), "")</f>
        <v>2355.4445474872409</v>
      </c>
      <c r="AN4" s="609">
        <f t="shared" ref="AN4:AN16" si="4">IF(AG4&lt;&gt;"", SUMIF(AS$52:AS$58, $AI4, AR$52:AR$58), "")</f>
        <v>7942.513498290311</v>
      </c>
      <c r="AO4" s="609">
        <f t="shared" ref="AO4:AO16" si="5">IF(AG4&lt;&gt;"", SUMIF(AU$52:AU$58, $AI4, AT$52:AT$58), "")</f>
        <v>1319.9592633261836</v>
      </c>
      <c r="AP4" s="609">
        <f t="shared" ref="AP4:AP16" si="6">IF(AG4&lt;&gt;"", SUMIF(AW$52:AW$58, $AI4, AV$52:AV$58), "")</f>
        <v>5336.7318491377591</v>
      </c>
      <c r="AQ4" s="609">
        <f t="shared" ref="AQ4:AQ16" si="7">IF(AG4&lt;&gt;"", SUMIF(AY$52:AY$58, $AI4, AX$52:AX$58), "")</f>
        <v>2048.2126499889055</v>
      </c>
      <c r="AR4" s="609">
        <f t="shared" ref="AR4:AR16" si="8">IF(AG4&lt;&gt;"",SUMIF(BA$52:BA$58,$AI4,AZ$52:AZ$58),"")</f>
        <v>4437.7940749759618</v>
      </c>
      <c r="AS4" s="609">
        <f t="shared" ref="AS4:AS16" si="9">IF(AG4&lt;&gt;"",SUMIF(BC$52:BC$58,$AI4,BB$52:BB$58),"")</f>
        <v>204.82126499889051</v>
      </c>
      <c r="AT4" s="609">
        <f t="shared" ref="AT4:AT16" si="10">IF(AG4&lt;&gt;"", SUMIF(BE$52:BE$58, $AI4, BD$52:BD$58), "")</f>
        <v>489.29524416401625</v>
      </c>
      <c r="AU4" s="609">
        <f t="shared" ref="AU4:AU16" si="11">IF(AG4&lt;&gt;"", SUMIF(BG$52:BG$58, $AI4, BF$52:BF$58), "")</f>
        <v>5678.1006241359091</v>
      </c>
      <c r="AV4" s="609">
        <f t="shared" ref="AV4:AV16" si="12">IF(AG4&lt;&gt;"", SUMIF(BI$52:BI$58, $AI4, BH$52:BH$58), "")</f>
        <v>568.94795833025159</v>
      </c>
      <c r="AW4" s="609">
        <f t="shared" ref="AW4:AW16" si="13">IF(AG4&lt;&gt;"",SUMIF(BK$52:BK$58,$AI4,BJ$52:BJ$58),"")</f>
        <v>261.71606083191568</v>
      </c>
      <c r="AX4" s="610">
        <f>IF($AG4&lt;&gt;"", SUMIF(BM$52:BM$58, $AI4, BL$52:BL$58), "")</f>
        <v>0</v>
      </c>
      <c r="BA4" s="611">
        <f t="shared" ref="BA4:BA16" si="14">IF($AG4&lt;&gt;"", SUMIF(BO$52:BO$58, $AI4, BN$52:BN$58), "")</f>
        <v>5348.5423675165111</v>
      </c>
      <c r="BB4" s="609">
        <f t="shared" ref="BB4:BB16" si="15">IF($AG4&lt;&gt;"", SUMIF(BQ$52:BQ$58, $AI4, BP$52:BP$58), "")</f>
        <v>3151.9716891495937</v>
      </c>
      <c r="BC4" s="609">
        <f>IF($AG4&lt;&gt;"", SUMIF(BS$52:BS$58, $AI4, BR$52:BR$58), "")</f>
        <v>273.09501999852068</v>
      </c>
      <c r="BD4" s="609">
        <f t="shared" ref="BD4:BD16" si="16">IF($AG4&lt;&gt;"", SUMIF(BU$52:BU$58, $AI4, BT$52:BT$58), "")</f>
        <v>4437.7940749759618</v>
      </c>
      <c r="BE4" s="609">
        <f t="shared" ref="BE4:BE16" si="17">IF($AG4&lt;&gt;"", SUMIF(BW$52:BW$58, $AI4, BV$52:BV$58), "")</f>
        <v>204.82126499889051</v>
      </c>
      <c r="BF4" s="609">
        <f t="shared" ref="BF4:BF16" si="18">IF($AG4&lt;&gt;"", SUMIF(BY$52:BY$58, $AI4, BX$52:BX$58), "")</f>
        <v>5678.3164037419829</v>
      </c>
      <c r="BG4" s="610">
        <f t="shared" ref="BG4:BG16" si="19">IF($AG4&lt;&gt;"", SUMIF(CA$52:CA$58, $AI4, BZ$52:BZ$58), "")</f>
        <v>568.94795833025159</v>
      </c>
      <c r="BJ4" s="611">
        <f t="shared" ref="BJ4:BJ16" si="20">IF($AG4&lt;&gt;"", SUMIF(CC$52:CC$58, $AI4, CB$52:CB$58), "")</f>
        <v>0</v>
      </c>
      <c r="BK4" s="609">
        <f t="shared" ref="BK4:BK16" si="21">IF($AG4&lt;&gt;"", SUMIF(CE$52:CE$58, $AI4, CD$52:CD$58), "")</f>
        <v>0</v>
      </c>
      <c r="BL4" s="609">
        <f t="shared" ref="BL4:BL16" si="22">IF($AG4&lt;&gt;"", SUMIF(CG$52:CG$58, $AI4, CF$52:CF$58), "")</f>
        <v>0</v>
      </c>
      <c r="BM4" s="609">
        <f t="shared" ref="BM4:BM16" si="23">IF($AG4&lt;&gt;"", SUMIF(CI$52:CI$58, $AI4, CH$52:CH$58), "")</f>
        <v>0</v>
      </c>
      <c r="BN4" s="609">
        <f t="shared" ref="BN4:BN16" si="24">IF($AG4&lt;&gt;"", SUMIF(CK$52:CK$58, $AI4, CJ$52:CJ$58), "")</f>
        <v>0</v>
      </c>
      <c r="BO4" s="610">
        <f t="shared" ref="BO4:BO16" si="25">IF($AG4&lt;&gt;"", SUMIF(CM$52:CM$58, $AI4, CL$52:CL$58), "")</f>
        <v>0</v>
      </c>
      <c r="BR4" s="611">
        <f t="shared" ref="BR4:BR16" si="26">IF($AG4&lt;&gt;"", SUMIF(CO$52:CO$58, $AI4, CN$52:CN$58), "")</f>
        <v>0</v>
      </c>
      <c r="BS4" s="609">
        <f t="shared" ref="BS4:BS16" si="27">IF($AG4&lt;&gt;"", SUMIF(CQ$52:CQ$58, $AI4, CP$52:CP$58), "")</f>
        <v>0</v>
      </c>
      <c r="BT4" s="609">
        <f t="shared" ref="BT4:BT16" si="28">IF($AG4&lt;&gt;"", SUMIF(CS$52:CS$58, $AI4, CR$52:CR$58), "")</f>
        <v>0</v>
      </c>
      <c r="BU4" s="609">
        <f t="shared" ref="BU4:BU16" si="29">IF($AG4&lt;&gt;"", SUMIF(CU$52:CU$58, $AI4, CT$52:CT$58), "")</f>
        <v>0</v>
      </c>
      <c r="BV4" s="609">
        <f t="shared" ref="BV4:BV16" si="30">IF($AG4&lt;&gt;"", SUMIF(CW$52:CW$58, $AI4, CV$52:CV$58), "")</f>
        <v>0</v>
      </c>
      <c r="BW4" s="609">
        <f t="shared" ref="BW4:BW16" si="31">IF($AG4&lt;&gt;"", SUMIF(CY$52:CY$58, $AI4, CX$52:CX$58), "")</f>
        <v>0</v>
      </c>
      <c r="BX4" s="609">
        <f t="shared" ref="BX4:BX16" si="32">IF($AG4&lt;&gt;"", SUMIF(DA$52:DA$58, $AI4, CZ$52:CZ$58), "")</f>
        <v>0</v>
      </c>
      <c r="BY4" s="609">
        <f t="shared" ref="BY4:BY16" si="33">IF($AG4&lt;&gt;"", SUMIF(DC$52:DC$58, $AI4, DB$52:DB$58), "")</f>
        <v>0</v>
      </c>
      <c r="BZ4" s="609">
        <f t="shared" ref="BZ4:BZ16" si="34">IF($AG4&lt;&gt;"", SUMIF(DE$52:DE$58, $AI4, DD$52:DD$58), "")</f>
        <v>0</v>
      </c>
      <c r="CA4" s="610">
        <f t="shared" ref="CA4:CA16" si="35">IF($AG4&lt;&gt;"", SUMIF(DG$52:DG$58, $AI4, DF$52:DF$58), "")</f>
        <v>0</v>
      </c>
    </row>
    <row r="5" spans="1:79">
      <c r="A5" s="612">
        <f>IF((13-COUNTIF('Bearer list'!$E$4:$E$16,""))&gt;A4,A4+1,"")</f>
        <v>2</v>
      </c>
      <c r="B5" s="367">
        <v>2</v>
      </c>
      <c r="C5" s="604" t="str">
        <f>IF(A5&lt;&gt;"",INDEX('Bearer list'!$D$4:$D$16,A5),"")</f>
        <v>Society</v>
      </c>
      <c r="D5" s="605">
        <f t="array" ref="D5">IF($A5&lt;&gt;"", SUM(('Overall savings and benefits'!$BT$19:$BT$61=1)*'Overall savings and benefits'!B$19:B$61*(TRANSPOSE('Savings and benefits to bearers'!$AK5:$CA5))), "")</f>
        <v>0</v>
      </c>
      <c r="E5" s="1008">
        <f t="array" ref="E5">IF($A5&lt;&gt;"", SUM(('Overall savings and benefits'!$BT$19:$BT$61=1)*'Overall savings and benefits'!C$19:C$61*(TRANSPOSE('Savings and benefits to bearers'!$AK5:$CA5))), "")</f>
        <v>2635.6690336596726</v>
      </c>
      <c r="F5" s="1008">
        <f t="array" ref="F5">IF($A5&lt;&gt;"", SUM(('Overall savings and benefits'!$BT$19:$BT$61=1)*'Overall savings and benefits'!D$19:D$61*(TRANSPOSE('Savings and benefits to bearers'!$AK5:$CA5))), "")</f>
        <v>0</v>
      </c>
      <c r="G5" s="1008">
        <f t="array" ref="G5">IF($A5&lt;&gt;"", SUM(('Overall savings and benefits'!$BT$19:$BT$61=1)*'Overall savings and benefits'!E$19:E$61*(TRANSPOSE('Savings and benefits to bearers'!$AK5:$CA5))), "")</f>
        <v>0</v>
      </c>
      <c r="H5" s="1008">
        <f t="array" ref="H5">IF($A5&lt;&gt;"", SUM(('Overall savings and benefits'!$BT$19:$BT$61=1)*'Overall savings and benefits'!F$19:F$61*(TRANSPOSE('Savings and benefits to bearers'!$AK5:$CA5))), "")</f>
        <v>0</v>
      </c>
      <c r="I5" s="1008">
        <f t="array" ref="I5">IF($A5&lt;&gt;"", SUM(('Overall savings and benefits'!$BT$19:$BT$61=1)*'Overall savings and benefits'!G$19:G$61*(TRANSPOSE('Savings and benefits to bearers'!$AK5:$CA5))), "")</f>
        <v>0</v>
      </c>
      <c r="J5" s="1008">
        <f t="array" ref="J5">IF($A5&lt;&gt;"", SUM(('Overall savings and benefits'!$BT$19:$BT$61=1)*'Overall savings and benefits'!H$19:H$61*(TRANSPOSE('Savings and benefits to bearers'!$AK5:$CA5))), "")</f>
        <v>0</v>
      </c>
      <c r="K5" s="1008">
        <f t="array" ref="K5">IF($A5&lt;&gt;"", SUM(('Overall savings and benefits'!$BT$19:$BT$61=1)*'Overall savings and benefits'!I$19:I$61*(TRANSPOSE('Savings and benefits to bearers'!$AK5:$CA5))), "")</f>
        <v>0</v>
      </c>
      <c r="L5" s="1008">
        <f t="array" ref="L5">IF($A5&lt;&gt;"", SUM(('Overall savings and benefits'!$BT$19:$BT$61=1)*'Overall savings and benefits'!J$19:J$61*(TRANSPOSE('Savings and benefits to bearers'!$AK5:$CA5))), "")</f>
        <v>0</v>
      </c>
      <c r="M5" s="1008">
        <f t="array" ref="M5">IF($A5&lt;&gt;"", SUM(('Overall savings and benefits'!$BT$19:$BT$61=1)*'Overall savings and benefits'!K$19:K$61*(TRANSPOSE('Savings and benefits to bearers'!$AK5:$CA5))), "")</f>
        <v>0</v>
      </c>
      <c r="N5" s="1008">
        <f t="array" ref="N5">IF($A5&lt;&gt;"", SUM(('Overall savings and benefits'!$BT$19:$BT$61=1)*'Overall savings and benefits'!L$19:L$61*(TRANSPOSE('Savings and benefits to bearers'!$AK5:$CA5))), "")</f>
        <v>0</v>
      </c>
      <c r="O5" s="1008">
        <f t="array" ref="O5">IF($A5&lt;&gt;"", SUM(('Overall savings and benefits'!$BT$19:$BT$61=1)*'Overall savings and benefits'!M$19:M$61*(TRANSPOSE('Savings and benefits to bearers'!$AK5:$CA5))), "")</f>
        <v>0</v>
      </c>
      <c r="P5" s="1008">
        <f t="array" ref="P5">IF($A5&lt;&gt;"", SUM(('Overall savings and benefits'!$BT$19:$BT$61=1)*'Overall savings and benefits'!N$19:N$61*(TRANSPOSE('Savings and benefits to bearers'!$AK5:$CA5))), "")</f>
        <v>0</v>
      </c>
      <c r="Q5" s="1008">
        <f t="array" ref="Q5">IF($A5&lt;&gt;"", SUM(('Overall savings and benefits'!$BT$19:$BT$61=1)*'Overall savings and benefits'!O$19:O$61*(TRANSPOSE('Savings and benefits to bearers'!$AK5:$CA5))), "")</f>
        <v>0</v>
      </c>
      <c r="R5" s="1008">
        <f t="array" ref="R5">IF($A5&lt;&gt;"", SUM(('Overall savings and benefits'!$BT$19:$BT$61=1)*'Overall savings and benefits'!P$19:P$61*(TRANSPOSE('Savings and benefits to bearers'!$AK5:$CA5))), "")</f>
        <v>0</v>
      </c>
      <c r="S5" s="1008">
        <f t="array" ref="S5">IF($A5&lt;&gt;"", SUM(('Overall savings and benefits'!$BT$19:$BT$61=1)*'Overall savings and benefits'!Q$19:Q$61*(TRANSPOSE('Savings and benefits to bearers'!$AK5:$CA5))), "")</f>
        <v>0</v>
      </c>
      <c r="T5" s="1008">
        <f t="array" ref="T5">IF($A5&lt;&gt;"", SUM(('Overall savings and benefits'!$BT$19:$BT$61=1)*'Overall savings and benefits'!R$19:R$61*(TRANSPOSE('Savings and benefits to bearers'!$AK5:$CA5))), "")</f>
        <v>0</v>
      </c>
      <c r="U5" s="1008">
        <f t="array" ref="U5">IF($A5&lt;&gt;"", SUM(('Overall savings and benefits'!$BT$19:$BT$61=1)*'Overall savings and benefits'!S$19:S$61*(TRANSPOSE('Savings and benefits to bearers'!$AK5:$CA5))), "")</f>
        <v>0</v>
      </c>
      <c r="V5" s="1008">
        <f t="array" ref="V5">IF($A5&lt;&gt;"", SUM(('Overall savings and benefits'!$BT$19:$BT$61=1)*'Overall savings and benefits'!T$19:T$61*(TRANSPOSE('Savings and benefits to bearers'!$AK5:$CA5))), "")</f>
        <v>0</v>
      </c>
      <c r="W5" s="1008">
        <f t="array" ref="W5">IF($A5&lt;&gt;"", SUM(('Overall savings and benefits'!$BT$19:$BT$61=1)*'Overall savings and benefits'!U$19:U$61*(TRANSPOSE('Savings and benefits to bearers'!$AK5:$CA5))), "")</f>
        <v>0</v>
      </c>
      <c r="X5" s="1008">
        <f t="array" ref="X5">IF($A5&lt;&gt;"", SUM(('Overall savings and benefits'!$BT$19:$BT$61=1)*'Overall savings and benefits'!V$19:V$61*(TRANSPOSE('Savings and benefits to bearers'!$AK5:$CA5))), "")</f>
        <v>0</v>
      </c>
      <c r="Y5" s="1008">
        <f t="array" ref="Y5">IF($A5&lt;&gt;"", SUM(('Overall savings and benefits'!$BT$19:$BT$61=1)*'Overall savings and benefits'!W$19:W$61*(TRANSPOSE('Savings and benefits to bearers'!$AK5:$CA5))), "")</f>
        <v>0</v>
      </c>
      <c r="Z5" s="1008">
        <f t="array" ref="Z5">IF($A5&lt;&gt;"", SUM(('Overall savings and benefits'!$BT$19:$BT$61=1)*'Overall savings and benefits'!X$19:X$61*(TRANSPOSE('Savings and benefits to bearers'!$AK5:$CA5))), "")</f>
        <v>0</v>
      </c>
      <c r="AA5" s="1008">
        <f t="array" ref="AA5">IF($A5&lt;&gt;"", SUM(('Overall savings and benefits'!$BT$19:$BT$61=1)*'Overall savings and benefits'!Y$19:Y$61*(TRANSPOSE('Savings and benefits to bearers'!$AK5:$CA5))), "")</f>
        <v>0</v>
      </c>
      <c r="AB5" s="1008">
        <f t="array" ref="AB5">IF($A5&lt;&gt;"", SUM(('Overall savings and benefits'!$BT$19:$BT$61=1)*'Overall savings and benefits'!Z$19:Z$61*(TRANSPOSE('Savings and benefits to bearers'!$AK5:$CA5))), "")</f>
        <v>0</v>
      </c>
      <c r="AC5" s="1009">
        <f t="array" ref="AC5">IF($A5&lt;&gt;"", (SUM( IF(ISERROR(D5:AB5),"", D5:AB5))), "")</f>
        <v>2635.6690336596726</v>
      </c>
      <c r="AD5" s="1010">
        <f t="shared" si="0"/>
        <v>527.13380673193456</v>
      </c>
      <c r="AG5" s="472">
        <f>IF((13-COUNTIF('Bearer list'!$E$4:$E$16,""))&gt;AG4,AG4+1,"")</f>
        <v>2</v>
      </c>
      <c r="AH5" s="529">
        <v>2</v>
      </c>
      <c r="AI5" s="613" t="str">
        <f>IF(AG5&lt;&gt;"",INDEX('Bearer list'!$D$4:$D$16,AG5),"")</f>
        <v>Society</v>
      </c>
      <c r="AJ5" s="608"/>
      <c r="AK5" s="609">
        <f t="shared" si="1"/>
        <v>2659422.0626639277</v>
      </c>
      <c r="AL5" s="609">
        <f t="shared" si="2"/>
        <v>11720.327941603184</v>
      </c>
      <c r="AM5" s="609">
        <f t="shared" si="3"/>
        <v>3959.87778997855</v>
      </c>
      <c r="AN5" s="609">
        <f t="shared" si="4"/>
        <v>34466.867315646632</v>
      </c>
      <c r="AO5" s="609">
        <f t="shared" si="5"/>
        <v>5484.6583183036255</v>
      </c>
      <c r="AP5" s="609">
        <f t="shared" si="6"/>
        <v>6303.9433782991864</v>
      </c>
      <c r="AQ5" s="609">
        <f t="shared" si="7"/>
        <v>3447.8246274813246</v>
      </c>
      <c r="AR5" s="609">
        <f t="shared" si="8"/>
        <v>5188.8053799718937</v>
      </c>
      <c r="AS5" s="609">
        <f t="shared" si="9"/>
        <v>625.84275416327671</v>
      </c>
      <c r="AT5" s="609">
        <f t="shared" si="10"/>
        <v>807.90610082895705</v>
      </c>
      <c r="AU5" s="609">
        <f t="shared" si="11"/>
        <v>3322.6560766486682</v>
      </c>
      <c r="AV5" s="609">
        <f t="shared" si="12"/>
        <v>773.76922332914205</v>
      </c>
      <c r="AW5" s="609">
        <f t="shared" si="13"/>
        <v>864.80089666198239</v>
      </c>
      <c r="AX5" s="610">
        <f t="shared" ref="AX5:AX16" si="36">IF(AG5&lt;&gt;"", SUMIF(BM$52:BM$58, $AI5, BL$52:BL$58), "")</f>
        <v>238.95814249870563</v>
      </c>
      <c r="BA5" s="611">
        <f t="shared" si="14"/>
        <v>8420.4297832877219</v>
      </c>
      <c r="BB5" s="609">
        <f t="shared" si="15"/>
        <v>5109.1526658056582</v>
      </c>
      <c r="BC5" s="609">
        <f t="shared" ref="BC5:BC7" si="37">IF($AG5&lt;&gt;"", SUMIF(BS$52:BS$58, $AI5, BR$52:BR$58), "")</f>
        <v>580.32691749685648</v>
      </c>
      <c r="BD5" s="609">
        <f t="shared" si="16"/>
        <v>28845.66148734375</v>
      </c>
      <c r="BE5" s="609">
        <f t="shared" si="17"/>
        <v>1661.3280383243341</v>
      </c>
      <c r="BF5" s="609">
        <f t="shared" si="18"/>
        <v>4267.1096874768864</v>
      </c>
      <c r="BG5" s="610">
        <f t="shared" si="19"/>
        <v>625.84275416327682</v>
      </c>
      <c r="BJ5" s="611">
        <f t="shared" si="20"/>
        <v>0</v>
      </c>
      <c r="BK5" s="609">
        <f t="shared" si="21"/>
        <v>0</v>
      </c>
      <c r="BL5" s="609">
        <f t="shared" si="22"/>
        <v>0</v>
      </c>
      <c r="BM5" s="609">
        <f t="shared" si="23"/>
        <v>0</v>
      </c>
      <c r="BN5" s="609">
        <f t="shared" si="24"/>
        <v>0</v>
      </c>
      <c r="BO5" s="610">
        <f t="shared" si="25"/>
        <v>0</v>
      </c>
      <c r="BR5" s="611">
        <f t="shared" si="26"/>
        <v>0</v>
      </c>
      <c r="BS5" s="609">
        <f t="shared" si="27"/>
        <v>0</v>
      </c>
      <c r="BT5" s="609">
        <f t="shared" si="28"/>
        <v>0</v>
      </c>
      <c r="BU5" s="609">
        <f t="shared" si="29"/>
        <v>0</v>
      </c>
      <c r="BV5" s="609">
        <f t="shared" si="30"/>
        <v>0</v>
      </c>
      <c r="BW5" s="609">
        <f t="shared" si="31"/>
        <v>0</v>
      </c>
      <c r="BX5" s="609">
        <f t="shared" si="32"/>
        <v>0</v>
      </c>
      <c r="BY5" s="609">
        <f t="shared" si="33"/>
        <v>0</v>
      </c>
      <c r="BZ5" s="609">
        <f t="shared" si="34"/>
        <v>0</v>
      </c>
      <c r="CA5" s="610">
        <f t="shared" si="35"/>
        <v>0</v>
      </c>
    </row>
    <row r="6" spans="1:79">
      <c r="A6" s="612">
        <f>IF((13-COUNTIF('Bearer list'!$E$4:$E$16,""))&gt;A5,A5+1,"")</f>
        <v>3</v>
      </c>
      <c r="B6" s="367">
        <v>3</v>
      </c>
      <c r="C6" s="604" t="str">
        <f>IF(A6&lt;&gt;"",INDEX('Bearer list'!$D$4:$D$16,A6),"")</f>
        <v>HealthSystem</v>
      </c>
      <c r="D6" s="605">
        <f t="array" ref="D6">IF($A6&lt;&gt;"", SUM(('Overall savings and benefits'!$BT$19:$BT$61=1)*'Overall savings and benefits'!B$19:B$61*(TRANSPOSE('Savings and benefits to bearers'!$AK6:$CA6))), "")</f>
        <v>0</v>
      </c>
      <c r="E6" s="1008">
        <f t="array" ref="E6">IF($A6&lt;&gt;"", SUM(('Overall savings and benefits'!$BT$19:$BT$61=1)*'Overall savings and benefits'!C$19:C$61*(TRANSPOSE('Savings and benefits to bearers'!$AK6:$CA6))), "")</f>
        <v>252.78789887061015</v>
      </c>
      <c r="F6" s="1008">
        <f t="array" ref="F6">IF($A6&lt;&gt;"", SUM(('Overall savings and benefits'!$BT$19:$BT$61=1)*'Overall savings and benefits'!D$19:D$61*(TRANSPOSE('Savings and benefits to bearers'!$AK6:$CA6))), "")</f>
        <v>0</v>
      </c>
      <c r="G6" s="1008">
        <f t="array" ref="G6">IF($A6&lt;&gt;"", SUM(('Overall savings and benefits'!$BT$19:$BT$61=1)*'Overall savings and benefits'!E$19:E$61*(TRANSPOSE('Savings and benefits to bearers'!$AK6:$CA6))), "")</f>
        <v>0</v>
      </c>
      <c r="H6" s="1008">
        <f t="array" ref="H6">IF($A6&lt;&gt;"", SUM(('Overall savings and benefits'!$BT$19:$BT$61=1)*'Overall savings and benefits'!F$19:F$61*(TRANSPOSE('Savings and benefits to bearers'!$AK6:$CA6))), "")</f>
        <v>0</v>
      </c>
      <c r="I6" s="1008">
        <f t="array" ref="I6">IF($A6&lt;&gt;"", SUM(('Overall savings and benefits'!$BT$19:$BT$61=1)*'Overall savings and benefits'!G$19:G$61*(TRANSPOSE('Savings and benefits to bearers'!$AK6:$CA6))), "")</f>
        <v>0</v>
      </c>
      <c r="J6" s="1008">
        <f t="array" ref="J6">IF($A6&lt;&gt;"", SUM(('Overall savings and benefits'!$BT$19:$BT$61=1)*'Overall savings and benefits'!H$19:H$61*(TRANSPOSE('Savings and benefits to bearers'!$AK6:$CA6))), "")</f>
        <v>0</v>
      </c>
      <c r="K6" s="1008">
        <f t="array" ref="K6">IF($A6&lt;&gt;"", SUM(('Overall savings and benefits'!$BT$19:$BT$61=1)*'Overall savings and benefits'!I$19:I$61*(TRANSPOSE('Savings and benefits to bearers'!$AK6:$CA6))), "")</f>
        <v>0</v>
      </c>
      <c r="L6" s="1008">
        <f t="array" ref="L6">IF($A6&lt;&gt;"", SUM(('Overall savings and benefits'!$BT$19:$BT$61=1)*'Overall savings and benefits'!J$19:J$61*(TRANSPOSE('Savings and benefits to bearers'!$AK6:$CA6))), "")</f>
        <v>0</v>
      </c>
      <c r="M6" s="1008">
        <f t="array" ref="M6">IF($A6&lt;&gt;"", SUM(('Overall savings and benefits'!$BT$19:$BT$61=1)*'Overall savings and benefits'!K$19:K$61*(TRANSPOSE('Savings and benefits to bearers'!$AK6:$CA6))), "")</f>
        <v>0</v>
      </c>
      <c r="N6" s="1008">
        <f t="array" ref="N6">IF($A6&lt;&gt;"", SUM(('Overall savings and benefits'!$BT$19:$BT$61=1)*'Overall savings and benefits'!L$19:L$61*(TRANSPOSE('Savings and benefits to bearers'!$AK6:$CA6))), "")</f>
        <v>0</v>
      </c>
      <c r="O6" s="1008">
        <f t="array" ref="O6">IF($A6&lt;&gt;"", SUM(('Overall savings and benefits'!$BT$19:$BT$61=1)*'Overall savings and benefits'!M$19:M$61*(TRANSPOSE('Savings and benefits to bearers'!$AK6:$CA6))), "")</f>
        <v>0</v>
      </c>
      <c r="P6" s="1008">
        <f t="array" ref="P6">IF($A6&lt;&gt;"", SUM(('Overall savings and benefits'!$BT$19:$BT$61=1)*'Overall savings and benefits'!N$19:N$61*(TRANSPOSE('Savings and benefits to bearers'!$AK6:$CA6))), "")</f>
        <v>0</v>
      </c>
      <c r="Q6" s="1008">
        <f t="array" ref="Q6">IF($A6&lt;&gt;"", SUM(('Overall savings and benefits'!$BT$19:$BT$61=1)*'Overall savings and benefits'!O$19:O$61*(TRANSPOSE('Savings and benefits to bearers'!$AK6:$CA6))), "")</f>
        <v>0</v>
      </c>
      <c r="R6" s="1008">
        <f t="array" ref="R6">IF($A6&lt;&gt;"", SUM(('Overall savings and benefits'!$BT$19:$BT$61=1)*'Overall savings and benefits'!P$19:P$61*(TRANSPOSE('Savings and benefits to bearers'!$AK6:$CA6))), "")</f>
        <v>0</v>
      </c>
      <c r="S6" s="1008">
        <f t="array" ref="S6">IF($A6&lt;&gt;"", SUM(('Overall savings and benefits'!$BT$19:$BT$61=1)*'Overall savings and benefits'!Q$19:Q$61*(TRANSPOSE('Savings and benefits to bearers'!$AK6:$CA6))), "")</f>
        <v>0</v>
      </c>
      <c r="T6" s="1008">
        <f t="array" ref="T6">IF($A6&lt;&gt;"", SUM(('Overall savings and benefits'!$BT$19:$BT$61=1)*'Overall savings and benefits'!R$19:R$61*(TRANSPOSE('Savings and benefits to bearers'!$AK6:$CA6))), "")</f>
        <v>0</v>
      </c>
      <c r="U6" s="1008">
        <f t="array" ref="U6">IF($A6&lt;&gt;"", SUM(('Overall savings and benefits'!$BT$19:$BT$61=1)*'Overall savings and benefits'!S$19:S$61*(TRANSPOSE('Savings and benefits to bearers'!$AK6:$CA6))), "")</f>
        <v>0</v>
      </c>
      <c r="V6" s="1008">
        <f t="array" ref="V6">IF($A6&lt;&gt;"", SUM(('Overall savings and benefits'!$BT$19:$BT$61=1)*'Overall savings and benefits'!T$19:T$61*(TRANSPOSE('Savings and benefits to bearers'!$AK6:$CA6))), "")</f>
        <v>0</v>
      </c>
      <c r="W6" s="1008">
        <f t="array" ref="W6">IF($A6&lt;&gt;"", SUM(('Overall savings and benefits'!$BT$19:$BT$61=1)*'Overall savings and benefits'!U$19:U$61*(TRANSPOSE('Savings and benefits to bearers'!$AK6:$CA6))), "")</f>
        <v>0</v>
      </c>
      <c r="X6" s="1008">
        <f t="array" ref="X6">IF($A6&lt;&gt;"", SUM(('Overall savings and benefits'!$BT$19:$BT$61=1)*'Overall savings and benefits'!V$19:V$61*(TRANSPOSE('Savings and benefits to bearers'!$AK6:$CA6))), "")</f>
        <v>0</v>
      </c>
      <c r="Y6" s="1008">
        <f t="array" ref="Y6">IF($A6&lt;&gt;"", SUM(('Overall savings and benefits'!$BT$19:$BT$61=1)*'Overall savings and benefits'!W$19:W$61*(TRANSPOSE('Savings and benefits to bearers'!$AK6:$CA6))), "")</f>
        <v>0</v>
      </c>
      <c r="Z6" s="1008">
        <f t="array" ref="Z6">IF($A6&lt;&gt;"", SUM(('Overall savings and benefits'!$BT$19:$BT$61=1)*'Overall savings and benefits'!X$19:X$61*(TRANSPOSE('Savings and benefits to bearers'!$AK6:$CA6))), "")</f>
        <v>0</v>
      </c>
      <c r="AA6" s="1008">
        <f t="array" ref="AA6">IF($A6&lt;&gt;"", SUM(('Overall savings and benefits'!$BT$19:$BT$61=1)*'Overall savings and benefits'!Y$19:Y$61*(TRANSPOSE('Savings and benefits to bearers'!$AK6:$CA6))), "")</f>
        <v>0</v>
      </c>
      <c r="AB6" s="1008">
        <f t="array" ref="AB6">IF($A6&lt;&gt;"", SUM(('Overall savings and benefits'!$BT$19:$BT$61=1)*'Overall savings and benefits'!Z$19:Z$61*(TRANSPOSE('Savings and benefits to bearers'!$AK6:$CA6))), "")</f>
        <v>0</v>
      </c>
      <c r="AC6" s="1009">
        <f t="array" ref="AC6">IF($A6&lt;&gt;"", (SUM( IF(ISERROR(D6:AB6),"", D6:AB6))), "")</f>
        <v>252.78789887061015</v>
      </c>
      <c r="AD6" s="1010">
        <f t="shared" si="0"/>
        <v>50.557579774122033</v>
      </c>
      <c r="AG6" s="472">
        <f>IF((13-COUNTIF('Bearer list'!$E$4:$E$16,""))&gt;AG5,AG5+1,"")</f>
        <v>3</v>
      </c>
      <c r="AH6" s="529">
        <v>3</v>
      </c>
      <c r="AI6" s="613" t="str">
        <f>IF(AG6&lt;&gt;"",INDEX('Bearer list'!$D$4:$D$16,AG6),"")</f>
        <v>HealthSystem</v>
      </c>
      <c r="AJ6" s="608"/>
      <c r="AK6" s="609">
        <f t="shared" si="1"/>
        <v>1263.0644674931584</v>
      </c>
      <c r="AL6" s="609">
        <f t="shared" si="2"/>
        <v>1046.864243327663</v>
      </c>
      <c r="AM6" s="609">
        <f t="shared" si="3"/>
        <v>307.23189749833585</v>
      </c>
      <c r="AN6" s="609">
        <f t="shared" si="4"/>
        <v>1263.0644674931584</v>
      </c>
      <c r="AO6" s="609">
        <f t="shared" si="5"/>
        <v>443.77940749759614</v>
      </c>
      <c r="AP6" s="609">
        <f t="shared" si="6"/>
        <v>864.80089666198228</v>
      </c>
      <c r="AQ6" s="609">
        <f t="shared" si="7"/>
        <v>432.40044833099114</v>
      </c>
      <c r="AR6" s="609">
        <f t="shared" si="8"/>
        <v>113.7895916660503</v>
      </c>
      <c r="AS6" s="609">
        <f t="shared" si="9"/>
        <v>45.515836666420114</v>
      </c>
      <c r="AT6" s="609">
        <f t="shared" si="10"/>
        <v>238.95814249870563</v>
      </c>
      <c r="AU6" s="609">
        <f t="shared" si="11"/>
        <v>204.82126499889054</v>
      </c>
      <c r="AV6" s="609">
        <f t="shared" si="12"/>
        <v>102.41063249944527</v>
      </c>
      <c r="AW6" s="609">
        <f t="shared" si="13"/>
        <v>79.652714166235214</v>
      </c>
      <c r="AX6" s="610">
        <f t="shared" si="36"/>
        <v>56.89479583302515</v>
      </c>
      <c r="BA6" s="611">
        <f t="shared" si="14"/>
        <v>682.73754999630182</v>
      </c>
      <c r="BB6" s="609">
        <f t="shared" si="15"/>
        <v>182.06334666568046</v>
      </c>
      <c r="BC6" s="609">
        <f t="shared" si="37"/>
        <v>0</v>
      </c>
      <c r="BD6" s="609">
        <f t="shared" si="16"/>
        <v>11.378959166605028</v>
      </c>
      <c r="BE6" s="609">
        <f t="shared" si="17"/>
        <v>0</v>
      </c>
      <c r="BF6" s="609">
        <f t="shared" si="18"/>
        <v>386.88461166457103</v>
      </c>
      <c r="BG6" s="610">
        <f t="shared" si="19"/>
        <v>45.515836666420114</v>
      </c>
      <c r="BJ6" s="611">
        <f t="shared" si="20"/>
        <v>0</v>
      </c>
      <c r="BK6" s="609">
        <f t="shared" si="21"/>
        <v>0</v>
      </c>
      <c r="BL6" s="609">
        <f t="shared" si="22"/>
        <v>0</v>
      </c>
      <c r="BM6" s="609">
        <f t="shared" si="23"/>
        <v>0</v>
      </c>
      <c r="BN6" s="609">
        <f t="shared" si="24"/>
        <v>0</v>
      </c>
      <c r="BO6" s="610">
        <f t="shared" si="25"/>
        <v>0</v>
      </c>
      <c r="BR6" s="611">
        <f t="shared" si="26"/>
        <v>0</v>
      </c>
      <c r="BS6" s="609">
        <f t="shared" si="27"/>
        <v>0</v>
      </c>
      <c r="BT6" s="609">
        <f t="shared" si="28"/>
        <v>0</v>
      </c>
      <c r="BU6" s="609">
        <f t="shared" si="29"/>
        <v>0</v>
      </c>
      <c r="BV6" s="609">
        <f t="shared" si="30"/>
        <v>0</v>
      </c>
      <c r="BW6" s="609">
        <f t="shared" si="31"/>
        <v>0</v>
      </c>
      <c r="BX6" s="609">
        <f t="shared" si="32"/>
        <v>0</v>
      </c>
      <c r="BY6" s="609">
        <f t="shared" si="33"/>
        <v>0</v>
      </c>
      <c r="BZ6" s="609">
        <f t="shared" si="34"/>
        <v>0</v>
      </c>
      <c r="CA6" s="610">
        <f t="shared" si="35"/>
        <v>0</v>
      </c>
    </row>
    <row r="7" spans="1:79">
      <c r="A7" s="612">
        <f>IF((13-COUNTIF('Bearer list'!$E$4:$E$16,""))&gt;A6,A6+1,"")</f>
        <v>4</v>
      </c>
      <c r="B7" s="367">
        <v>4</v>
      </c>
      <c r="C7" s="604" t="str">
        <f>IF(A7&lt;&gt;"",INDEX('Bearer list'!$D$4:$D$16,A7),"")</f>
        <v>Victim</v>
      </c>
      <c r="D7" s="605">
        <f>RJ_benefits!C50</f>
        <v>0</v>
      </c>
      <c r="E7" s="1067">
        <f>'Overall savings and benefits'!AL64</f>
        <v>0</v>
      </c>
      <c r="F7" s="605">
        <f>RJ_benefits!E50</f>
        <v>0</v>
      </c>
      <c r="G7" s="605">
        <f>RJ_benefits!F50</f>
        <v>0</v>
      </c>
      <c r="H7" s="605">
        <f>RJ_benefits!G50</f>
        <v>0</v>
      </c>
      <c r="I7" s="1008">
        <f t="array" ref="I7">IF($A7&lt;&gt;"", SUM(('Overall savings and benefits'!$BT$19:$BT$61=1)*'Overall savings and benefits'!G$19:G$61*(TRANSPOSE('Savings and benefits to bearers'!$AK7:$CA7))), "")</f>
        <v>0</v>
      </c>
      <c r="J7" s="1008">
        <f t="array" ref="J7">IF($A7&lt;&gt;"", SUM(('Overall savings and benefits'!$BT$19:$BT$61=1)*'Overall savings and benefits'!H$19:H$61*(TRANSPOSE('Savings and benefits to bearers'!$AK7:$CA7))), "")</f>
        <v>0</v>
      </c>
      <c r="K7" s="1008">
        <f t="array" ref="K7">IF($A7&lt;&gt;"", SUM(('Overall savings and benefits'!$BT$19:$BT$61=1)*'Overall savings and benefits'!I$19:I$61*(TRANSPOSE('Savings and benefits to bearers'!$AK7:$CA7))), "")</f>
        <v>0</v>
      </c>
      <c r="L7" s="1008">
        <f t="array" ref="L7">IF($A7&lt;&gt;"", SUM(('Overall savings and benefits'!$BT$19:$BT$61=1)*'Overall savings and benefits'!J$19:J$61*(TRANSPOSE('Savings and benefits to bearers'!$AK7:$CA7))), "")</f>
        <v>0</v>
      </c>
      <c r="M7" s="1008">
        <f t="array" ref="M7">IF($A7&lt;&gt;"", SUM(('Overall savings and benefits'!$BT$19:$BT$61=1)*'Overall savings and benefits'!K$19:K$61*(TRANSPOSE('Savings and benefits to bearers'!$AK7:$CA7))), "")</f>
        <v>0</v>
      </c>
      <c r="N7" s="1008">
        <f t="array" ref="N7">IF($A7&lt;&gt;"", SUM(('Overall savings and benefits'!$BT$19:$BT$61=1)*'Overall savings and benefits'!L$19:L$61*(TRANSPOSE('Savings and benefits to bearers'!$AK7:$CA7))), "")</f>
        <v>0</v>
      </c>
      <c r="O7" s="1008">
        <f t="array" ref="O7">IF($A7&lt;&gt;"", SUM(('Overall savings and benefits'!$BT$19:$BT$61=1)*'Overall savings and benefits'!M$19:M$61*(TRANSPOSE('Savings and benefits to bearers'!$AK7:$CA7))), "")</f>
        <v>0</v>
      </c>
      <c r="P7" s="1008">
        <f t="array" ref="P7">IF($A7&lt;&gt;"", SUM(('Overall savings and benefits'!$BT$19:$BT$61=1)*'Overall savings and benefits'!N$19:N$61*(TRANSPOSE('Savings and benefits to bearers'!$AK7:$CA7))), "")</f>
        <v>0</v>
      </c>
      <c r="Q7" s="1008">
        <f t="array" ref="Q7">IF($A7&lt;&gt;"", SUM(('Overall savings and benefits'!$BT$19:$BT$61=1)*'Overall savings and benefits'!O$19:O$61*(TRANSPOSE('Savings and benefits to bearers'!$AK7:$CA7))), "")</f>
        <v>0</v>
      </c>
      <c r="R7" s="1008">
        <f t="array" ref="R7">IF($A7&lt;&gt;"", SUM(('Overall savings and benefits'!$BT$19:$BT$61=1)*'Overall savings and benefits'!P$19:P$61*(TRANSPOSE('Savings and benefits to bearers'!$AK7:$CA7))), "")</f>
        <v>0</v>
      </c>
      <c r="S7" s="1008">
        <f t="array" ref="S7">IF($A7&lt;&gt;"", SUM(('Overall savings and benefits'!$BT$19:$BT$61=1)*'Overall savings and benefits'!Q$19:Q$61*(TRANSPOSE('Savings and benefits to bearers'!$AK7:$CA7))), "")</f>
        <v>0</v>
      </c>
      <c r="T7" s="1008">
        <f t="array" ref="T7">IF($A7&lt;&gt;"", SUM(('Overall savings and benefits'!$BT$19:$BT$61=1)*'Overall savings and benefits'!R$19:R$61*(TRANSPOSE('Savings and benefits to bearers'!$AK7:$CA7))), "")</f>
        <v>0</v>
      </c>
      <c r="U7" s="1008">
        <f t="array" ref="U7">IF($A7&lt;&gt;"", SUM(('Overall savings and benefits'!$BT$19:$BT$61=1)*'Overall savings and benefits'!S$19:S$61*(TRANSPOSE('Savings and benefits to bearers'!$AK7:$CA7))), "")</f>
        <v>0</v>
      </c>
      <c r="V7" s="1008">
        <f t="array" ref="V7">IF($A7&lt;&gt;"", SUM(('Overall savings and benefits'!$BT$19:$BT$61=1)*'Overall savings and benefits'!T$19:T$61*(TRANSPOSE('Savings and benefits to bearers'!$AK7:$CA7))), "")</f>
        <v>0</v>
      </c>
      <c r="W7" s="1008">
        <f t="array" ref="W7">IF($A7&lt;&gt;"", SUM(('Overall savings and benefits'!$BT$19:$BT$61=1)*'Overall savings and benefits'!U$19:U$61*(TRANSPOSE('Savings and benefits to bearers'!$AK7:$CA7))), "")</f>
        <v>0</v>
      </c>
      <c r="X7" s="1008">
        <f t="array" ref="X7">IF($A7&lt;&gt;"", SUM(('Overall savings and benefits'!$BT$19:$BT$61=1)*'Overall savings and benefits'!V$19:V$61*(TRANSPOSE('Savings and benefits to bearers'!$AK7:$CA7))), "")</f>
        <v>0</v>
      </c>
      <c r="Y7" s="1008">
        <f t="array" ref="Y7">IF($A7&lt;&gt;"", SUM(('Overall savings and benefits'!$BT$19:$BT$61=1)*'Overall savings and benefits'!W$19:W$61*(TRANSPOSE('Savings and benefits to bearers'!$AK7:$CA7))), "")</f>
        <v>0</v>
      </c>
      <c r="Z7" s="1008">
        <f t="array" ref="Z7">IF($A7&lt;&gt;"", SUM(('Overall savings and benefits'!$BT$19:$BT$61=1)*'Overall savings and benefits'!X$19:X$61*(TRANSPOSE('Savings and benefits to bearers'!$AK7:$CA7))), "")</f>
        <v>0</v>
      </c>
      <c r="AA7" s="1008">
        <f t="array" ref="AA7">IF($A7&lt;&gt;"", SUM(('Overall savings and benefits'!$BT$19:$BT$61=1)*'Overall savings and benefits'!Y$19:Y$61*(TRANSPOSE('Savings and benefits to bearers'!$AK7:$CA7))), "")</f>
        <v>0</v>
      </c>
      <c r="AB7" s="1008">
        <f t="array" ref="AB7">IF($A7&lt;&gt;"", SUM(('Overall savings and benefits'!$BT$19:$BT$61=1)*'Overall savings and benefits'!Z$19:Z$61*(TRANSPOSE('Savings and benefits to bearers'!$AK7:$CA7))), "")</f>
        <v>0</v>
      </c>
      <c r="AC7" s="1009">
        <f t="array" ref="AC7">IF($A7&lt;&gt;"", (SUM( IF(ISERROR(D7:AB7),"", D7:AB7))), "")</f>
        <v>0</v>
      </c>
      <c r="AD7" s="1010">
        <f t="shared" si="0"/>
        <v>0</v>
      </c>
      <c r="AG7" s="472">
        <f>IF((13-COUNTIF('Bearer list'!$E$4:$E$16,""))&gt;AG6,AG6+1,"")</f>
        <v>4</v>
      </c>
      <c r="AH7" s="529">
        <v>4</v>
      </c>
      <c r="AI7" s="613" t="str">
        <f>IF(AG7&lt;&gt;"",INDEX('Bearer list'!$D$4:$D$16,AG7),"")</f>
        <v>Victim</v>
      </c>
      <c r="AJ7" s="608"/>
      <c r="AK7" s="609">
        <f t="shared" si="1"/>
        <v>0</v>
      </c>
      <c r="AL7" s="609">
        <f t="shared" si="2"/>
        <v>0</v>
      </c>
      <c r="AM7" s="609">
        <f t="shared" si="3"/>
        <v>0</v>
      </c>
      <c r="AN7" s="609">
        <f t="shared" si="4"/>
        <v>0</v>
      </c>
      <c r="AO7" s="609">
        <f t="shared" si="5"/>
        <v>0</v>
      </c>
      <c r="AP7" s="609">
        <f t="shared" si="6"/>
        <v>0</v>
      </c>
      <c r="AQ7" s="609">
        <f t="shared" si="7"/>
        <v>0</v>
      </c>
      <c r="AR7" s="609">
        <f t="shared" si="8"/>
        <v>0</v>
      </c>
      <c r="AS7" s="609">
        <f t="shared" si="9"/>
        <v>0</v>
      </c>
      <c r="AT7" s="609">
        <f t="shared" si="10"/>
        <v>0</v>
      </c>
      <c r="AU7" s="609">
        <f t="shared" si="11"/>
        <v>0</v>
      </c>
      <c r="AV7" s="609">
        <f t="shared" si="12"/>
        <v>0</v>
      </c>
      <c r="AW7" s="609">
        <f t="shared" si="13"/>
        <v>0</v>
      </c>
      <c r="AX7" s="610">
        <f t="shared" si="36"/>
        <v>0</v>
      </c>
      <c r="BA7" s="611">
        <f t="shared" si="14"/>
        <v>0</v>
      </c>
      <c r="BB7" s="609">
        <f t="shared" si="15"/>
        <v>0</v>
      </c>
      <c r="BC7" s="609">
        <f t="shared" si="37"/>
        <v>0</v>
      </c>
      <c r="BD7" s="609">
        <f t="shared" si="16"/>
        <v>0</v>
      </c>
      <c r="BE7" s="609">
        <f t="shared" si="17"/>
        <v>0</v>
      </c>
      <c r="BF7" s="609">
        <f t="shared" si="18"/>
        <v>0</v>
      </c>
      <c r="BG7" s="610">
        <f t="shared" si="19"/>
        <v>0</v>
      </c>
      <c r="BJ7" s="611">
        <f t="shared" si="20"/>
        <v>0</v>
      </c>
      <c r="BK7" s="609">
        <f t="shared" si="21"/>
        <v>0</v>
      </c>
      <c r="BL7" s="609">
        <f t="shared" si="22"/>
        <v>0</v>
      </c>
      <c r="BM7" s="609">
        <f t="shared" si="23"/>
        <v>0</v>
      </c>
      <c r="BN7" s="609">
        <f t="shared" si="24"/>
        <v>0</v>
      </c>
      <c r="BO7" s="610">
        <f t="shared" si="25"/>
        <v>0</v>
      </c>
      <c r="BR7" s="611">
        <f t="shared" si="26"/>
        <v>0</v>
      </c>
      <c r="BS7" s="609">
        <f t="shared" si="27"/>
        <v>0</v>
      </c>
      <c r="BT7" s="609">
        <f t="shared" si="28"/>
        <v>0</v>
      </c>
      <c r="BU7" s="609">
        <f t="shared" si="29"/>
        <v>0</v>
      </c>
      <c r="BV7" s="609">
        <f t="shared" si="30"/>
        <v>0</v>
      </c>
      <c r="BW7" s="609">
        <f t="shared" si="31"/>
        <v>0</v>
      </c>
      <c r="BX7" s="609">
        <f t="shared" si="32"/>
        <v>0</v>
      </c>
      <c r="BY7" s="609">
        <f t="shared" si="33"/>
        <v>0</v>
      </c>
      <c r="BZ7" s="609">
        <f t="shared" si="34"/>
        <v>0</v>
      </c>
      <c r="CA7" s="610">
        <f t="shared" si="35"/>
        <v>0</v>
      </c>
    </row>
    <row r="8" spans="1:79">
      <c r="A8" s="612" t="str">
        <f>IF((13-COUNTIF('Bearer list'!$E$4:$E$16,""))&gt;A7,A7+1,"")</f>
        <v/>
      </c>
      <c r="B8" s="367">
        <v>5</v>
      </c>
      <c r="C8" s="604" t="str">
        <f>IF(A8&lt;&gt;"",INDEX('Bearer list'!$D$4:$D$16,A8),"")</f>
        <v/>
      </c>
      <c r="D8" s="605" t="str">
        <f t="array" ref="D8">IF($A8&lt;&gt;"", SUM(('Overall savings and benefits'!$BT$19:$BT$61=1)*'Overall savings and benefits'!B$19:B$61*(TRANSPOSE('Savings and benefits to bearers'!$AK8:$CA8))), "")</f>
        <v/>
      </c>
      <c r="E8" s="605" t="str">
        <f t="array" ref="E8">IF($A8&lt;&gt;"", SUM(('Overall savings and benefits'!$BT$19:$BT$61=1)*'Overall savings and benefits'!C$19:C$61*(TRANSPOSE('Savings and benefits to bearers'!$AK8:$CA8))), "")</f>
        <v/>
      </c>
      <c r="F8" s="605" t="str">
        <f t="array" ref="F8">IF($A8&lt;&gt;"", SUM(('Overall savings and benefits'!$BT$19:$BT$61=1)*'Overall savings and benefits'!D$19:D$61*(TRANSPOSE('Savings and benefits to bearers'!$AK8:$CA8))), "")</f>
        <v/>
      </c>
      <c r="G8" s="605" t="str">
        <f t="array" ref="G8">IF($A8&lt;&gt;"", SUM(('Overall savings and benefits'!$BT$19:$BT$61=1)*'Overall savings and benefits'!E$19:E$61*(TRANSPOSE('Savings and benefits to bearers'!$AK8:$CA8))), "")</f>
        <v/>
      </c>
      <c r="H8" s="605" t="str">
        <f t="array" ref="H8">IF($A8&lt;&gt;"", SUM(('Overall savings and benefits'!$BT$19:$BT$61=1)*'Overall savings and benefits'!F$19:F$61*(TRANSPOSE('Savings and benefits to bearers'!$AK8:$CA8))), "")</f>
        <v/>
      </c>
      <c r="I8" s="605" t="str">
        <f t="array" ref="I8">IF($A8&lt;&gt;"", SUM(('Overall savings and benefits'!$BT$19:$BT$61=1)*'Overall savings and benefits'!G$19:G$61*(TRANSPOSE('Savings and benefits to bearers'!$AK8:$CA8))), "")</f>
        <v/>
      </c>
      <c r="J8" s="605" t="str">
        <f t="array" ref="J8">IF($A8&lt;&gt;"", SUM(('Overall savings and benefits'!$BT$19:$BT$61=1)*'Overall savings and benefits'!H$19:H$61*(TRANSPOSE('Savings and benefits to bearers'!$AK8:$CA8))), "")</f>
        <v/>
      </c>
      <c r="K8" s="605" t="str">
        <f t="array" ref="K8">IF($A8&lt;&gt;"", SUM(('Overall savings and benefits'!$BT$19:$BT$61=1)*'Overall savings and benefits'!I$19:I$61*(TRANSPOSE('Savings and benefits to bearers'!$AK8:$CA8))), "")</f>
        <v/>
      </c>
      <c r="L8" s="605" t="str">
        <f t="array" ref="L8">IF($A8&lt;&gt;"", SUM(('Overall savings and benefits'!$BT$19:$BT$61=1)*'Overall savings and benefits'!J$19:J$61*(TRANSPOSE('Savings and benefits to bearers'!$AK8:$CA8))), "")</f>
        <v/>
      </c>
      <c r="M8" s="605" t="str">
        <f t="array" ref="M8">IF($A8&lt;&gt;"", SUM(('Overall savings and benefits'!$BT$19:$BT$61=1)*'Overall savings and benefits'!K$19:K$61*(TRANSPOSE('Savings and benefits to bearers'!$AK8:$CA8))), "")</f>
        <v/>
      </c>
      <c r="N8" s="605" t="str">
        <f t="array" ref="N8">IF($A8&lt;&gt;"", SUM(('Overall savings and benefits'!$BT$19:$BT$61=1)*'Overall savings and benefits'!L$19:L$61*(TRANSPOSE('Savings and benefits to bearers'!$AK8:$CA8))), "")</f>
        <v/>
      </c>
      <c r="O8" s="605" t="str">
        <f t="array" ref="O8">IF($A8&lt;&gt;"", SUM(('Overall savings and benefits'!$BT$19:$BT$61=1)*'Overall savings and benefits'!M$19:M$61*(TRANSPOSE('Savings and benefits to bearers'!$AK8:$CA8))), "")</f>
        <v/>
      </c>
      <c r="P8" s="605" t="str">
        <f t="array" ref="P8">IF($A8&lt;&gt;"", SUM(('Overall savings and benefits'!$BT$19:$BT$61=1)*'Overall savings and benefits'!N$19:N$61*(TRANSPOSE('Savings and benefits to bearers'!$AK8:$CA8))), "")</f>
        <v/>
      </c>
      <c r="Q8" s="605" t="str">
        <f t="array" ref="Q8">IF($A8&lt;&gt;"", SUM(('Overall savings and benefits'!$BT$19:$BT$61=1)*'Overall savings and benefits'!O$19:O$61*(TRANSPOSE('Savings and benefits to bearers'!$AK8:$CA8))), "")</f>
        <v/>
      </c>
      <c r="R8" s="605" t="str">
        <f t="array" ref="R8">IF($A8&lt;&gt;"", SUM(('Overall savings and benefits'!$BT$19:$BT$61=1)*'Overall savings and benefits'!P$19:P$61*(TRANSPOSE('Savings and benefits to bearers'!$AK8:$CA8))), "")</f>
        <v/>
      </c>
      <c r="S8" s="605" t="str">
        <f t="array" ref="S8">IF($A8&lt;&gt;"", SUM(('Overall savings and benefits'!$BT$19:$BT$61=1)*'Overall savings and benefits'!Q$19:Q$61*(TRANSPOSE('Savings and benefits to bearers'!$AK8:$CA8))), "")</f>
        <v/>
      </c>
      <c r="T8" s="605" t="str">
        <f t="array" ref="T8">IF($A8&lt;&gt;"", SUM(('Overall savings and benefits'!$BT$19:$BT$61=1)*'Overall savings and benefits'!R$19:R$61*(TRANSPOSE('Savings and benefits to bearers'!$AK8:$CA8))), "")</f>
        <v/>
      </c>
      <c r="U8" s="605" t="str">
        <f t="array" ref="U8">IF($A8&lt;&gt;"", SUM(('Overall savings and benefits'!$BT$19:$BT$61=1)*'Overall savings and benefits'!S$19:S$61*(TRANSPOSE('Savings and benefits to bearers'!$AK8:$CA8))), "")</f>
        <v/>
      </c>
      <c r="V8" s="605" t="str">
        <f t="array" ref="V8">IF($A8&lt;&gt;"", SUM(('Overall savings and benefits'!$BT$19:$BT$61=1)*'Overall savings and benefits'!T$19:T$61*(TRANSPOSE('Savings and benefits to bearers'!$AK8:$CA8))), "")</f>
        <v/>
      </c>
      <c r="W8" s="605" t="str">
        <f t="array" ref="W8">IF($A8&lt;&gt;"", SUM(('Overall savings and benefits'!$BT$19:$BT$61=1)*'Overall savings and benefits'!U$19:U$61*(TRANSPOSE('Savings and benefits to bearers'!$AK8:$CA8))), "")</f>
        <v/>
      </c>
      <c r="X8" s="605" t="str">
        <f t="array" ref="X8">IF($A8&lt;&gt;"", SUM(('Overall savings and benefits'!$BT$19:$BT$61=1)*'Overall savings and benefits'!V$19:V$61*(TRANSPOSE('Savings and benefits to bearers'!$AK8:$CA8))), "")</f>
        <v/>
      </c>
      <c r="Y8" s="605" t="str">
        <f t="array" ref="Y8">IF($A8&lt;&gt;"", SUM(('Overall savings and benefits'!$BT$19:$BT$61=1)*'Overall savings and benefits'!W$19:W$61*(TRANSPOSE('Savings and benefits to bearers'!$AK8:$CA8))), "")</f>
        <v/>
      </c>
      <c r="Z8" s="605" t="str">
        <f t="array" ref="Z8">IF($A8&lt;&gt;"", SUM(('Overall savings and benefits'!$BT$19:$BT$61=1)*'Overall savings and benefits'!X$19:X$61*(TRANSPOSE('Savings and benefits to bearers'!$AK8:$CA8))), "")</f>
        <v/>
      </c>
      <c r="AA8" s="605" t="str">
        <f t="array" ref="AA8">IF($A8&lt;&gt;"", SUM(('Overall savings and benefits'!$BT$19:$BT$61=1)*'Overall savings and benefits'!Y$19:Y$61*(TRANSPOSE('Savings and benefits to bearers'!$AK8:$CA8))), "")</f>
        <v/>
      </c>
      <c r="AB8" s="605" t="str">
        <f t="array" ref="AB8">IF($A8&lt;&gt;"", SUM(('Overall savings and benefits'!$BT$19:$BT$61=1)*'Overall savings and benefits'!Z$19:Z$61*(TRANSPOSE('Savings and benefits to bearers'!$AK8:$CA8))), "")</f>
        <v/>
      </c>
      <c r="AC8" s="1004" t="str">
        <f t="array" ref="AC8">IF($A8&lt;&gt;"", (SUM( IF(ISERROR(D8:AB8),"", D8:AB8))), "")</f>
        <v/>
      </c>
      <c r="AD8" s="1005" t="str">
        <f t="shared" si="0"/>
        <v/>
      </c>
      <c r="AG8" s="472" t="str">
        <f>IF((13-COUNTIF('Bearer list'!$E$4:$E$16,""))&gt;AG7,AG7+1,"")</f>
        <v/>
      </c>
      <c r="AH8" s="529">
        <v>5</v>
      </c>
      <c r="AI8" s="613" t="str">
        <f>IF(AG8&lt;&gt;"",INDEX('Bearer list'!$D$4:$D$16,AG8),"")</f>
        <v/>
      </c>
      <c r="AJ8" s="608"/>
      <c r="AK8" s="609" t="str">
        <f t="shared" si="1"/>
        <v/>
      </c>
      <c r="AL8" s="609" t="str">
        <f t="shared" si="2"/>
        <v/>
      </c>
      <c r="AM8" s="609" t="str">
        <f t="shared" si="3"/>
        <v/>
      </c>
      <c r="AN8" s="609" t="str">
        <f t="shared" si="4"/>
        <v/>
      </c>
      <c r="AO8" s="609" t="str">
        <f t="shared" si="5"/>
        <v/>
      </c>
      <c r="AP8" s="609" t="str">
        <f t="shared" si="6"/>
        <v/>
      </c>
      <c r="AQ8" s="609" t="str">
        <f t="shared" si="7"/>
        <v/>
      </c>
      <c r="AR8" s="609" t="str">
        <f t="shared" si="8"/>
        <v/>
      </c>
      <c r="AS8" s="609" t="str">
        <f t="shared" si="9"/>
        <v/>
      </c>
      <c r="AT8" s="609" t="str">
        <f t="shared" si="10"/>
        <v/>
      </c>
      <c r="AU8" s="609" t="str">
        <f t="shared" si="11"/>
        <v/>
      </c>
      <c r="AV8" s="609" t="str">
        <f t="shared" si="12"/>
        <v/>
      </c>
      <c r="AW8" s="609" t="str">
        <f t="shared" si="13"/>
        <v/>
      </c>
      <c r="AX8" s="610" t="str">
        <f t="shared" si="36"/>
        <v/>
      </c>
      <c r="BA8" s="611" t="str">
        <f t="shared" si="14"/>
        <v/>
      </c>
      <c r="BB8" s="609" t="str">
        <f t="shared" si="15"/>
        <v/>
      </c>
      <c r="BC8" s="609" t="str">
        <f t="shared" ref="BC8:BC16" si="38">IF($AG8&lt;&gt;"", SUMIF(BR$52:BR$58, $AI8, BS$52:BS$58), "")</f>
        <v/>
      </c>
      <c r="BD8" s="609" t="str">
        <f t="shared" si="16"/>
        <v/>
      </c>
      <c r="BE8" s="609" t="str">
        <f t="shared" si="17"/>
        <v/>
      </c>
      <c r="BF8" s="609" t="str">
        <f t="shared" si="18"/>
        <v/>
      </c>
      <c r="BG8" s="610" t="str">
        <f t="shared" si="19"/>
        <v/>
      </c>
      <c r="BJ8" s="611" t="str">
        <f t="shared" si="20"/>
        <v/>
      </c>
      <c r="BK8" s="609" t="str">
        <f t="shared" si="21"/>
        <v/>
      </c>
      <c r="BL8" s="609" t="str">
        <f t="shared" si="22"/>
        <v/>
      </c>
      <c r="BM8" s="609" t="str">
        <f t="shared" si="23"/>
        <v/>
      </c>
      <c r="BN8" s="609" t="str">
        <f t="shared" si="24"/>
        <v/>
      </c>
      <c r="BO8" s="610" t="str">
        <f t="shared" si="25"/>
        <v/>
      </c>
      <c r="BR8" s="611" t="str">
        <f t="shared" si="26"/>
        <v/>
      </c>
      <c r="BS8" s="609" t="str">
        <f t="shared" si="27"/>
        <v/>
      </c>
      <c r="BT8" s="609" t="str">
        <f t="shared" si="28"/>
        <v/>
      </c>
      <c r="BU8" s="609" t="str">
        <f t="shared" si="29"/>
        <v/>
      </c>
      <c r="BV8" s="609" t="str">
        <f t="shared" si="30"/>
        <v/>
      </c>
      <c r="BW8" s="609" t="str">
        <f t="shared" si="31"/>
        <v/>
      </c>
      <c r="BX8" s="609" t="str">
        <f t="shared" si="32"/>
        <v/>
      </c>
      <c r="BY8" s="609" t="str">
        <f t="shared" si="33"/>
        <v/>
      </c>
      <c r="BZ8" s="609" t="str">
        <f t="shared" si="34"/>
        <v/>
      </c>
      <c r="CA8" s="610" t="str">
        <f t="shared" si="35"/>
        <v/>
      </c>
    </row>
    <row r="9" spans="1:79">
      <c r="A9" s="612" t="str">
        <f>IF((13-COUNTIF('Bearer list'!$E$4:$E$16,""))&gt;A8,A8+1,"")</f>
        <v/>
      </c>
      <c r="B9" s="367">
        <v>6</v>
      </c>
      <c r="C9" s="604" t="str">
        <f>IF(A9&lt;&gt;"",INDEX('Bearer list'!$D$4:$D$16,A9),"")</f>
        <v/>
      </c>
      <c r="D9" s="605" t="str">
        <f t="array" ref="D9">IF($A9&lt;&gt;"", SUM(('Overall savings and benefits'!$BT$19:$BT$61=1)*'Overall savings and benefits'!B$19:B$61*(TRANSPOSE('Savings and benefits to bearers'!$AK9:$CA9))), "")</f>
        <v/>
      </c>
      <c r="E9" s="605" t="str">
        <f t="array" ref="E9">IF($A9&lt;&gt;"", SUM(('Overall savings and benefits'!$BT$19:$BT$61=1)*'Overall savings and benefits'!C$19:C$61*(TRANSPOSE('Savings and benefits to bearers'!$AK9:$CA9))), "")</f>
        <v/>
      </c>
      <c r="F9" s="605" t="str">
        <f t="array" ref="F9">IF($A9&lt;&gt;"", SUM(('Overall savings and benefits'!$BT$19:$BT$61=1)*'Overall savings and benefits'!D$19:D$61*(TRANSPOSE('Savings and benefits to bearers'!$AK9:$CA9))), "")</f>
        <v/>
      </c>
      <c r="G9" s="605" t="str">
        <f t="array" ref="G9">IF($A9&lt;&gt;"", SUM(('Overall savings and benefits'!$BT$19:$BT$61=1)*'Overall savings and benefits'!E$19:E$61*(TRANSPOSE('Savings and benefits to bearers'!$AK9:$CA9))), "")</f>
        <v/>
      </c>
      <c r="H9" s="605" t="str">
        <f t="array" ref="H9">IF($A9&lt;&gt;"", SUM(('Overall savings and benefits'!$BT$19:$BT$61=1)*'Overall savings and benefits'!F$19:F$61*(TRANSPOSE('Savings and benefits to bearers'!$AK9:$CA9))), "")</f>
        <v/>
      </c>
      <c r="I9" s="605" t="str">
        <f t="array" ref="I9">IF($A9&lt;&gt;"", SUM(('Overall savings and benefits'!$BT$19:$BT$61=1)*'Overall savings and benefits'!G$19:G$61*(TRANSPOSE('Savings and benefits to bearers'!$AK9:$CA9))), "")</f>
        <v/>
      </c>
      <c r="J9" s="605" t="str">
        <f t="array" ref="J9">IF($A9&lt;&gt;"", SUM(('Overall savings and benefits'!$BT$19:$BT$61=1)*'Overall savings and benefits'!H$19:H$61*(TRANSPOSE('Savings and benefits to bearers'!$AK9:$CA9))), "")</f>
        <v/>
      </c>
      <c r="K9" s="605" t="str">
        <f t="array" ref="K9">IF($A9&lt;&gt;"", SUM(('Overall savings and benefits'!$BT$19:$BT$61=1)*'Overall savings and benefits'!I$19:I$61*(TRANSPOSE('Savings and benefits to bearers'!$AK9:$CA9))), "")</f>
        <v/>
      </c>
      <c r="L9" s="605" t="str">
        <f t="array" ref="L9">IF($A9&lt;&gt;"", SUM(('Overall savings and benefits'!$BT$19:$BT$61=1)*'Overall savings and benefits'!J$19:J$61*(TRANSPOSE('Savings and benefits to bearers'!$AK9:$CA9))), "")</f>
        <v/>
      </c>
      <c r="M9" s="605" t="str">
        <f t="array" ref="M9">IF($A9&lt;&gt;"", SUM(('Overall savings and benefits'!$BT$19:$BT$61=1)*'Overall savings and benefits'!K$19:K$61*(TRANSPOSE('Savings and benefits to bearers'!$AK9:$CA9))), "")</f>
        <v/>
      </c>
      <c r="N9" s="605" t="str">
        <f t="array" ref="N9">IF($A9&lt;&gt;"", SUM(('Overall savings and benefits'!$BT$19:$BT$61=1)*'Overall savings and benefits'!L$19:L$61*(TRANSPOSE('Savings and benefits to bearers'!$AK9:$CA9))), "")</f>
        <v/>
      </c>
      <c r="O9" s="605" t="str">
        <f t="array" ref="O9">IF($A9&lt;&gt;"", SUM(('Overall savings and benefits'!$BT$19:$BT$61=1)*'Overall savings and benefits'!M$19:M$61*(TRANSPOSE('Savings and benefits to bearers'!$AK9:$CA9))), "")</f>
        <v/>
      </c>
      <c r="P9" s="605" t="str">
        <f t="array" ref="P9">IF($A9&lt;&gt;"", SUM(('Overall savings and benefits'!$BT$19:$BT$61=1)*'Overall savings and benefits'!N$19:N$61*(TRANSPOSE('Savings and benefits to bearers'!$AK9:$CA9))), "")</f>
        <v/>
      </c>
      <c r="Q9" s="605" t="str">
        <f t="array" ref="Q9">IF($A9&lt;&gt;"", SUM(('Overall savings and benefits'!$BT$19:$BT$61=1)*'Overall savings and benefits'!O$19:O$61*(TRANSPOSE('Savings and benefits to bearers'!$AK9:$CA9))), "")</f>
        <v/>
      </c>
      <c r="R9" s="605" t="str">
        <f t="array" ref="R9">IF($A9&lt;&gt;"", SUM(('Overall savings and benefits'!$BT$19:$BT$61=1)*'Overall savings and benefits'!P$19:P$61*(TRANSPOSE('Savings and benefits to bearers'!$AK9:$CA9))), "")</f>
        <v/>
      </c>
      <c r="S9" s="605" t="str">
        <f t="array" ref="S9">IF($A9&lt;&gt;"", SUM(('Overall savings and benefits'!$BT$19:$BT$61=1)*'Overall savings and benefits'!Q$19:Q$61*(TRANSPOSE('Savings and benefits to bearers'!$AK9:$CA9))), "")</f>
        <v/>
      </c>
      <c r="T9" s="605" t="str">
        <f t="array" ref="T9">IF($A9&lt;&gt;"", SUM(('Overall savings and benefits'!$BT$19:$BT$61=1)*'Overall savings and benefits'!R$19:R$61*(TRANSPOSE('Savings and benefits to bearers'!$AK9:$CA9))), "")</f>
        <v/>
      </c>
      <c r="U9" s="605" t="str">
        <f t="array" ref="U9">IF($A9&lt;&gt;"", SUM(('Overall savings and benefits'!$BT$19:$BT$61=1)*'Overall savings and benefits'!S$19:S$61*(TRANSPOSE('Savings and benefits to bearers'!$AK9:$CA9))), "")</f>
        <v/>
      </c>
      <c r="V9" s="605" t="str">
        <f t="array" ref="V9">IF($A9&lt;&gt;"", SUM(('Overall savings and benefits'!$BT$19:$BT$61=1)*'Overall savings and benefits'!T$19:T$61*(TRANSPOSE('Savings and benefits to bearers'!$AK9:$CA9))), "")</f>
        <v/>
      </c>
      <c r="W9" s="605" t="str">
        <f t="array" ref="W9">IF($A9&lt;&gt;"", SUM(('Overall savings and benefits'!$BT$19:$BT$61=1)*'Overall savings and benefits'!U$19:U$61*(TRANSPOSE('Savings and benefits to bearers'!$AK9:$CA9))), "")</f>
        <v/>
      </c>
      <c r="X9" s="605" t="str">
        <f t="array" ref="X9">IF($A9&lt;&gt;"", SUM(('Overall savings and benefits'!$BT$19:$BT$61=1)*'Overall savings and benefits'!V$19:V$61*(TRANSPOSE('Savings and benefits to bearers'!$AK9:$CA9))), "")</f>
        <v/>
      </c>
      <c r="Y9" s="605" t="str">
        <f t="array" ref="Y9">IF($A9&lt;&gt;"", SUM(('Overall savings and benefits'!$BT$19:$BT$61=1)*'Overall savings and benefits'!W$19:W$61*(TRANSPOSE('Savings and benefits to bearers'!$AK9:$CA9))), "")</f>
        <v/>
      </c>
      <c r="Z9" s="605" t="str">
        <f t="array" ref="Z9">IF($A9&lt;&gt;"", SUM(('Overall savings and benefits'!$BT$19:$BT$61=1)*'Overall savings and benefits'!X$19:X$61*(TRANSPOSE('Savings and benefits to bearers'!$AK9:$CA9))), "")</f>
        <v/>
      </c>
      <c r="AA9" s="605" t="str">
        <f t="array" ref="AA9">IF($A9&lt;&gt;"", SUM(('Overall savings and benefits'!$BT$19:$BT$61=1)*'Overall savings and benefits'!Y$19:Y$61*(TRANSPOSE('Savings and benefits to bearers'!$AK9:$CA9))), "")</f>
        <v/>
      </c>
      <c r="AB9" s="605" t="str">
        <f t="array" ref="AB9">IF($A9&lt;&gt;"", SUM(('Overall savings and benefits'!$BT$19:$BT$61=1)*'Overall savings and benefits'!Z$19:Z$61*(TRANSPOSE('Savings and benefits to bearers'!$AK9:$CA9))), "")</f>
        <v/>
      </c>
      <c r="AC9" s="1004" t="str">
        <f t="array" ref="AC9">IF($A9&lt;&gt;"", (SUM( IF(ISERROR(D9:AB9),"", D9:AB9))), "")</f>
        <v/>
      </c>
      <c r="AD9" s="1005" t="str">
        <f t="shared" si="0"/>
        <v/>
      </c>
      <c r="AG9" s="472" t="str">
        <f>IF((13-COUNTIF('Bearer list'!$E$4:$E$16,""))&gt;AG8,AG8+1,"")</f>
        <v/>
      </c>
      <c r="AH9" s="529">
        <v>6</v>
      </c>
      <c r="AI9" s="613" t="str">
        <f>IF(AG9&lt;&gt;"",INDEX('Bearer list'!$D$4:$D$16,AG9),"")</f>
        <v/>
      </c>
      <c r="AJ9" s="608"/>
      <c r="AK9" s="609" t="str">
        <f t="shared" si="1"/>
        <v/>
      </c>
      <c r="AL9" s="609" t="str">
        <f t="shared" si="2"/>
        <v/>
      </c>
      <c r="AM9" s="609" t="str">
        <f t="shared" si="3"/>
        <v/>
      </c>
      <c r="AN9" s="609" t="str">
        <f t="shared" si="4"/>
        <v/>
      </c>
      <c r="AO9" s="609" t="str">
        <f t="shared" si="5"/>
        <v/>
      </c>
      <c r="AP9" s="609" t="str">
        <f t="shared" si="6"/>
        <v/>
      </c>
      <c r="AQ9" s="609" t="str">
        <f t="shared" si="7"/>
        <v/>
      </c>
      <c r="AR9" s="609" t="str">
        <f t="shared" si="8"/>
        <v/>
      </c>
      <c r="AS9" s="609" t="str">
        <f t="shared" si="9"/>
        <v/>
      </c>
      <c r="AT9" s="609" t="str">
        <f t="shared" si="10"/>
        <v/>
      </c>
      <c r="AU9" s="609" t="str">
        <f t="shared" si="11"/>
        <v/>
      </c>
      <c r="AV9" s="609" t="str">
        <f t="shared" si="12"/>
        <v/>
      </c>
      <c r="AW9" s="609" t="str">
        <f t="shared" si="13"/>
        <v/>
      </c>
      <c r="AX9" s="610" t="str">
        <f t="shared" si="36"/>
        <v/>
      </c>
      <c r="BA9" s="611" t="str">
        <f t="shared" si="14"/>
        <v/>
      </c>
      <c r="BB9" s="609" t="str">
        <f t="shared" si="15"/>
        <v/>
      </c>
      <c r="BC9" s="609" t="str">
        <f t="shared" si="38"/>
        <v/>
      </c>
      <c r="BD9" s="609" t="str">
        <f t="shared" si="16"/>
        <v/>
      </c>
      <c r="BE9" s="609" t="str">
        <f t="shared" si="17"/>
        <v/>
      </c>
      <c r="BF9" s="609" t="str">
        <f t="shared" si="18"/>
        <v/>
      </c>
      <c r="BG9" s="610" t="str">
        <f t="shared" si="19"/>
        <v/>
      </c>
      <c r="BJ9" s="611" t="str">
        <f t="shared" si="20"/>
        <v/>
      </c>
      <c r="BK9" s="609" t="str">
        <f t="shared" si="21"/>
        <v/>
      </c>
      <c r="BL9" s="609" t="str">
        <f t="shared" si="22"/>
        <v/>
      </c>
      <c r="BM9" s="609" t="str">
        <f t="shared" si="23"/>
        <v/>
      </c>
      <c r="BN9" s="609" t="str">
        <f t="shared" si="24"/>
        <v/>
      </c>
      <c r="BO9" s="610" t="str">
        <f t="shared" si="25"/>
        <v/>
      </c>
      <c r="BR9" s="611" t="str">
        <f t="shared" si="26"/>
        <v/>
      </c>
      <c r="BS9" s="609" t="str">
        <f t="shared" si="27"/>
        <v/>
      </c>
      <c r="BT9" s="609" t="str">
        <f t="shared" si="28"/>
        <v/>
      </c>
      <c r="BU9" s="609" t="str">
        <f t="shared" si="29"/>
        <v/>
      </c>
      <c r="BV9" s="609" t="str">
        <f t="shared" si="30"/>
        <v/>
      </c>
      <c r="BW9" s="609" t="str">
        <f t="shared" si="31"/>
        <v/>
      </c>
      <c r="BX9" s="609" t="str">
        <f t="shared" si="32"/>
        <v/>
      </c>
      <c r="BY9" s="609" t="str">
        <f t="shared" si="33"/>
        <v/>
      </c>
      <c r="BZ9" s="609" t="str">
        <f t="shared" si="34"/>
        <v/>
      </c>
      <c r="CA9" s="610" t="str">
        <f t="shared" si="35"/>
        <v/>
      </c>
    </row>
    <row r="10" spans="1:79">
      <c r="A10" s="612" t="str">
        <f>IF((13-COUNTIF('Bearer list'!$E$4:$E$16,""))&gt;A9,A9+1,"")</f>
        <v/>
      </c>
      <c r="B10" s="367">
        <v>7</v>
      </c>
      <c r="C10" s="604" t="str">
        <f>IF(A10&lt;&gt;"",INDEX('Bearer list'!$D$4:$D$16,A10),"")</f>
        <v/>
      </c>
      <c r="D10" s="605" t="str">
        <f t="array" ref="D10">IF($A10&lt;&gt;"", SUM(('Overall savings and benefits'!$BT$19:$BT$61=1)*'Overall savings and benefits'!B$19:B$61*(TRANSPOSE('Savings and benefits to bearers'!$AK10:$CA10))), "")</f>
        <v/>
      </c>
      <c r="E10" s="605" t="str">
        <f t="array" ref="E10">IF($A10&lt;&gt;"", SUM(('Overall savings and benefits'!$BT$19:$BT$61=1)*'Overall savings and benefits'!C$19:C$61*(TRANSPOSE('Savings and benefits to bearers'!$AK10:$CA10))), "")</f>
        <v/>
      </c>
      <c r="F10" s="605" t="str">
        <f t="array" ref="F10">IF($A10&lt;&gt;"", SUM(('Overall savings and benefits'!$BT$19:$BT$61=1)*'Overall savings and benefits'!D$19:D$61*(TRANSPOSE('Savings and benefits to bearers'!$AK10:$CA10))), "")</f>
        <v/>
      </c>
      <c r="G10" s="605" t="str">
        <f t="array" ref="G10">IF($A10&lt;&gt;"", SUM(('Overall savings and benefits'!$BT$19:$BT$61=1)*'Overall savings and benefits'!E$19:E$61*(TRANSPOSE('Savings and benefits to bearers'!$AK10:$CA10))), "")</f>
        <v/>
      </c>
      <c r="H10" s="605" t="str">
        <f t="array" ref="H10">IF($A10&lt;&gt;"", SUM(('Overall savings and benefits'!$BT$19:$BT$61=1)*'Overall savings and benefits'!F$19:F$61*(TRANSPOSE('Savings and benefits to bearers'!$AK10:$CA10))), "")</f>
        <v/>
      </c>
      <c r="I10" s="605" t="str">
        <f t="array" ref="I10">IF($A10&lt;&gt;"", SUM(('Overall savings and benefits'!$BT$19:$BT$61=1)*'Overall savings and benefits'!G$19:G$61*(TRANSPOSE('Savings and benefits to bearers'!$AK10:$CA10))), "")</f>
        <v/>
      </c>
      <c r="J10" s="605" t="str">
        <f t="array" ref="J10">IF($A10&lt;&gt;"", SUM(('Overall savings and benefits'!$BT$19:$BT$61=1)*'Overall savings and benefits'!H$19:H$61*(TRANSPOSE('Savings and benefits to bearers'!$AK10:$CA10))), "")</f>
        <v/>
      </c>
      <c r="K10" s="605" t="str">
        <f t="array" ref="K10">IF($A10&lt;&gt;"", SUM(('Overall savings and benefits'!$BT$19:$BT$61=1)*'Overall savings and benefits'!I$19:I$61*(TRANSPOSE('Savings and benefits to bearers'!$AK10:$CA10))), "")</f>
        <v/>
      </c>
      <c r="L10" s="605" t="str">
        <f t="array" ref="L10">IF($A10&lt;&gt;"", SUM(('Overall savings and benefits'!$BT$19:$BT$61=1)*'Overall savings and benefits'!J$19:J$61*(TRANSPOSE('Savings and benefits to bearers'!$AK10:$CA10))), "")</f>
        <v/>
      </c>
      <c r="M10" s="605" t="str">
        <f t="array" ref="M10">IF($A10&lt;&gt;"", SUM(('Overall savings and benefits'!$BT$19:$BT$61=1)*'Overall savings and benefits'!K$19:K$61*(TRANSPOSE('Savings and benefits to bearers'!$AK10:$CA10))), "")</f>
        <v/>
      </c>
      <c r="N10" s="605" t="str">
        <f t="array" ref="N10">IF($A10&lt;&gt;"", SUM(('Overall savings and benefits'!$BT$19:$BT$61=1)*'Overall savings and benefits'!L$19:L$61*(TRANSPOSE('Savings and benefits to bearers'!$AK10:$CA10))), "")</f>
        <v/>
      </c>
      <c r="O10" s="605" t="str">
        <f t="array" ref="O10">IF($A10&lt;&gt;"", SUM(('Overall savings and benefits'!$BT$19:$BT$61=1)*'Overall savings and benefits'!M$19:M$61*(TRANSPOSE('Savings and benefits to bearers'!$AK10:$CA10))), "")</f>
        <v/>
      </c>
      <c r="P10" s="605" t="str">
        <f t="array" ref="P10">IF($A10&lt;&gt;"", SUM(('Overall savings and benefits'!$BT$19:$BT$61=1)*'Overall savings and benefits'!N$19:N$61*(TRANSPOSE('Savings and benefits to bearers'!$AK10:$CA10))), "")</f>
        <v/>
      </c>
      <c r="Q10" s="605" t="str">
        <f t="array" ref="Q10">IF($A10&lt;&gt;"", SUM(('Overall savings and benefits'!$BT$19:$BT$61=1)*'Overall savings and benefits'!O$19:O$61*(TRANSPOSE('Savings and benefits to bearers'!$AK10:$CA10))), "")</f>
        <v/>
      </c>
      <c r="R10" s="605" t="str">
        <f t="array" ref="R10">IF($A10&lt;&gt;"", SUM(('Overall savings and benefits'!$BT$19:$BT$61=1)*'Overall savings and benefits'!P$19:P$61*(TRANSPOSE('Savings and benefits to bearers'!$AK10:$CA10))), "")</f>
        <v/>
      </c>
      <c r="S10" s="605" t="str">
        <f t="array" ref="S10">IF($A10&lt;&gt;"", SUM(('Overall savings and benefits'!$BT$19:$BT$61=1)*'Overall savings and benefits'!Q$19:Q$61*(TRANSPOSE('Savings and benefits to bearers'!$AK10:$CA10))), "")</f>
        <v/>
      </c>
      <c r="T10" s="605" t="str">
        <f t="array" ref="T10">IF($A10&lt;&gt;"", SUM(('Overall savings and benefits'!$BT$19:$BT$61=1)*'Overall savings and benefits'!R$19:R$61*(TRANSPOSE('Savings and benefits to bearers'!$AK10:$CA10))), "")</f>
        <v/>
      </c>
      <c r="U10" s="605" t="str">
        <f t="array" ref="U10">IF($A10&lt;&gt;"", SUM(('Overall savings and benefits'!$BT$19:$BT$61=1)*'Overall savings and benefits'!S$19:S$61*(TRANSPOSE('Savings and benefits to bearers'!$AK10:$CA10))), "")</f>
        <v/>
      </c>
      <c r="V10" s="605" t="str">
        <f t="array" ref="V10">IF($A10&lt;&gt;"", SUM(('Overall savings and benefits'!$BT$19:$BT$61=1)*'Overall savings and benefits'!T$19:T$61*(TRANSPOSE('Savings and benefits to bearers'!$AK10:$CA10))), "")</f>
        <v/>
      </c>
      <c r="W10" s="605" t="str">
        <f t="array" ref="W10">IF($A10&lt;&gt;"", SUM(('Overall savings and benefits'!$BT$19:$BT$61=1)*'Overall savings and benefits'!U$19:U$61*(TRANSPOSE('Savings and benefits to bearers'!$AK10:$CA10))), "")</f>
        <v/>
      </c>
      <c r="X10" s="605" t="str">
        <f t="array" ref="X10">IF($A10&lt;&gt;"", SUM(('Overall savings and benefits'!$BT$19:$BT$61=1)*'Overall savings and benefits'!V$19:V$61*(TRANSPOSE('Savings and benefits to bearers'!$AK10:$CA10))), "")</f>
        <v/>
      </c>
      <c r="Y10" s="605" t="str">
        <f t="array" ref="Y10">IF($A10&lt;&gt;"", SUM(('Overall savings and benefits'!$BT$19:$BT$61=1)*'Overall savings and benefits'!W$19:W$61*(TRANSPOSE('Savings and benefits to bearers'!$AK10:$CA10))), "")</f>
        <v/>
      </c>
      <c r="Z10" s="605" t="str">
        <f t="array" ref="Z10">IF($A10&lt;&gt;"", SUM(('Overall savings and benefits'!$BT$19:$BT$61=1)*'Overall savings and benefits'!X$19:X$61*(TRANSPOSE('Savings and benefits to bearers'!$AK10:$CA10))), "")</f>
        <v/>
      </c>
      <c r="AA10" s="605" t="str">
        <f t="array" ref="AA10">IF($A10&lt;&gt;"", SUM(('Overall savings and benefits'!$BT$19:$BT$61=1)*'Overall savings and benefits'!Y$19:Y$61*(TRANSPOSE('Savings and benefits to bearers'!$AK10:$CA10))), "")</f>
        <v/>
      </c>
      <c r="AB10" s="605" t="str">
        <f t="array" ref="AB10">IF($A10&lt;&gt;"", SUM(('Overall savings and benefits'!$BT$19:$BT$61=1)*'Overall savings and benefits'!Z$19:Z$61*(TRANSPOSE('Savings and benefits to bearers'!$AK10:$CA10))), "")</f>
        <v/>
      </c>
      <c r="AC10" s="1004" t="str">
        <f t="array" ref="AC10">IF($A10&lt;&gt;"", (SUM( IF(ISERROR(D10:AB10),"", D10:AB10))), "")</f>
        <v/>
      </c>
      <c r="AD10" s="1005" t="str">
        <f t="shared" si="0"/>
        <v/>
      </c>
      <c r="AG10" s="472" t="str">
        <f>IF((13-COUNTIF('Bearer list'!$E$4:$E$16,""))&gt;AG9,AG9+1,"")</f>
        <v/>
      </c>
      <c r="AH10" s="529">
        <v>7</v>
      </c>
      <c r="AI10" s="613" t="str">
        <f>IF(AG10&lt;&gt;"",INDEX('Bearer list'!$D$4:$D$16,AG10),"")</f>
        <v/>
      </c>
      <c r="AJ10" s="608"/>
      <c r="AK10" s="609" t="str">
        <f t="shared" si="1"/>
        <v/>
      </c>
      <c r="AL10" s="609" t="str">
        <f t="shared" si="2"/>
        <v/>
      </c>
      <c r="AM10" s="609" t="str">
        <f t="shared" si="3"/>
        <v/>
      </c>
      <c r="AN10" s="609" t="str">
        <f t="shared" si="4"/>
        <v/>
      </c>
      <c r="AO10" s="609" t="str">
        <f t="shared" si="5"/>
        <v/>
      </c>
      <c r="AP10" s="609" t="str">
        <f t="shared" si="6"/>
        <v/>
      </c>
      <c r="AQ10" s="609" t="str">
        <f t="shared" si="7"/>
        <v/>
      </c>
      <c r="AR10" s="609" t="str">
        <f t="shared" si="8"/>
        <v/>
      </c>
      <c r="AS10" s="609" t="str">
        <f t="shared" si="9"/>
        <v/>
      </c>
      <c r="AT10" s="609" t="str">
        <f t="shared" si="10"/>
        <v/>
      </c>
      <c r="AU10" s="609" t="str">
        <f t="shared" si="11"/>
        <v/>
      </c>
      <c r="AV10" s="609" t="str">
        <f t="shared" si="12"/>
        <v/>
      </c>
      <c r="AW10" s="609" t="str">
        <f t="shared" si="13"/>
        <v/>
      </c>
      <c r="AX10" s="610" t="str">
        <f t="shared" si="36"/>
        <v/>
      </c>
      <c r="BA10" s="611" t="str">
        <f t="shared" si="14"/>
        <v/>
      </c>
      <c r="BB10" s="609" t="str">
        <f t="shared" si="15"/>
        <v/>
      </c>
      <c r="BC10" s="609" t="str">
        <f t="shared" si="38"/>
        <v/>
      </c>
      <c r="BD10" s="609" t="str">
        <f t="shared" si="16"/>
        <v/>
      </c>
      <c r="BE10" s="609" t="str">
        <f t="shared" si="17"/>
        <v/>
      </c>
      <c r="BF10" s="609" t="str">
        <f t="shared" si="18"/>
        <v/>
      </c>
      <c r="BG10" s="610" t="str">
        <f t="shared" si="19"/>
        <v/>
      </c>
      <c r="BJ10" s="611" t="str">
        <f t="shared" si="20"/>
        <v/>
      </c>
      <c r="BK10" s="609" t="str">
        <f t="shared" si="21"/>
        <v/>
      </c>
      <c r="BL10" s="609" t="str">
        <f t="shared" si="22"/>
        <v/>
      </c>
      <c r="BM10" s="609" t="str">
        <f t="shared" si="23"/>
        <v/>
      </c>
      <c r="BN10" s="609" t="str">
        <f t="shared" si="24"/>
        <v/>
      </c>
      <c r="BO10" s="610" t="str">
        <f t="shared" si="25"/>
        <v/>
      </c>
      <c r="BR10" s="611" t="str">
        <f t="shared" si="26"/>
        <v/>
      </c>
      <c r="BS10" s="609" t="str">
        <f t="shared" si="27"/>
        <v/>
      </c>
      <c r="BT10" s="609" t="str">
        <f t="shared" si="28"/>
        <v/>
      </c>
      <c r="BU10" s="609" t="str">
        <f t="shared" si="29"/>
        <v/>
      </c>
      <c r="BV10" s="609" t="str">
        <f t="shared" si="30"/>
        <v/>
      </c>
      <c r="BW10" s="609" t="str">
        <f t="shared" si="31"/>
        <v/>
      </c>
      <c r="BX10" s="609" t="str">
        <f t="shared" si="32"/>
        <v/>
      </c>
      <c r="BY10" s="609" t="str">
        <f t="shared" si="33"/>
        <v/>
      </c>
      <c r="BZ10" s="609" t="str">
        <f t="shared" si="34"/>
        <v/>
      </c>
      <c r="CA10" s="610" t="str">
        <f t="shared" si="35"/>
        <v/>
      </c>
    </row>
    <row r="11" spans="1:79">
      <c r="A11" s="612" t="str">
        <f>IF((13-COUNTIF('Bearer list'!$E$4:$E$16,""))&gt;A10,A10+1,"")</f>
        <v/>
      </c>
      <c r="B11" s="367">
        <v>8</v>
      </c>
      <c r="C11" s="604" t="str">
        <f>IF(A11&lt;&gt;"",INDEX('Bearer list'!$D$4:$D$16,A11),"")</f>
        <v/>
      </c>
      <c r="D11" s="605" t="str">
        <f t="array" ref="D11">IF($A11&lt;&gt;"", SUM(('Overall savings and benefits'!$BT$19:$BT$61=1)*'Overall savings and benefits'!B$19:B$61*(TRANSPOSE('Savings and benefits to bearers'!$AK11:$CA11))), "")</f>
        <v/>
      </c>
      <c r="E11" s="605" t="str">
        <f t="array" ref="E11">IF($A11&lt;&gt;"", SUM(('Overall savings and benefits'!$BT$19:$BT$61=1)*'Overall savings and benefits'!C$19:C$61*(TRANSPOSE('Savings and benefits to bearers'!$AK11:$CA11))), "")</f>
        <v/>
      </c>
      <c r="F11" s="605" t="str">
        <f t="array" ref="F11">IF($A11&lt;&gt;"", SUM(('Overall savings and benefits'!$BT$19:$BT$61=1)*'Overall savings and benefits'!D$19:D$61*(TRANSPOSE('Savings and benefits to bearers'!$AK11:$CA11))), "")</f>
        <v/>
      </c>
      <c r="G11" s="605" t="str">
        <f t="array" ref="G11">IF($A11&lt;&gt;"", SUM(('Overall savings and benefits'!$BT$19:$BT$61=1)*'Overall savings and benefits'!E$19:E$61*(TRANSPOSE('Savings and benefits to bearers'!$AK11:$CA11))), "")</f>
        <v/>
      </c>
      <c r="H11" s="605" t="str">
        <f t="array" ref="H11">IF($A11&lt;&gt;"", SUM(('Overall savings and benefits'!$BT$19:$BT$61=1)*'Overall savings and benefits'!F$19:F$61*(TRANSPOSE('Savings and benefits to bearers'!$AK11:$CA11))), "")</f>
        <v/>
      </c>
      <c r="I11" s="605" t="str">
        <f t="array" ref="I11">IF($A11&lt;&gt;"", SUM(('Overall savings and benefits'!$BT$19:$BT$61=1)*'Overall savings and benefits'!G$19:G$61*(TRANSPOSE('Savings and benefits to bearers'!$AK11:$CA11))), "")</f>
        <v/>
      </c>
      <c r="J11" s="605" t="str">
        <f t="array" ref="J11">IF($A11&lt;&gt;"", SUM(('Overall savings and benefits'!$BT$19:$BT$61=1)*'Overall savings and benefits'!H$19:H$61*(TRANSPOSE('Savings and benefits to bearers'!$AK11:$CA11))), "")</f>
        <v/>
      </c>
      <c r="K11" s="605" t="str">
        <f t="array" ref="K11">IF($A11&lt;&gt;"", SUM(('Overall savings and benefits'!$BT$19:$BT$61=1)*'Overall savings and benefits'!I$19:I$61*(TRANSPOSE('Savings and benefits to bearers'!$AK11:$CA11))), "")</f>
        <v/>
      </c>
      <c r="L11" s="605" t="str">
        <f t="array" ref="L11">IF($A11&lt;&gt;"", SUM(('Overall savings and benefits'!$BT$19:$BT$61=1)*'Overall savings and benefits'!J$19:J$61*(TRANSPOSE('Savings and benefits to bearers'!$AK11:$CA11))), "")</f>
        <v/>
      </c>
      <c r="M11" s="605" t="str">
        <f t="array" ref="M11">IF($A11&lt;&gt;"", SUM(('Overall savings and benefits'!$BT$19:$BT$61=1)*'Overall savings and benefits'!K$19:K$61*(TRANSPOSE('Savings and benefits to bearers'!$AK11:$CA11))), "")</f>
        <v/>
      </c>
      <c r="N11" s="605" t="str">
        <f t="array" ref="N11">IF($A11&lt;&gt;"", SUM(('Overall savings and benefits'!$BT$19:$BT$61=1)*'Overall savings and benefits'!L$19:L$61*(TRANSPOSE('Savings and benefits to bearers'!$AK11:$CA11))), "")</f>
        <v/>
      </c>
      <c r="O11" s="605" t="str">
        <f t="array" ref="O11">IF($A11&lt;&gt;"", SUM(('Overall savings and benefits'!$BT$19:$BT$61=1)*'Overall savings and benefits'!M$19:M$61*(TRANSPOSE('Savings and benefits to bearers'!$AK11:$CA11))), "")</f>
        <v/>
      </c>
      <c r="P11" s="605" t="str">
        <f t="array" ref="P11">IF($A11&lt;&gt;"", SUM(('Overall savings and benefits'!$BT$19:$BT$61=1)*'Overall savings and benefits'!N$19:N$61*(TRANSPOSE('Savings and benefits to bearers'!$AK11:$CA11))), "")</f>
        <v/>
      </c>
      <c r="Q11" s="605" t="str">
        <f t="array" ref="Q11">IF($A11&lt;&gt;"", SUM(('Overall savings and benefits'!$BT$19:$BT$61=1)*'Overall savings and benefits'!O$19:O$61*(TRANSPOSE('Savings and benefits to bearers'!$AK11:$CA11))), "")</f>
        <v/>
      </c>
      <c r="R11" s="605" t="str">
        <f t="array" ref="R11">IF($A11&lt;&gt;"", SUM(('Overall savings and benefits'!$BT$19:$BT$61=1)*'Overall savings and benefits'!P$19:P$61*(TRANSPOSE('Savings and benefits to bearers'!$AK11:$CA11))), "")</f>
        <v/>
      </c>
      <c r="S11" s="605" t="str">
        <f t="array" ref="S11">IF($A11&lt;&gt;"", SUM(('Overall savings and benefits'!$BT$19:$BT$61=1)*'Overall savings and benefits'!Q$19:Q$61*(TRANSPOSE('Savings and benefits to bearers'!$AK11:$CA11))), "")</f>
        <v/>
      </c>
      <c r="T11" s="605" t="str">
        <f t="array" ref="T11">IF($A11&lt;&gt;"", SUM(('Overall savings and benefits'!$BT$19:$BT$61=1)*'Overall savings and benefits'!R$19:R$61*(TRANSPOSE('Savings and benefits to bearers'!$AK11:$CA11))), "")</f>
        <v/>
      </c>
      <c r="U11" s="605" t="str">
        <f t="array" ref="U11">IF($A11&lt;&gt;"", SUM(('Overall savings and benefits'!$BT$19:$BT$61=1)*'Overall savings and benefits'!S$19:S$61*(TRANSPOSE('Savings and benefits to bearers'!$AK11:$CA11))), "")</f>
        <v/>
      </c>
      <c r="V11" s="605" t="str">
        <f t="array" ref="V11">IF($A11&lt;&gt;"", SUM(('Overall savings and benefits'!$BT$19:$BT$61=1)*'Overall savings and benefits'!T$19:T$61*(TRANSPOSE('Savings and benefits to bearers'!$AK11:$CA11))), "")</f>
        <v/>
      </c>
      <c r="W11" s="605" t="str">
        <f t="array" ref="W11">IF($A11&lt;&gt;"", SUM(('Overall savings and benefits'!$BT$19:$BT$61=1)*'Overall savings and benefits'!U$19:U$61*(TRANSPOSE('Savings and benefits to bearers'!$AK11:$CA11))), "")</f>
        <v/>
      </c>
      <c r="X11" s="605" t="str">
        <f t="array" ref="X11">IF($A11&lt;&gt;"", SUM(('Overall savings and benefits'!$BT$19:$BT$61=1)*'Overall savings and benefits'!V$19:V$61*(TRANSPOSE('Savings and benefits to bearers'!$AK11:$CA11))), "")</f>
        <v/>
      </c>
      <c r="Y11" s="605" t="str">
        <f t="array" ref="Y11">IF($A11&lt;&gt;"", SUM(('Overall savings and benefits'!$BT$19:$BT$61=1)*'Overall savings and benefits'!W$19:W$61*(TRANSPOSE('Savings and benefits to bearers'!$AK11:$CA11))), "")</f>
        <v/>
      </c>
      <c r="Z11" s="605" t="str">
        <f t="array" ref="Z11">IF($A11&lt;&gt;"", SUM(('Overall savings and benefits'!$BT$19:$BT$61=1)*'Overall savings and benefits'!X$19:X$61*(TRANSPOSE('Savings and benefits to bearers'!$AK11:$CA11))), "")</f>
        <v/>
      </c>
      <c r="AA11" s="605" t="str">
        <f t="array" ref="AA11">IF($A11&lt;&gt;"", SUM(('Overall savings and benefits'!$BT$19:$BT$61=1)*'Overall savings and benefits'!Y$19:Y$61*(TRANSPOSE('Savings and benefits to bearers'!$AK11:$CA11))), "")</f>
        <v/>
      </c>
      <c r="AB11" s="605" t="str">
        <f t="array" ref="AB11">IF($A11&lt;&gt;"", SUM(('Overall savings and benefits'!$BT$19:$BT$61=1)*'Overall savings and benefits'!Z$19:Z$61*(TRANSPOSE('Savings and benefits to bearers'!$AK11:$CA11))), "")</f>
        <v/>
      </c>
      <c r="AC11" s="1004" t="str">
        <f t="array" ref="AC11">IF($A11&lt;&gt;"", (SUM( IF(ISERROR(D11:AB11),"", D11:AB11))), "")</f>
        <v/>
      </c>
      <c r="AD11" s="1005" t="str">
        <f t="shared" si="0"/>
        <v/>
      </c>
      <c r="AG11" s="472" t="str">
        <f>IF((13-COUNTIF('Bearer list'!$E$4:$E$16,""))&gt;AG10,AG10+1,"")</f>
        <v/>
      </c>
      <c r="AH11" s="529">
        <v>8</v>
      </c>
      <c r="AI11" s="613" t="str">
        <f>IF(AG11&lt;&gt;"",INDEX('Bearer list'!$D$4:$D$16,AG11),"")</f>
        <v/>
      </c>
      <c r="AJ11" s="608"/>
      <c r="AK11" s="609" t="str">
        <f t="shared" si="1"/>
        <v/>
      </c>
      <c r="AL11" s="609" t="str">
        <f t="shared" si="2"/>
        <v/>
      </c>
      <c r="AM11" s="609" t="str">
        <f t="shared" si="3"/>
        <v/>
      </c>
      <c r="AN11" s="609" t="str">
        <f t="shared" si="4"/>
        <v/>
      </c>
      <c r="AO11" s="609" t="str">
        <f t="shared" si="5"/>
        <v/>
      </c>
      <c r="AP11" s="609" t="str">
        <f t="shared" si="6"/>
        <v/>
      </c>
      <c r="AQ11" s="609" t="str">
        <f t="shared" si="7"/>
        <v/>
      </c>
      <c r="AR11" s="609" t="str">
        <f t="shared" si="8"/>
        <v/>
      </c>
      <c r="AS11" s="609" t="str">
        <f t="shared" si="9"/>
        <v/>
      </c>
      <c r="AT11" s="609" t="str">
        <f t="shared" si="10"/>
        <v/>
      </c>
      <c r="AU11" s="609" t="str">
        <f t="shared" si="11"/>
        <v/>
      </c>
      <c r="AV11" s="609" t="str">
        <f t="shared" si="12"/>
        <v/>
      </c>
      <c r="AW11" s="609" t="str">
        <f t="shared" si="13"/>
        <v/>
      </c>
      <c r="AX11" s="610" t="str">
        <f t="shared" si="36"/>
        <v/>
      </c>
      <c r="BA11" s="611" t="str">
        <f t="shared" si="14"/>
        <v/>
      </c>
      <c r="BB11" s="609" t="str">
        <f t="shared" si="15"/>
        <v/>
      </c>
      <c r="BC11" s="609" t="str">
        <f t="shared" si="38"/>
        <v/>
      </c>
      <c r="BD11" s="609" t="str">
        <f t="shared" si="16"/>
        <v/>
      </c>
      <c r="BE11" s="609" t="str">
        <f t="shared" si="17"/>
        <v/>
      </c>
      <c r="BF11" s="609" t="str">
        <f t="shared" si="18"/>
        <v/>
      </c>
      <c r="BG11" s="610" t="str">
        <f t="shared" si="19"/>
        <v/>
      </c>
      <c r="BJ11" s="611" t="str">
        <f t="shared" si="20"/>
        <v/>
      </c>
      <c r="BK11" s="609" t="str">
        <f t="shared" si="21"/>
        <v/>
      </c>
      <c r="BL11" s="609" t="str">
        <f t="shared" si="22"/>
        <v/>
      </c>
      <c r="BM11" s="609" t="str">
        <f t="shared" si="23"/>
        <v/>
      </c>
      <c r="BN11" s="609" t="str">
        <f t="shared" si="24"/>
        <v/>
      </c>
      <c r="BO11" s="610" t="str">
        <f t="shared" si="25"/>
        <v/>
      </c>
      <c r="BR11" s="611" t="str">
        <f t="shared" si="26"/>
        <v/>
      </c>
      <c r="BS11" s="609" t="str">
        <f t="shared" si="27"/>
        <v/>
      </c>
      <c r="BT11" s="609" t="str">
        <f t="shared" si="28"/>
        <v/>
      </c>
      <c r="BU11" s="609" t="str">
        <f t="shared" si="29"/>
        <v/>
      </c>
      <c r="BV11" s="609" t="str">
        <f t="shared" si="30"/>
        <v/>
      </c>
      <c r="BW11" s="609" t="str">
        <f t="shared" si="31"/>
        <v/>
      </c>
      <c r="BX11" s="609" t="str">
        <f t="shared" si="32"/>
        <v/>
      </c>
      <c r="BY11" s="609" t="str">
        <f t="shared" si="33"/>
        <v/>
      </c>
      <c r="BZ11" s="609" t="str">
        <f t="shared" si="34"/>
        <v/>
      </c>
      <c r="CA11" s="610" t="str">
        <f t="shared" si="35"/>
        <v/>
      </c>
    </row>
    <row r="12" spans="1:79">
      <c r="A12" s="612" t="str">
        <f>IF((13-COUNTIF('Bearer list'!$E$4:$E$16,""))&gt;A11,A11+1,"")</f>
        <v/>
      </c>
      <c r="B12" s="367">
        <v>9</v>
      </c>
      <c r="C12" s="604" t="str">
        <f>IF(A12&lt;&gt;"",INDEX('Bearer list'!$D$4:$D$16,A12),"")</f>
        <v/>
      </c>
      <c r="D12" s="605" t="str">
        <f t="array" ref="D12">IF($A12&lt;&gt;"", SUM(('Overall savings and benefits'!$BT$19:$BT$61=1)*'Overall savings and benefits'!B$19:B$61*(TRANSPOSE('Savings and benefits to bearers'!$AK12:$CA12))), "")</f>
        <v/>
      </c>
      <c r="E12" s="605" t="str">
        <f t="array" ref="E12">IF($A12&lt;&gt;"", SUM(('Overall savings and benefits'!$BT$19:$BT$61=1)*'Overall savings and benefits'!C$19:C$61*(TRANSPOSE('Savings and benefits to bearers'!$AK12:$CA12))), "")</f>
        <v/>
      </c>
      <c r="F12" s="605" t="str">
        <f t="array" ref="F12">IF($A12&lt;&gt;"", SUM(('Overall savings and benefits'!$BT$19:$BT$61=1)*'Overall savings and benefits'!D$19:D$61*(TRANSPOSE('Savings and benefits to bearers'!$AK12:$CA12))), "")</f>
        <v/>
      </c>
      <c r="G12" s="605" t="str">
        <f t="array" ref="G12">IF($A12&lt;&gt;"", SUM(('Overall savings and benefits'!$BT$19:$BT$61=1)*'Overall savings and benefits'!E$19:E$61*(TRANSPOSE('Savings and benefits to bearers'!$AK12:$CA12))), "")</f>
        <v/>
      </c>
      <c r="H12" s="605" t="str">
        <f t="array" ref="H12">IF($A12&lt;&gt;"", SUM(('Overall savings and benefits'!$BT$19:$BT$61=1)*'Overall savings and benefits'!F$19:F$61*(TRANSPOSE('Savings and benefits to bearers'!$AK12:$CA12))), "")</f>
        <v/>
      </c>
      <c r="I12" s="605" t="str">
        <f t="array" ref="I12">IF($A12&lt;&gt;"", SUM(('Overall savings and benefits'!$BT$19:$BT$61=1)*'Overall savings and benefits'!G$19:G$61*(TRANSPOSE('Savings and benefits to bearers'!$AK12:$CA12))), "")</f>
        <v/>
      </c>
      <c r="J12" s="605" t="str">
        <f t="array" ref="J12">IF($A12&lt;&gt;"", SUM(('Overall savings and benefits'!$BT$19:$BT$61=1)*'Overall savings and benefits'!H$19:H$61*(TRANSPOSE('Savings and benefits to bearers'!$AK12:$CA12))), "")</f>
        <v/>
      </c>
      <c r="K12" s="605" t="str">
        <f t="array" ref="K12">IF($A12&lt;&gt;"", SUM(('Overall savings and benefits'!$BT$19:$BT$61=1)*'Overall savings and benefits'!I$19:I$61*(TRANSPOSE('Savings and benefits to bearers'!$AK12:$CA12))), "")</f>
        <v/>
      </c>
      <c r="L12" s="605" t="str">
        <f t="array" ref="L12">IF($A12&lt;&gt;"", SUM(('Overall savings and benefits'!$BT$19:$BT$61=1)*'Overall savings and benefits'!J$19:J$61*(TRANSPOSE('Savings and benefits to bearers'!$AK12:$CA12))), "")</f>
        <v/>
      </c>
      <c r="M12" s="605" t="str">
        <f t="array" ref="M12">IF($A12&lt;&gt;"", SUM(('Overall savings and benefits'!$BT$19:$BT$61=1)*'Overall savings and benefits'!K$19:K$61*(TRANSPOSE('Savings and benefits to bearers'!$AK12:$CA12))), "")</f>
        <v/>
      </c>
      <c r="N12" s="605" t="str">
        <f t="array" ref="N12">IF($A12&lt;&gt;"", SUM(('Overall savings and benefits'!$BT$19:$BT$61=1)*'Overall savings and benefits'!L$19:L$61*(TRANSPOSE('Savings and benefits to bearers'!$AK12:$CA12))), "")</f>
        <v/>
      </c>
      <c r="O12" s="605" t="str">
        <f t="array" ref="O12">IF($A12&lt;&gt;"", SUM(('Overall savings and benefits'!$BT$19:$BT$61=1)*'Overall savings and benefits'!M$19:M$61*(TRANSPOSE('Savings and benefits to bearers'!$AK12:$CA12))), "")</f>
        <v/>
      </c>
      <c r="P12" s="605" t="str">
        <f t="array" ref="P12">IF($A12&lt;&gt;"", SUM(('Overall savings and benefits'!$BT$19:$BT$61=1)*'Overall savings and benefits'!N$19:N$61*(TRANSPOSE('Savings and benefits to bearers'!$AK12:$CA12))), "")</f>
        <v/>
      </c>
      <c r="Q12" s="605" t="str">
        <f t="array" ref="Q12">IF($A12&lt;&gt;"", SUM(('Overall savings and benefits'!$BT$19:$BT$61=1)*'Overall savings and benefits'!O$19:O$61*(TRANSPOSE('Savings and benefits to bearers'!$AK12:$CA12))), "")</f>
        <v/>
      </c>
      <c r="R12" s="605" t="str">
        <f t="array" ref="R12">IF($A12&lt;&gt;"", SUM(('Overall savings and benefits'!$BT$19:$BT$61=1)*'Overall savings and benefits'!P$19:P$61*(TRANSPOSE('Savings and benefits to bearers'!$AK12:$CA12))), "")</f>
        <v/>
      </c>
      <c r="S12" s="605" t="str">
        <f t="array" ref="S12">IF($A12&lt;&gt;"", SUM(('Overall savings and benefits'!$BT$19:$BT$61=1)*'Overall savings and benefits'!Q$19:Q$61*(TRANSPOSE('Savings and benefits to bearers'!$AK12:$CA12))), "")</f>
        <v/>
      </c>
      <c r="T12" s="605" t="str">
        <f t="array" ref="T12">IF($A12&lt;&gt;"", SUM(('Overall savings and benefits'!$BT$19:$BT$61=1)*'Overall savings and benefits'!R$19:R$61*(TRANSPOSE('Savings and benefits to bearers'!$AK12:$CA12))), "")</f>
        <v/>
      </c>
      <c r="U12" s="605" t="str">
        <f t="array" ref="U12">IF($A12&lt;&gt;"", SUM(('Overall savings and benefits'!$BT$19:$BT$61=1)*'Overall savings and benefits'!S$19:S$61*(TRANSPOSE('Savings and benefits to bearers'!$AK12:$CA12))), "")</f>
        <v/>
      </c>
      <c r="V12" s="605" t="str">
        <f t="array" ref="V12">IF($A12&lt;&gt;"", SUM(('Overall savings and benefits'!$BT$19:$BT$61=1)*'Overall savings and benefits'!T$19:T$61*(TRANSPOSE('Savings and benefits to bearers'!$AK12:$CA12))), "")</f>
        <v/>
      </c>
      <c r="W12" s="605" t="str">
        <f t="array" ref="W12">IF($A12&lt;&gt;"", SUM(('Overall savings and benefits'!$BT$19:$BT$61=1)*'Overall savings and benefits'!U$19:U$61*(TRANSPOSE('Savings and benefits to bearers'!$AK12:$CA12))), "")</f>
        <v/>
      </c>
      <c r="X12" s="605" t="str">
        <f t="array" ref="X12">IF($A12&lt;&gt;"", SUM(('Overall savings and benefits'!$BT$19:$BT$61=1)*'Overall savings and benefits'!V$19:V$61*(TRANSPOSE('Savings and benefits to bearers'!$AK12:$CA12))), "")</f>
        <v/>
      </c>
      <c r="Y12" s="605" t="str">
        <f t="array" ref="Y12">IF($A12&lt;&gt;"", SUM(('Overall savings and benefits'!$BT$19:$BT$61=1)*'Overall savings and benefits'!W$19:W$61*(TRANSPOSE('Savings and benefits to bearers'!$AK12:$CA12))), "")</f>
        <v/>
      </c>
      <c r="Z12" s="605" t="str">
        <f t="array" ref="Z12">IF($A12&lt;&gt;"", SUM(('Overall savings and benefits'!$BT$19:$BT$61=1)*'Overall savings and benefits'!X$19:X$61*(TRANSPOSE('Savings and benefits to bearers'!$AK12:$CA12))), "")</f>
        <v/>
      </c>
      <c r="AA12" s="605" t="str">
        <f t="array" ref="AA12">IF($A12&lt;&gt;"", SUM(('Overall savings and benefits'!$BT$19:$BT$61=1)*'Overall savings and benefits'!Y$19:Y$61*(TRANSPOSE('Savings and benefits to bearers'!$AK12:$CA12))), "")</f>
        <v/>
      </c>
      <c r="AB12" s="605" t="str">
        <f t="array" ref="AB12">IF($A12&lt;&gt;"", SUM(('Overall savings and benefits'!$BT$19:$BT$61=1)*'Overall savings and benefits'!Z$19:Z$61*(TRANSPOSE('Savings and benefits to bearers'!$AK12:$CA12))), "")</f>
        <v/>
      </c>
      <c r="AC12" s="1004" t="str">
        <f t="array" ref="AC12">IF($A12&lt;&gt;"", (SUM( IF(ISERROR(D12:AB12),"", D12:AB12))), "")</f>
        <v/>
      </c>
      <c r="AD12" s="1005" t="str">
        <f t="shared" si="0"/>
        <v/>
      </c>
      <c r="AG12" s="472" t="str">
        <f>IF((13-COUNTIF('Bearer list'!$E$4:$E$16,""))&gt;AG11,AG11+1,"")</f>
        <v/>
      </c>
      <c r="AH12" s="529">
        <v>9</v>
      </c>
      <c r="AI12" s="613" t="str">
        <f>IF(AG12&lt;&gt;"",INDEX('Bearer list'!$D$4:$D$16,AG12),"")</f>
        <v/>
      </c>
      <c r="AJ12" s="608"/>
      <c r="AK12" s="609" t="str">
        <f t="shared" si="1"/>
        <v/>
      </c>
      <c r="AL12" s="609" t="str">
        <f t="shared" si="2"/>
        <v/>
      </c>
      <c r="AM12" s="609" t="str">
        <f t="shared" si="3"/>
        <v/>
      </c>
      <c r="AN12" s="609" t="str">
        <f t="shared" si="4"/>
        <v/>
      </c>
      <c r="AO12" s="609" t="str">
        <f t="shared" si="5"/>
        <v/>
      </c>
      <c r="AP12" s="609" t="str">
        <f t="shared" si="6"/>
        <v/>
      </c>
      <c r="AQ12" s="609" t="str">
        <f t="shared" si="7"/>
        <v/>
      </c>
      <c r="AR12" s="609" t="str">
        <f t="shared" si="8"/>
        <v/>
      </c>
      <c r="AS12" s="609" t="str">
        <f t="shared" si="9"/>
        <v/>
      </c>
      <c r="AT12" s="609" t="str">
        <f t="shared" si="10"/>
        <v/>
      </c>
      <c r="AU12" s="609" t="str">
        <f t="shared" si="11"/>
        <v/>
      </c>
      <c r="AV12" s="609" t="str">
        <f t="shared" si="12"/>
        <v/>
      </c>
      <c r="AW12" s="609" t="str">
        <f t="shared" si="13"/>
        <v/>
      </c>
      <c r="AX12" s="610" t="str">
        <f t="shared" si="36"/>
        <v/>
      </c>
      <c r="BA12" s="611" t="str">
        <f t="shared" si="14"/>
        <v/>
      </c>
      <c r="BB12" s="609" t="str">
        <f t="shared" si="15"/>
        <v/>
      </c>
      <c r="BC12" s="609" t="str">
        <f t="shared" si="38"/>
        <v/>
      </c>
      <c r="BD12" s="609" t="str">
        <f t="shared" si="16"/>
        <v/>
      </c>
      <c r="BE12" s="609" t="str">
        <f t="shared" si="17"/>
        <v/>
      </c>
      <c r="BF12" s="609" t="str">
        <f t="shared" si="18"/>
        <v/>
      </c>
      <c r="BG12" s="610" t="str">
        <f t="shared" si="19"/>
        <v/>
      </c>
      <c r="BJ12" s="611" t="str">
        <f t="shared" si="20"/>
        <v/>
      </c>
      <c r="BK12" s="609" t="str">
        <f t="shared" si="21"/>
        <v/>
      </c>
      <c r="BL12" s="609" t="str">
        <f t="shared" si="22"/>
        <v/>
      </c>
      <c r="BM12" s="609" t="str">
        <f t="shared" si="23"/>
        <v/>
      </c>
      <c r="BN12" s="609" t="str">
        <f t="shared" si="24"/>
        <v/>
      </c>
      <c r="BO12" s="610" t="str">
        <f t="shared" si="25"/>
        <v/>
      </c>
      <c r="BR12" s="611" t="str">
        <f t="shared" si="26"/>
        <v/>
      </c>
      <c r="BS12" s="609" t="str">
        <f t="shared" si="27"/>
        <v/>
      </c>
      <c r="BT12" s="609" t="str">
        <f t="shared" si="28"/>
        <v/>
      </c>
      <c r="BU12" s="609" t="str">
        <f t="shared" si="29"/>
        <v/>
      </c>
      <c r="BV12" s="609" t="str">
        <f t="shared" si="30"/>
        <v/>
      </c>
      <c r="BW12" s="609" t="str">
        <f t="shared" si="31"/>
        <v/>
      </c>
      <c r="BX12" s="609" t="str">
        <f t="shared" si="32"/>
        <v/>
      </c>
      <c r="BY12" s="609" t="str">
        <f t="shared" si="33"/>
        <v/>
      </c>
      <c r="BZ12" s="609" t="str">
        <f t="shared" si="34"/>
        <v/>
      </c>
      <c r="CA12" s="610" t="str">
        <f t="shared" si="35"/>
        <v/>
      </c>
    </row>
    <row r="13" spans="1:79">
      <c r="A13" s="612" t="str">
        <f>IF((13-COUNTIF('Bearer list'!$E$4:$E$16,""))&gt;A12,A12+1,"")</f>
        <v/>
      </c>
      <c r="B13" s="367">
        <v>10</v>
      </c>
      <c r="C13" s="604" t="str">
        <f>IF(A13&lt;&gt;"",INDEX('Bearer list'!$D$4:$D$16,A13),"")</f>
        <v/>
      </c>
      <c r="D13" s="605" t="str">
        <f t="array" ref="D13">IF($A13&lt;&gt;"", SUM(('Overall savings and benefits'!$BT$19:$BT$61=1)*'Overall savings and benefits'!B$19:B$61*(TRANSPOSE('Savings and benefits to bearers'!$AK13:$CA13))), "")</f>
        <v/>
      </c>
      <c r="E13" s="605" t="str">
        <f t="array" ref="E13">IF($A13&lt;&gt;"", SUM(('Overall savings and benefits'!$BT$19:$BT$61=1)*'Overall savings and benefits'!C$19:C$61*(TRANSPOSE('Savings and benefits to bearers'!$AK13:$CA13))), "")</f>
        <v/>
      </c>
      <c r="F13" s="605" t="str">
        <f t="array" ref="F13">IF($A13&lt;&gt;"", SUM(('Overall savings and benefits'!$BT$19:$BT$61=1)*'Overall savings and benefits'!D$19:D$61*(TRANSPOSE('Savings and benefits to bearers'!$AK13:$CA13))), "")</f>
        <v/>
      </c>
      <c r="G13" s="605" t="str">
        <f t="array" ref="G13">IF($A13&lt;&gt;"", SUM(('Overall savings and benefits'!$BT$19:$BT$61=1)*'Overall savings and benefits'!E$19:E$61*(TRANSPOSE('Savings and benefits to bearers'!$AK13:$CA13))), "")</f>
        <v/>
      </c>
      <c r="H13" s="605" t="str">
        <f t="array" ref="H13">IF($A13&lt;&gt;"", SUM(('Overall savings and benefits'!$BT$19:$BT$61=1)*'Overall savings and benefits'!F$19:F$61*(TRANSPOSE('Savings and benefits to bearers'!$AK13:$CA13))), "")</f>
        <v/>
      </c>
      <c r="I13" s="605" t="str">
        <f t="array" ref="I13">IF($A13&lt;&gt;"", SUM(('Overall savings and benefits'!$BT$19:$BT$61=1)*'Overall savings and benefits'!G$19:G$61*(TRANSPOSE('Savings and benefits to bearers'!$AK13:$CA13))), "")</f>
        <v/>
      </c>
      <c r="J13" s="605" t="str">
        <f t="array" ref="J13">IF($A13&lt;&gt;"", SUM(('Overall savings and benefits'!$BT$19:$BT$61=1)*'Overall savings and benefits'!H$19:H$61*(TRANSPOSE('Savings and benefits to bearers'!$AK13:$CA13))), "")</f>
        <v/>
      </c>
      <c r="K13" s="605" t="str">
        <f t="array" ref="K13">IF($A13&lt;&gt;"", SUM(('Overall savings and benefits'!$BT$19:$BT$61=1)*'Overall savings and benefits'!I$19:I$61*(TRANSPOSE('Savings and benefits to bearers'!$AK13:$CA13))), "")</f>
        <v/>
      </c>
      <c r="L13" s="605" t="str">
        <f t="array" ref="L13">IF($A13&lt;&gt;"", SUM(('Overall savings and benefits'!$BT$19:$BT$61=1)*'Overall savings and benefits'!J$19:J$61*(TRANSPOSE('Savings and benefits to bearers'!$AK13:$CA13))), "")</f>
        <v/>
      </c>
      <c r="M13" s="605" t="str">
        <f t="array" ref="M13">IF($A13&lt;&gt;"", SUM(('Overall savings and benefits'!$BT$19:$BT$61=1)*'Overall savings and benefits'!K$19:K$61*(TRANSPOSE('Savings and benefits to bearers'!$AK13:$CA13))), "")</f>
        <v/>
      </c>
      <c r="N13" s="605" t="str">
        <f t="array" ref="N13">IF($A13&lt;&gt;"", SUM(('Overall savings and benefits'!$BT$19:$BT$61=1)*'Overall savings and benefits'!L$19:L$61*(TRANSPOSE('Savings and benefits to bearers'!$AK13:$CA13))), "")</f>
        <v/>
      </c>
      <c r="O13" s="605" t="str">
        <f t="array" ref="O13">IF($A13&lt;&gt;"", SUM(('Overall savings and benefits'!$BT$19:$BT$61=1)*'Overall savings and benefits'!M$19:M$61*(TRANSPOSE('Savings and benefits to bearers'!$AK13:$CA13))), "")</f>
        <v/>
      </c>
      <c r="P13" s="605" t="str">
        <f t="array" ref="P13">IF($A13&lt;&gt;"", SUM(('Overall savings and benefits'!$BT$19:$BT$61=1)*'Overall savings and benefits'!N$19:N$61*(TRANSPOSE('Savings and benefits to bearers'!$AK13:$CA13))), "")</f>
        <v/>
      </c>
      <c r="Q13" s="605" t="str">
        <f t="array" ref="Q13">IF($A13&lt;&gt;"", SUM(('Overall savings and benefits'!$BT$19:$BT$61=1)*'Overall savings and benefits'!O$19:O$61*(TRANSPOSE('Savings and benefits to bearers'!$AK13:$CA13))), "")</f>
        <v/>
      </c>
      <c r="R13" s="605" t="str">
        <f t="array" ref="R13">IF($A13&lt;&gt;"", SUM(('Overall savings and benefits'!$BT$19:$BT$61=1)*'Overall savings and benefits'!P$19:P$61*(TRANSPOSE('Savings and benefits to bearers'!$AK13:$CA13))), "")</f>
        <v/>
      </c>
      <c r="S13" s="605" t="str">
        <f t="array" ref="S13">IF($A13&lt;&gt;"", SUM(('Overall savings and benefits'!$BT$19:$BT$61=1)*'Overall savings and benefits'!Q$19:Q$61*(TRANSPOSE('Savings and benefits to bearers'!$AK13:$CA13))), "")</f>
        <v/>
      </c>
      <c r="T13" s="605" t="str">
        <f t="array" ref="T13">IF($A13&lt;&gt;"", SUM(('Overall savings and benefits'!$BT$19:$BT$61=1)*'Overall savings and benefits'!R$19:R$61*(TRANSPOSE('Savings and benefits to bearers'!$AK13:$CA13))), "")</f>
        <v/>
      </c>
      <c r="U13" s="605" t="str">
        <f t="array" ref="U13">IF($A13&lt;&gt;"", SUM(('Overall savings and benefits'!$BT$19:$BT$61=1)*'Overall savings and benefits'!S$19:S$61*(TRANSPOSE('Savings and benefits to bearers'!$AK13:$CA13))), "")</f>
        <v/>
      </c>
      <c r="V13" s="605" t="str">
        <f t="array" ref="V13">IF($A13&lt;&gt;"", SUM(('Overall savings and benefits'!$BT$19:$BT$61=1)*'Overall savings and benefits'!T$19:T$61*(TRANSPOSE('Savings and benefits to bearers'!$AK13:$CA13))), "")</f>
        <v/>
      </c>
      <c r="W13" s="605" t="str">
        <f t="array" ref="W13">IF($A13&lt;&gt;"", SUM(('Overall savings and benefits'!$BT$19:$BT$61=1)*'Overall savings and benefits'!U$19:U$61*(TRANSPOSE('Savings and benefits to bearers'!$AK13:$CA13))), "")</f>
        <v/>
      </c>
      <c r="X13" s="605" t="str">
        <f t="array" ref="X13">IF($A13&lt;&gt;"", SUM(('Overall savings and benefits'!$BT$19:$BT$61=1)*'Overall savings and benefits'!V$19:V$61*(TRANSPOSE('Savings and benefits to bearers'!$AK13:$CA13))), "")</f>
        <v/>
      </c>
      <c r="Y13" s="605" t="str">
        <f t="array" ref="Y13">IF($A13&lt;&gt;"", SUM(('Overall savings and benefits'!$BT$19:$BT$61=1)*'Overall savings and benefits'!W$19:W$61*(TRANSPOSE('Savings and benefits to bearers'!$AK13:$CA13))), "")</f>
        <v/>
      </c>
      <c r="Z13" s="605" t="str">
        <f t="array" ref="Z13">IF($A13&lt;&gt;"", SUM(('Overall savings and benefits'!$BT$19:$BT$61=1)*'Overall savings and benefits'!X$19:X$61*(TRANSPOSE('Savings and benefits to bearers'!$AK13:$CA13))), "")</f>
        <v/>
      </c>
      <c r="AA13" s="605" t="str">
        <f t="array" ref="AA13">IF($A13&lt;&gt;"", SUM(('Overall savings and benefits'!$BT$19:$BT$61=1)*'Overall savings and benefits'!Y$19:Y$61*(TRANSPOSE('Savings and benefits to bearers'!$AK13:$CA13))), "")</f>
        <v/>
      </c>
      <c r="AB13" s="605" t="str">
        <f t="array" ref="AB13">IF($A13&lt;&gt;"", SUM(('Overall savings and benefits'!$BT$19:$BT$61=1)*'Overall savings and benefits'!Z$19:Z$61*(TRANSPOSE('Savings and benefits to bearers'!$AK13:$CA13))), "")</f>
        <v/>
      </c>
      <c r="AC13" s="1004" t="str">
        <f t="array" ref="AC13">IF($A13&lt;&gt;"", (SUM( IF(ISERROR(D13:AB13),"", D13:AB13))), "")</f>
        <v/>
      </c>
      <c r="AD13" s="1005" t="str">
        <f t="shared" si="0"/>
        <v/>
      </c>
      <c r="AG13" s="472" t="str">
        <f>IF((13-COUNTIF('Bearer list'!$E$4:$E$16,""))&gt;AG12,AG12+1,"")</f>
        <v/>
      </c>
      <c r="AH13" s="529">
        <v>10</v>
      </c>
      <c r="AI13" s="613" t="str">
        <f>IF(AG13&lt;&gt;"",INDEX('Bearer list'!$D$4:$D$16,AG13),"")</f>
        <v/>
      </c>
      <c r="AJ13" s="608"/>
      <c r="AK13" s="609" t="str">
        <f t="shared" si="1"/>
        <v/>
      </c>
      <c r="AL13" s="609" t="str">
        <f t="shared" si="2"/>
        <v/>
      </c>
      <c r="AM13" s="609" t="str">
        <f t="shared" si="3"/>
        <v/>
      </c>
      <c r="AN13" s="609" t="str">
        <f t="shared" si="4"/>
        <v/>
      </c>
      <c r="AO13" s="609" t="str">
        <f t="shared" si="5"/>
        <v/>
      </c>
      <c r="AP13" s="609" t="str">
        <f t="shared" si="6"/>
        <v/>
      </c>
      <c r="AQ13" s="609" t="str">
        <f t="shared" si="7"/>
        <v/>
      </c>
      <c r="AR13" s="609" t="str">
        <f t="shared" si="8"/>
        <v/>
      </c>
      <c r="AS13" s="609" t="str">
        <f t="shared" si="9"/>
        <v/>
      </c>
      <c r="AT13" s="609" t="str">
        <f t="shared" si="10"/>
        <v/>
      </c>
      <c r="AU13" s="609" t="str">
        <f t="shared" si="11"/>
        <v/>
      </c>
      <c r="AV13" s="609" t="str">
        <f t="shared" si="12"/>
        <v/>
      </c>
      <c r="AW13" s="609" t="str">
        <f t="shared" si="13"/>
        <v/>
      </c>
      <c r="AX13" s="610" t="str">
        <f t="shared" si="36"/>
        <v/>
      </c>
      <c r="BA13" s="611" t="str">
        <f t="shared" si="14"/>
        <v/>
      </c>
      <c r="BB13" s="609" t="str">
        <f t="shared" si="15"/>
        <v/>
      </c>
      <c r="BC13" s="609" t="str">
        <f t="shared" si="38"/>
        <v/>
      </c>
      <c r="BD13" s="609" t="str">
        <f t="shared" si="16"/>
        <v/>
      </c>
      <c r="BE13" s="609" t="str">
        <f t="shared" si="17"/>
        <v/>
      </c>
      <c r="BF13" s="609" t="str">
        <f t="shared" si="18"/>
        <v/>
      </c>
      <c r="BG13" s="610" t="str">
        <f t="shared" si="19"/>
        <v/>
      </c>
      <c r="BJ13" s="611" t="str">
        <f t="shared" si="20"/>
        <v/>
      </c>
      <c r="BK13" s="609" t="str">
        <f t="shared" si="21"/>
        <v/>
      </c>
      <c r="BL13" s="609" t="str">
        <f t="shared" si="22"/>
        <v/>
      </c>
      <c r="BM13" s="609" t="str">
        <f t="shared" si="23"/>
        <v/>
      </c>
      <c r="BN13" s="609" t="str">
        <f t="shared" si="24"/>
        <v/>
      </c>
      <c r="BO13" s="610" t="str">
        <f t="shared" si="25"/>
        <v/>
      </c>
      <c r="BR13" s="611" t="str">
        <f t="shared" si="26"/>
        <v/>
      </c>
      <c r="BS13" s="609" t="str">
        <f t="shared" si="27"/>
        <v/>
      </c>
      <c r="BT13" s="609" t="str">
        <f t="shared" si="28"/>
        <v/>
      </c>
      <c r="BU13" s="609" t="str">
        <f t="shared" si="29"/>
        <v/>
      </c>
      <c r="BV13" s="609" t="str">
        <f t="shared" si="30"/>
        <v/>
      </c>
      <c r="BW13" s="609" t="str">
        <f t="shared" si="31"/>
        <v/>
      </c>
      <c r="BX13" s="609" t="str">
        <f t="shared" si="32"/>
        <v/>
      </c>
      <c r="BY13" s="609" t="str">
        <f t="shared" si="33"/>
        <v/>
      </c>
      <c r="BZ13" s="609" t="str">
        <f t="shared" si="34"/>
        <v/>
      </c>
      <c r="CA13" s="610" t="str">
        <f t="shared" si="35"/>
        <v/>
      </c>
    </row>
    <row r="14" spans="1:79">
      <c r="A14" s="612" t="str">
        <f>IF((13-COUNTIF('Bearer list'!$E$4:$E$16,""))&gt;A13,A13+1,"")</f>
        <v/>
      </c>
      <c r="B14" s="367">
        <v>11</v>
      </c>
      <c r="C14" s="604" t="str">
        <f>IF(A14&lt;&gt;"",INDEX('Bearer list'!$D$4:$D$16,A14),"")</f>
        <v/>
      </c>
      <c r="D14" s="605" t="str">
        <f t="array" ref="D14">IF($A14&lt;&gt;"", SUM(('Overall savings and benefits'!$BT$19:$BT$61=1)*'Overall savings and benefits'!B$19:B$61*(TRANSPOSE('Savings and benefits to bearers'!$AK14:$CA14))), "")</f>
        <v/>
      </c>
      <c r="E14" s="605" t="str">
        <f t="array" ref="E14">IF($A14&lt;&gt;"", SUM(('Overall savings and benefits'!$BT$19:$BT$61=1)*'Overall savings and benefits'!C$19:C$61*(TRANSPOSE('Savings and benefits to bearers'!$AK14:$CA14))), "")</f>
        <v/>
      </c>
      <c r="F14" s="605" t="str">
        <f t="array" ref="F14">IF($A14&lt;&gt;"", SUM(('Overall savings and benefits'!$BT$19:$BT$61=1)*'Overall savings and benefits'!D$19:D$61*(TRANSPOSE('Savings and benefits to bearers'!$AK14:$CA14))), "")</f>
        <v/>
      </c>
      <c r="G14" s="605" t="str">
        <f t="array" ref="G14">IF($A14&lt;&gt;"", SUM(('Overall savings and benefits'!$BT$19:$BT$61=1)*'Overall savings and benefits'!E$19:E$61*(TRANSPOSE('Savings and benefits to bearers'!$AK14:$CA14))), "")</f>
        <v/>
      </c>
      <c r="H14" s="605" t="str">
        <f t="array" ref="H14">IF($A14&lt;&gt;"", SUM(('Overall savings and benefits'!$BT$19:$BT$61=1)*'Overall savings and benefits'!F$19:F$61*(TRANSPOSE('Savings and benefits to bearers'!$AK14:$CA14))), "")</f>
        <v/>
      </c>
      <c r="I14" s="605" t="str">
        <f t="array" ref="I14">IF($A14&lt;&gt;"", SUM(('Overall savings and benefits'!$BT$19:$BT$61=1)*'Overall savings and benefits'!G$19:G$61*(TRANSPOSE('Savings and benefits to bearers'!$AK14:$CA14))), "")</f>
        <v/>
      </c>
      <c r="J14" s="605" t="str">
        <f t="array" ref="J14">IF($A14&lt;&gt;"", SUM(('Overall savings and benefits'!$BT$19:$BT$61=1)*'Overall savings and benefits'!H$19:H$61*(TRANSPOSE('Savings and benefits to bearers'!$AK14:$CA14))), "")</f>
        <v/>
      </c>
      <c r="K14" s="605" t="str">
        <f t="array" ref="K14">IF($A14&lt;&gt;"", SUM(('Overall savings and benefits'!$BT$19:$BT$61=1)*'Overall savings and benefits'!I$19:I$61*(TRANSPOSE('Savings and benefits to bearers'!$AK14:$CA14))), "")</f>
        <v/>
      </c>
      <c r="L14" s="605" t="str">
        <f t="array" ref="L14">IF($A14&lt;&gt;"", SUM(('Overall savings and benefits'!$BT$19:$BT$61=1)*'Overall savings and benefits'!J$19:J$61*(TRANSPOSE('Savings and benefits to bearers'!$AK14:$CA14))), "")</f>
        <v/>
      </c>
      <c r="M14" s="605" t="str">
        <f t="array" ref="M14">IF($A14&lt;&gt;"", SUM(('Overall savings and benefits'!$BT$19:$BT$61=1)*'Overall savings and benefits'!K$19:K$61*(TRANSPOSE('Savings and benefits to bearers'!$AK14:$CA14))), "")</f>
        <v/>
      </c>
      <c r="N14" s="605" t="str">
        <f t="array" ref="N14">IF($A14&lt;&gt;"", SUM(('Overall savings and benefits'!$BT$19:$BT$61=1)*'Overall savings and benefits'!L$19:L$61*(TRANSPOSE('Savings and benefits to bearers'!$AK14:$CA14))), "")</f>
        <v/>
      </c>
      <c r="O14" s="605" t="str">
        <f t="array" ref="O14">IF($A14&lt;&gt;"", SUM(('Overall savings and benefits'!$BT$19:$BT$61=1)*'Overall savings and benefits'!M$19:M$61*(TRANSPOSE('Savings and benefits to bearers'!$AK14:$CA14))), "")</f>
        <v/>
      </c>
      <c r="P14" s="605" t="str">
        <f t="array" ref="P14">IF($A14&lt;&gt;"", SUM(('Overall savings and benefits'!$BT$19:$BT$61=1)*'Overall savings and benefits'!N$19:N$61*(TRANSPOSE('Savings and benefits to bearers'!$AK14:$CA14))), "")</f>
        <v/>
      </c>
      <c r="Q14" s="605" t="str">
        <f t="array" ref="Q14">IF($A14&lt;&gt;"", SUM(('Overall savings and benefits'!$BT$19:$BT$61=1)*'Overall savings and benefits'!O$19:O$61*(TRANSPOSE('Savings and benefits to bearers'!$AK14:$CA14))), "")</f>
        <v/>
      </c>
      <c r="R14" s="605" t="str">
        <f t="array" ref="R14">IF($A14&lt;&gt;"", SUM(('Overall savings and benefits'!$BT$19:$BT$61=1)*'Overall savings and benefits'!P$19:P$61*(TRANSPOSE('Savings and benefits to bearers'!$AK14:$CA14))), "")</f>
        <v/>
      </c>
      <c r="S14" s="605" t="str">
        <f t="array" ref="S14">IF($A14&lt;&gt;"", SUM(('Overall savings and benefits'!$BT$19:$BT$61=1)*'Overall savings and benefits'!Q$19:Q$61*(TRANSPOSE('Savings and benefits to bearers'!$AK14:$CA14))), "")</f>
        <v/>
      </c>
      <c r="T14" s="605" t="str">
        <f t="array" ref="T14">IF($A14&lt;&gt;"", SUM(('Overall savings and benefits'!$BT$19:$BT$61=1)*'Overall savings and benefits'!R$19:R$61*(TRANSPOSE('Savings and benefits to bearers'!$AK14:$CA14))), "")</f>
        <v/>
      </c>
      <c r="U14" s="605" t="str">
        <f t="array" ref="U14">IF($A14&lt;&gt;"", SUM(('Overall savings and benefits'!$BT$19:$BT$61=1)*'Overall savings and benefits'!S$19:S$61*(TRANSPOSE('Savings and benefits to bearers'!$AK14:$CA14))), "")</f>
        <v/>
      </c>
      <c r="V14" s="605" t="str">
        <f t="array" ref="V14">IF($A14&lt;&gt;"", SUM(('Overall savings and benefits'!$BT$19:$BT$61=1)*'Overall savings and benefits'!T$19:T$61*(TRANSPOSE('Savings and benefits to bearers'!$AK14:$CA14))), "")</f>
        <v/>
      </c>
      <c r="W14" s="605" t="str">
        <f t="array" ref="W14">IF($A14&lt;&gt;"", SUM(('Overall savings and benefits'!$BT$19:$BT$61=1)*'Overall savings and benefits'!U$19:U$61*(TRANSPOSE('Savings and benefits to bearers'!$AK14:$CA14))), "")</f>
        <v/>
      </c>
      <c r="X14" s="605" t="str">
        <f t="array" ref="X14">IF($A14&lt;&gt;"", SUM(('Overall savings and benefits'!$BT$19:$BT$61=1)*'Overall savings and benefits'!V$19:V$61*(TRANSPOSE('Savings and benefits to bearers'!$AK14:$CA14))), "")</f>
        <v/>
      </c>
      <c r="Y14" s="605" t="str">
        <f t="array" ref="Y14">IF($A14&lt;&gt;"", SUM(('Overall savings and benefits'!$BT$19:$BT$61=1)*'Overall savings and benefits'!W$19:W$61*(TRANSPOSE('Savings and benefits to bearers'!$AK14:$CA14))), "")</f>
        <v/>
      </c>
      <c r="Z14" s="605" t="str">
        <f t="array" ref="Z14">IF($A14&lt;&gt;"", SUM(('Overall savings and benefits'!$BT$19:$BT$61=1)*'Overall savings and benefits'!X$19:X$61*(TRANSPOSE('Savings and benefits to bearers'!$AK14:$CA14))), "")</f>
        <v/>
      </c>
      <c r="AA14" s="605" t="str">
        <f t="array" ref="AA14">IF($A14&lt;&gt;"", SUM(('Overall savings and benefits'!$BT$19:$BT$61=1)*'Overall savings and benefits'!Y$19:Y$61*(TRANSPOSE('Savings and benefits to bearers'!$AK14:$CA14))), "")</f>
        <v/>
      </c>
      <c r="AB14" s="605" t="str">
        <f t="array" ref="AB14">IF($A14&lt;&gt;"", SUM(('Overall savings and benefits'!$BT$19:$BT$61=1)*'Overall savings and benefits'!Z$19:Z$61*(TRANSPOSE('Savings and benefits to bearers'!$AK14:$CA14))), "")</f>
        <v/>
      </c>
      <c r="AC14" s="1004" t="str">
        <f t="array" ref="AC14">IF($A14&lt;&gt;"", (SUM( IF(ISERROR(D14:AB14),"", D14:AB14))), "")</f>
        <v/>
      </c>
      <c r="AD14" s="1005" t="str">
        <f t="shared" si="0"/>
        <v/>
      </c>
      <c r="AG14" s="472" t="str">
        <f>IF((13-COUNTIF('Bearer list'!$E$4:$E$16,""))&gt;AG13,AG13+1,"")</f>
        <v/>
      </c>
      <c r="AH14" s="529">
        <v>11</v>
      </c>
      <c r="AI14" s="613" t="str">
        <f>IF(AG14&lt;&gt;"",INDEX('Bearer list'!$D$4:$D$16,AG14),"")</f>
        <v/>
      </c>
      <c r="AJ14" s="608"/>
      <c r="AK14" s="609" t="str">
        <f t="shared" si="1"/>
        <v/>
      </c>
      <c r="AL14" s="609" t="str">
        <f t="shared" si="2"/>
        <v/>
      </c>
      <c r="AM14" s="609" t="str">
        <f t="shared" si="3"/>
        <v/>
      </c>
      <c r="AN14" s="609" t="str">
        <f t="shared" si="4"/>
        <v/>
      </c>
      <c r="AO14" s="609" t="str">
        <f t="shared" si="5"/>
        <v/>
      </c>
      <c r="AP14" s="609" t="str">
        <f t="shared" si="6"/>
        <v/>
      </c>
      <c r="AQ14" s="609" t="str">
        <f t="shared" si="7"/>
        <v/>
      </c>
      <c r="AR14" s="609" t="str">
        <f t="shared" si="8"/>
        <v/>
      </c>
      <c r="AS14" s="609" t="str">
        <f t="shared" si="9"/>
        <v/>
      </c>
      <c r="AT14" s="609" t="str">
        <f t="shared" si="10"/>
        <v/>
      </c>
      <c r="AU14" s="609" t="str">
        <f t="shared" si="11"/>
        <v/>
      </c>
      <c r="AV14" s="609" t="str">
        <f t="shared" si="12"/>
        <v/>
      </c>
      <c r="AW14" s="609" t="str">
        <f t="shared" si="13"/>
        <v/>
      </c>
      <c r="AX14" s="610" t="str">
        <f t="shared" si="36"/>
        <v/>
      </c>
      <c r="BA14" s="611" t="str">
        <f t="shared" si="14"/>
        <v/>
      </c>
      <c r="BB14" s="609" t="str">
        <f t="shared" si="15"/>
        <v/>
      </c>
      <c r="BC14" s="609" t="str">
        <f t="shared" si="38"/>
        <v/>
      </c>
      <c r="BD14" s="609" t="str">
        <f t="shared" si="16"/>
        <v/>
      </c>
      <c r="BE14" s="609" t="str">
        <f t="shared" si="17"/>
        <v/>
      </c>
      <c r="BF14" s="609" t="str">
        <f t="shared" si="18"/>
        <v/>
      </c>
      <c r="BG14" s="610" t="str">
        <f t="shared" si="19"/>
        <v/>
      </c>
      <c r="BJ14" s="611" t="str">
        <f t="shared" si="20"/>
        <v/>
      </c>
      <c r="BK14" s="609" t="str">
        <f t="shared" si="21"/>
        <v/>
      </c>
      <c r="BL14" s="609" t="str">
        <f t="shared" si="22"/>
        <v/>
      </c>
      <c r="BM14" s="609" t="str">
        <f t="shared" si="23"/>
        <v/>
      </c>
      <c r="BN14" s="609" t="str">
        <f t="shared" si="24"/>
        <v/>
      </c>
      <c r="BO14" s="610" t="str">
        <f t="shared" si="25"/>
        <v/>
      </c>
      <c r="BR14" s="611" t="str">
        <f t="shared" si="26"/>
        <v/>
      </c>
      <c r="BS14" s="609" t="str">
        <f t="shared" si="27"/>
        <v/>
      </c>
      <c r="BT14" s="609" t="str">
        <f t="shared" si="28"/>
        <v/>
      </c>
      <c r="BU14" s="609" t="str">
        <f t="shared" si="29"/>
        <v/>
      </c>
      <c r="BV14" s="609" t="str">
        <f t="shared" si="30"/>
        <v/>
      </c>
      <c r="BW14" s="609" t="str">
        <f t="shared" si="31"/>
        <v/>
      </c>
      <c r="BX14" s="609" t="str">
        <f t="shared" si="32"/>
        <v/>
      </c>
      <c r="BY14" s="609" t="str">
        <f t="shared" si="33"/>
        <v/>
      </c>
      <c r="BZ14" s="609" t="str">
        <f t="shared" si="34"/>
        <v/>
      </c>
      <c r="CA14" s="610" t="str">
        <f t="shared" si="35"/>
        <v/>
      </c>
    </row>
    <row r="15" spans="1:79">
      <c r="A15" s="612" t="str">
        <f>IF((13-COUNTIF('Bearer list'!$E$4:$E$16,""))&gt;A14,A14+1,"")</f>
        <v/>
      </c>
      <c r="B15" s="367">
        <v>12</v>
      </c>
      <c r="C15" s="604" t="str">
        <f>IF(A15&lt;&gt;"",INDEX('Bearer list'!$D$4:$D$16,A15),"")</f>
        <v/>
      </c>
      <c r="D15" s="605" t="str">
        <f t="array" ref="D15">IF($A15&lt;&gt;"", SUM(('Overall savings and benefits'!$BT$19:$BT$61=1)*'Overall savings and benefits'!B$19:B$61*(TRANSPOSE('Savings and benefits to bearers'!$AK15:$CA15))), "")</f>
        <v/>
      </c>
      <c r="E15" s="605" t="str">
        <f t="array" ref="E15">IF($A15&lt;&gt;"", SUM(('Overall savings and benefits'!$BT$19:$BT$61=1)*'Overall savings and benefits'!C$19:C$61*(TRANSPOSE('Savings and benefits to bearers'!$AK15:$CA15))), "")</f>
        <v/>
      </c>
      <c r="F15" s="605" t="str">
        <f t="array" ref="F15">IF($A15&lt;&gt;"", SUM(('Overall savings and benefits'!$BT$19:$BT$61=1)*'Overall savings and benefits'!D$19:D$61*(TRANSPOSE('Savings and benefits to bearers'!$AK15:$CA15))), "")</f>
        <v/>
      </c>
      <c r="G15" s="605" t="str">
        <f t="array" ref="G15">IF($A15&lt;&gt;"", SUM(('Overall savings and benefits'!$BT$19:$BT$61=1)*'Overall savings and benefits'!E$19:E$61*(TRANSPOSE('Savings and benefits to bearers'!$AK15:$CA15))), "")</f>
        <v/>
      </c>
      <c r="H15" s="605" t="str">
        <f t="array" ref="H15">IF($A15&lt;&gt;"", SUM(('Overall savings and benefits'!$BT$19:$BT$61=1)*'Overall savings and benefits'!F$19:F$61*(TRANSPOSE('Savings and benefits to bearers'!$AK15:$CA15))), "")</f>
        <v/>
      </c>
      <c r="I15" s="605" t="str">
        <f t="array" ref="I15">IF($A15&lt;&gt;"", SUM(('Overall savings and benefits'!$BT$19:$BT$61=1)*'Overall savings and benefits'!G$19:G$61*(TRANSPOSE('Savings and benefits to bearers'!$AK15:$CA15))), "")</f>
        <v/>
      </c>
      <c r="J15" s="605" t="str">
        <f t="array" ref="J15">IF($A15&lt;&gt;"", SUM(('Overall savings and benefits'!$BT$19:$BT$61=1)*'Overall savings and benefits'!H$19:H$61*(TRANSPOSE('Savings and benefits to bearers'!$AK15:$CA15))), "")</f>
        <v/>
      </c>
      <c r="K15" s="605" t="str">
        <f t="array" ref="K15">IF($A15&lt;&gt;"", SUM(('Overall savings and benefits'!$BT$19:$BT$61=1)*'Overall savings and benefits'!I$19:I$61*(TRANSPOSE('Savings and benefits to bearers'!$AK15:$CA15))), "")</f>
        <v/>
      </c>
      <c r="L15" s="605" t="str">
        <f t="array" ref="L15">IF($A15&lt;&gt;"", SUM(('Overall savings and benefits'!$BT$19:$BT$61=1)*'Overall savings and benefits'!J$19:J$61*(TRANSPOSE('Savings and benefits to bearers'!$AK15:$CA15))), "")</f>
        <v/>
      </c>
      <c r="M15" s="605" t="str">
        <f t="array" ref="M15">IF($A15&lt;&gt;"", SUM(('Overall savings and benefits'!$BT$19:$BT$61=1)*'Overall savings and benefits'!K$19:K$61*(TRANSPOSE('Savings and benefits to bearers'!$AK15:$CA15))), "")</f>
        <v/>
      </c>
      <c r="N15" s="605" t="str">
        <f t="array" ref="N15">IF($A15&lt;&gt;"", SUM(('Overall savings and benefits'!$BT$19:$BT$61=1)*'Overall savings and benefits'!L$19:L$61*(TRANSPOSE('Savings and benefits to bearers'!$AK15:$CA15))), "")</f>
        <v/>
      </c>
      <c r="O15" s="605" t="str">
        <f t="array" ref="O15">IF($A15&lt;&gt;"", SUM(('Overall savings and benefits'!$BT$19:$BT$61=1)*'Overall savings and benefits'!M$19:M$61*(TRANSPOSE('Savings and benefits to bearers'!$AK15:$CA15))), "")</f>
        <v/>
      </c>
      <c r="P15" s="605" t="str">
        <f t="array" ref="P15">IF($A15&lt;&gt;"", SUM(('Overall savings and benefits'!$BT$19:$BT$61=1)*'Overall savings and benefits'!N$19:N$61*(TRANSPOSE('Savings and benefits to bearers'!$AK15:$CA15))), "")</f>
        <v/>
      </c>
      <c r="Q15" s="605" t="str">
        <f t="array" ref="Q15">IF($A15&lt;&gt;"", SUM(('Overall savings and benefits'!$BT$19:$BT$61=1)*'Overall savings and benefits'!O$19:O$61*(TRANSPOSE('Savings and benefits to bearers'!$AK15:$CA15))), "")</f>
        <v/>
      </c>
      <c r="R15" s="605" t="str">
        <f t="array" ref="R15">IF($A15&lt;&gt;"", SUM(('Overall savings and benefits'!$BT$19:$BT$61=1)*'Overall savings and benefits'!P$19:P$61*(TRANSPOSE('Savings and benefits to bearers'!$AK15:$CA15))), "")</f>
        <v/>
      </c>
      <c r="S15" s="605" t="str">
        <f t="array" ref="S15">IF($A15&lt;&gt;"", SUM(('Overall savings and benefits'!$BT$19:$BT$61=1)*'Overall savings and benefits'!Q$19:Q$61*(TRANSPOSE('Savings and benefits to bearers'!$AK15:$CA15))), "")</f>
        <v/>
      </c>
      <c r="T15" s="605" t="str">
        <f t="array" ref="T15">IF($A15&lt;&gt;"", SUM(('Overall savings and benefits'!$BT$19:$BT$61=1)*'Overall savings and benefits'!R$19:R$61*(TRANSPOSE('Savings and benefits to bearers'!$AK15:$CA15))), "")</f>
        <v/>
      </c>
      <c r="U15" s="605" t="str">
        <f t="array" ref="U15">IF($A15&lt;&gt;"", SUM(('Overall savings and benefits'!$BT$19:$BT$61=1)*'Overall savings and benefits'!S$19:S$61*(TRANSPOSE('Savings and benefits to bearers'!$AK15:$CA15))), "")</f>
        <v/>
      </c>
      <c r="V15" s="605" t="str">
        <f t="array" ref="V15">IF($A15&lt;&gt;"", SUM(('Overall savings and benefits'!$BT$19:$BT$61=1)*'Overall savings and benefits'!T$19:T$61*(TRANSPOSE('Savings and benefits to bearers'!$AK15:$CA15))), "")</f>
        <v/>
      </c>
      <c r="W15" s="605" t="str">
        <f t="array" ref="W15">IF($A15&lt;&gt;"", SUM(('Overall savings and benefits'!$BT$19:$BT$61=1)*'Overall savings and benefits'!U$19:U$61*(TRANSPOSE('Savings and benefits to bearers'!$AK15:$CA15))), "")</f>
        <v/>
      </c>
      <c r="X15" s="605" t="str">
        <f t="array" ref="X15">IF($A15&lt;&gt;"", SUM(('Overall savings and benefits'!$BT$19:$BT$61=1)*'Overall savings and benefits'!V$19:V$61*(TRANSPOSE('Savings and benefits to bearers'!$AK15:$CA15))), "")</f>
        <v/>
      </c>
      <c r="Y15" s="605" t="str">
        <f t="array" ref="Y15">IF($A15&lt;&gt;"", SUM(('Overall savings and benefits'!$BT$19:$BT$61=1)*'Overall savings and benefits'!W$19:W$61*(TRANSPOSE('Savings and benefits to bearers'!$AK15:$CA15))), "")</f>
        <v/>
      </c>
      <c r="Z15" s="605" t="str">
        <f t="array" ref="Z15">IF($A15&lt;&gt;"", SUM(('Overall savings and benefits'!$BT$19:$BT$61=1)*'Overall savings and benefits'!X$19:X$61*(TRANSPOSE('Savings and benefits to bearers'!$AK15:$CA15))), "")</f>
        <v/>
      </c>
      <c r="AA15" s="605" t="str">
        <f t="array" ref="AA15">IF($A15&lt;&gt;"", SUM(('Overall savings and benefits'!$BT$19:$BT$61=1)*'Overall savings and benefits'!Y$19:Y$61*(TRANSPOSE('Savings and benefits to bearers'!$AK15:$CA15))), "")</f>
        <v/>
      </c>
      <c r="AB15" s="605" t="str">
        <f t="array" ref="AB15">IF($A15&lt;&gt;"", SUM(('Overall savings and benefits'!$BT$19:$BT$61=1)*'Overall savings and benefits'!Z$19:Z$61*(TRANSPOSE('Savings and benefits to bearers'!$AK15:$CA15))), "")</f>
        <v/>
      </c>
      <c r="AC15" s="1004" t="str">
        <f t="array" ref="AC15">IF($A15&lt;&gt;"", (SUM( IF(ISERROR(D15:AB15),"", D15:AB15))), "")</f>
        <v/>
      </c>
      <c r="AD15" s="1005" t="str">
        <f t="shared" si="0"/>
        <v/>
      </c>
      <c r="AG15" s="472" t="str">
        <f>IF((13-COUNTIF('Bearer list'!$E$4:$E$16,""))&gt;AG14,AG14+1,"")</f>
        <v/>
      </c>
      <c r="AH15" s="529">
        <v>12</v>
      </c>
      <c r="AI15" s="613" t="str">
        <f>IF(AG15&lt;&gt;"",INDEX('Bearer list'!$D$4:$D$16,AG15),"")</f>
        <v/>
      </c>
      <c r="AJ15" s="608"/>
      <c r="AK15" s="609" t="str">
        <f t="shared" si="1"/>
        <v/>
      </c>
      <c r="AL15" s="609" t="str">
        <f t="shared" si="2"/>
        <v/>
      </c>
      <c r="AM15" s="609" t="str">
        <f t="shared" si="3"/>
        <v/>
      </c>
      <c r="AN15" s="609" t="str">
        <f t="shared" si="4"/>
        <v/>
      </c>
      <c r="AO15" s="609" t="str">
        <f t="shared" si="5"/>
        <v/>
      </c>
      <c r="AP15" s="609" t="str">
        <f t="shared" si="6"/>
        <v/>
      </c>
      <c r="AQ15" s="609" t="str">
        <f t="shared" si="7"/>
        <v/>
      </c>
      <c r="AR15" s="609" t="str">
        <f t="shared" si="8"/>
        <v/>
      </c>
      <c r="AS15" s="609" t="str">
        <f t="shared" si="9"/>
        <v/>
      </c>
      <c r="AT15" s="609" t="str">
        <f t="shared" si="10"/>
        <v/>
      </c>
      <c r="AU15" s="609" t="str">
        <f t="shared" si="11"/>
        <v/>
      </c>
      <c r="AV15" s="609" t="str">
        <f t="shared" si="12"/>
        <v/>
      </c>
      <c r="AW15" s="609" t="str">
        <f t="shared" si="13"/>
        <v/>
      </c>
      <c r="AX15" s="610" t="str">
        <f t="shared" si="36"/>
        <v/>
      </c>
      <c r="BA15" s="611" t="str">
        <f t="shared" si="14"/>
        <v/>
      </c>
      <c r="BB15" s="609" t="str">
        <f t="shared" si="15"/>
        <v/>
      </c>
      <c r="BC15" s="609" t="str">
        <f t="shared" si="38"/>
        <v/>
      </c>
      <c r="BD15" s="609" t="str">
        <f t="shared" si="16"/>
        <v/>
      </c>
      <c r="BE15" s="609" t="str">
        <f t="shared" si="17"/>
        <v/>
      </c>
      <c r="BF15" s="609" t="str">
        <f t="shared" si="18"/>
        <v/>
      </c>
      <c r="BG15" s="610" t="str">
        <f t="shared" si="19"/>
        <v/>
      </c>
      <c r="BJ15" s="611" t="str">
        <f t="shared" si="20"/>
        <v/>
      </c>
      <c r="BK15" s="609" t="str">
        <f t="shared" si="21"/>
        <v/>
      </c>
      <c r="BL15" s="609" t="str">
        <f t="shared" si="22"/>
        <v/>
      </c>
      <c r="BM15" s="609" t="str">
        <f t="shared" si="23"/>
        <v/>
      </c>
      <c r="BN15" s="609" t="str">
        <f t="shared" si="24"/>
        <v/>
      </c>
      <c r="BO15" s="610" t="str">
        <f t="shared" si="25"/>
        <v/>
      </c>
      <c r="BR15" s="611" t="str">
        <f t="shared" si="26"/>
        <v/>
      </c>
      <c r="BS15" s="609" t="str">
        <f t="shared" si="27"/>
        <v/>
      </c>
      <c r="BT15" s="609" t="str">
        <f t="shared" si="28"/>
        <v/>
      </c>
      <c r="BU15" s="609" t="str">
        <f t="shared" si="29"/>
        <v/>
      </c>
      <c r="BV15" s="609" t="str">
        <f t="shared" si="30"/>
        <v/>
      </c>
      <c r="BW15" s="609" t="str">
        <f t="shared" si="31"/>
        <v/>
      </c>
      <c r="BX15" s="609" t="str">
        <f t="shared" si="32"/>
        <v/>
      </c>
      <c r="BY15" s="609" t="str">
        <f t="shared" si="33"/>
        <v/>
      </c>
      <c r="BZ15" s="609" t="str">
        <f t="shared" si="34"/>
        <v/>
      </c>
      <c r="CA15" s="610" t="str">
        <f t="shared" si="35"/>
        <v/>
      </c>
    </row>
    <row r="16" spans="1:79" ht="16" thickBot="1">
      <c r="A16" s="614" t="str">
        <f>IF((13-COUNTIF('Bearer list'!$E$4:$E$16,""))&gt;A15,A15+1,"")</f>
        <v/>
      </c>
      <c r="B16" s="615">
        <v>13</v>
      </c>
      <c r="C16" s="616" t="str">
        <f>IF(A16&lt;&gt;"",INDEX('Bearer list'!$D$4:$D$16,A16),"")</f>
        <v/>
      </c>
      <c r="D16" s="617" t="str">
        <f t="array" ref="D16">IF($A16&lt;&gt;"", SUM(('Overall savings and benefits'!$BT$19:$BT$61=1)*'Overall savings and benefits'!B$19:B$61*(TRANSPOSE('Savings and benefits to bearers'!$AK16:$CA16))), "")</f>
        <v/>
      </c>
      <c r="E16" s="617" t="str">
        <f t="array" ref="E16">IF($A16&lt;&gt;"", SUM(('Overall savings and benefits'!$BT$19:$BT$61=1)*'Overall savings and benefits'!C$19:C$61*(TRANSPOSE('Savings and benefits to bearers'!$AK16:$CA16))), "")</f>
        <v/>
      </c>
      <c r="F16" s="617" t="str">
        <f t="array" ref="F16">IF($A16&lt;&gt;"", SUM(('Overall savings and benefits'!$BT$19:$BT$61=1)*'Overall savings and benefits'!D$19:D$61*(TRANSPOSE('Savings and benefits to bearers'!$AK16:$CA16))), "")</f>
        <v/>
      </c>
      <c r="G16" s="617" t="str">
        <f t="array" ref="G16">IF($A16&lt;&gt;"", SUM(('Overall savings and benefits'!$BT$19:$BT$61=1)*'Overall savings and benefits'!E$19:E$61*(TRANSPOSE('Savings and benefits to bearers'!$AK16:$CA16))), "")</f>
        <v/>
      </c>
      <c r="H16" s="617" t="str">
        <f t="array" ref="H16">IF($A16&lt;&gt;"", SUM(('Overall savings and benefits'!$BT$19:$BT$61=1)*'Overall savings and benefits'!F$19:F$61*(TRANSPOSE('Savings and benefits to bearers'!$AK16:$CA16))), "")</f>
        <v/>
      </c>
      <c r="I16" s="617" t="str">
        <f t="array" ref="I16">IF($A16&lt;&gt;"", SUM(('Overall savings and benefits'!$BT$19:$BT$61=1)*'Overall savings and benefits'!G$19:G$61*(TRANSPOSE('Savings and benefits to bearers'!$AK16:$CA16))), "")</f>
        <v/>
      </c>
      <c r="J16" s="617" t="str">
        <f t="array" ref="J16">IF($A16&lt;&gt;"", SUM(('Overall savings and benefits'!$BT$19:$BT$61=1)*'Overall savings and benefits'!H$19:H$61*(TRANSPOSE('Savings and benefits to bearers'!$AK16:$CA16))), "")</f>
        <v/>
      </c>
      <c r="K16" s="617" t="str">
        <f t="array" ref="K16">IF($A16&lt;&gt;"", SUM(('Overall savings and benefits'!$BT$19:$BT$61=1)*'Overall savings and benefits'!I$19:I$61*(TRANSPOSE('Savings and benefits to bearers'!$AK16:$CA16))), "")</f>
        <v/>
      </c>
      <c r="L16" s="617" t="str">
        <f t="array" ref="L16">IF($A16&lt;&gt;"", SUM(('Overall savings and benefits'!$BT$19:$BT$61=1)*'Overall savings and benefits'!J$19:J$61*(TRANSPOSE('Savings and benefits to bearers'!$AK16:$CA16))), "")</f>
        <v/>
      </c>
      <c r="M16" s="617" t="str">
        <f t="array" ref="M16">IF($A16&lt;&gt;"", SUM(('Overall savings and benefits'!$BT$19:$BT$61=1)*'Overall savings and benefits'!K$19:K$61*(TRANSPOSE('Savings and benefits to bearers'!$AK16:$CA16))), "")</f>
        <v/>
      </c>
      <c r="N16" s="617" t="str">
        <f t="array" ref="N16">IF($A16&lt;&gt;"", SUM(('Overall savings and benefits'!$BT$19:$BT$61=1)*'Overall savings and benefits'!L$19:L$61*(TRANSPOSE('Savings and benefits to bearers'!$AK16:$CA16))), "")</f>
        <v/>
      </c>
      <c r="O16" s="617" t="str">
        <f t="array" ref="O16">IF($A16&lt;&gt;"", SUM(('Overall savings and benefits'!$BT$19:$BT$61=1)*'Overall savings and benefits'!M$19:M$61*(TRANSPOSE('Savings and benefits to bearers'!$AK16:$CA16))), "")</f>
        <v/>
      </c>
      <c r="P16" s="617" t="str">
        <f t="array" ref="P16">IF($A16&lt;&gt;"", SUM(('Overall savings and benefits'!$BT$19:$BT$61=1)*'Overall savings and benefits'!N$19:N$61*(TRANSPOSE('Savings and benefits to bearers'!$AK16:$CA16))), "")</f>
        <v/>
      </c>
      <c r="Q16" s="617" t="str">
        <f t="array" ref="Q16">IF($A16&lt;&gt;"", SUM(('Overall savings and benefits'!$BT$19:$BT$61=1)*'Overall savings and benefits'!O$19:O$61*(TRANSPOSE('Savings and benefits to bearers'!$AK16:$CA16))), "")</f>
        <v/>
      </c>
      <c r="R16" s="617" t="str">
        <f t="array" ref="R16">IF($A16&lt;&gt;"", SUM(('Overall savings and benefits'!$BT$19:$BT$61=1)*'Overall savings and benefits'!P$19:P$61*(TRANSPOSE('Savings and benefits to bearers'!$AK16:$CA16))), "")</f>
        <v/>
      </c>
      <c r="S16" s="617" t="str">
        <f t="array" ref="S16">IF($A16&lt;&gt;"", SUM(('Overall savings and benefits'!$BT$19:$BT$61=1)*'Overall savings and benefits'!Q$19:Q$61*(TRANSPOSE('Savings and benefits to bearers'!$AK16:$CA16))), "")</f>
        <v/>
      </c>
      <c r="T16" s="617" t="str">
        <f t="array" ref="T16">IF($A16&lt;&gt;"", SUM(('Overall savings and benefits'!$BT$19:$BT$61=1)*'Overall savings and benefits'!R$19:R$61*(TRANSPOSE('Savings and benefits to bearers'!$AK16:$CA16))), "")</f>
        <v/>
      </c>
      <c r="U16" s="617" t="str">
        <f t="array" ref="U16">IF($A16&lt;&gt;"", SUM(('Overall savings and benefits'!$BT$19:$BT$61=1)*'Overall savings and benefits'!S$19:S$61*(TRANSPOSE('Savings and benefits to bearers'!$AK16:$CA16))), "")</f>
        <v/>
      </c>
      <c r="V16" s="617" t="str">
        <f t="array" ref="V16">IF($A16&lt;&gt;"", SUM(('Overall savings and benefits'!$BT$19:$BT$61=1)*'Overall savings and benefits'!T$19:T$61*(TRANSPOSE('Savings and benefits to bearers'!$AK16:$CA16))), "")</f>
        <v/>
      </c>
      <c r="W16" s="617" t="str">
        <f t="array" ref="W16">IF($A16&lt;&gt;"", SUM(('Overall savings and benefits'!$BT$19:$BT$61=1)*'Overall savings and benefits'!U$19:U$61*(TRANSPOSE('Savings and benefits to bearers'!$AK16:$CA16))), "")</f>
        <v/>
      </c>
      <c r="X16" s="617" t="str">
        <f t="array" ref="X16">IF($A16&lt;&gt;"", SUM(('Overall savings and benefits'!$BT$19:$BT$61=1)*'Overall savings and benefits'!V$19:V$61*(TRANSPOSE('Savings and benefits to bearers'!$AK16:$CA16))), "")</f>
        <v/>
      </c>
      <c r="Y16" s="617" t="str">
        <f t="array" ref="Y16">IF($A16&lt;&gt;"", SUM(('Overall savings and benefits'!$BT$19:$BT$61=1)*'Overall savings and benefits'!W$19:W$61*(TRANSPOSE('Savings and benefits to bearers'!$AK16:$CA16))), "")</f>
        <v/>
      </c>
      <c r="Z16" s="617" t="str">
        <f t="array" ref="Z16">IF($A16&lt;&gt;"", SUM(('Overall savings and benefits'!$BT$19:$BT$61=1)*'Overall savings and benefits'!X$19:X$61*(TRANSPOSE('Savings and benefits to bearers'!$AK16:$CA16))), "")</f>
        <v/>
      </c>
      <c r="AA16" s="617" t="str">
        <f t="array" ref="AA16">IF($A16&lt;&gt;"", SUM(('Overall savings and benefits'!$BT$19:$BT$61=1)*'Overall savings and benefits'!Y$19:Y$61*(TRANSPOSE('Savings and benefits to bearers'!$AK16:$CA16))), "")</f>
        <v/>
      </c>
      <c r="AB16" s="617" t="str">
        <f t="array" ref="AB16">IF($A16&lt;&gt;"", SUM(('Overall savings and benefits'!$BT$19:$BT$61=1)*'Overall savings and benefits'!Z$19:Z$61*(TRANSPOSE('Savings and benefits to bearers'!$AK16:$CA16))), "")</f>
        <v/>
      </c>
      <c r="AC16" s="1006" t="str">
        <f t="array" ref="AC16">IF($A16&lt;&gt;"", (SUM( IF(ISERROR(D16:AB16),"", D16:AB16))), "")</f>
        <v/>
      </c>
      <c r="AD16" s="1007" t="str">
        <f t="shared" si="0"/>
        <v/>
      </c>
      <c r="AG16" s="620" t="str">
        <f>IF((13-COUNTIF('Bearer list'!$E$4:$E$16,""))&gt;AG15,AG15+1,"")</f>
        <v/>
      </c>
      <c r="AH16" s="621">
        <v>13</v>
      </c>
      <c r="AI16" s="622" t="str">
        <f>IF(AG16&lt;&gt;"",INDEX('Bearer list'!$D$4:$D$16,AG16),"")</f>
        <v/>
      </c>
      <c r="AJ16" s="623"/>
      <c r="AK16" s="624" t="str">
        <f t="shared" si="1"/>
        <v/>
      </c>
      <c r="AL16" s="609" t="str">
        <f t="shared" si="2"/>
        <v/>
      </c>
      <c r="AM16" s="624" t="str">
        <f t="shared" si="3"/>
        <v/>
      </c>
      <c r="AN16" s="624" t="str">
        <f t="shared" si="4"/>
        <v/>
      </c>
      <c r="AO16" s="624" t="str">
        <f t="shared" si="5"/>
        <v/>
      </c>
      <c r="AP16" s="624" t="str">
        <f t="shared" si="6"/>
        <v/>
      </c>
      <c r="AQ16" s="624" t="str">
        <f t="shared" si="7"/>
        <v/>
      </c>
      <c r="AR16" s="609" t="str">
        <f t="shared" si="8"/>
        <v/>
      </c>
      <c r="AS16" s="609" t="str">
        <f t="shared" si="9"/>
        <v/>
      </c>
      <c r="AT16" s="624" t="str">
        <f t="shared" si="10"/>
        <v/>
      </c>
      <c r="AU16" s="624" t="str">
        <f t="shared" si="11"/>
        <v/>
      </c>
      <c r="AV16" s="624" t="str">
        <f t="shared" si="12"/>
        <v/>
      </c>
      <c r="AW16" s="624" t="str">
        <f t="shared" si="13"/>
        <v/>
      </c>
      <c r="AX16" s="625" t="str">
        <f t="shared" si="36"/>
        <v/>
      </c>
      <c r="BA16" s="626" t="str">
        <f t="shared" si="14"/>
        <v/>
      </c>
      <c r="BB16" s="627" t="str">
        <f t="shared" si="15"/>
        <v/>
      </c>
      <c r="BC16" s="627" t="str">
        <f t="shared" si="38"/>
        <v/>
      </c>
      <c r="BD16" s="627" t="str">
        <f t="shared" si="16"/>
        <v/>
      </c>
      <c r="BE16" s="627" t="str">
        <f t="shared" si="17"/>
        <v/>
      </c>
      <c r="BF16" s="627" t="str">
        <f t="shared" si="18"/>
        <v/>
      </c>
      <c r="BG16" s="628" t="str">
        <f t="shared" si="19"/>
        <v/>
      </c>
      <c r="BJ16" s="626" t="str">
        <f t="shared" si="20"/>
        <v/>
      </c>
      <c r="BK16" s="627" t="str">
        <f t="shared" si="21"/>
        <v/>
      </c>
      <c r="BL16" s="627" t="str">
        <f t="shared" si="22"/>
        <v/>
      </c>
      <c r="BM16" s="627" t="str">
        <f t="shared" si="23"/>
        <v/>
      </c>
      <c r="BN16" s="627" t="str">
        <f t="shared" si="24"/>
        <v/>
      </c>
      <c r="BO16" s="628" t="str">
        <f t="shared" si="25"/>
        <v/>
      </c>
      <c r="BR16" s="629" t="str">
        <f t="shared" si="26"/>
        <v/>
      </c>
      <c r="BS16" s="630" t="str">
        <f t="shared" si="27"/>
        <v/>
      </c>
      <c r="BT16" s="630" t="str">
        <f t="shared" si="28"/>
        <v/>
      </c>
      <c r="BU16" s="630" t="str">
        <f t="shared" si="29"/>
        <v/>
      </c>
      <c r="BV16" s="630" t="str">
        <f t="shared" si="30"/>
        <v/>
      </c>
      <c r="BW16" s="630" t="str">
        <f t="shared" si="31"/>
        <v/>
      </c>
      <c r="BX16" s="630" t="str">
        <f t="shared" si="32"/>
        <v/>
      </c>
      <c r="BY16" s="630" t="str">
        <f t="shared" si="33"/>
        <v/>
      </c>
      <c r="BZ16" s="630" t="str">
        <f t="shared" si="34"/>
        <v/>
      </c>
      <c r="CA16" s="631" t="str">
        <f t="shared" si="35"/>
        <v/>
      </c>
    </row>
    <row r="17" spans="1:79">
      <c r="AH17" s="529"/>
    </row>
    <row r="18" spans="1:79" hidden="1">
      <c r="A18" s="632"/>
      <c r="AH18" s="529"/>
    </row>
    <row r="19" spans="1:79" ht="78.75" hidden="1" customHeight="1" thickBot="1">
      <c r="A19" s="1001" t="str">
        <f>CONCATENATE("Sum of all benefits by year"," ", "(",'Proposition Summary'!$B$76,")",":")</f>
        <v>Sum of all benefits by year (GBP (£)):</v>
      </c>
      <c r="B19" s="1002"/>
      <c r="C19" s="1003"/>
      <c r="D19" s="1001" t="str">
        <f>CONCATENATE("Financial benefits of the intervention in Year 1"," ", "(",'Proposition Summary'!$B$76,")")</f>
        <v>Financial benefits of the intervention in Year 1 (GBP (£))</v>
      </c>
      <c r="E19" s="1002" t="str">
        <f>CONCATENATE("Financial benefits of the intervention in Year 2"," ", "(",'Proposition Summary'!$B$76,")")</f>
        <v>Financial benefits of the intervention in Year 2 (GBP (£))</v>
      </c>
      <c r="F19" s="1002" t="str">
        <f>CONCATENATE("Financial benefits of the intervention in Year 3"," ", "(",'Proposition Summary'!$B$76,")")</f>
        <v>Financial benefits of the intervention in Year 3 (GBP (£))</v>
      </c>
      <c r="G19" s="1002" t="str">
        <f>CONCATENATE("Financial benefits of the intervention in Year 4"," ", "(",'Proposition Summary'!$B$76,")")</f>
        <v>Financial benefits of the intervention in Year 4 (GBP (£))</v>
      </c>
      <c r="H19" s="1002" t="str">
        <f>CONCATENATE("Financial benefits of the intervention in Year 5"," ", "(",'Proposition Summary'!$B$76,")")</f>
        <v>Financial benefits of the intervention in Year 5 (GBP (£))</v>
      </c>
      <c r="I19" s="1002" t="str">
        <f>CONCATENATE("Financial benefits of the intervention in Year 6"," ", "(",'Proposition Summary'!$B$76,")")</f>
        <v>Financial benefits of the intervention in Year 6 (GBP (£))</v>
      </c>
      <c r="J19" s="1002" t="str">
        <f>CONCATENATE("Financial benefits of the intervention in Year 7"," ", "(",'Proposition Summary'!$B$76,")")</f>
        <v>Financial benefits of the intervention in Year 7 (GBP (£))</v>
      </c>
      <c r="K19" s="1002" t="str">
        <f>CONCATENATE("Financial benefits of the intervention in Year 8"," ", "(",'Proposition Summary'!$B$76,")")</f>
        <v>Financial benefits of the intervention in Year 8 (GBP (£))</v>
      </c>
      <c r="L19" s="1002" t="str">
        <f>CONCATENATE("Financial benefits of the intervention in Year 9"," ", "(",'Proposition Summary'!$B$76,")")</f>
        <v>Financial benefits of the intervention in Year 9 (GBP (£))</v>
      </c>
      <c r="M19" s="1002" t="str">
        <f>CONCATENATE("Financial benefits of the intervention in Year 10"," ", "(",'Proposition Summary'!$B$76,")")</f>
        <v>Financial benefits of the intervention in Year 10 (GBP (£))</v>
      </c>
      <c r="N19" s="1002" t="str">
        <f>CONCATENATE("Financial benefits of the intervention in Year 11"," ", "(",'Proposition Summary'!$B$76,")")</f>
        <v>Financial benefits of the intervention in Year 11 (GBP (£))</v>
      </c>
      <c r="O19" s="1002" t="str">
        <f>CONCATENATE("Financial benefits of the intervention in Year 12"," ", "(",'Proposition Summary'!$B$76,")")</f>
        <v>Financial benefits of the intervention in Year 12 (GBP (£))</v>
      </c>
      <c r="P19" s="1002" t="str">
        <f>CONCATENATE("Financial benefits of the intervention in Year 13"," ", "(",'Proposition Summary'!$B$76,")")</f>
        <v>Financial benefits of the intervention in Year 13 (GBP (£))</v>
      </c>
      <c r="Q19" s="1002" t="str">
        <f>CONCATENATE("Financial benefits of the intervention in Year 14"," ", "(",'Proposition Summary'!$B$76,")")</f>
        <v>Financial benefits of the intervention in Year 14 (GBP (£))</v>
      </c>
      <c r="R19" s="1002" t="str">
        <f>CONCATENATE("Financial benefits of the intervention in Year 15"," ", "(",'Proposition Summary'!$B$76,")")</f>
        <v>Financial benefits of the intervention in Year 15 (GBP (£))</v>
      </c>
      <c r="S19" s="1002" t="str">
        <f>CONCATENATE("Financial benefits of the intervention in Year 16"," ", "(",'Proposition Summary'!$B$76,")")</f>
        <v>Financial benefits of the intervention in Year 16 (GBP (£))</v>
      </c>
      <c r="T19" s="1002" t="str">
        <f>CONCATENATE("Financial benefits of the intervention in Year 17"," ", "(",'Proposition Summary'!$B$76,")")</f>
        <v>Financial benefits of the intervention in Year 17 (GBP (£))</v>
      </c>
      <c r="U19" s="1002" t="str">
        <f>CONCATENATE("Financial benefits of the intervention in Year 18"," ", "(",'Proposition Summary'!$B$76,")")</f>
        <v>Financial benefits of the intervention in Year 18 (GBP (£))</v>
      </c>
      <c r="V19" s="1002" t="str">
        <f>CONCATENATE("Financial benefits of the intervention in Year 19"," ", "(",'Proposition Summary'!$B$76,")")</f>
        <v>Financial benefits of the intervention in Year 19 (GBP (£))</v>
      </c>
      <c r="W19" s="1002" t="str">
        <f>CONCATENATE("Financial benefits of the intervention in Year 20"," ", "(",'Proposition Summary'!$B$76,")")</f>
        <v>Financial benefits of the intervention in Year 20 (GBP (£))</v>
      </c>
      <c r="X19" s="1002" t="str">
        <f>CONCATENATE("Financial benefits of the intervention in Year 21"," ", "(",'Proposition Summary'!$B$76,")")</f>
        <v>Financial benefits of the intervention in Year 21 (GBP (£))</v>
      </c>
      <c r="Y19" s="1002" t="str">
        <f>CONCATENATE("Financial benefits of the intervention in Year 22"," ", "(",'Proposition Summary'!$B$76,")")</f>
        <v>Financial benefits of the intervention in Year 22 (GBP (£))</v>
      </c>
      <c r="Z19" s="1002" t="str">
        <f>CONCATENATE("Financial benefits of the intervention in Year 23"," ", "(",'Proposition Summary'!$B$76,")")</f>
        <v>Financial benefits of the intervention in Year 23 (GBP (£))</v>
      </c>
      <c r="AA19" s="1002" t="str">
        <f>CONCATENATE("Financial benefits of the intervention in Year 24"," ", "(",'Proposition Summary'!$B$76,")")</f>
        <v>Financial benefits of the intervention in Year 24 (GBP (£))</v>
      </c>
      <c r="AB19" s="1002" t="str">
        <f>CONCATENATE("Financial benefits of the intervention in Year 25"," ", "(",'Proposition Summary'!$B$76,")")</f>
        <v>Financial benefits of the intervention in Year 25 (GBP (£))</v>
      </c>
      <c r="AC19" s="1001" t="str">
        <f>CONCATENATE("Total Benefits"," ", "(",'Proposition Summary'!$B$76,")")</f>
        <v>Total Benefits (GBP (£))</v>
      </c>
      <c r="AD19" s="1003" t="str">
        <f>CONCATENATE("Annual Benefits"," ", "(",'Proposition Summary'!$B$76,")")</f>
        <v>Annual Benefits (GBP (£))</v>
      </c>
      <c r="AG19" s="596"/>
      <c r="AH19" s="633"/>
      <c r="AI19" s="598" t="str">
        <f>CONCATENATE("Average savings by bearer (costs in anticipation of crime included)"," ", "(",'Proposition Summary'!$B$76,")")</f>
        <v>Average savings by bearer (costs in anticipation of crime included) (GBP (£))</v>
      </c>
      <c r="AJ19" s="599"/>
      <c r="AK19" s="113" t="s">
        <v>290</v>
      </c>
      <c r="AL19" s="113" t="s">
        <v>542</v>
      </c>
      <c r="AM19" s="113" t="s">
        <v>543</v>
      </c>
      <c r="AN19" s="113" t="s">
        <v>544</v>
      </c>
      <c r="AO19" s="113" t="s">
        <v>545</v>
      </c>
      <c r="AP19" s="113" t="s">
        <v>292</v>
      </c>
      <c r="AQ19" s="113" t="s">
        <v>546</v>
      </c>
      <c r="AR19" s="113" t="s">
        <v>547</v>
      </c>
      <c r="AS19" s="113" t="s">
        <v>548</v>
      </c>
      <c r="AT19" s="113" t="s">
        <v>549</v>
      </c>
      <c r="AU19" s="113" t="s">
        <v>550</v>
      </c>
      <c r="AV19" s="113" t="s">
        <v>551</v>
      </c>
      <c r="AW19" s="113" t="s">
        <v>424</v>
      </c>
      <c r="AX19" s="113" t="s">
        <v>552</v>
      </c>
      <c r="AY19" s="113"/>
      <c r="BA19" s="113" t="s">
        <v>555</v>
      </c>
      <c r="BB19" s="113" t="s">
        <v>556</v>
      </c>
      <c r="BC19" s="113" t="s">
        <v>557</v>
      </c>
      <c r="BD19" s="113" t="s">
        <v>408</v>
      </c>
      <c r="BE19" s="113" t="s">
        <v>409</v>
      </c>
      <c r="BF19" s="113" t="s">
        <v>558</v>
      </c>
      <c r="BG19" s="113" t="s">
        <v>559</v>
      </c>
      <c r="BH19" s="113"/>
      <c r="BJ19" s="600" t="s">
        <v>421</v>
      </c>
      <c r="BK19" s="599" t="s">
        <v>422</v>
      </c>
      <c r="BL19" s="601" t="s">
        <v>415</v>
      </c>
      <c r="BM19" s="599" t="s">
        <v>416</v>
      </c>
      <c r="BN19" s="599" t="s">
        <v>417</v>
      </c>
      <c r="BO19" s="602" t="s">
        <v>418</v>
      </c>
      <c r="BR19" s="600" t="s">
        <v>526</v>
      </c>
      <c r="BS19" s="599" t="s">
        <v>527</v>
      </c>
      <c r="BT19" s="599" t="s">
        <v>528</v>
      </c>
      <c r="BU19" s="599" t="s">
        <v>529</v>
      </c>
      <c r="BV19" s="599" t="s">
        <v>530</v>
      </c>
      <c r="BW19" s="599" t="s">
        <v>531</v>
      </c>
      <c r="BX19" s="599" t="s">
        <v>532</v>
      </c>
      <c r="BY19" s="599" t="s">
        <v>533</v>
      </c>
      <c r="BZ19" s="599" t="s">
        <v>534</v>
      </c>
      <c r="CA19" s="602" t="s">
        <v>535</v>
      </c>
    </row>
    <row r="20" spans="1:79" ht="16" hidden="1" thickTop="1">
      <c r="A20" s="603">
        <v>1</v>
      </c>
      <c r="B20" s="367">
        <v>1</v>
      </c>
      <c r="C20" s="604" t="str">
        <f>IF(A20&lt;&gt;"",INDEX('Bearer list'!$D$4:$D$16,A20),"")</f>
        <v>CJS</v>
      </c>
      <c r="D20" s="634">
        <f>IF($A20&lt;&gt;"", SUMIF('Overall savings and benefits'!$AG$4:$AG$13, $C20, 'Overall savings and benefits'!AK$4:AK$13), "")</f>
        <v>0</v>
      </c>
      <c r="E20" s="605">
        <f>IF($A20&lt;&gt;"", SUMIF('Overall savings and benefits'!$AG$4:$AG$13, $C20, 'Overall savings and benefits'!AL$4:AL$13), "")</f>
        <v>0</v>
      </c>
      <c r="F20" s="605">
        <f>IF($A20&lt;&gt;"", SUMIF('Overall savings and benefits'!$AG$4:$AG$13, $C20, 'Overall savings and benefits'!AM$4:AM$13), "")</f>
        <v>0</v>
      </c>
      <c r="G20" s="605">
        <f>IF($A20&lt;&gt;"", SUMIF('Overall savings and benefits'!$AG$4:$AG$13, $C20, 'Overall savings and benefits'!AN$4:AN$13), "")</f>
        <v>0</v>
      </c>
      <c r="H20" s="605">
        <f>IF($A20&lt;&gt;"", SUMIF('Overall savings and benefits'!$AG$4:$AG$13, $C20, 'Overall savings and benefits'!AO$4:AO$13), "")</f>
        <v>0</v>
      </c>
      <c r="I20" s="605">
        <f>IF($A20&lt;&gt;"", SUMIF('Overall savings and benefits'!$AG$4:$AG$13, $C20, 'Overall savings and benefits'!AP$4:AP$13), "")</f>
        <v>0</v>
      </c>
      <c r="J20" s="605">
        <f>IF($A20&lt;&gt;"", SUMIF('Overall savings and benefits'!$AG$4:$AG$13, $C20, 'Overall savings and benefits'!AQ$4:AQ$13), "")</f>
        <v>0</v>
      </c>
      <c r="K20" s="605">
        <f>IF($A20&lt;&gt;"", SUMIF('Overall savings and benefits'!$AG$4:$AG$13, $C20, 'Overall savings and benefits'!AR$4:AR$13), "")</f>
        <v>0</v>
      </c>
      <c r="L20" s="605">
        <f>IF($A20&lt;&gt;"", SUMIF('Overall savings and benefits'!$AG$4:$AG$13, $C20, 'Overall savings and benefits'!AS$4:AS$13), "")</f>
        <v>0</v>
      </c>
      <c r="M20" s="605">
        <f>IF($A20&lt;&gt;"", SUMIF('Overall savings and benefits'!$AG$4:$AG$13, $C20, 'Overall savings and benefits'!AT$4:AT$13), "")</f>
        <v>0</v>
      </c>
      <c r="N20" s="605">
        <f>IF($A20&lt;&gt;"", SUMIF('Overall savings and benefits'!$AG$4:$AG$13, $C20, 'Overall savings and benefits'!AU$4:AU$13), "")</f>
        <v>0</v>
      </c>
      <c r="O20" s="605">
        <f>IF($A20&lt;&gt;"", SUMIF('Overall savings and benefits'!$AG$4:$AG$13, $C20, 'Overall savings and benefits'!AV$4:AV$13), "")</f>
        <v>0</v>
      </c>
      <c r="P20" s="605">
        <f>IF($A20&lt;&gt;"", SUMIF('Overall savings and benefits'!$AG$4:$AG$13, $C20, 'Overall savings and benefits'!AW$4:AW$13), "")</f>
        <v>0</v>
      </c>
      <c r="Q20" s="605">
        <f>IF($A20&lt;&gt;"", SUMIF('Overall savings and benefits'!$AG$4:$AG$13, $C20, 'Overall savings and benefits'!AX$4:AX$13), "")</f>
        <v>0</v>
      </c>
      <c r="R20" s="605">
        <f>IF($A20&lt;&gt;"", SUMIF('Overall savings and benefits'!$AG$4:$AG$13, $C20, 'Overall savings and benefits'!AY$4:AY$13), "")</f>
        <v>0</v>
      </c>
      <c r="S20" s="605">
        <f>IF($A20&lt;&gt;"", SUMIF('Overall savings and benefits'!$AG$4:$AG$13, $C20, 'Overall savings and benefits'!AZ$4:AZ$13), "")</f>
        <v>0</v>
      </c>
      <c r="T20" s="605">
        <f>IF($A20&lt;&gt;"", SUMIF('Overall savings and benefits'!$AG$4:$AG$13, $C20, 'Overall savings and benefits'!BA$4:BA$13), "")</f>
        <v>0</v>
      </c>
      <c r="U20" s="605">
        <f>IF($A20&lt;&gt;"", SUMIF('Overall savings and benefits'!$AG$4:$AG$13, $C20, 'Overall savings and benefits'!BB$4:BB$13), "")</f>
        <v>0</v>
      </c>
      <c r="V20" s="605">
        <f>IF($A20&lt;&gt;"", SUMIF('Overall savings and benefits'!$AG$4:$AG$13, $C20, 'Overall savings and benefits'!BC$4:BC$13), "")</f>
        <v>0</v>
      </c>
      <c r="W20" s="605">
        <f>IF($A20&lt;&gt;"", SUMIF('Overall savings and benefits'!$AG$4:$AG$13, $C20, 'Overall savings and benefits'!BD$4:BD$13), "")</f>
        <v>0</v>
      </c>
      <c r="X20" s="605">
        <f>IF($A20&lt;&gt;"", SUMIF('Overall savings and benefits'!$AG$4:$AG$13, $C20, 'Overall savings and benefits'!BE$4:BE$13), "")</f>
        <v>0</v>
      </c>
      <c r="Y20" s="605">
        <f>IF($A20&lt;&gt;"", SUMIF('Overall savings and benefits'!$AG$4:$AG$13, $C20, 'Overall savings and benefits'!BF$4:BF$13), "")</f>
        <v>0</v>
      </c>
      <c r="Z20" s="605">
        <f>IF($A20&lt;&gt;"", SUMIF('Overall savings and benefits'!$AG$4:$AG$13, $C20, 'Overall savings and benefits'!BG$4:BG$13), "")</f>
        <v>0</v>
      </c>
      <c r="AA20" s="605">
        <f>IF($A20&lt;&gt;"", SUMIF('Overall savings and benefits'!$AG$4:$AG$13, $C20, 'Overall savings and benefits'!BH$4:BH$13), "")</f>
        <v>0</v>
      </c>
      <c r="AB20" s="605">
        <f>IF($A20&lt;&gt;"", SUMIF('Overall savings and benefits'!$AG$4:$AG$13, $C20, 'Overall savings and benefits'!BI$4:BI$13), "")</f>
        <v>0</v>
      </c>
      <c r="AC20" s="1004">
        <f t="array" ref="AC20">IF($A20&lt;&gt;"", (SUM( IF(ISERROR(D20:AB20),"", D20:AB20))), "")</f>
        <v>0</v>
      </c>
      <c r="AD20" s="1005">
        <f t="shared" ref="AD20:AD32" si="39">IF($A20&lt;&gt;"", AC20/time, "")</f>
        <v>0</v>
      </c>
      <c r="AG20" s="159">
        <v>1</v>
      </c>
      <c r="AH20" s="635">
        <v>1</v>
      </c>
      <c r="AI20" s="607" t="str">
        <f>IF(AG20&lt;&gt;"",INDEX('Bearer list'!$D$4:$D$16,AG20),"")</f>
        <v>CJS</v>
      </c>
      <c r="AJ20" s="608"/>
      <c r="AK20" s="609">
        <f t="shared" ref="AK20:AK32" si="40">IF(AG20&lt;&gt;"", SUMIF(AM$50:AM$58, $AI20, AL$50:AL$58), "")</f>
        <v>931276.77611328883</v>
      </c>
      <c r="AL20" s="609">
        <f t="shared" ref="AL20:AL32" si="41">IF(AG20&lt;&gt;"", SUMIF(AO$50:AO$58, $AI20, AN$50:AN$58), "")</f>
        <v>2844.7397916512582</v>
      </c>
      <c r="AM20" s="609">
        <f t="shared" ref="AM20:AM32" si="42">IF(AG20&lt;&gt;"", SUMIF(AQ$50:AQ$58, $AI20, AP$50:AP$58), "")</f>
        <v>2355.4445474872409</v>
      </c>
      <c r="AN20" s="609">
        <f t="shared" ref="AN20:AN32" si="43">IF(AG20&lt;&gt;"", SUMIF(AS$50:AS$58, $AI20, AR$50:AR$58), "")</f>
        <v>7942.513498290311</v>
      </c>
      <c r="AO20" s="609">
        <f t="shared" ref="AO20:AO32" si="44">IF(AG20&lt;&gt;"", SUMIF(AU$50:AU$58, $AI20, AT$50:AT$58), "")</f>
        <v>1319.9592633261836</v>
      </c>
      <c r="AP20" s="609">
        <f t="shared" ref="AP20:AP32" si="45">IF(AG20&lt;&gt;"", SUMIF(AW$50:AW$58, $AI20, AV$50:AV$58), "")</f>
        <v>5336.7318491377591</v>
      </c>
      <c r="AQ20" s="609">
        <f t="shared" ref="AQ20:AQ32" si="46">IF(AG20&lt;&gt;"", SUMIF(AY$50:AY$58, $AI20, AX$50:AX$58), "")</f>
        <v>2048.2126499889055</v>
      </c>
      <c r="AR20" s="609">
        <f t="shared" ref="AR20:AR32" si="47">IF(AG20&lt;&gt;"",SUMIF(BA$50:BA$58,$AI20,AZ$50:AZ$58),"")</f>
        <v>4437.7940749759618</v>
      </c>
      <c r="AS20" s="609">
        <f t="shared" ref="AS20:AS32" si="48">IF(AG20&lt;&gt;"",SUMIF(BC$50:BC$58,$AI20,BB$50:BB$58),"")</f>
        <v>204.82126499889051</v>
      </c>
      <c r="AT20" s="609">
        <f t="shared" ref="AT20:AT32" si="49">IF(AG20&lt;&gt;"", SUMIF(BE$50:BE$58, $AI20, BD$50:BD$58), "")</f>
        <v>489.29524416401625</v>
      </c>
      <c r="AU20" s="609">
        <f t="shared" ref="AU20:AU32" si="50">IF(AG20&lt;&gt;"", SUMIF(BG$50:BG$58, $AI20, BF$50:BF$58), "")</f>
        <v>5678.1006241359091</v>
      </c>
      <c r="AV20" s="609">
        <f t="shared" ref="AV20:AV32" si="51">IF(AG20&lt;&gt;"", SUMIF(BI$50:BI$58, $AI20, BH$50:BH$58), "")</f>
        <v>568.94795833025159</v>
      </c>
      <c r="AW20" s="609">
        <f t="shared" ref="AW20:AW32" si="52">IF(AG20&lt;&gt;"",SUMIF(BK$50:BK$58,$AI20,BJ$50:BJ$58),"")</f>
        <v>261.71606083191568</v>
      </c>
      <c r="AX20" s="610">
        <f t="shared" ref="AX20:AX32" si="53">IF(AG20&lt;&gt;"", SUMIF(BM$50:BM$58, $AI20, BL$50:BL$58), "")</f>
        <v>0</v>
      </c>
      <c r="BA20" s="611">
        <f t="shared" ref="BA20:BA32" si="54">IF(AG20&lt;&gt;"", SUMIF(BO$50:BO$58, $AI20, BN$50:BN$58), "")</f>
        <v>5348.5423675165111</v>
      </c>
      <c r="BB20" s="609">
        <f t="shared" ref="BB20:BB32" si="55">IF(AG20&lt;&gt;"", SUMIF(BQ$50:BQ$58, $AI20, BP$50:BP$58), "")</f>
        <v>3151.9716891495937</v>
      </c>
      <c r="BC20" s="609">
        <f t="shared" ref="BC20:BC32" si="56">IF(AG20&lt;&gt;"", SUMIF(BS$50:BS$58, $AI20, BR$50:BR$58), "")</f>
        <v>273.09501999852068</v>
      </c>
      <c r="BD20" s="609">
        <f t="shared" ref="BD20:BD32" si="57">IF(AG20&lt;&gt;"", SUMIF(BU$50:BU$58, $AI20, BT$50:BT$58), "")</f>
        <v>4437.7940749759618</v>
      </c>
      <c r="BE20" s="609">
        <f t="shared" ref="BE20:BE32" si="58">IF(AG20&lt;&gt;"", SUMIF(BW$50:BW$58, $AI20, BV$50:BV$58), "")</f>
        <v>204.82126499889051</v>
      </c>
      <c r="BF20" s="609">
        <f t="shared" ref="BF20:BF32" si="59">IF(AG20&lt;&gt;"", SUMIF(BY$50:BY$58, $AI20, BX$50:BX$58), "")</f>
        <v>5678.3164037419829</v>
      </c>
      <c r="BG20" s="610">
        <f t="shared" ref="BG20:BG32" si="60">IF(AG20&lt;&gt;"", SUMIF(CA$50:CA$58, $AI20, BZ$50:BZ$58), "")</f>
        <v>568.94795833025159</v>
      </c>
      <c r="BJ20" s="611">
        <f t="shared" ref="BJ20:BJ32" si="61">IF(AG20&lt;&gt;"", SUMIF(CC$50:CC$58, $AI20, CB$50:CB$58), "")</f>
        <v>0</v>
      </c>
      <c r="BK20" s="609">
        <f t="shared" ref="BK20:BK32" si="62">IF(AG20&lt;&gt;"", SUMIF(CE$50:CE$58, $AI20, CD$50:CD$58), "")</f>
        <v>0</v>
      </c>
      <c r="BL20" s="609">
        <f t="shared" ref="BL20:BL32" si="63">IF(AG20&lt;&gt;"", SUMIF(CG$50:CG$58, $AI20, CF$50:CF$58), "")</f>
        <v>0</v>
      </c>
      <c r="BM20" s="609">
        <f t="shared" ref="BM20:BM32" si="64">IF(AG20&lt;&gt;"", SUMIF(CI$50:CI$58, $AI20, CH$50:CH$58), "")</f>
        <v>0</v>
      </c>
      <c r="BN20" s="609">
        <f t="shared" ref="BN20:BN32" si="65">IF(AG20&lt;&gt;"", SUMIF(CK$50:CK$58, $AI20, CJ$50:CJ$58), "")</f>
        <v>0</v>
      </c>
      <c r="BO20" s="610">
        <f t="shared" ref="BO20:BO32" si="66">IF(AG20&lt;&gt;"", SUMIF(CM$50:CM$58, $AI20, CL$50:CL$58), "")</f>
        <v>0</v>
      </c>
      <c r="BR20" s="611">
        <f t="shared" ref="BR20:BR32" si="67">IF($AG20&lt;&gt;"", SUMIF(CO$50:CO$58, $AI20, CN$50:CN$58), "")</f>
        <v>0</v>
      </c>
      <c r="BS20" s="609">
        <f t="shared" ref="BS20:BS32" si="68">IF($AG20&lt;&gt;"", SUMIF(CQ$50:CQ$58, $AI20, CP$50:CP$58), "")</f>
        <v>0</v>
      </c>
      <c r="BT20" s="609">
        <f t="shared" ref="BT20:BT32" si="69">IF($AG20&lt;&gt;"", SUMIF(CS$50:CS$58, $AI20, CR$50:CR$58), "")</f>
        <v>0</v>
      </c>
      <c r="BU20" s="609">
        <f t="shared" ref="BU20:BU32" si="70">IF($AG20&lt;&gt;"", SUMIF(CU$50:CU$58, $AI20, CT$50:CT$58), "")</f>
        <v>0</v>
      </c>
      <c r="BV20" s="609">
        <f t="shared" ref="BV20:BV32" si="71">IF($AG20&lt;&gt;"", SUMIF(CW$50:CW$58, $AI20, CV$50:CV$58), "")</f>
        <v>0</v>
      </c>
      <c r="BW20" s="609">
        <f t="shared" ref="BW20:BW32" si="72">IF($AG20&lt;&gt;"", SUMIF(CY$50:CY$58, $AI20, CX$50:CX$58), "")</f>
        <v>0</v>
      </c>
      <c r="BX20" s="609">
        <f t="shared" ref="BX20:BX32" si="73">IF($AG20&lt;&gt;"", SUMIF(DA$50:DA$58, $AI20, CZ$50:CZ$58), "")</f>
        <v>0</v>
      </c>
      <c r="BY20" s="609">
        <f t="shared" ref="BY20:BY32" si="74">IF($AG20&lt;&gt;"", SUMIF(DC$50:DC$58, $AI20, DB$50:DB$58), "")</f>
        <v>0</v>
      </c>
      <c r="BZ20" s="609">
        <f t="shared" ref="BZ20:BZ32" si="75">IF($AG20&lt;&gt;"", SUMIF(DE$50:DE$58, $AI20, DD$50:DD$58), "")</f>
        <v>0</v>
      </c>
      <c r="CA20" s="610">
        <f t="shared" ref="CA20:CA32" si="76">IF($AG20&lt;&gt;"", SUMIF(DG$50:DG$58, $AI20, DF$50:DF$58), "")</f>
        <v>0</v>
      </c>
    </row>
    <row r="21" spans="1:79" hidden="1">
      <c r="A21" s="612">
        <f>IF((13-COUNTIF('Bearer list'!$E$4:$E$16,""))&gt;A20,A20+1,"")</f>
        <v>2</v>
      </c>
      <c r="B21" s="367">
        <v>2</v>
      </c>
      <c r="C21" s="604" t="str">
        <f>IF(A21&lt;&gt;"",INDEX('Bearer list'!$D$4:$D$16,A21),"")</f>
        <v>Society</v>
      </c>
      <c r="D21" s="634">
        <f>IF($A21&lt;&gt;"", SUMIF('Overall savings and benefits'!$AG$4:$AG$13, $C21, 'Overall savings and benefits'!AK$4:AK$13), "")</f>
        <v>0</v>
      </c>
      <c r="E21" s="605">
        <f>IF($A21&lt;&gt;"", SUMIF('Overall savings and benefits'!$AG$4:$AG$13, $C21, 'Overall savings and benefits'!AL$4:AL$13), "")</f>
        <v>0</v>
      </c>
      <c r="F21" s="605">
        <f>IF($A21&lt;&gt;"", SUMIF('Overall savings and benefits'!$AG$4:$AG$13, $C21, 'Overall savings and benefits'!AM$4:AM$13), "")</f>
        <v>0</v>
      </c>
      <c r="G21" s="605">
        <f>IF($A21&lt;&gt;"", SUMIF('Overall savings and benefits'!$AG$4:$AG$13, $C21, 'Overall savings and benefits'!AN$4:AN$13), "")</f>
        <v>0</v>
      </c>
      <c r="H21" s="605">
        <f>IF($A21&lt;&gt;"", SUMIF('Overall savings and benefits'!$AG$4:$AG$13, $C21, 'Overall savings and benefits'!AO$4:AO$13), "")</f>
        <v>0</v>
      </c>
      <c r="I21" s="605">
        <f>IF($A21&lt;&gt;"", SUMIF('Overall savings and benefits'!$AG$4:$AG$13, $C21, 'Overall savings and benefits'!AP$4:AP$13), "")</f>
        <v>0</v>
      </c>
      <c r="J21" s="605">
        <f>IF($A21&lt;&gt;"", SUMIF('Overall savings and benefits'!$AG$4:$AG$13, $C21, 'Overall savings and benefits'!AQ$4:AQ$13), "")</f>
        <v>0</v>
      </c>
      <c r="K21" s="605">
        <f>IF($A21&lt;&gt;"", SUMIF('Overall savings and benefits'!$AG$4:$AG$13, $C21, 'Overall savings and benefits'!AR$4:AR$13), "")</f>
        <v>0</v>
      </c>
      <c r="L21" s="605">
        <f>IF($A21&lt;&gt;"", SUMIF('Overall savings and benefits'!$AG$4:$AG$13, $C21, 'Overall savings and benefits'!AS$4:AS$13), "")</f>
        <v>0</v>
      </c>
      <c r="M21" s="605">
        <f>IF($A21&lt;&gt;"", SUMIF('Overall savings and benefits'!$AG$4:$AG$13, $C21, 'Overall savings and benefits'!AT$4:AT$13), "")</f>
        <v>0</v>
      </c>
      <c r="N21" s="605">
        <f>IF($A21&lt;&gt;"", SUMIF('Overall savings and benefits'!$AG$4:$AG$13, $C21, 'Overall savings and benefits'!AU$4:AU$13), "")</f>
        <v>0</v>
      </c>
      <c r="O21" s="605">
        <f>IF($A21&lt;&gt;"", SUMIF('Overall savings and benefits'!$AG$4:$AG$13, $C21, 'Overall savings and benefits'!AV$4:AV$13), "")</f>
        <v>0</v>
      </c>
      <c r="P21" s="605">
        <f>IF($A21&lt;&gt;"", SUMIF('Overall savings and benefits'!$AG$4:$AG$13, $C21, 'Overall savings and benefits'!AW$4:AW$13), "")</f>
        <v>0</v>
      </c>
      <c r="Q21" s="605">
        <f>IF($A21&lt;&gt;"", SUMIF('Overall savings and benefits'!$AG$4:$AG$13, $C21, 'Overall savings and benefits'!AX$4:AX$13), "")</f>
        <v>0</v>
      </c>
      <c r="R21" s="605">
        <f>IF($A21&lt;&gt;"", SUMIF('Overall savings and benefits'!$AG$4:$AG$13, $C21, 'Overall savings and benefits'!AY$4:AY$13), "")</f>
        <v>0</v>
      </c>
      <c r="S21" s="605">
        <f>IF($A21&lt;&gt;"", SUMIF('Overall savings and benefits'!$AG$4:$AG$13, $C21, 'Overall savings and benefits'!AZ$4:AZ$13), "")</f>
        <v>0</v>
      </c>
      <c r="T21" s="605">
        <f>IF($A21&lt;&gt;"", SUMIF('Overall savings and benefits'!$AG$4:$AG$13, $C21, 'Overall savings and benefits'!BA$4:BA$13), "")</f>
        <v>0</v>
      </c>
      <c r="U21" s="605">
        <f>IF($A21&lt;&gt;"", SUMIF('Overall savings and benefits'!$AG$4:$AG$13, $C21, 'Overall savings and benefits'!BB$4:BB$13), "")</f>
        <v>0</v>
      </c>
      <c r="V21" s="605">
        <f>IF($A21&lt;&gt;"", SUMIF('Overall savings and benefits'!$AG$4:$AG$13, $C21, 'Overall savings and benefits'!BC$4:BC$13), "")</f>
        <v>0</v>
      </c>
      <c r="W21" s="605">
        <f>IF($A21&lt;&gt;"", SUMIF('Overall savings and benefits'!$AG$4:$AG$13, $C21, 'Overall savings and benefits'!BD$4:BD$13), "")</f>
        <v>0</v>
      </c>
      <c r="X21" s="605">
        <f>IF($A21&lt;&gt;"", SUMIF('Overall savings and benefits'!$AG$4:$AG$13, $C21, 'Overall savings and benefits'!BE$4:BE$13), "")</f>
        <v>0</v>
      </c>
      <c r="Y21" s="605">
        <f>IF($A21&lt;&gt;"", SUMIF('Overall savings and benefits'!$AG$4:$AG$13, $C21, 'Overall savings and benefits'!BF$4:BF$13), "")</f>
        <v>0</v>
      </c>
      <c r="Z21" s="605">
        <f>IF($A21&lt;&gt;"", SUMIF('Overall savings and benefits'!$AG$4:$AG$13, $C21, 'Overall savings and benefits'!BG$4:BG$13), "")</f>
        <v>0</v>
      </c>
      <c r="AA21" s="605">
        <f>IF($A21&lt;&gt;"", SUMIF('Overall savings and benefits'!$AG$4:$AG$13, $C21, 'Overall savings and benefits'!BH$4:BH$13), "")</f>
        <v>0</v>
      </c>
      <c r="AB21" s="605">
        <f>IF($A21&lt;&gt;"", SUMIF('Overall savings and benefits'!$AG$4:$AG$13, $C21, 'Overall savings and benefits'!BI$4:BI$13), "")</f>
        <v>0</v>
      </c>
      <c r="AC21" s="1004">
        <f t="array" ref="AC21">IF($A21&lt;&gt;"", (SUM( IF(ISERROR(D21:AB21),"", D21:AB21))), "")</f>
        <v>0</v>
      </c>
      <c r="AD21" s="1005">
        <f>IF($A21&lt;&gt;"", AC21/time, "")</f>
        <v>0</v>
      </c>
      <c r="AG21" s="636">
        <f>IF((13-COUNTIF('Bearer list'!$E$4:$E$16,""))&gt;AG20,AG20+1,"")</f>
        <v>2</v>
      </c>
      <c r="AH21" s="635">
        <v>2</v>
      </c>
      <c r="AI21" s="613" t="str">
        <f>IF(AG21&lt;&gt;"",INDEX('Bearer list'!$D$4:$D$16,AG21),"")</f>
        <v>Society</v>
      </c>
      <c r="AJ21" s="608"/>
      <c r="AK21" s="609">
        <f t="shared" si="40"/>
        <v>2728913.3662943845</v>
      </c>
      <c r="AL21" s="609">
        <f t="shared" si="41"/>
        <v>12107.212553267755</v>
      </c>
      <c r="AM21" s="609">
        <f t="shared" si="42"/>
        <v>4096.4252999778109</v>
      </c>
      <c r="AN21" s="609">
        <f t="shared" si="43"/>
        <v>35582.005313973925</v>
      </c>
      <c r="AO21" s="609">
        <f t="shared" si="44"/>
        <v>5666.7216649693064</v>
      </c>
      <c r="AP21" s="609">
        <f t="shared" si="45"/>
        <v>6679.4490307971528</v>
      </c>
      <c r="AQ21" s="609">
        <f t="shared" si="46"/>
        <v>4255.7307283102809</v>
      </c>
      <c r="AR21" s="609">
        <f t="shared" si="47"/>
        <v>7157.3653157945637</v>
      </c>
      <c r="AS21" s="609">
        <f t="shared" si="48"/>
        <v>751.01130499593205</v>
      </c>
      <c r="AT21" s="609">
        <f t="shared" si="49"/>
        <v>933.07465166161251</v>
      </c>
      <c r="AU21" s="609">
        <f t="shared" si="50"/>
        <v>3698.1617291466346</v>
      </c>
      <c r="AV21" s="609">
        <f t="shared" si="51"/>
        <v>842.04297832877228</v>
      </c>
      <c r="AW21" s="609">
        <f t="shared" si="52"/>
        <v>1115.1379983272932</v>
      </c>
      <c r="AX21" s="610">
        <f t="shared" si="53"/>
        <v>568.94795833025148</v>
      </c>
      <c r="BA21" s="611">
        <f t="shared" si="54"/>
        <v>11037.59039160688</v>
      </c>
      <c r="BB21" s="609">
        <f t="shared" si="55"/>
        <v>14246.456876589498</v>
      </c>
      <c r="BC21" s="609">
        <f t="shared" si="56"/>
        <v>830.66401916216716</v>
      </c>
      <c r="BD21" s="609">
        <f t="shared" si="57"/>
        <v>35582.005313973925</v>
      </c>
      <c r="BE21" s="609">
        <f t="shared" si="58"/>
        <v>1934.4230583228548</v>
      </c>
      <c r="BF21" s="609">
        <f t="shared" si="59"/>
        <v>6349.4592149656064</v>
      </c>
      <c r="BG21" s="610">
        <f t="shared" si="60"/>
        <v>989.96944749463785</v>
      </c>
      <c r="BJ21" s="611">
        <f t="shared" si="61"/>
        <v>0</v>
      </c>
      <c r="BK21" s="609">
        <f t="shared" si="62"/>
        <v>0</v>
      </c>
      <c r="BL21" s="609">
        <f t="shared" si="63"/>
        <v>0</v>
      </c>
      <c r="BM21" s="609">
        <f t="shared" si="64"/>
        <v>0</v>
      </c>
      <c r="BN21" s="609">
        <f t="shared" si="65"/>
        <v>0</v>
      </c>
      <c r="BO21" s="610">
        <f t="shared" si="66"/>
        <v>0</v>
      </c>
      <c r="BR21" s="611">
        <f t="shared" si="67"/>
        <v>0</v>
      </c>
      <c r="BS21" s="609">
        <f t="shared" si="68"/>
        <v>0</v>
      </c>
      <c r="BT21" s="609">
        <f t="shared" si="69"/>
        <v>0</v>
      </c>
      <c r="BU21" s="609">
        <f t="shared" si="70"/>
        <v>0</v>
      </c>
      <c r="BV21" s="609">
        <f t="shared" si="71"/>
        <v>0</v>
      </c>
      <c r="BW21" s="609">
        <f t="shared" si="72"/>
        <v>0</v>
      </c>
      <c r="BX21" s="609">
        <f t="shared" si="73"/>
        <v>0</v>
      </c>
      <c r="BY21" s="609">
        <f t="shared" si="74"/>
        <v>0</v>
      </c>
      <c r="BZ21" s="609">
        <f t="shared" si="75"/>
        <v>0</v>
      </c>
      <c r="CA21" s="610">
        <f t="shared" si="76"/>
        <v>0</v>
      </c>
    </row>
    <row r="22" spans="1:79" hidden="1">
      <c r="A22" s="612">
        <f>IF((13-COUNTIF('Bearer list'!$E$4:$E$16,""))&gt;A21,A21+1,"")</f>
        <v>3</v>
      </c>
      <c r="B22" s="367">
        <v>3</v>
      </c>
      <c r="C22" s="604" t="str">
        <f>IF(A22&lt;&gt;"",INDEX('Bearer list'!$D$4:$D$16,A22),"")</f>
        <v>HealthSystem</v>
      </c>
      <c r="D22" s="634">
        <f>IF($A22&lt;&gt;"", SUMIF('Overall savings and benefits'!$AG$4:$AG$13, $C22, 'Overall savings and benefits'!AK$4:AK$13), "")</f>
        <v>0</v>
      </c>
      <c r="E22" s="605">
        <f>IF($A22&lt;&gt;"", SUMIF('Overall savings and benefits'!$AG$4:$AG$13, $C22, 'Overall savings and benefits'!AL$4:AL$13), "")</f>
        <v>0</v>
      </c>
      <c r="F22" s="605">
        <f>IF($A22&lt;&gt;"", SUMIF('Overall savings and benefits'!$AG$4:$AG$13, $C22, 'Overall savings and benefits'!AM$4:AM$13), "")</f>
        <v>0</v>
      </c>
      <c r="G22" s="605">
        <f>IF($A22&lt;&gt;"", SUMIF('Overall savings and benefits'!$AG$4:$AG$13, $C22, 'Overall savings and benefits'!AN$4:AN$13), "")</f>
        <v>0</v>
      </c>
      <c r="H22" s="605">
        <f>IF($A22&lt;&gt;"", SUMIF('Overall savings and benefits'!$AG$4:$AG$13, $C22, 'Overall savings and benefits'!AO$4:AO$13), "")</f>
        <v>0</v>
      </c>
      <c r="I22" s="605">
        <f>IF($A22&lt;&gt;"", SUMIF('Overall savings and benefits'!$AG$4:$AG$13, $C22, 'Overall savings and benefits'!AP$4:AP$13), "")</f>
        <v>0</v>
      </c>
      <c r="J22" s="605">
        <f>IF($A22&lt;&gt;"", SUMIF('Overall savings and benefits'!$AG$4:$AG$13, $C22, 'Overall savings and benefits'!AQ$4:AQ$13), "")</f>
        <v>0</v>
      </c>
      <c r="K22" s="605">
        <f>IF($A22&lt;&gt;"", SUMIF('Overall savings and benefits'!$AG$4:$AG$13, $C22, 'Overall savings and benefits'!AR$4:AR$13), "")</f>
        <v>0</v>
      </c>
      <c r="L22" s="605">
        <f>IF($A22&lt;&gt;"", SUMIF('Overall savings and benefits'!$AG$4:$AG$13, $C22, 'Overall savings and benefits'!AS$4:AS$13), "")</f>
        <v>0</v>
      </c>
      <c r="M22" s="605">
        <f>IF($A22&lt;&gt;"", SUMIF('Overall savings and benefits'!$AG$4:$AG$13, $C22, 'Overall savings and benefits'!AT$4:AT$13), "")</f>
        <v>0</v>
      </c>
      <c r="N22" s="605">
        <f>IF($A22&lt;&gt;"", SUMIF('Overall savings and benefits'!$AG$4:$AG$13, $C22, 'Overall savings and benefits'!AU$4:AU$13), "")</f>
        <v>0</v>
      </c>
      <c r="O22" s="605">
        <f>IF($A22&lt;&gt;"", SUMIF('Overall savings and benefits'!$AG$4:$AG$13, $C22, 'Overall savings and benefits'!AV$4:AV$13), "")</f>
        <v>0</v>
      </c>
      <c r="P22" s="605">
        <f>IF($A22&lt;&gt;"", SUMIF('Overall savings and benefits'!$AG$4:$AG$13, $C22, 'Overall savings and benefits'!AW$4:AW$13), "")</f>
        <v>0</v>
      </c>
      <c r="Q22" s="605">
        <f>IF($A22&lt;&gt;"", SUMIF('Overall savings and benefits'!$AG$4:$AG$13, $C22, 'Overall savings and benefits'!AX$4:AX$13), "")</f>
        <v>0</v>
      </c>
      <c r="R22" s="605">
        <f>IF($A22&lt;&gt;"", SUMIF('Overall savings and benefits'!$AG$4:$AG$13, $C22, 'Overall savings and benefits'!AY$4:AY$13), "")</f>
        <v>0</v>
      </c>
      <c r="S22" s="605">
        <f>IF($A22&lt;&gt;"", SUMIF('Overall savings and benefits'!$AG$4:$AG$13, $C22, 'Overall savings and benefits'!AZ$4:AZ$13), "")</f>
        <v>0</v>
      </c>
      <c r="T22" s="605">
        <f>IF($A22&lt;&gt;"", SUMIF('Overall savings and benefits'!$AG$4:$AG$13, $C22, 'Overall savings and benefits'!BA$4:BA$13), "")</f>
        <v>0</v>
      </c>
      <c r="U22" s="605">
        <f>IF($A22&lt;&gt;"", SUMIF('Overall savings and benefits'!$AG$4:$AG$13, $C22, 'Overall savings and benefits'!BB$4:BB$13), "")</f>
        <v>0</v>
      </c>
      <c r="V22" s="605">
        <f>IF($A22&lt;&gt;"", SUMIF('Overall savings and benefits'!$AG$4:$AG$13, $C22, 'Overall savings and benefits'!BC$4:BC$13), "")</f>
        <v>0</v>
      </c>
      <c r="W22" s="605">
        <f>IF($A22&lt;&gt;"", SUMIF('Overall savings and benefits'!$AG$4:$AG$13, $C22, 'Overall savings and benefits'!BD$4:BD$13), "")</f>
        <v>0</v>
      </c>
      <c r="X22" s="605">
        <f>IF($A22&lt;&gt;"", SUMIF('Overall savings and benefits'!$AG$4:$AG$13, $C22, 'Overall savings and benefits'!BE$4:BE$13), "")</f>
        <v>0</v>
      </c>
      <c r="Y22" s="605">
        <f>IF($A22&lt;&gt;"", SUMIF('Overall savings and benefits'!$AG$4:$AG$13, $C22, 'Overall savings and benefits'!BF$4:BF$13), "")</f>
        <v>0</v>
      </c>
      <c r="Z22" s="605">
        <f>IF($A22&lt;&gt;"", SUMIF('Overall savings and benefits'!$AG$4:$AG$13, $C22, 'Overall savings and benefits'!BG$4:BG$13), "")</f>
        <v>0</v>
      </c>
      <c r="AA22" s="605">
        <f>IF($A22&lt;&gt;"", SUMIF('Overall savings and benefits'!$AG$4:$AG$13, $C22, 'Overall savings and benefits'!BH$4:BH$13), "")</f>
        <v>0</v>
      </c>
      <c r="AB22" s="605">
        <f>IF($A22&lt;&gt;"", SUMIF('Overall savings and benefits'!$AG$4:$AG$13, $C22, 'Overall savings and benefits'!BI$4:BI$13), "")</f>
        <v>0</v>
      </c>
      <c r="AC22" s="1004">
        <f t="array" ref="AC22">IF($A22&lt;&gt;"", (SUM( IF(ISERROR(D22:AB22),"", D22:AB22))), "")</f>
        <v>0</v>
      </c>
      <c r="AD22" s="1005">
        <f t="shared" si="39"/>
        <v>0</v>
      </c>
      <c r="AG22" s="636">
        <f>IF((13-COUNTIF('Bearer list'!$E$4:$E$16,""))&gt;AG21,AG21+1,"")</f>
        <v>3</v>
      </c>
      <c r="AH22" s="635">
        <v>3</v>
      </c>
      <c r="AI22" s="613" t="str">
        <f>IF(AG22&lt;&gt;"",INDEX('Bearer list'!$D$4:$D$16,AG22),"")</f>
        <v>HealthSystem</v>
      </c>
      <c r="AJ22" s="608"/>
      <c r="AK22" s="609">
        <f t="shared" si="40"/>
        <v>1263.0644674931584</v>
      </c>
      <c r="AL22" s="609">
        <f t="shared" si="41"/>
        <v>1046.864243327663</v>
      </c>
      <c r="AM22" s="609">
        <f t="shared" si="42"/>
        <v>307.23189749833585</v>
      </c>
      <c r="AN22" s="609">
        <f t="shared" si="43"/>
        <v>1263.0644674931584</v>
      </c>
      <c r="AO22" s="609">
        <f t="shared" si="44"/>
        <v>443.77940749759614</v>
      </c>
      <c r="AP22" s="609">
        <f t="shared" si="45"/>
        <v>864.80089666198228</v>
      </c>
      <c r="AQ22" s="609">
        <f t="shared" si="46"/>
        <v>432.40044833099114</v>
      </c>
      <c r="AR22" s="609">
        <f t="shared" si="47"/>
        <v>113.7895916660503</v>
      </c>
      <c r="AS22" s="609">
        <f t="shared" si="48"/>
        <v>45.515836666420114</v>
      </c>
      <c r="AT22" s="609">
        <f t="shared" si="49"/>
        <v>238.95814249870563</v>
      </c>
      <c r="AU22" s="609">
        <f t="shared" si="50"/>
        <v>204.82126499889054</v>
      </c>
      <c r="AV22" s="609">
        <f t="shared" si="51"/>
        <v>102.41063249944527</v>
      </c>
      <c r="AW22" s="609">
        <f t="shared" si="52"/>
        <v>79.652714166235214</v>
      </c>
      <c r="AX22" s="610">
        <f t="shared" si="53"/>
        <v>56.89479583302515</v>
      </c>
      <c r="BA22" s="611">
        <f t="shared" si="54"/>
        <v>682.73754999630182</v>
      </c>
      <c r="BB22" s="609">
        <f t="shared" si="55"/>
        <v>182.06334666568046</v>
      </c>
      <c r="BC22" s="609">
        <f t="shared" si="56"/>
        <v>0</v>
      </c>
      <c r="BD22" s="609">
        <f t="shared" si="57"/>
        <v>11.378959166605028</v>
      </c>
      <c r="BE22" s="609">
        <f t="shared" si="58"/>
        <v>0</v>
      </c>
      <c r="BF22" s="609">
        <f t="shared" si="59"/>
        <v>386.88461166457103</v>
      </c>
      <c r="BG22" s="610">
        <f t="shared" si="60"/>
        <v>45.515836666420114</v>
      </c>
      <c r="BJ22" s="611">
        <f t="shared" si="61"/>
        <v>0</v>
      </c>
      <c r="BK22" s="609">
        <f t="shared" si="62"/>
        <v>0</v>
      </c>
      <c r="BL22" s="609">
        <f t="shared" si="63"/>
        <v>0</v>
      </c>
      <c r="BM22" s="609">
        <f t="shared" si="64"/>
        <v>0</v>
      </c>
      <c r="BN22" s="609">
        <f t="shared" si="65"/>
        <v>0</v>
      </c>
      <c r="BO22" s="610">
        <f t="shared" si="66"/>
        <v>0</v>
      </c>
      <c r="BR22" s="611">
        <f t="shared" si="67"/>
        <v>0</v>
      </c>
      <c r="BS22" s="609">
        <f t="shared" si="68"/>
        <v>0</v>
      </c>
      <c r="BT22" s="609">
        <f t="shared" si="69"/>
        <v>0</v>
      </c>
      <c r="BU22" s="609">
        <f t="shared" si="70"/>
        <v>0</v>
      </c>
      <c r="BV22" s="609">
        <f t="shared" si="71"/>
        <v>0</v>
      </c>
      <c r="BW22" s="609">
        <f t="shared" si="72"/>
        <v>0</v>
      </c>
      <c r="BX22" s="609">
        <f t="shared" si="73"/>
        <v>0</v>
      </c>
      <c r="BY22" s="609">
        <f t="shared" si="74"/>
        <v>0</v>
      </c>
      <c r="BZ22" s="609">
        <f t="shared" si="75"/>
        <v>0</v>
      </c>
      <c r="CA22" s="610">
        <f t="shared" si="76"/>
        <v>0</v>
      </c>
    </row>
    <row r="23" spans="1:79" hidden="1">
      <c r="A23" s="612">
        <f>IF((13-COUNTIF('Bearer list'!$E$4:$E$16,""))&gt;A22,A22+1,"")</f>
        <v>4</v>
      </c>
      <c r="B23" s="367">
        <v>4</v>
      </c>
      <c r="C23" s="604" t="str">
        <f>IF(A23&lt;&gt;"",INDEX('Bearer list'!$D$4:$D$16,A23),"")</f>
        <v>Victim</v>
      </c>
      <c r="D23" s="634">
        <f>IF($A23&lt;&gt;"", SUMIF('Overall savings and benefits'!$AG$4:$AG$13, $C23, 'Overall savings and benefits'!AK$4:AK$13), "")</f>
        <v>0</v>
      </c>
      <c r="E23" s="605">
        <f>IF($A23&lt;&gt;"", SUMIF('Overall savings and benefits'!$AG$4:$AG$13, $C23, 'Overall savings and benefits'!AL$4:AL$13), "")</f>
        <v>0</v>
      </c>
      <c r="F23" s="605">
        <f>IF($A23&lt;&gt;"", SUMIF('Overall savings and benefits'!$AG$4:$AG$13, $C23, 'Overall savings and benefits'!AM$4:AM$13), "")</f>
        <v>0</v>
      </c>
      <c r="G23" s="605">
        <f>IF($A23&lt;&gt;"", SUMIF('Overall savings and benefits'!$AG$4:$AG$13, $C23, 'Overall savings and benefits'!AN$4:AN$13), "")</f>
        <v>0</v>
      </c>
      <c r="H23" s="605">
        <f>IF($A23&lt;&gt;"", SUMIF('Overall savings and benefits'!$AG$4:$AG$13, $C23, 'Overall savings and benefits'!AO$4:AO$13), "")</f>
        <v>0</v>
      </c>
      <c r="I23" s="605">
        <f>IF($A23&lt;&gt;"", SUMIF('Overall savings and benefits'!$AG$4:$AG$13, $C23, 'Overall savings and benefits'!AP$4:AP$13), "")</f>
        <v>0</v>
      </c>
      <c r="J23" s="605">
        <f>IF($A23&lt;&gt;"", SUMIF('Overall savings and benefits'!$AG$4:$AG$13, $C23, 'Overall savings and benefits'!AQ$4:AQ$13), "")</f>
        <v>0</v>
      </c>
      <c r="K23" s="605">
        <f>IF($A23&lt;&gt;"", SUMIF('Overall savings and benefits'!$AG$4:$AG$13, $C23, 'Overall savings and benefits'!AR$4:AR$13), "")</f>
        <v>0</v>
      </c>
      <c r="L23" s="605">
        <f>IF($A23&lt;&gt;"", SUMIF('Overall savings and benefits'!$AG$4:$AG$13, $C23, 'Overall savings and benefits'!AS$4:AS$13), "")</f>
        <v>0</v>
      </c>
      <c r="M23" s="605">
        <f>IF($A23&lt;&gt;"", SUMIF('Overall savings and benefits'!$AG$4:$AG$13, $C23, 'Overall savings and benefits'!AT$4:AT$13), "")</f>
        <v>0</v>
      </c>
      <c r="N23" s="605">
        <f>IF($A23&lt;&gt;"", SUMIF('Overall savings and benefits'!$AG$4:$AG$13, $C23, 'Overall savings and benefits'!AU$4:AU$13), "")</f>
        <v>0</v>
      </c>
      <c r="O23" s="605">
        <f>IF($A23&lt;&gt;"", SUMIF('Overall savings and benefits'!$AG$4:$AG$13, $C23, 'Overall savings and benefits'!AV$4:AV$13), "")</f>
        <v>0</v>
      </c>
      <c r="P23" s="605">
        <f>IF($A23&lt;&gt;"", SUMIF('Overall savings and benefits'!$AG$4:$AG$13, $C23, 'Overall savings and benefits'!AW$4:AW$13), "")</f>
        <v>0</v>
      </c>
      <c r="Q23" s="605">
        <f>IF($A23&lt;&gt;"", SUMIF('Overall savings and benefits'!$AG$4:$AG$13, $C23, 'Overall savings and benefits'!AX$4:AX$13), "")</f>
        <v>0</v>
      </c>
      <c r="R23" s="605">
        <f>IF($A23&lt;&gt;"", SUMIF('Overall savings and benefits'!$AG$4:$AG$13, $C23, 'Overall savings and benefits'!AY$4:AY$13), "")</f>
        <v>0</v>
      </c>
      <c r="S23" s="605">
        <f>IF($A23&lt;&gt;"", SUMIF('Overall savings and benefits'!$AG$4:$AG$13, $C23, 'Overall savings and benefits'!AZ$4:AZ$13), "")</f>
        <v>0</v>
      </c>
      <c r="T23" s="605">
        <f>IF($A23&lt;&gt;"", SUMIF('Overall savings and benefits'!$AG$4:$AG$13, $C23, 'Overall savings and benefits'!BA$4:BA$13), "")</f>
        <v>0</v>
      </c>
      <c r="U23" s="605">
        <f>IF($A23&lt;&gt;"", SUMIF('Overall savings and benefits'!$AG$4:$AG$13, $C23, 'Overall savings and benefits'!BB$4:BB$13), "")</f>
        <v>0</v>
      </c>
      <c r="V23" s="605">
        <f>IF($A23&lt;&gt;"", SUMIF('Overall savings and benefits'!$AG$4:$AG$13, $C23, 'Overall savings and benefits'!BC$4:BC$13), "")</f>
        <v>0</v>
      </c>
      <c r="W23" s="605">
        <f>IF($A23&lt;&gt;"", SUMIF('Overall savings and benefits'!$AG$4:$AG$13, $C23, 'Overall savings and benefits'!BD$4:BD$13), "")</f>
        <v>0</v>
      </c>
      <c r="X23" s="605">
        <f>IF($A23&lt;&gt;"", SUMIF('Overall savings and benefits'!$AG$4:$AG$13, $C23, 'Overall savings and benefits'!BE$4:BE$13), "")</f>
        <v>0</v>
      </c>
      <c r="Y23" s="605">
        <f>IF($A23&lt;&gt;"", SUMIF('Overall savings and benefits'!$AG$4:$AG$13, $C23, 'Overall savings and benefits'!BF$4:BF$13), "")</f>
        <v>0</v>
      </c>
      <c r="Z23" s="605">
        <f>IF($A23&lt;&gt;"", SUMIF('Overall savings and benefits'!$AG$4:$AG$13, $C23, 'Overall savings and benefits'!BG$4:BG$13), "")</f>
        <v>0</v>
      </c>
      <c r="AA23" s="605">
        <f>IF($A23&lt;&gt;"", SUMIF('Overall savings and benefits'!$AG$4:$AG$13, $C23, 'Overall savings and benefits'!BH$4:BH$13), "")</f>
        <v>0</v>
      </c>
      <c r="AB23" s="605">
        <f>IF($A23&lt;&gt;"", SUMIF('Overall savings and benefits'!$AG$4:$AG$13, $C23, 'Overall savings and benefits'!BI$4:BI$13), "")</f>
        <v>0</v>
      </c>
      <c r="AC23" s="1004">
        <f t="array" ref="AC23">IF($A23&lt;&gt;"", (SUM( IF(ISERROR(D23:AB23),"", D23:AB23))), "")</f>
        <v>0</v>
      </c>
      <c r="AD23" s="1005">
        <f t="shared" si="39"/>
        <v>0</v>
      </c>
      <c r="AG23" s="636">
        <f>IF((13-COUNTIF('Bearer list'!$E$4:$E$16,""))&gt;AG22,AG22+1,"")</f>
        <v>4</v>
      </c>
      <c r="AH23" s="635">
        <v>4</v>
      </c>
      <c r="AI23" s="613" t="str">
        <f>IF(AG23&lt;&gt;"",INDEX('Bearer list'!$D$4:$D$16,AG23),"")</f>
        <v>Victim</v>
      </c>
      <c r="AJ23" s="608"/>
      <c r="AK23" s="609">
        <f t="shared" si="40"/>
        <v>0</v>
      </c>
      <c r="AL23" s="609">
        <f t="shared" si="41"/>
        <v>0</v>
      </c>
      <c r="AM23" s="609">
        <f t="shared" si="42"/>
        <v>0</v>
      </c>
      <c r="AN23" s="609">
        <f t="shared" si="43"/>
        <v>0</v>
      </c>
      <c r="AO23" s="609">
        <f t="shared" si="44"/>
        <v>0</v>
      </c>
      <c r="AP23" s="609">
        <f t="shared" si="45"/>
        <v>0</v>
      </c>
      <c r="AQ23" s="609">
        <f t="shared" si="46"/>
        <v>0</v>
      </c>
      <c r="AR23" s="609">
        <f t="shared" si="47"/>
        <v>0</v>
      </c>
      <c r="AS23" s="609">
        <f t="shared" si="48"/>
        <v>0</v>
      </c>
      <c r="AT23" s="609">
        <f t="shared" si="49"/>
        <v>0</v>
      </c>
      <c r="AU23" s="609">
        <f t="shared" si="50"/>
        <v>0</v>
      </c>
      <c r="AV23" s="609">
        <f t="shared" si="51"/>
        <v>0</v>
      </c>
      <c r="AW23" s="609">
        <f t="shared" si="52"/>
        <v>0</v>
      </c>
      <c r="AX23" s="610">
        <f t="shared" si="53"/>
        <v>0</v>
      </c>
      <c r="BA23" s="611">
        <f t="shared" si="54"/>
        <v>0</v>
      </c>
      <c r="BB23" s="609">
        <f t="shared" si="55"/>
        <v>0</v>
      </c>
      <c r="BC23" s="609">
        <f t="shared" si="56"/>
        <v>0</v>
      </c>
      <c r="BD23" s="609">
        <f t="shared" si="57"/>
        <v>0</v>
      </c>
      <c r="BE23" s="609">
        <f t="shared" si="58"/>
        <v>0</v>
      </c>
      <c r="BF23" s="609">
        <f t="shared" si="59"/>
        <v>0</v>
      </c>
      <c r="BG23" s="610">
        <f t="shared" si="60"/>
        <v>0</v>
      </c>
      <c r="BJ23" s="611">
        <f t="shared" si="61"/>
        <v>0</v>
      </c>
      <c r="BK23" s="609">
        <f t="shared" si="62"/>
        <v>0</v>
      </c>
      <c r="BL23" s="609">
        <f t="shared" si="63"/>
        <v>0</v>
      </c>
      <c r="BM23" s="609">
        <f t="shared" si="64"/>
        <v>0</v>
      </c>
      <c r="BN23" s="609">
        <f t="shared" si="65"/>
        <v>0</v>
      </c>
      <c r="BO23" s="610">
        <f t="shared" si="66"/>
        <v>0</v>
      </c>
      <c r="BR23" s="611">
        <f t="shared" si="67"/>
        <v>0</v>
      </c>
      <c r="BS23" s="609">
        <f t="shared" si="68"/>
        <v>0</v>
      </c>
      <c r="BT23" s="609">
        <f t="shared" si="69"/>
        <v>0</v>
      </c>
      <c r="BU23" s="609">
        <f t="shared" si="70"/>
        <v>0</v>
      </c>
      <c r="BV23" s="609">
        <f t="shared" si="71"/>
        <v>0</v>
      </c>
      <c r="BW23" s="609">
        <f t="shared" si="72"/>
        <v>0</v>
      </c>
      <c r="BX23" s="609">
        <f t="shared" si="73"/>
        <v>0</v>
      </c>
      <c r="BY23" s="609">
        <f t="shared" si="74"/>
        <v>0</v>
      </c>
      <c r="BZ23" s="609">
        <f t="shared" si="75"/>
        <v>0</v>
      </c>
      <c r="CA23" s="610">
        <f t="shared" si="76"/>
        <v>0</v>
      </c>
    </row>
    <row r="24" spans="1:79" hidden="1">
      <c r="A24" s="612" t="str">
        <f>IF((13-COUNTIF('Bearer list'!$E$4:$E$16,""))&gt;A23,A23+1,"")</f>
        <v/>
      </c>
      <c r="B24" s="367">
        <v>5</v>
      </c>
      <c r="C24" s="604" t="str">
        <f>IF(A24&lt;&gt;"",INDEX('Bearer list'!$D$4:$D$16,A24),"")</f>
        <v/>
      </c>
      <c r="D24" s="634" t="str">
        <f>IF($A24&lt;&gt;"", SUMIF('Overall savings and benefits'!$AG$4:$AG$13, $C24, 'Overall savings and benefits'!AK$4:AK$13), "")</f>
        <v/>
      </c>
      <c r="E24" s="605" t="str">
        <f>IF($A24&lt;&gt;"", SUMIF('Overall savings and benefits'!$AG$4:$AG$13, $C24, 'Overall savings and benefits'!AL$4:AL$13), "")</f>
        <v/>
      </c>
      <c r="F24" s="605" t="str">
        <f>IF($A24&lt;&gt;"", SUMIF('Overall savings and benefits'!$AG$4:$AG$13, $C24, 'Overall savings and benefits'!AM$4:AM$13), "")</f>
        <v/>
      </c>
      <c r="G24" s="605" t="str">
        <f>IF($A24&lt;&gt;"", SUMIF('Overall savings and benefits'!$AG$4:$AG$13, $C24, 'Overall savings and benefits'!AN$4:AN$13), "")</f>
        <v/>
      </c>
      <c r="H24" s="605" t="str">
        <f>IF($A24&lt;&gt;"", SUMIF('Overall savings and benefits'!$AG$4:$AG$13, $C24, 'Overall savings and benefits'!AO$4:AO$13), "")</f>
        <v/>
      </c>
      <c r="I24" s="605" t="str">
        <f>IF($A24&lt;&gt;"", SUMIF('Overall savings and benefits'!$AG$4:$AG$13, $C24, 'Overall savings and benefits'!AP$4:AP$13), "")</f>
        <v/>
      </c>
      <c r="J24" s="605" t="str">
        <f>IF($A24&lt;&gt;"", SUMIF('Overall savings and benefits'!$AG$4:$AG$13, $C24, 'Overall savings and benefits'!AQ$4:AQ$13), "")</f>
        <v/>
      </c>
      <c r="K24" s="605" t="str">
        <f>IF($A24&lt;&gt;"", SUMIF('Overall savings and benefits'!$AG$4:$AG$13, $C24, 'Overall savings and benefits'!AR$4:AR$13), "")</f>
        <v/>
      </c>
      <c r="L24" s="605" t="str">
        <f>IF($A24&lt;&gt;"", SUMIF('Overall savings and benefits'!$AG$4:$AG$13, $C24, 'Overall savings and benefits'!AS$4:AS$13), "")</f>
        <v/>
      </c>
      <c r="M24" s="605" t="str">
        <f>IF($A24&lt;&gt;"", SUMIF('Overall savings and benefits'!$AG$4:$AG$13, $C24, 'Overall savings and benefits'!AT$4:AT$13), "")</f>
        <v/>
      </c>
      <c r="N24" s="605" t="str">
        <f>IF($A24&lt;&gt;"", SUMIF('Overall savings and benefits'!$AG$4:$AG$13, $C24, 'Overall savings and benefits'!AU$4:AU$13), "")</f>
        <v/>
      </c>
      <c r="O24" s="605" t="str">
        <f>IF($A24&lt;&gt;"", SUMIF('Overall savings and benefits'!$AG$4:$AG$13, $C24, 'Overall savings and benefits'!AV$4:AV$13), "")</f>
        <v/>
      </c>
      <c r="P24" s="605" t="str">
        <f>IF($A24&lt;&gt;"", SUMIF('Overall savings and benefits'!$AG$4:$AG$13, $C24, 'Overall savings and benefits'!AW$4:AW$13), "")</f>
        <v/>
      </c>
      <c r="Q24" s="605" t="str">
        <f>IF($A24&lt;&gt;"", SUMIF('Overall savings and benefits'!$AG$4:$AG$13, $C24, 'Overall savings and benefits'!AX$4:AX$13), "")</f>
        <v/>
      </c>
      <c r="R24" s="605" t="str">
        <f>IF($A24&lt;&gt;"", SUMIF('Overall savings and benefits'!$AG$4:$AG$13, $C24, 'Overall savings and benefits'!AY$4:AY$13), "")</f>
        <v/>
      </c>
      <c r="S24" s="605" t="str">
        <f>IF($A24&lt;&gt;"", SUMIF('Overall savings and benefits'!$AG$4:$AG$13, $C24, 'Overall savings and benefits'!AZ$4:AZ$13), "")</f>
        <v/>
      </c>
      <c r="T24" s="605" t="str">
        <f>IF($A24&lt;&gt;"", SUMIF('Overall savings and benefits'!$AG$4:$AG$13, $C24, 'Overall savings and benefits'!BA$4:BA$13), "")</f>
        <v/>
      </c>
      <c r="U24" s="605" t="str">
        <f>IF($A24&lt;&gt;"", SUMIF('Overall savings and benefits'!$AG$4:$AG$13, $C24, 'Overall savings and benefits'!BB$4:BB$13), "")</f>
        <v/>
      </c>
      <c r="V24" s="605" t="str">
        <f>IF($A24&lt;&gt;"", SUMIF('Overall savings and benefits'!$AG$4:$AG$13, $C24, 'Overall savings and benefits'!BC$4:BC$13), "")</f>
        <v/>
      </c>
      <c r="W24" s="605" t="str">
        <f>IF($A24&lt;&gt;"", SUMIF('Overall savings and benefits'!$AG$4:$AG$13, $C24, 'Overall savings and benefits'!BD$4:BD$13), "")</f>
        <v/>
      </c>
      <c r="X24" s="605" t="str">
        <f>IF($A24&lt;&gt;"", SUMIF('Overall savings and benefits'!$AG$4:$AG$13, $C24, 'Overall savings and benefits'!BE$4:BE$13), "")</f>
        <v/>
      </c>
      <c r="Y24" s="605" t="str">
        <f>IF($A24&lt;&gt;"", SUMIF('Overall savings and benefits'!$AG$4:$AG$13, $C24, 'Overall savings and benefits'!BF$4:BF$13), "")</f>
        <v/>
      </c>
      <c r="Z24" s="605" t="str">
        <f>IF($A24&lt;&gt;"", SUMIF('Overall savings and benefits'!$AG$4:$AG$13, $C24, 'Overall savings and benefits'!BG$4:BG$13), "")</f>
        <v/>
      </c>
      <c r="AA24" s="605" t="str">
        <f>IF($A24&lt;&gt;"", SUMIF('Overall savings and benefits'!$AG$4:$AG$13, $C24, 'Overall savings and benefits'!BH$4:BH$13), "")</f>
        <v/>
      </c>
      <c r="AB24" s="605" t="str">
        <f>IF($A24&lt;&gt;"", SUMIF('Overall savings and benefits'!$AG$4:$AG$13, $C24, 'Overall savings and benefits'!BI$4:BI$13), "")</f>
        <v/>
      </c>
      <c r="AC24" s="1004" t="str">
        <f t="array" ref="AC24">IF($A24&lt;&gt;"", (SUM( IF(ISERROR(D24:AB24),"", D24:AB24))), "")</f>
        <v/>
      </c>
      <c r="AD24" s="1005" t="str">
        <f t="shared" si="39"/>
        <v/>
      </c>
      <c r="AG24" s="636" t="str">
        <f>IF((13-COUNTIF('Bearer list'!$E$4:$E$16,""))&gt;AG23,AG23+1,"")</f>
        <v/>
      </c>
      <c r="AH24" s="635">
        <v>5</v>
      </c>
      <c r="AI24" s="613" t="str">
        <f>IF(AG24&lt;&gt;"",INDEX('Bearer list'!$D$4:$D$16,AG24),"")</f>
        <v/>
      </c>
      <c r="AJ24" s="608"/>
      <c r="AK24" s="609" t="str">
        <f t="shared" si="40"/>
        <v/>
      </c>
      <c r="AL24" s="609" t="str">
        <f t="shared" si="41"/>
        <v/>
      </c>
      <c r="AM24" s="609" t="str">
        <f t="shared" si="42"/>
        <v/>
      </c>
      <c r="AN24" s="609" t="str">
        <f t="shared" si="43"/>
        <v/>
      </c>
      <c r="AO24" s="609" t="str">
        <f t="shared" si="44"/>
        <v/>
      </c>
      <c r="AP24" s="609" t="str">
        <f t="shared" si="45"/>
        <v/>
      </c>
      <c r="AQ24" s="609" t="str">
        <f t="shared" si="46"/>
        <v/>
      </c>
      <c r="AR24" s="609" t="str">
        <f t="shared" si="47"/>
        <v/>
      </c>
      <c r="AS24" s="609" t="str">
        <f t="shared" si="48"/>
        <v/>
      </c>
      <c r="AT24" s="609" t="str">
        <f t="shared" si="49"/>
        <v/>
      </c>
      <c r="AU24" s="609" t="str">
        <f t="shared" si="50"/>
        <v/>
      </c>
      <c r="AV24" s="609" t="str">
        <f t="shared" si="51"/>
        <v/>
      </c>
      <c r="AW24" s="609" t="str">
        <f t="shared" si="52"/>
        <v/>
      </c>
      <c r="AX24" s="610" t="str">
        <f t="shared" si="53"/>
        <v/>
      </c>
      <c r="BA24" s="611" t="str">
        <f t="shared" si="54"/>
        <v/>
      </c>
      <c r="BB24" s="609" t="str">
        <f t="shared" si="55"/>
        <v/>
      </c>
      <c r="BC24" s="609" t="str">
        <f t="shared" si="56"/>
        <v/>
      </c>
      <c r="BD24" s="609" t="str">
        <f t="shared" si="57"/>
        <v/>
      </c>
      <c r="BE24" s="609" t="str">
        <f t="shared" si="58"/>
        <v/>
      </c>
      <c r="BF24" s="609" t="str">
        <f t="shared" si="59"/>
        <v/>
      </c>
      <c r="BG24" s="610" t="str">
        <f t="shared" si="60"/>
        <v/>
      </c>
      <c r="BJ24" s="611" t="str">
        <f t="shared" si="61"/>
        <v/>
      </c>
      <c r="BK24" s="609" t="str">
        <f t="shared" si="62"/>
        <v/>
      </c>
      <c r="BL24" s="609" t="str">
        <f t="shared" si="63"/>
        <v/>
      </c>
      <c r="BM24" s="609" t="str">
        <f t="shared" si="64"/>
        <v/>
      </c>
      <c r="BN24" s="609" t="str">
        <f t="shared" si="65"/>
        <v/>
      </c>
      <c r="BO24" s="610" t="str">
        <f t="shared" si="66"/>
        <v/>
      </c>
      <c r="BR24" s="611" t="str">
        <f t="shared" si="67"/>
        <v/>
      </c>
      <c r="BS24" s="609" t="str">
        <f t="shared" si="68"/>
        <v/>
      </c>
      <c r="BT24" s="609" t="str">
        <f t="shared" si="69"/>
        <v/>
      </c>
      <c r="BU24" s="609" t="str">
        <f t="shared" si="70"/>
        <v/>
      </c>
      <c r="BV24" s="609" t="str">
        <f t="shared" si="71"/>
        <v/>
      </c>
      <c r="BW24" s="609" t="str">
        <f t="shared" si="72"/>
        <v/>
      </c>
      <c r="BX24" s="609" t="str">
        <f t="shared" si="73"/>
        <v/>
      </c>
      <c r="BY24" s="609" t="str">
        <f t="shared" si="74"/>
        <v/>
      </c>
      <c r="BZ24" s="609" t="str">
        <f t="shared" si="75"/>
        <v/>
      </c>
      <c r="CA24" s="610" t="str">
        <f t="shared" si="76"/>
        <v/>
      </c>
    </row>
    <row r="25" spans="1:79" hidden="1">
      <c r="A25" s="612" t="str">
        <f>IF((13-COUNTIF('Bearer list'!$E$4:$E$16,""))&gt;A24,A24+1,"")</f>
        <v/>
      </c>
      <c r="B25" s="367">
        <v>6</v>
      </c>
      <c r="C25" s="604" t="str">
        <f>IF(A25&lt;&gt;"",INDEX('Bearer list'!$D$4:$D$16,A25),"")</f>
        <v/>
      </c>
      <c r="D25" s="634" t="str">
        <f>IF($A25&lt;&gt;"", SUMIF('Overall savings and benefits'!$AG$4:$AG$13, $C25, 'Overall savings and benefits'!AK$4:AK$13), "")</f>
        <v/>
      </c>
      <c r="E25" s="605" t="str">
        <f>IF($A25&lt;&gt;"", SUMIF('Overall savings and benefits'!$AG$4:$AG$13, $C25, 'Overall savings and benefits'!AL$4:AL$13), "")</f>
        <v/>
      </c>
      <c r="F25" s="605" t="str">
        <f>IF($A25&lt;&gt;"", SUMIF('Overall savings and benefits'!$AG$4:$AG$13, $C25, 'Overall savings and benefits'!AM$4:AM$13), "")</f>
        <v/>
      </c>
      <c r="G25" s="605" t="str">
        <f>IF($A25&lt;&gt;"", SUMIF('Overall savings and benefits'!$AG$4:$AG$13, $C25, 'Overall savings and benefits'!AN$4:AN$13), "")</f>
        <v/>
      </c>
      <c r="H25" s="605" t="str">
        <f>IF($A25&lt;&gt;"", SUMIF('Overall savings and benefits'!$AG$4:$AG$13, $C25, 'Overall savings and benefits'!AO$4:AO$13), "")</f>
        <v/>
      </c>
      <c r="I25" s="605" t="str">
        <f>IF($A25&lt;&gt;"", SUMIF('Overall savings and benefits'!$AG$4:$AG$13, $C25, 'Overall savings and benefits'!AP$4:AP$13), "")</f>
        <v/>
      </c>
      <c r="J25" s="605" t="str">
        <f>IF($A25&lt;&gt;"", SUMIF('Overall savings and benefits'!$AG$4:$AG$13, $C25, 'Overall savings and benefits'!AQ$4:AQ$13), "")</f>
        <v/>
      </c>
      <c r="K25" s="605" t="str">
        <f>IF($A25&lt;&gt;"", SUMIF('Overall savings and benefits'!$AG$4:$AG$13, $C25, 'Overall savings and benefits'!AR$4:AR$13), "")</f>
        <v/>
      </c>
      <c r="L25" s="605" t="str">
        <f>IF($A25&lt;&gt;"", SUMIF('Overall savings and benefits'!$AG$4:$AG$13, $C25, 'Overall savings and benefits'!AS$4:AS$13), "")</f>
        <v/>
      </c>
      <c r="M25" s="605" t="str">
        <f>IF($A25&lt;&gt;"", SUMIF('Overall savings and benefits'!$AG$4:$AG$13, $C25, 'Overall savings and benefits'!AT$4:AT$13), "")</f>
        <v/>
      </c>
      <c r="N25" s="605" t="str">
        <f>IF($A25&lt;&gt;"", SUMIF('Overall savings and benefits'!$AG$4:$AG$13, $C25, 'Overall savings and benefits'!AU$4:AU$13), "")</f>
        <v/>
      </c>
      <c r="O25" s="605" t="str">
        <f>IF($A25&lt;&gt;"", SUMIF('Overall savings and benefits'!$AG$4:$AG$13, $C25, 'Overall savings and benefits'!AV$4:AV$13), "")</f>
        <v/>
      </c>
      <c r="P25" s="605" t="str">
        <f>IF($A25&lt;&gt;"", SUMIF('Overall savings and benefits'!$AG$4:$AG$13, $C25, 'Overall savings and benefits'!AW$4:AW$13), "")</f>
        <v/>
      </c>
      <c r="Q25" s="605" t="str">
        <f>IF($A25&lt;&gt;"", SUMIF('Overall savings and benefits'!$AG$4:$AG$13, $C25, 'Overall savings and benefits'!AX$4:AX$13), "")</f>
        <v/>
      </c>
      <c r="R25" s="605" t="str">
        <f>IF($A25&lt;&gt;"", SUMIF('Overall savings and benefits'!$AG$4:$AG$13, $C25, 'Overall savings and benefits'!AY$4:AY$13), "")</f>
        <v/>
      </c>
      <c r="S25" s="605" t="str">
        <f>IF($A25&lt;&gt;"", SUMIF('Overall savings and benefits'!$AG$4:$AG$13, $C25, 'Overall savings and benefits'!AZ$4:AZ$13), "")</f>
        <v/>
      </c>
      <c r="T25" s="605" t="str">
        <f>IF($A25&lt;&gt;"", SUMIF('Overall savings and benefits'!$AG$4:$AG$13, $C25, 'Overall savings and benefits'!BA$4:BA$13), "")</f>
        <v/>
      </c>
      <c r="U25" s="605" t="str">
        <f>IF($A25&lt;&gt;"", SUMIF('Overall savings and benefits'!$AG$4:$AG$13, $C25, 'Overall savings and benefits'!BB$4:BB$13), "")</f>
        <v/>
      </c>
      <c r="V25" s="605" t="str">
        <f>IF($A25&lt;&gt;"", SUMIF('Overall savings and benefits'!$AG$4:$AG$13, $C25, 'Overall savings and benefits'!BC$4:BC$13), "")</f>
        <v/>
      </c>
      <c r="W25" s="605" t="str">
        <f>IF($A25&lt;&gt;"", SUMIF('Overall savings and benefits'!$AG$4:$AG$13, $C25, 'Overall savings and benefits'!BD$4:BD$13), "")</f>
        <v/>
      </c>
      <c r="X25" s="605" t="str">
        <f>IF($A25&lt;&gt;"", SUMIF('Overall savings and benefits'!$AG$4:$AG$13, $C25, 'Overall savings and benefits'!BE$4:BE$13), "")</f>
        <v/>
      </c>
      <c r="Y25" s="605" t="str">
        <f>IF($A25&lt;&gt;"", SUMIF('Overall savings and benefits'!$AG$4:$AG$13, $C25, 'Overall savings and benefits'!BF$4:BF$13), "")</f>
        <v/>
      </c>
      <c r="Z25" s="605" t="str">
        <f>IF($A25&lt;&gt;"", SUMIF('Overall savings and benefits'!$AG$4:$AG$13, $C25, 'Overall savings and benefits'!BG$4:BG$13), "")</f>
        <v/>
      </c>
      <c r="AA25" s="605" t="str">
        <f>IF($A25&lt;&gt;"", SUMIF('Overall savings and benefits'!$AG$4:$AG$13, $C25, 'Overall savings and benefits'!BH$4:BH$13), "")</f>
        <v/>
      </c>
      <c r="AB25" s="605" t="str">
        <f>IF($A25&lt;&gt;"", SUMIF('Overall savings and benefits'!$AG$4:$AG$13, $C25, 'Overall savings and benefits'!BI$4:BI$13), "")</f>
        <v/>
      </c>
      <c r="AC25" s="1004" t="str">
        <f t="array" ref="AC25">IF($A25&lt;&gt;"", (SUM( IF(ISERROR(D25:AB25),"", D25:AB25))), "")</f>
        <v/>
      </c>
      <c r="AD25" s="1005" t="str">
        <f t="shared" si="39"/>
        <v/>
      </c>
      <c r="AG25" s="636" t="str">
        <f>IF((13-COUNTIF('Bearer list'!$E$4:$E$16,""))&gt;AG24,AG24+1,"")</f>
        <v/>
      </c>
      <c r="AH25" s="635">
        <v>6</v>
      </c>
      <c r="AI25" s="613" t="str">
        <f>IF(AG25&lt;&gt;"",INDEX('Bearer list'!$D$4:$D$16,AG25),"")</f>
        <v/>
      </c>
      <c r="AJ25" s="608"/>
      <c r="AK25" s="609" t="str">
        <f t="shared" si="40"/>
        <v/>
      </c>
      <c r="AL25" s="609" t="str">
        <f t="shared" si="41"/>
        <v/>
      </c>
      <c r="AM25" s="609" t="str">
        <f t="shared" si="42"/>
        <v/>
      </c>
      <c r="AN25" s="609" t="str">
        <f t="shared" si="43"/>
        <v/>
      </c>
      <c r="AO25" s="609" t="str">
        <f t="shared" si="44"/>
        <v/>
      </c>
      <c r="AP25" s="609" t="str">
        <f t="shared" si="45"/>
        <v/>
      </c>
      <c r="AQ25" s="609" t="str">
        <f t="shared" si="46"/>
        <v/>
      </c>
      <c r="AR25" s="609" t="str">
        <f t="shared" si="47"/>
        <v/>
      </c>
      <c r="AS25" s="609" t="str">
        <f t="shared" si="48"/>
        <v/>
      </c>
      <c r="AT25" s="609" t="str">
        <f t="shared" si="49"/>
        <v/>
      </c>
      <c r="AU25" s="609" t="str">
        <f t="shared" si="50"/>
        <v/>
      </c>
      <c r="AV25" s="609" t="str">
        <f t="shared" si="51"/>
        <v/>
      </c>
      <c r="AW25" s="609" t="str">
        <f t="shared" si="52"/>
        <v/>
      </c>
      <c r="AX25" s="610" t="str">
        <f t="shared" si="53"/>
        <v/>
      </c>
      <c r="BA25" s="611" t="str">
        <f t="shared" si="54"/>
        <v/>
      </c>
      <c r="BB25" s="609" t="str">
        <f t="shared" si="55"/>
        <v/>
      </c>
      <c r="BC25" s="609" t="str">
        <f t="shared" si="56"/>
        <v/>
      </c>
      <c r="BD25" s="609" t="str">
        <f t="shared" si="57"/>
        <v/>
      </c>
      <c r="BE25" s="609" t="str">
        <f t="shared" si="58"/>
        <v/>
      </c>
      <c r="BF25" s="609" t="str">
        <f t="shared" si="59"/>
        <v/>
      </c>
      <c r="BG25" s="610" t="str">
        <f t="shared" si="60"/>
        <v/>
      </c>
      <c r="BJ25" s="611" t="str">
        <f t="shared" si="61"/>
        <v/>
      </c>
      <c r="BK25" s="609" t="str">
        <f t="shared" si="62"/>
        <v/>
      </c>
      <c r="BL25" s="609" t="str">
        <f t="shared" si="63"/>
        <v/>
      </c>
      <c r="BM25" s="609" t="str">
        <f t="shared" si="64"/>
        <v/>
      </c>
      <c r="BN25" s="609" t="str">
        <f t="shared" si="65"/>
        <v/>
      </c>
      <c r="BO25" s="610" t="str">
        <f t="shared" si="66"/>
        <v/>
      </c>
      <c r="BR25" s="611" t="str">
        <f t="shared" si="67"/>
        <v/>
      </c>
      <c r="BS25" s="609" t="str">
        <f t="shared" si="68"/>
        <v/>
      </c>
      <c r="BT25" s="609" t="str">
        <f t="shared" si="69"/>
        <v/>
      </c>
      <c r="BU25" s="609" t="str">
        <f t="shared" si="70"/>
        <v/>
      </c>
      <c r="BV25" s="609" t="str">
        <f t="shared" si="71"/>
        <v/>
      </c>
      <c r="BW25" s="609" t="str">
        <f t="shared" si="72"/>
        <v/>
      </c>
      <c r="BX25" s="609" t="str">
        <f t="shared" si="73"/>
        <v/>
      </c>
      <c r="BY25" s="609" t="str">
        <f t="shared" si="74"/>
        <v/>
      </c>
      <c r="BZ25" s="609" t="str">
        <f t="shared" si="75"/>
        <v/>
      </c>
      <c r="CA25" s="610" t="str">
        <f t="shared" si="76"/>
        <v/>
      </c>
    </row>
    <row r="26" spans="1:79" hidden="1">
      <c r="A26" s="612" t="str">
        <f>IF((13-COUNTIF('Bearer list'!$E$4:$E$16,""))&gt;A25,A25+1,"")</f>
        <v/>
      </c>
      <c r="B26" s="367">
        <v>7</v>
      </c>
      <c r="C26" s="604" t="str">
        <f>IF(A26&lt;&gt;"",INDEX('Bearer list'!$D$4:$D$16,A26),"")</f>
        <v/>
      </c>
      <c r="D26" s="634" t="str">
        <f>IF($A26&lt;&gt;"", SUMIF('Overall savings and benefits'!$AG$4:$AG$13, $C26, 'Overall savings and benefits'!AK$4:AK$13), "")</f>
        <v/>
      </c>
      <c r="E26" s="605" t="str">
        <f>IF($A26&lt;&gt;"", SUMIF('Overall savings and benefits'!$AG$4:$AG$13, $C26, 'Overall savings and benefits'!AL$4:AL$13), "")</f>
        <v/>
      </c>
      <c r="F26" s="605" t="str">
        <f>IF($A26&lt;&gt;"", SUMIF('Overall savings and benefits'!$AG$4:$AG$13, $C26, 'Overall savings and benefits'!AM$4:AM$13), "")</f>
        <v/>
      </c>
      <c r="G26" s="605" t="str">
        <f>IF($A26&lt;&gt;"", SUMIF('Overall savings and benefits'!$AG$4:$AG$13, $C26, 'Overall savings and benefits'!AN$4:AN$13), "")</f>
        <v/>
      </c>
      <c r="H26" s="605" t="str">
        <f>IF($A26&lt;&gt;"", SUMIF('Overall savings and benefits'!$AG$4:$AG$13, $C26, 'Overall savings and benefits'!AO$4:AO$13), "")</f>
        <v/>
      </c>
      <c r="I26" s="605" t="str">
        <f>IF($A26&lt;&gt;"", SUMIF('Overall savings and benefits'!$AG$4:$AG$13, $C26, 'Overall savings and benefits'!AP$4:AP$13), "")</f>
        <v/>
      </c>
      <c r="J26" s="605" t="str">
        <f>IF($A26&lt;&gt;"", SUMIF('Overall savings and benefits'!$AG$4:$AG$13, $C26, 'Overall savings and benefits'!AQ$4:AQ$13), "")</f>
        <v/>
      </c>
      <c r="K26" s="605" t="str">
        <f>IF($A26&lt;&gt;"", SUMIF('Overall savings and benefits'!$AG$4:$AG$13, $C26, 'Overall savings and benefits'!AR$4:AR$13), "")</f>
        <v/>
      </c>
      <c r="L26" s="605" t="str">
        <f>IF($A26&lt;&gt;"", SUMIF('Overall savings and benefits'!$AG$4:$AG$13, $C26, 'Overall savings and benefits'!AS$4:AS$13), "")</f>
        <v/>
      </c>
      <c r="M26" s="605" t="str">
        <f>IF($A26&lt;&gt;"", SUMIF('Overall savings and benefits'!$AG$4:$AG$13, $C26, 'Overall savings and benefits'!AT$4:AT$13), "")</f>
        <v/>
      </c>
      <c r="N26" s="605" t="str">
        <f>IF($A26&lt;&gt;"", SUMIF('Overall savings and benefits'!$AG$4:$AG$13, $C26, 'Overall savings and benefits'!AU$4:AU$13), "")</f>
        <v/>
      </c>
      <c r="O26" s="605" t="str">
        <f>IF($A26&lt;&gt;"", SUMIF('Overall savings and benefits'!$AG$4:$AG$13, $C26, 'Overall savings and benefits'!AV$4:AV$13), "")</f>
        <v/>
      </c>
      <c r="P26" s="605" t="str">
        <f>IF($A26&lt;&gt;"", SUMIF('Overall savings and benefits'!$AG$4:$AG$13, $C26, 'Overall savings and benefits'!AW$4:AW$13), "")</f>
        <v/>
      </c>
      <c r="Q26" s="605" t="str">
        <f>IF($A26&lt;&gt;"", SUMIF('Overall savings and benefits'!$AG$4:$AG$13, $C26, 'Overall savings and benefits'!AX$4:AX$13), "")</f>
        <v/>
      </c>
      <c r="R26" s="605" t="str">
        <f>IF($A26&lt;&gt;"", SUMIF('Overall savings and benefits'!$AG$4:$AG$13, $C26, 'Overall savings and benefits'!AY$4:AY$13), "")</f>
        <v/>
      </c>
      <c r="S26" s="605" t="str">
        <f>IF($A26&lt;&gt;"", SUMIF('Overall savings and benefits'!$AG$4:$AG$13, $C26, 'Overall savings and benefits'!AZ$4:AZ$13), "")</f>
        <v/>
      </c>
      <c r="T26" s="605" t="str">
        <f>IF($A26&lt;&gt;"", SUMIF('Overall savings and benefits'!$AG$4:$AG$13, $C26, 'Overall savings and benefits'!BA$4:BA$13), "")</f>
        <v/>
      </c>
      <c r="U26" s="605" t="str">
        <f>IF($A26&lt;&gt;"", SUMIF('Overall savings and benefits'!$AG$4:$AG$13, $C26, 'Overall savings and benefits'!BB$4:BB$13), "")</f>
        <v/>
      </c>
      <c r="V26" s="605" t="str">
        <f>IF($A26&lt;&gt;"", SUMIF('Overall savings and benefits'!$AG$4:$AG$13, $C26, 'Overall savings and benefits'!BC$4:BC$13), "")</f>
        <v/>
      </c>
      <c r="W26" s="605" t="str">
        <f>IF($A26&lt;&gt;"", SUMIF('Overall savings and benefits'!$AG$4:$AG$13, $C26, 'Overall savings and benefits'!BD$4:BD$13), "")</f>
        <v/>
      </c>
      <c r="X26" s="605" t="str">
        <f>IF($A26&lt;&gt;"", SUMIF('Overall savings and benefits'!$AG$4:$AG$13, $C26, 'Overall savings and benefits'!BE$4:BE$13), "")</f>
        <v/>
      </c>
      <c r="Y26" s="605" t="str">
        <f>IF($A26&lt;&gt;"", SUMIF('Overall savings and benefits'!$AG$4:$AG$13, $C26, 'Overall savings and benefits'!BF$4:BF$13), "")</f>
        <v/>
      </c>
      <c r="Z26" s="605" t="str">
        <f>IF($A26&lt;&gt;"", SUMIF('Overall savings and benefits'!$AG$4:$AG$13, $C26, 'Overall savings and benefits'!BG$4:BG$13), "")</f>
        <v/>
      </c>
      <c r="AA26" s="605" t="str">
        <f>IF($A26&lt;&gt;"", SUMIF('Overall savings and benefits'!$AG$4:$AG$13, $C26, 'Overall savings and benefits'!BH$4:BH$13), "")</f>
        <v/>
      </c>
      <c r="AB26" s="605" t="str">
        <f>IF($A26&lt;&gt;"", SUMIF('Overall savings and benefits'!$AG$4:$AG$13, $C26, 'Overall savings and benefits'!BI$4:BI$13), "")</f>
        <v/>
      </c>
      <c r="AC26" s="1004" t="str">
        <f t="array" ref="AC26">IF($A26&lt;&gt;"", (SUM( IF(ISERROR(D26:AB26),"", D26:AB26))), "")</f>
        <v/>
      </c>
      <c r="AD26" s="1005" t="str">
        <f t="shared" si="39"/>
        <v/>
      </c>
      <c r="AG26" s="636" t="str">
        <f>IF((13-COUNTIF('Bearer list'!$E$4:$E$16,""))&gt;AG25,AG25+1,"")</f>
        <v/>
      </c>
      <c r="AH26" s="635">
        <v>7</v>
      </c>
      <c r="AI26" s="613" t="str">
        <f>IF(AG26&lt;&gt;"",INDEX('Bearer list'!$D$4:$D$16,AG26),"")</f>
        <v/>
      </c>
      <c r="AJ26" s="608"/>
      <c r="AK26" s="609" t="str">
        <f t="shared" si="40"/>
        <v/>
      </c>
      <c r="AL26" s="609" t="str">
        <f t="shared" si="41"/>
        <v/>
      </c>
      <c r="AM26" s="609" t="str">
        <f t="shared" si="42"/>
        <v/>
      </c>
      <c r="AN26" s="609" t="str">
        <f t="shared" si="43"/>
        <v/>
      </c>
      <c r="AO26" s="609" t="str">
        <f t="shared" si="44"/>
        <v/>
      </c>
      <c r="AP26" s="609" t="str">
        <f t="shared" si="45"/>
        <v/>
      </c>
      <c r="AQ26" s="609" t="str">
        <f t="shared" si="46"/>
        <v/>
      </c>
      <c r="AR26" s="609" t="str">
        <f t="shared" si="47"/>
        <v/>
      </c>
      <c r="AS26" s="609" t="str">
        <f t="shared" si="48"/>
        <v/>
      </c>
      <c r="AT26" s="609" t="str">
        <f t="shared" si="49"/>
        <v/>
      </c>
      <c r="AU26" s="609" t="str">
        <f t="shared" si="50"/>
        <v/>
      </c>
      <c r="AV26" s="609" t="str">
        <f t="shared" si="51"/>
        <v/>
      </c>
      <c r="AW26" s="609" t="str">
        <f t="shared" si="52"/>
        <v/>
      </c>
      <c r="AX26" s="610" t="str">
        <f t="shared" si="53"/>
        <v/>
      </c>
      <c r="BA26" s="611" t="str">
        <f t="shared" si="54"/>
        <v/>
      </c>
      <c r="BB26" s="609" t="str">
        <f t="shared" si="55"/>
        <v/>
      </c>
      <c r="BC26" s="609" t="str">
        <f t="shared" si="56"/>
        <v/>
      </c>
      <c r="BD26" s="609" t="str">
        <f t="shared" si="57"/>
        <v/>
      </c>
      <c r="BE26" s="609" t="str">
        <f t="shared" si="58"/>
        <v/>
      </c>
      <c r="BF26" s="609" t="str">
        <f t="shared" si="59"/>
        <v/>
      </c>
      <c r="BG26" s="610" t="str">
        <f t="shared" si="60"/>
        <v/>
      </c>
      <c r="BJ26" s="611" t="str">
        <f t="shared" si="61"/>
        <v/>
      </c>
      <c r="BK26" s="609" t="str">
        <f t="shared" si="62"/>
        <v/>
      </c>
      <c r="BL26" s="609" t="str">
        <f t="shared" si="63"/>
        <v/>
      </c>
      <c r="BM26" s="609" t="str">
        <f t="shared" si="64"/>
        <v/>
      </c>
      <c r="BN26" s="609" t="str">
        <f t="shared" si="65"/>
        <v/>
      </c>
      <c r="BO26" s="610" t="str">
        <f t="shared" si="66"/>
        <v/>
      </c>
      <c r="BR26" s="611" t="str">
        <f t="shared" si="67"/>
        <v/>
      </c>
      <c r="BS26" s="609" t="str">
        <f t="shared" si="68"/>
        <v/>
      </c>
      <c r="BT26" s="609" t="str">
        <f t="shared" si="69"/>
        <v/>
      </c>
      <c r="BU26" s="609" t="str">
        <f t="shared" si="70"/>
        <v/>
      </c>
      <c r="BV26" s="609" t="str">
        <f t="shared" si="71"/>
        <v/>
      </c>
      <c r="BW26" s="609" t="str">
        <f t="shared" si="72"/>
        <v/>
      </c>
      <c r="BX26" s="609" t="str">
        <f t="shared" si="73"/>
        <v/>
      </c>
      <c r="BY26" s="609" t="str">
        <f t="shared" si="74"/>
        <v/>
      </c>
      <c r="BZ26" s="609" t="str">
        <f t="shared" si="75"/>
        <v/>
      </c>
      <c r="CA26" s="610" t="str">
        <f t="shared" si="76"/>
        <v/>
      </c>
    </row>
    <row r="27" spans="1:79" hidden="1">
      <c r="A27" s="612" t="str">
        <f>IF((13-COUNTIF('Bearer list'!$E$4:$E$16,""))&gt;A26,A26+1,"")</f>
        <v/>
      </c>
      <c r="B27" s="367">
        <v>8</v>
      </c>
      <c r="C27" s="604" t="str">
        <f>IF(A27&lt;&gt;"",INDEX('Bearer list'!$D$4:$D$16,A27),"")</f>
        <v/>
      </c>
      <c r="D27" s="634" t="str">
        <f>IF($A27&lt;&gt;"", SUMIF('Overall savings and benefits'!$AG$4:$AG$13, $C27, 'Overall savings and benefits'!AK$4:AK$13), "")</f>
        <v/>
      </c>
      <c r="E27" s="605" t="str">
        <f>IF($A27&lt;&gt;"", SUMIF('Overall savings and benefits'!$AG$4:$AG$13, $C27, 'Overall savings and benefits'!AL$4:AL$13), "")</f>
        <v/>
      </c>
      <c r="F27" s="605" t="str">
        <f>IF($A27&lt;&gt;"", SUMIF('Overall savings and benefits'!$AG$4:$AG$13, $C27, 'Overall savings and benefits'!AM$4:AM$13), "")</f>
        <v/>
      </c>
      <c r="G27" s="605" t="str">
        <f>IF($A27&lt;&gt;"", SUMIF('Overall savings and benefits'!$AG$4:$AG$13, $C27, 'Overall savings and benefits'!AN$4:AN$13), "")</f>
        <v/>
      </c>
      <c r="H27" s="605" t="str">
        <f>IF($A27&lt;&gt;"", SUMIF('Overall savings and benefits'!$AG$4:$AG$13, $C27, 'Overall savings and benefits'!AO$4:AO$13), "")</f>
        <v/>
      </c>
      <c r="I27" s="605" t="str">
        <f>IF($A27&lt;&gt;"", SUMIF('Overall savings and benefits'!$AG$4:$AG$13, $C27, 'Overall savings and benefits'!AP$4:AP$13), "")</f>
        <v/>
      </c>
      <c r="J27" s="605" t="str">
        <f>IF($A27&lt;&gt;"", SUMIF('Overall savings and benefits'!$AG$4:$AG$13, $C27, 'Overall savings and benefits'!AQ$4:AQ$13), "")</f>
        <v/>
      </c>
      <c r="K27" s="605" t="str">
        <f>IF($A27&lt;&gt;"", SUMIF('Overall savings and benefits'!$AG$4:$AG$13, $C27, 'Overall savings and benefits'!AR$4:AR$13), "")</f>
        <v/>
      </c>
      <c r="L27" s="605" t="str">
        <f>IF($A27&lt;&gt;"", SUMIF('Overall savings and benefits'!$AG$4:$AG$13, $C27, 'Overall savings and benefits'!AS$4:AS$13), "")</f>
        <v/>
      </c>
      <c r="M27" s="605" t="str">
        <f>IF($A27&lt;&gt;"", SUMIF('Overall savings and benefits'!$AG$4:$AG$13, $C27, 'Overall savings and benefits'!AT$4:AT$13), "")</f>
        <v/>
      </c>
      <c r="N27" s="605" t="str">
        <f>IF($A27&lt;&gt;"", SUMIF('Overall savings and benefits'!$AG$4:$AG$13, $C27, 'Overall savings and benefits'!AU$4:AU$13), "")</f>
        <v/>
      </c>
      <c r="O27" s="605" t="str">
        <f>IF($A27&lt;&gt;"", SUMIF('Overall savings and benefits'!$AG$4:$AG$13, $C27, 'Overall savings and benefits'!AV$4:AV$13), "")</f>
        <v/>
      </c>
      <c r="P27" s="605" t="str">
        <f>IF($A27&lt;&gt;"", SUMIF('Overall savings and benefits'!$AG$4:$AG$13, $C27, 'Overall savings and benefits'!AW$4:AW$13), "")</f>
        <v/>
      </c>
      <c r="Q27" s="605" t="str">
        <f>IF($A27&lt;&gt;"", SUMIF('Overall savings and benefits'!$AG$4:$AG$13, $C27, 'Overall savings and benefits'!AX$4:AX$13), "")</f>
        <v/>
      </c>
      <c r="R27" s="605" t="str">
        <f>IF($A27&lt;&gt;"", SUMIF('Overall savings and benefits'!$AG$4:$AG$13, $C27, 'Overall savings and benefits'!AY$4:AY$13), "")</f>
        <v/>
      </c>
      <c r="S27" s="605" t="str">
        <f>IF($A27&lt;&gt;"", SUMIF('Overall savings and benefits'!$AG$4:$AG$13, $C27, 'Overall savings and benefits'!AZ$4:AZ$13), "")</f>
        <v/>
      </c>
      <c r="T27" s="605" t="str">
        <f>IF($A27&lt;&gt;"", SUMIF('Overall savings and benefits'!$AG$4:$AG$13, $C27, 'Overall savings and benefits'!BA$4:BA$13), "")</f>
        <v/>
      </c>
      <c r="U27" s="605" t="str">
        <f>IF($A27&lt;&gt;"", SUMIF('Overall savings and benefits'!$AG$4:$AG$13, $C27, 'Overall savings and benefits'!BB$4:BB$13), "")</f>
        <v/>
      </c>
      <c r="V27" s="605" t="str">
        <f>IF($A27&lt;&gt;"", SUMIF('Overall savings and benefits'!$AG$4:$AG$13, $C27, 'Overall savings and benefits'!BC$4:BC$13), "")</f>
        <v/>
      </c>
      <c r="W27" s="605" t="str">
        <f>IF($A27&lt;&gt;"", SUMIF('Overall savings and benefits'!$AG$4:$AG$13, $C27, 'Overall savings and benefits'!BD$4:BD$13), "")</f>
        <v/>
      </c>
      <c r="X27" s="605" t="str">
        <f>IF($A27&lt;&gt;"", SUMIF('Overall savings and benefits'!$AG$4:$AG$13, $C27, 'Overall savings and benefits'!BE$4:BE$13), "")</f>
        <v/>
      </c>
      <c r="Y27" s="605" t="str">
        <f>IF($A27&lt;&gt;"", SUMIF('Overall savings and benefits'!$AG$4:$AG$13, $C27, 'Overall savings and benefits'!BF$4:BF$13), "")</f>
        <v/>
      </c>
      <c r="Z27" s="605" t="str">
        <f>IF($A27&lt;&gt;"", SUMIF('Overall savings and benefits'!$AG$4:$AG$13, $C27, 'Overall savings and benefits'!BG$4:BG$13), "")</f>
        <v/>
      </c>
      <c r="AA27" s="605" t="str">
        <f>IF($A27&lt;&gt;"", SUMIF('Overall savings and benefits'!$AG$4:$AG$13, $C27, 'Overall savings and benefits'!BH$4:BH$13), "")</f>
        <v/>
      </c>
      <c r="AB27" s="605" t="str">
        <f>IF($A27&lt;&gt;"", SUMIF('Overall savings and benefits'!$AG$4:$AG$13, $C27, 'Overall savings and benefits'!BI$4:BI$13), "")</f>
        <v/>
      </c>
      <c r="AC27" s="1004" t="str">
        <f t="array" ref="AC27">IF($A27&lt;&gt;"", (SUM( IF(ISERROR(D27:AB27),"", D27:AB27))), "")</f>
        <v/>
      </c>
      <c r="AD27" s="1005" t="str">
        <f t="shared" si="39"/>
        <v/>
      </c>
      <c r="AG27" s="636" t="str">
        <f>IF((13-COUNTIF('Bearer list'!$E$4:$E$16,""))&gt;AG26,AG26+1,"")</f>
        <v/>
      </c>
      <c r="AH27" s="635">
        <v>8</v>
      </c>
      <c r="AI27" s="613" t="str">
        <f>IF(AG27&lt;&gt;"",INDEX('Bearer list'!$D$4:$D$16,AG27),"")</f>
        <v/>
      </c>
      <c r="AJ27" s="608"/>
      <c r="AK27" s="609" t="str">
        <f t="shared" si="40"/>
        <v/>
      </c>
      <c r="AL27" s="609" t="str">
        <f t="shared" si="41"/>
        <v/>
      </c>
      <c r="AM27" s="609" t="str">
        <f t="shared" si="42"/>
        <v/>
      </c>
      <c r="AN27" s="609" t="str">
        <f t="shared" si="43"/>
        <v/>
      </c>
      <c r="AO27" s="609" t="str">
        <f t="shared" si="44"/>
        <v/>
      </c>
      <c r="AP27" s="609" t="str">
        <f t="shared" si="45"/>
        <v/>
      </c>
      <c r="AQ27" s="609" t="str">
        <f t="shared" si="46"/>
        <v/>
      </c>
      <c r="AR27" s="609" t="str">
        <f t="shared" si="47"/>
        <v/>
      </c>
      <c r="AS27" s="609" t="str">
        <f t="shared" si="48"/>
        <v/>
      </c>
      <c r="AT27" s="609" t="str">
        <f t="shared" si="49"/>
        <v/>
      </c>
      <c r="AU27" s="609" t="str">
        <f t="shared" si="50"/>
        <v/>
      </c>
      <c r="AV27" s="609" t="str">
        <f t="shared" si="51"/>
        <v/>
      </c>
      <c r="AW27" s="609" t="str">
        <f t="shared" si="52"/>
        <v/>
      </c>
      <c r="AX27" s="610" t="str">
        <f t="shared" si="53"/>
        <v/>
      </c>
      <c r="BA27" s="611" t="str">
        <f t="shared" si="54"/>
        <v/>
      </c>
      <c r="BB27" s="609" t="str">
        <f t="shared" si="55"/>
        <v/>
      </c>
      <c r="BC27" s="609" t="str">
        <f t="shared" si="56"/>
        <v/>
      </c>
      <c r="BD27" s="609" t="str">
        <f t="shared" si="57"/>
        <v/>
      </c>
      <c r="BE27" s="609" t="str">
        <f t="shared" si="58"/>
        <v/>
      </c>
      <c r="BF27" s="609" t="str">
        <f t="shared" si="59"/>
        <v/>
      </c>
      <c r="BG27" s="610" t="str">
        <f t="shared" si="60"/>
        <v/>
      </c>
      <c r="BJ27" s="611" t="str">
        <f t="shared" si="61"/>
        <v/>
      </c>
      <c r="BK27" s="609" t="str">
        <f t="shared" si="62"/>
        <v/>
      </c>
      <c r="BL27" s="609" t="str">
        <f t="shared" si="63"/>
        <v/>
      </c>
      <c r="BM27" s="609" t="str">
        <f t="shared" si="64"/>
        <v/>
      </c>
      <c r="BN27" s="609" t="str">
        <f t="shared" si="65"/>
        <v/>
      </c>
      <c r="BO27" s="610" t="str">
        <f t="shared" si="66"/>
        <v/>
      </c>
      <c r="BR27" s="611" t="str">
        <f t="shared" si="67"/>
        <v/>
      </c>
      <c r="BS27" s="609" t="str">
        <f t="shared" si="68"/>
        <v/>
      </c>
      <c r="BT27" s="609" t="str">
        <f t="shared" si="69"/>
        <v/>
      </c>
      <c r="BU27" s="609" t="str">
        <f t="shared" si="70"/>
        <v/>
      </c>
      <c r="BV27" s="609" t="str">
        <f t="shared" si="71"/>
        <v/>
      </c>
      <c r="BW27" s="609" t="str">
        <f t="shared" si="72"/>
        <v/>
      </c>
      <c r="BX27" s="609" t="str">
        <f t="shared" si="73"/>
        <v/>
      </c>
      <c r="BY27" s="609" t="str">
        <f t="shared" si="74"/>
        <v/>
      </c>
      <c r="BZ27" s="609" t="str">
        <f t="shared" si="75"/>
        <v/>
      </c>
      <c r="CA27" s="610" t="str">
        <f t="shared" si="76"/>
        <v/>
      </c>
    </row>
    <row r="28" spans="1:79" hidden="1">
      <c r="A28" s="612" t="str">
        <f>IF((13-COUNTIF('Bearer list'!$E$4:$E$16,""))&gt;A27,A27+1,"")</f>
        <v/>
      </c>
      <c r="B28" s="367">
        <v>9</v>
      </c>
      <c r="C28" s="604" t="str">
        <f>IF(A28&lt;&gt;"",INDEX('Bearer list'!$D$4:$D$16,A28),"")</f>
        <v/>
      </c>
      <c r="D28" s="634" t="str">
        <f>IF($A28&lt;&gt;"", SUMIF('Overall savings and benefits'!$AG$4:$AG$13, $C28, 'Overall savings and benefits'!AK$4:AK$13), "")</f>
        <v/>
      </c>
      <c r="E28" s="605" t="str">
        <f>IF($A28&lt;&gt;"", SUMIF('Overall savings and benefits'!$AG$4:$AG$13, $C28, 'Overall savings and benefits'!AL$4:AL$13), "")</f>
        <v/>
      </c>
      <c r="F28" s="605" t="str">
        <f>IF($A28&lt;&gt;"", SUMIF('Overall savings and benefits'!$AG$4:$AG$13, $C28, 'Overall savings and benefits'!AM$4:AM$13), "")</f>
        <v/>
      </c>
      <c r="G28" s="605" t="str">
        <f>IF($A28&lt;&gt;"", SUMIF('Overall savings and benefits'!$AG$4:$AG$13, $C28, 'Overall savings and benefits'!AN$4:AN$13), "")</f>
        <v/>
      </c>
      <c r="H28" s="605" t="str">
        <f>IF($A28&lt;&gt;"", SUMIF('Overall savings and benefits'!$AG$4:$AG$13, $C28, 'Overall savings and benefits'!AO$4:AO$13), "")</f>
        <v/>
      </c>
      <c r="I28" s="605" t="str">
        <f>IF($A28&lt;&gt;"", SUMIF('Overall savings and benefits'!$AG$4:$AG$13, $C28, 'Overall savings and benefits'!AP$4:AP$13), "")</f>
        <v/>
      </c>
      <c r="J28" s="605" t="str">
        <f>IF($A28&lt;&gt;"", SUMIF('Overall savings and benefits'!$AG$4:$AG$13, $C28, 'Overall savings and benefits'!AQ$4:AQ$13), "")</f>
        <v/>
      </c>
      <c r="K28" s="605" t="str">
        <f>IF($A28&lt;&gt;"", SUMIF('Overall savings and benefits'!$AG$4:$AG$13, $C28, 'Overall savings and benefits'!AR$4:AR$13), "")</f>
        <v/>
      </c>
      <c r="L28" s="605" t="str">
        <f>IF($A28&lt;&gt;"", SUMIF('Overall savings and benefits'!$AG$4:$AG$13, $C28, 'Overall savings and benefits'!AS$4:AS$13), "")</f>
        <v/>
      </c>
      <c r="M28" s="605" t="str">
        <f>IF($A28&lt;&gt;"", SUMIF('Overall savings and benefits'!$AG$4:$AG$13, $C28, 'Overall savings and benefits'!AT$4:AT$13), "")</f>
        <v/>
      </c>
      <c r="N28" s="605" t="str">
        <f>IF($A28&lt;&gt;"", SUMIF('Overall savings and benefits'!$AG$4:$AG$13, $C28, 'Overall savings and benefits'!AU$4:AU$13), "")</f>
        <v/>
      </c>
      <c r="O28" s="605" t="str">
        <f>IF($A28&lt;&gt;"", SUMIF('Overall savings and benefits'!$AG$4:$AG$13, $C28, 'Overall savings and benefits'!AV$4:AV$13), "")</f>
        <v/>
      </c>
      <c r="P28" s="605" t="str">
        <f>IF($A28&lt;&gt;"", SUMIF('Overall savings and benefits'!$AG$4:$AG$13, $C28, 'Overall savings and benefits'!AW$4:AW$13), "")</f>
        <v/>
      </c>
      <c r="Q28" s="605" t="str">
        <f>IF($A28&lt;&gt;"", SUMIF('Overall savings and benefits'!$AG$4:$AG$13, $C28, 'Overall savings and benefits'!AX$4:AX$13), "")</f>
        <v/>
      </c>
      <c r="R28" s="605" t="str">
        <f>IF($A28&lt;&gt;"", SUMIF('Overall savings and benefits'!$AG$4:$AG$13, $C28, 'Overall savings and benefits'!AY$4:AY$13), "")</f>
        <v/>
      </c>
      <c r="S28" s="605" t="str">
        <f>IF($A28&lt;&gt;"", SUMIF('Overall savings and benefits'!$AG$4:$AG$13, $C28, 'Overall savings and benefits'!AZ$4:AZ$13), "")</f>
        <v/>
      </c>
      <c r="T28" s="605" t="str">
        <f>IF($A28&lt;&gt;"", SUMIF('Overall savings and benefits'!$AG$4:$AG$13, $C28, 'Overall savings and benefits'!BA$4:BA$13), "")</f>
        <v/>
      </c>
      <c r="U28" s="605" t="str">
        <f>IF($A28&lt;&gt;"", SUMIF('Overall savings and benefits'!$AG$4:$AG$13, $C28, 'Overall savings and benefits'!BB$4:BB$13), "")</f>
        <v/>
      </c>
      <c r="V28" s="605" t="str">
        <f>IF($A28&lt;&gt;"", SUMIF('Overall savings and benefits'!$AG$4:$AG$13, $C28, 'Overall savings and benefits'!BC$4:BC$13), "")</f>
        <v/>
      </c>
      <c r="W28" s="605" t="str">
        <f>IF($A28&lt;&gt;"", SUMIF('Overall savings and benefits'!$AG$4:$AG$13, $C28, 'Overall savings and benefits'!BD$4:BD$13), "")</f>
        <v/>
      </c>
      <c r="X28" s="605" t="str">
        <f>IF($A28&lt;&gt;"", SUMIF('Overall savings and benefits'!$AG$4:$AG$13, $C28, 'Overall savings and benefits'!BE$4:BE$13), "")</f>
        <v/>
      </c>
      <c r="Y28" s="605" t="str">
        <f>IF($A28&lt;&gt;"", SUMIF('Overall savings and benefits'!$AG$4:$AG$13, $C28, 'Overall savings and benefits'!BF$4:BF$13), "")</f>
        <v/>
      </c>
      <c r="Z28" s="605" t="str">
        <f>IF($A28&lt;&gt;"", SUMIF('Overall savings and benefits'!$AG$4:$AG$13, $C28, 'Overall savings and benefits'!BG$4:BG$13), "")</f>
        <v/>
      </c>
      <c r="AA28" s="605" t="str">
        <f>IF($A28&lt;&gt;"", SUMIF('Overall savings and benefits'!$AG$4:$AG$13, $C28, 'Overall savings and benefits'!BH$4:BH$13), "")</f>
        <v/>
      </c>
      <c r="AB28" s="605" t="str">
        <f>IF($A28&lt;&gt;"", SUMIF('Overall savings and benefits'!$AG$4:$AG$13, $C28, 'Overall savings and benefits'!BI$4:BI$13), "")</f>
        <v/>
      </c>
      <c r="AC28" s="1004" t="str">
        <f t="array" ref="AC28">IF($A28&lt;&gt;"", (SUM( IF(ISERROR(D28:AB28),"", D28:AB28))), "")</f>
        <v/>
      </c>
      <c r="AD28" s="1005" t="str">
        <f t="shared" si="39"/>
        <v/>
      </c>
      <c r="AG28" s="636" t="str">
        <f>IF((13-COUNTIF('Bearer list'!$E$4:$E$16,""))&gt;AG27,AG27+1,"")</f>
        <v/>
      </c>
      <c r="AH28" s="635">
        <v>9</v>
      </c>
      <c r="AI28" s="613" t="str">
        <f>IF(AG28&lt;&gt;"",INDEX('Bearer list'!$D$4:$D$16,AG28),"")</f>
        <v/>
      </c>
      <c r="AJ28" s="608"/>
      <c r="AK28" s="609" t="str">
        <f t="shared" si="40"/>
        <v/>
      </c>
      <c r="AL28" s="609" t="str">
        <f t="shared" si="41"/>
        <v/>
      </c>
      <c r="AM28" s="609" t="str">
        <f t="shared" si="42"/>
        <v/>
      </c>
      <c r="AN28" s="609" t="str">
        <f t="shared" si="43"/>
        <v/>
      </c>
      <c r="AO28" s="609" t="str">
        <f t="shared" si="44"/>
        <v/>
      </c>
      <c r="AP28" s="609" t="str">
        <f t="shared" si="45"/>
        <v/>
      </c>
      <c r="AQ28" s="609" t="str">
        <f t="shared" si="46"/>
        <v/>
      </c>
      <c r="AR28" s="609" t="str">
        <f t="shared" si="47"/>
        <v/>
      </c>
      <c r="AS28" s="609" t="str">
        <f t="shared" si="48"/>
        <v/>
      </c>
      <c r="AT28" s="609" t="str">
        <f t="shared" si="49"/>
        <v/>
      </c>
      <c r="AU28" s="609" t="str">
        <f t="shared" si="50"/>
        <v/>
      </c>
      <c r="AV28" s="609" t="str">
        <f t="shared" si="51"/>
        <v/>
      </c>
      <c r="AW28" s="609" t="str">
        <f t="shared" si="52"/>
        <v/>
      </c>
      <c r="AX28" s="610" t="str">
        <f t="shared" si="53"/>
        <v/>
      </c>
      <c r="BA28" s="611" t="str">
        <f t="shared" si="54"/>
        <v/>
      </c>
      <c r="BB28" s="609" t="str">
        <f t="shared" si="55"/>
        <v/>
      </c>
      <c r="BC28" s="609" t="str">
        <f t="shared" si="56"/>
        <v/>
      </c>
      <c r="BD28" s="609" t="str">
        <f t="shared" si="57"/>
        <v/>
      </c>
      <c r="BE28" s="609" t="str">
        <f t="shared" si="58"/>
        <v/>
      </c>
      <c r="BF28" s="609" t="str">
        <f t="shared" si="59"/>
        <v/>
      </c>
      <c r="BG28" s="610" t="str">
        <f t="shared" si="60"/>
        <v/>
      </c>
      <c r="BJ28" s="611" t="str">
        <f t="shared" si="61"/>
        <v/>
      </c>
      <c r="BK28" s="609" t="str">
        <f t="shared" si="62"/>
        <v/>
      </c>
      <c r="BL28" s="609" t="str">
        <f t="shared" si="63"/>
        <v/>
      </c>
      <c r="BM28" s="609" t="str">
        <f t="shared" si="64"/>
        <v/>
      </c>
      <c r="BN28" s="609" t="str">
        <f t="shared" si="65"/>
        <v/>
      </c>
      <c r="BO28" s="610" t="str">
        <f t="shared" si="66"/>
        <v/>
      </c>
      <c r="BR28" s="611" t="str">
        <f t="shared" si="67"/>
        <v/>
      </c>
      <c r="BS28" s="609" t="str">
        <f t="shared" si="68"/>
        <v/>
      </c>
      <c r="BT28" s="609" t="str">
        <f t="shared" si="69"/>
        <v/>
      </c>
      <c r="BU28" s="609" t="str">
        <f t="shared" si="70"/>
        <v/>
      </c>
      <c r="BV28" s="609" t="str">
        <f t="shared" si="71"/>
        <v/>
      </c>
      <c r="BW28" s="609" t="str">
        <f t="shared" si="72"/>
        <v/>
      </c>
      <c r="BX28" s="609" t="str">
        <f t="shared" si="73"/>
        <v/>
      </c>
      <c r="BY28" s="609" t="str">
        <f t="shared" si="74"/>
        <v/>
      </c>
      <c r="BZ28" s="609" t="str">
        <f t="shared" si="75"/>
        <v/>
      </c>
      <c r="CA28" s="610" t="str">
        <f t="shared" si="76"/>
        <v/>
      </c>
    </row>
    <row r="29" spans="1:79" hidden="1">
      <c r="A29" s="612" t="str">
        <f>IF((13-COUNTIF('Bearer list'!$E$4:$E$16,""))&gt;A28,A28+1,"")</f>
        <v/>
      </c>
      <c r="B29" s="367">
        <v>10</v>
      </c>
      <c r="C29" s="604" t="str">
        <f>IF(A29&lt;&gt;"",INDEX('Bearer list'!$D$4:$D$16,A29),"")</f>
        <v/>
      </c>
      <c r="D29" s="634" t="str">
        <f>IF($A29&lt;&gt;"", SUMIF('Overall savings and benefits'!$AG$4:$AG$13, $C29, 'Overall savings and benefits'!AK$4:AK$13), "")</f>
        <v/>
      </c>
      <c r="E29" s="605" t="str">
        <f>IF($A29&lt;&gt;"", SUMIF('Overall savings and benefits'!$AG$4:$AG$13, $C29, 'Overall savings and benefits'!AL$4:AL$13), "")</f>
        <v/>
      </c>
      <c r="F29" s="605" t="str">
        <f>IF($A29&lt;&gt;"", SUMIF('Overall savings and benefits'!$AG$4:$AG$13, $C29, 'Overall savings and benefits'!AM$4:AM$13), "")</f>
        <v/>
      </c>
      <c r="G29" s="605" t="str">
        <f>IF($A29&lt;&gt;"", SUMIF('Overall savings and benefits'!$AG$4:$AG$13, $C29, 'Overall savings and benefits'!AN$4:AN$13), "")</f>
        <v/>
      </c>
      <c r="H29" s="605" t="str">
        <f>IF($A29&lt;&gt;"", SUMIF('Overall savings and benefits'!$AG$4:$AG$13, $C29, 'Overall savings and benefits'!AO$4:AO$13), "")</f>
        <v/>
      </c>
      <c r="I29" s="605" t="str">
        <f>IF($A29&lt;&gt;"", SUMIF('Overall savings and benefits'!$AG$4:$AG$13, $C29, 'Overall savings and benefits'!AP$4:AP$13), "")</f>
        <v/>
      </c>
      <c r="J29" s="605" t="str">
        <f>IF($A29&lt;&gt;"", SUMIF('Overall savings and benefits'!$AG$4:$AG$13, $C29, 'Overall savings and benefits'!AQ$4:AQ$13), "")</f>
        <v/>
      </c>
      <c r="K29" s="605" t="str">
        <f>IF($A29&lt;&gt;"", SUMIF('Overall savings and benefits'!$AG$4:$AG$13, $C29, 'Overall savings and benefits'!AR$4:AR$13), "")</f>
        <v/>
      </c>
      <c r="L29" s="605" t="str">
        <f>IF($A29&lt;&gt;"", SUMIF('Overall savings and benefits'!$AG$4:$AG$13, $C29, 'Overall savings and benefits'!AS$4:AS$13), "")</f>
        <v/>
      </c>
      <c r="M29" s="605" t="str">
        <f>IF($A29&lt;&gt;"", SUMIF('Overall savings and benefits'!$AG$4:$AG$13, $C29, 'Overall savings and benefits'!AT$4:AT$13), "")</f>
        <v/>
      </c>
      <c r="N29" s="605" t="str">
        <f>IF($A29&lt;&gt;"", SUMIF('Overall savings and benefits'!$AG$4:$AG$13, $C29, 'Overall savings and benefits'!AU$4:AU$13), "")</f>
        <v/>
      </c>
      <c r="O29" s="605" t="str">
        <f>IF($A29&lt;&gt;"", SUMIF('Overall savings and benefits'!$AG$4:$AG$13, $C29, 'Overall savings and benefits'!AV$4:AV$13), "")</f>
        <v/>
      </c>
      <c r="P29" s="605" t="str">
        <f>IF($A29&lt;&gt;"", SUMIF('Overall savings and benefits'!$AG$4:$AG$13, $C29, 'Overall savings and benefits'!AW$4:AW$13), "")</f>
        <v/>
      </c>
      <c r="Q29" s="605" t="str">
        <f>IF($A29&lt;&gt;"", SUMIF('Overall savings and benefits'!$AG$4:$AG$13, $C29, 'Overall savings and benefits'!AX$4:AX$13), "")</f>
        <v/>
      </c>
      <c r="R29" s="605" t="str">
        <f>IF($A29&lt;&gt;"", SUMIF('Overall savings and benefits'!$AG$4:$AG$13, $C29, 'Overall savings and benefits'!AY$4:AY$13), "")</f>
        <v/>
      </c>
      <c r="S29" s="605" t="str">
        <f>IF($A29&lt;&gt;"", SUMIF('Overall savings and benefits'!$AG$4:$AG$13, $C29, 'Overall savings and benefits'!AZ$4:AZ$13), "")</f>
        <v/>
      </c>
      <c r="T29" s="605" t="str">
        <f>IF($A29&lt;&gt;"", SUMIF('Overall savings and benefits'!$AG$4:$AG$13, $C29, 'Overall savings and benefits'!BA$4:BA$13), "")</f>
        <v/>
      </c>
      <c r="U29" s="605" t="str">
        <f>IF($A29&lt;&gt;"", SUMIF('Overall savings and benefits'!$AG$4:$AG$13, $C29, 'Overall savings and benefits'!BB$4:BB$13), "")</f>
        <v/>
      </c>
      <c r="V29" s="605" t="str">
        <f>IF($A29&lt;&gt;"", SUMIF('Overall savings and benefits'!$AG$4:$AG$13, $C29, 'Overall savings and benefits'!BC$4:BC$13), "")</f>
        <v/>
      </c>
      <c r="W29" s="605" t="str">
        <f>IF($A29&lt;&gt;"", SUMIF('Overall savings and benefits'!$AG$4:$AG$13, $C29, 'Overall savings and benefits'!BD$4:BD$13), "")</f>
        <v/>
      </c>
      <c r="X29" s="605" t="str">
        <f>IF($A29&lt;&gt;"", SUMIF('Overall savings and benefits'!$AG$4:$AG$13, $C29, 'Overall savings and benefits'!BE$4:BE$13), "")</f>
        <v/>
      </c>
      <c r="Y29" s="605" t="str">
        <f>IF($A29&lt;&gt;"", SUMIF('Overall savings and benefits'!$AG$4:$AG$13, $C29, 'Overall savings and benefits'!BF$4:BF$13), "")</f>
        <v/>
      </c>
      <c r="Z29" s="605" t="str">
        <f>IF($A29&lt;&gt;"", SUMIF('Overall savings and benefits'!$AG$4:$AG$13, $C29, 'Overall savings and benefits'!BG$4:BG$13), "")</f>
        <v/>
      </c>
      <c r="AA29" s="605" t="str">
        <f>IF($A29&lt;&gt;"", SUMIF('Overall savings and benefits'!$AG$4:$AG$13, $C29, 'Overall savings and benefits'!BH$4:BH$13), "")</f>
        <v/>
      </c>
      <c r="AB29" s="605" t="str">
        <f>IF($A29&lt;&gt;"", SUMIF('Overall savings and benefits'!$AG$4:$AG$13, $C29, 'Overall savings and benefits'!BI$4:BI$13), "")</f>
        <v/>
      </c>
      <c r="AC29" s="1004" t="str">
        <f t="array" ref="AC29">IF($A29&lt;&gt;"", (SUM( IF(ISERROR(D29:AB29),"", D29:AB29))), "")</f>
        <v/>
      </c>
      <c r="AD29" s="1005" t="str">
        <f t="shared" si="39"/>
        <v/>
      </c>
      <c r="AG29" s="636" t="str">
        <f>IF((13-COUNTIF('Bearer list'!$E$4:$E$16,""))&gt;AG28,AG28+1,"")</f>
        <v/>
      </c>
      <c r="AH29" s="635">
        <v>10</v>
      </c>
      <c r="AI29" s="613" t="str">
        <f>IF(AG29&lt;&gt;"",INDEX('Bearer list'!$D$4:$D$16,AG29),"")</f>
        <v/>
      </c>
      <c r="AJ29" s="608"/>
      <c r="AK29" s="609" t="str">
        <f t="shared" si="40"/>
        <v/>
      </c>
      <c r="AL29" s="609" t="str">
        <f t="shared" si="41"/>
        <v/>
      </c>
      <c r="AM29" s="609" t="str">
        <f t="shared" si="42"/>
        <v/>
      </c>
      <c r="AN29" s="609" t="str">
        <f t="shared" si="43"/>
        <v/>
      </c>
      <c r="AO29" s="609" t="str">
        <f t="shared" si="44"/>
        <v/>
      </c>
      <c r="AP29" s="609" t="str">
        <f t="shared" si="45"/>
        <v/>
      </c>
      <c r="AQ29" s="609" t="str">
        <f t="shared" si="46"/>
        <v/>
      </c>
      <c r="AR29" s="609" t="str">
        <f t="shared" si="47"/>
        <v/>
      </c>
      <c r="AS29" s="609" t="str">
        <f t="shared" si="48"/>
        <v/>
      </c>
      <c r="AT29" s="609" t="str">
        <f t="shared" si="49"/>
        <v/>
      </c>
      <c r="AU29" s="609" t="str">
        <f t="shared" si="50"/>
        <v/>
      </c>
      <c r="AV29" s="609" t="str">
        <f t="shared" si="51"/>
        <v/>
      </c>
      <c r="AW29" s="609" t="str">
        <f t="shared" si="52"/>
        <v/>
      </c>
      <c r="AX29" s="610" t="str">
        <f t="shared" si="53"/>
        <v/>
      </c>
      <c r="BA29" s="611" t="str">
        <f t="shared" si="54"/>
        <v/>
      </c>
      <c r="BB29" s="609" t="str">
        <f t="shared" si="55"/>
        <v/>
      </c>
      <c r="BC29" s="609" t="str">
        <f t="shared" si="56"/>
        <v/>
      </c>
      <c r="BD29" s="609" t="str">
        <f t="shared" si="57"/>
        <v/>
      </c>
      <c r="BE29" s="609" t="str">
        <f t="shared" si="58"/>
        <v/>
      </c>
      <c r="BF29" s="609" t="str">
        <f t="shared" si="59"/>
        <v/>
      </c>
      <c r="BG29" s="610" t="str">
        <f t="shared" si="60"/>
        <v/>
      </c>
      <c r="BJ29" s="611" t="str">
        <f t="shared" si="61"/>
        <v/>
      </c>
      <c r="BK29" s="609" t="str">
        <f t="shared" si="62"/>
        <v/>
      </c>
      <c r="BL29" s="609" t="str">
        <f t="shared" si="63"/>
        <v/>
      </c>
      <c r="BM29" s="609" t="str">
        <f t="shared" si="64"/>
        <v/>
      </c>
      <c r="BN29" s="609" t="str">
        <f t="shared" si="65"/>
        <v/>
      </c>
      <c r="BO29" s="610" t="str">
        <f t="shared" si="66"/>
        <v/>
      </c>
      <c r="BR29" s="611" t="str">
        <f t="shared" si="67"/>
        <v/>
      </c>
      <c r="BS29" s="609" t="str">
        <f t="shared" si="68"/>
        <v/>
      </c>
      <c r="BT29" s="609" t="str">
        <f t="shared" si="69"/>
        <v/>
      </c>
      <c r="BU29" s="609" t="str">
        <f t="shared" si="70"/>
        <v/>
      </c>
      <c r="BV29" s="609" t="str">
        <f t="shared" si="71"/>
        <v/>
      </c>
      <c r="BW29" s="609" t="str">
        <f t="shared" si="72"/>
        <v/>
      </c>
      <c r="BX29" s="609" t="str">
        <f t="shared" si="73"/>
        <v/>
      </c>
      <c r="BY29" s="609" t="str">
        <f t="shared" si="74"/>
        <v/>
      </c>
      <c r="BZ29" s="609" t="str">
        <f t="shared" si="75"/>
        <v/>
      </c>
      <c r="CA29" s="610" t="str">
        <f t="shared" si="76"/>
        <v/>
      </c>
    </row>
    <row r="30" spans="1:79" hidden="1">
      <c r="A30" s="612" t="str">
        <f>IF((13-COUNTIF('Bearer list'!$E$4:$E$16,""))&gt;A29,A29+1,"")</f>
        <v/>
      </c>
      <c r="B30" s="367">
        <v>11</v>
      </c>
      <c r="C30" s="604" t="str">
        <f>IF(A30&lt;&gt;"",INDEX('Bearer list'!$D$4:$D$16,A30),"")</f>
        <v/>
      </c>
      <c r="D30" s="634" t="str">
        <f>IF($A30&lt;&gt;"", SUMIF('Overall savings and benefits'!$AG$4:$AG$13, $C30, 'Overall savings and benefits'!AK$4:AK$13), "")</f>
        <v/>
      </c>
      <c r="E30" s="605" t="str">
        <f>IF($A30&lt;&gt;"", SUMIF('Overall savings and benefits'!$AG$4:$AG$13, $C30, 'Overall savings and benefits'!AL$4:AL$13), "")</f>
        <v/>
      </c>
      <c r="F30" s="605" t="str">
        <f>IF($A30&lt;&gt;"", SUMIF('Overall savings and benefits'!$AG$4:$AG$13, $C30, 'Overall savings and benefits'!AM$4:AM$13), "")</f>
        <v/>
      </c>
      <c r="G30" s="605" t="str">
        <f>IF($A30&lt;&gt;"", SUMIF('Overall savings and benefits'!$AG$4:$AG$13, $C30, 'Overall savings and benefits'!AN$4:AN$13), "")</f>
        <v/>
      </c>
      <c r="H30" s="605" t="str">
        <f>IF($A30&lt;&gt;"", SUMIF('Overall savings and benefits'!$AG$4:$AG$13, $C30, 'Overall savings and benefits'!AO$4:AO$13), "")</f>
        <v/>
      </c>
      <c r="I30" s="605" t="str">
        <f>IF($A30&lt;&gt;"", SUMIF('Overall savings and benefits'!$AG$4:$AG$13, $C30, 'Overall savings and benefits'!AP$4:AP$13), "")</f>
        <v/>
      </c>
      <c r="J30" s="605" t="str">
        <f>IF($A30&lt;&gt;"", SUMIF('Overall savings and benefits'!$AG$4:$AG$13, $C30, 'Overall savings and benefits'!AQ$4:AQ$13), "")</f>
        <v/>
      </c>
      <c r="K30" s="605" t="str">
        <f>IF($A30&lt;&gt;"", SUMIF('Overall savings and benefits'!$AG$4:$AG$13, $C30, 'Overall savings and benefits'!AR$4:AR$13), "")</f>
        <v/>
      </c>
      <c r="L30" s="605" t="str">
        <f>IF($A30&lt;&gt;"", SUMIF('Overall savings and benefits'!$AG$4:$AG$13, $C30, 'Overall savings and benefits'!AS$4:AS$13), "")</f>
        <v/>
      </c>
      <c r="M30" s="605" t="str">
        <f>IF($A30&lt;&gt;"", SUMIF('Overall savings and benefits'!$AG$4:$AG$13, $C30, 'Overall savings and benefits'!AT$4:AT$13), "")</f>
        <v/>
      </c>
      <c r="N30" s="605" t="str">
        <f>IF($A30&lt;&gt;"", SUMIF('Overall savings and benefits'!$AG$4:$AG$13, $C30, 'Overall savings and benefits'!AU$4:AU$13), "")</f>
        <v/>
      </c>
      <c r="O30" s="605" t="str">
        <f>IF($A30&lt;&gt;"", SUMIF('Overall savings and benefits'!$AG$4:$AG$13, $C30, 'Overall savings and benefits'!AV$4:AV$13), "")</f>
        <v/>
      </c>
      <c r="P30" s="605" t="str">
        <f>IF($A30&lt;&gt;"", SUMIF('Overall savings and benefits'!$AG$4:$AG$13, $C30, 'Overall savings and benefits'!AW$4:AW$13), "")</f>
        <v/>
      </c>
      <c r="Q30" s="605" t="str">
        <f>IF($A30&lt;&gt;"", SUMIF('Overall savings and benefits'!$AG$4:$AG$13, $C30, 'Overall savings and benefits'!AX$4:AX$13), "")</f>
        <v/>
      </c>
      <c r="R30" s="605" t="str">
        <f>IF($A30&lt;&gt;"", SUMIF('Overall savings and benefits'!$AG$4:$AG$13, $C30, 'Overall savings and benefits'!AY$4:AY$13), "")</f>
        <v/>
      </c>
      <c r="S30" s="605" t="str">
        <f>IF($A30&lt;&gt;"", SUMIF('Overall savings and benefits'!$AG$4:$AG$13, $C30, 'Overall savings and benefits'!AZ$4:AZ$13), "")</f>
        <v/>
      </c>
      <c r="T30" s="605" t="str">
        <f>IF($A30&lt;&gt;"", SUMIF('Overall savings and benefits'!$AG$4:$AG$13, $C30, 'Overall savings and benefits'!BA$4:BA$13), "")</f>
        <v/>
      </c>
      <c r="U30" s="605" t="str">
        <f>IF($A30&lt;&gt;"", SUMIF('Overall savings and benefits'!$AG$4:$AG$13, $C30, 'Overall savings and benefits'!BB$4:BB$13), "")</f>
        <v/>
      </c>
      <c r="V30" s="605" t="str">
        <f>IF($A30&lt;&gt;"", SUMIF('Overall savings and benefits'!$AG$4:$AG$13, $C30, 'Overall savings and benefits'!BC$4:BC$13), "")</f>
        <v/>
      </c>
      <c r="W30" s="605" t="str">
        <f>IF($A30&lt;&gt;"", SUMIF('Overall savings and benefits'!$AG$4:$AG$13, $C30, 'Overall savings and benefits'!BD$4:BD$13), "")</f>
        <v/>
      </c>
      <c r="X30" s="605" t="str">
        <f>IF($A30&lt;&gt;"", SUMIF('Overall savings and benefits'!$AG$4:$AG$13, $C30, 'Overall savings and benefits'!BE$4:BE$13), "")</f>
        <v/>
      </c>
      <c r="Y30" s="605" t="str">
        <f>IF($A30&lt;&gt;"", SUMIF('Overall savings and benefits'!$AG$4:$AG$13, $C30, 'Overall savings and benefits'!BF$4:BF$13), "")</f>
        <v/>
      </c>
      <c r="Z30" s="605" t="str">
        <f>IF($A30&lt;&gt;"", SUMIF('Overall savings and benefits'!$AG$4:$AG$13, $C30, 'Overall savings and benefits'!BG$4:BG$13), "")</f>
        <v/>
      </c>
      <c r="AA30" s="605" t="str">
        <f>IF($A30&lt;&gt;"", SUMIF('Overall savings and benefits'!$AG$4:$AG$13, $C30, 'Overall savings and benefits'!BH$4:BH$13), "")</f>
        <v/>
      </c>
      <c r="AB30" s="605" t="str">
        <f>IF($A30&lt;&gt;"", SUMIF('Overall savings and benefits'!$AG$4:$AG$13, $C30, 'Overall savings and benefits'!BI$4:BI$13), "")</f>
        <v/>
      </c>
      <c r="AC30" s="1004" t="str">
        <f t="array" ref="AC30">IF($A30&lt;&gt;"", (SUM( IF(ISERROR(D30:AB30),"", D30:AB30))), "")</f>
        <v/>
      </c>
      <c r="AD30" s="1005" t="str">
        <f t="shared" si="39"/>
        <v/>
      </c>
      <c r="AG30" s="636" t="str">
        <f>IF((13-COUNTIF('Bearer list'!$E$4:$E$16,""))&gt;AG29,AG29+1,"")</f>
        <v/>
      </c>
      <c r="AH30" s="635">
        <v>11</v>
      </c>
      <c r="AI30" s="613" t="str">
        <f>IF(AG30&lt;&gt;"",INDEX('Bearer list'!$D$4:$D$16,AG30),"")</f>
        <v/>
      </c>
      <c r="AJ30" s="608"/>
      <c r="AK30" s="609" t="str">
        <f t="shared" si="40"/>
        <v/>
      </c>
      <c r="AL30" s="609" t="str">
        <f t="shared" si="41"/>
        <v/>
      </c>
      <c r="AM30" s="609" t="str">
        <f t="shared" si="42"/>
        <v/>
      </c>
      <c r="AN30" s="609" t="str">
        <f t="shared" si="43"/>
        <v/>
      </c>
      <c r="AO30" s="609" t="str">
        <f t="shared" si="44"/>
        <v/>
      </c>
      <c r="AP30" s="609" t="str">
        <f t="shared" si="45"/>
        <v/>
      </c>
      <c r="AQ30" s="609" t="str">
        <f t="shared" si="46"/>
        <v/>
      </c>
      <c r="AR30" s="609" t="str">
        <f t="shared" si="47"/>
        <v/>
      </c>
      <c r="AS30" s="609" t="str">
        <f t="shared" si="48"/>
        <v/>
      </c>
      <c r="AT30" s="609" t="str">
        <f t="shared" si="49"/>
        <v/>
      </c>
      <c r="AU30" s="609" t="str">
        <f t="shared" si="50"/>
        <v/>
      </c>
      <c r="AV30" s="609" t="str">
        <f t="shared" si="51"/>
        <v/>
      </c>
      <c r="AW30" s="609" t="str">
        <f t="shared" si="52"/>
        <v/>
      </c>
      <c r="AX30" s="610" t="str">
        <f t="shared" si="53"/>
        <v/>
      </c>
      <c r="BA30" s="611" t="str">
        <f t="shared" si="54"/>
        <v/>
      </c>
      <c r="BB30" s="609" t="str">
        <f t="shared" si="55"/>
        <v/>
      </c>
      <c r="BC30" s="609" t="str">
        <f t="shared" si="56"/>
        <v/>
      </c>
      <c r="BD30" s="609" t="str">
        <f t="shared" si="57"/>
        <v/>
      </c>
      <c r="BE30" s="609" t="str">
        <f t="shared" si="58"/>
        <v/>
      </c>
      <c r="BF30" s="609" t="str">
        <f t="shared" si="59"/>
        <v/>
      </c>
      <c r="BG30" s="610" t="str">
        <f t="shared" si="60"/>
        <v/>
      </c>
      <c r="BJ30" s="611" t="str">
        <f t="shared" si="61"/>
        <v/>
      </c>
      <c r="BK30" s="609" t="str">
        <f t="shared" si="62"/>
        <v/>
      </c>
      <c r="BL30" s="609" t="str">
        <f t="shared" si="63"/>
        <v/>
      </c>
      <c r="BM30" s="609" t="str">
        <f t="shared" si="64"/>
        <v/>
      </c>
      <c r="BN30" s="609" t="str">
        <f t="shared" si="65"/>
        <v/>
      </c>
      <c r="BO30" s="610" t="str">
        <f t="shared" si="66"/>
        <v/>
      </c>
      <c r="BR30" s="611" t="str">
        <f t="shared" si="67"/>
        <v/>
      </c>
      <c r="BS30" s="609" t="str">
        <f t="shared" si="68"/>
        <v/>
      </c>
      <c r="BT30" s="609" t="str">
        <f t="shared" si="69"/>
        <v/>
      </c>
      <c r="BU30" s="609" t="str">
        <f t="shared" si="70"/>
        <v/>
      </c>
      <c r="BV30" s="609" t="str">
        <f t="shared" si="71"/>
        <v/>
      </c>
      <c r="BW30" s="609" t="str">
        <f t="shared" si="72"/>
        <v/>
      </c>
      <c r="BX30" s="609" t="str">
        <f t="shared" si="73"/>
        <v/>
      </c>
      <c r="BY30" s="609" t="str">
        <f t="shared" si="74"/>
        <v/>
      </c>
      <c r="BZ30" s="609" t="str">
        <f t="shared" si="75"/>
        <v/>
      </c>
      <c r="CA30" s="610" t="str">
        <f t="shared" si="76"/>
        <v/>
      </c>
    </row>
    <row r="31" spans="1:79" hidden="1">
      <c r="A31" s="612" t="str">
        <f>IF((13-COUNTIF('Bearer list'!$E$4:$E$16,""))&gt;A30,A30+1,"")</f>
        <v/>
      </c>
      <c r="B31" s="367">
        <v>12</v>
      </c>
      <c r="C31" s="604" t="str">
        <f>IF(A31&lt;&gt;"",INDEX('Bearer list'!$D$4:$D$16,A31),"")</f>
        <v/>
      </c>
      <c r="D31" s="634" t="str">
        <f>IF($A31&lt;&gt;"", SUMIF('Overall savings and benefits'!$AG$4:$AG$13, $C31, 'Overall savings and benefits'!AK$4:AK$13), "")</f>
        <v/>
      </c>
      <c r="E31" s="605" t="str">
        <f>IF($A31&lt;&gt;"", SUMIF('Overall savings and benefits'!$AG$4:$AG$13, $C31, 'Overall savings and benefits'!AL$4:AL$13), "")</f>
        <v/>
      </c>
      <c r="F31" s="605" t="str">
        <f>IF($A31&lt;&gt;"", SUMIF('Overall savings and benefits'!$AG$4:$AG$13, $C31, 'Overall savings and benefits'!AM$4:AM$13), "")</f>
        <v/>
      </c>
      <c r="G31" s="605" t="str">
        <f>IF($A31&lt;&gt;"", SUMIF('Overall savings and benefits'!$AG$4:$AG$13, $C31, 'Overall savings and benefits'!AN$4:AN$13), "")</f>
        <v/>
      </c>
      <c r="H31" s="605" t="str">
        <f>IF($A31&lt;&gt;"", SUMIF('Overall savings and benefits'!$AG$4:$AG$13, $C31, 'Overall savings and benefits'!AO$4:AO$13), "")</f>
        <v/>
      </c>
      <c r="I31" s="605" t="str">
        <f>IF($A31&lt;&gt;"", SUMIF('Overall savings and benefits'!$AG$4:$AG$13, $C31, 'Overall savings and benefits'!AP$4:AP$13), "")</f>
        <v/>
      </c>
      <c r="J31" s="605" t="str">
        <f>IF($A31&lt;&gt;"", SUMIF('Overall savings and benefits'!$AG$4:$AG$13, $C31, 'Overall savings and benefits'!AQ$4:AQ$13), "")</f>
        <v/>
      </c>
      <c r="K31" s="605" t="str">
        <f>IF($A31&lt;&gt;"", SUMIF('Overall savings and benefits'!$AG$4:$AG$13, $C31, 'Overall savings and benefits'!AR$4:AR$13), "")</f>
        <v/>
      </c>
      <c r="L31" s="605" t="str">
        <f>IF($A31&lt;&gt;"", SUMIF('Overall savings and benefits'!$AG$4:$AG$13, $C31, 'Overall savings and benefits'!AS$4:AS$13), "")</f>
        <v/>
      </c>
      <c r="M31" s="605" t="str">
        <f>IF($A31&lt;&gt;"", SUMIF('Overall savings and benefits'!$AG$4:$AG$13, $C31, 'Overall savings and benefits'!AT$4:AT$13), "")</f>
        <v/>
      </c>
      <c r="N31" s="605" t="str">
        <f>IF($A31&lt;&gt;"", SUMIF('Overall savings and benefits'!$AG$4:$AG$13, $C31, 'Overall savings and benefits'!AU$4:AU$13), "")</f>
        <v/>
      </c>
      <c r="O31" s="605" t="str">
        <f>IF($A31&lt;&gt;"", SUMIF('Overall savings and benefits'!$AG$4:$AG$13, $C31, 'Overall savings and benefits'!AV$4:AV$13), "")</f>
        <v/>
      </c>
      <c r="P31" s="605" t="str">
        <f>IF($A31&lt;&gt;"", SUMIF('Overall savings and benefits'!$AG$4:$AG$13, $C31, 'Overall savings and benefits'!AW$4:AW$13), "")</f>
        <v/>
      </c>
      <c r="Q31" s="605" t="str">
        <f>IF($A31&lt;&gt;"", SUMIF('Overall savings and benefits'!$AG$4:$AG$13, $C31, 'Overall savings and benefits'!AX$4:AX$13), "")</f>
        <v/>
      </c>
      <c r="R31" s="605" t="str">
        <f>IF($A31&lt;&gt;"", SUMIF('Overall savings and benefits'!$AG$4:$AG$13, $C31, 'Overall savings and benefits'!AY$4:AY$13), "")</f>
        <v/>
      </c>
      <c r="S31" s="605" t="str">
        <f>IF($A31&lt;&gt;"", SUMIF('Overall savings and benefits'!$AG$4:$AG$13, $C31, 'Overall savings and benefits'!AZ$4:AZ$13), "")</f>
        <v/>
      </c>
      <c r="T31" s="605" t="str">
        <f>IF($A31&lt;&gt;"", SUMIF('Overall savings and benefits'!$AG$4:$AG$13, $C31, 'Overall savings and benefits'!BA$4:BA$13), "")</f>
        <v/>
      </c>
      <c r="U31" s="605" t="str">
        <f>IF($A31&lt;&gt;"", SUMIF('Overall savings and benefits'!$AG$4:$AG$13, $C31, 'Overall savings and benefits'!BB$4:BB$13), "")</f>
        <v/>
      </c>
      <c r="V31" s="605" t="str">
        <f>IF($A31&lt;&gt;"", SUMIF('Overall savings and benefits'!$AG$4:$AG$13, $C31, 'Overall savings and benefits'!BC$4:BC$13), "")</f>
        <v/>
      </c>
      <c r="W31" s="605" t="str">
        <f>IF($A31&lt;&gt;"", SUMIF('Overall savings and benefits'!$AG$4:$AG$13, $C31, 'Overall savings and benefits'!BD$4:BD$13), "")</f>
        <v/>
      </c>
      <c r="X31" s="605" t="str">
        <f>IF($A31&lt;&gt;"", SUMIF('Overall savings and benefits'!$AG$4:$AG$13, $C31, 'Overall savings and benefits'!BE$4:BE$13), "")</f>
        <v/>
      </c>
      <c r="Y31" s="605" t="str">
        <f>IF($A31&lt;&gt;"", SUMIF('Overall savings and benefits'!$AG$4:$AG$13, $C31, 'Overall savings and benefits'!BF$4:BF$13), "")</f>
        <v/>
      </c>
      <c r="Z31" s="605" t="str">
        <f>IF($A31&lt;&gt;"", SUMIF('Overall savings and benefits'!$AG$4:$AG$13, $C31, 'Overall savings and benefits'!BG$4:BG$13), "")</f>
        <v/>
      </c>
      <c r="AA31" s="605" t="str">
        <f>IF($A31&lt;&gt;"", SUMIF('Overall savings and benefits'!$AG$4:$AG$13, $C31, 'Overall savings and benefits'!BH$4:BH$13), "")</f>
        <v/>
      </c>
      <c r="AB31" s="605" t="str">
        <f>IF($A31&lt;&gt;"", SUMIF('Overall savings and benefits'!$AG$4:$AG$13, $C31, 'Overall savings and benefits'!BI$4:BI$13), "")</f>
        <v/>
      </c>
      <c r="AC31" s="1004" t="str">
        <f t="array" ref="AC31">IF($A31&lt;&gt;"", (SUM( IF(ISERROR(D31:AB31),"", D31:AB31))), "")</f>
        <v/>
      </c>
      <c r="AD31" s="1005" t="str">
        <f t="shared" si="39"/>
        <v/>
      </c>
      <c r="AG31" s="636" t="str">
        <f>IF((13-COUNTIF('Bearer list'!$E$4:$E$16,""))&gt;AG30,AG30+1,"")</f>
        <v/>
      </c>
      <c r="AH31" s="635">
        <v>12</v>
      </c>
      <c r="AI31" s="613" t="str">
        <f>IF(AG31&lt;&gt;"",INDEX('Bearer list'!$D$4:$D$16,AG31),"")</f>
        <v/>
      </c>
      <c r="AJ31" s="608"/>
      <c r="AK31" s="609" t="str">
        <f t="shared" si="40"/>
        <v/>
      </c>
      <c r="AL31" s="609" t="str">
        <f t="shared" si="41"/>
        <v/>
      </c>
      <c r="AM31" s="609" t="str">
        <f t="shared" si="42"/>
        <v/>
      </c>
      <c r="AN31" s="609" t="str">
        <f t="shared" si="43"/>
        <v/>
      </c>
      <c r="AO31" s="609" t="str">
        <f t="shared" si="44"/>
        <v/>
      </c>
      <c r="AP31" s="609" t="str">
        <f t="shared" si="45"/>
        <v/>
      </c>
      <c r="AQ31" s="609" t="str">
        <f t="shared" si="46"/>
        <v/>
      </c>
      <c r="AR31" s="609" t="str">
        <f t="shared" si="47"/>
        <v/>
      </c>
      <c r="AS31" s="609" t="str">
        <f t="shared" si="48"/>
        <v/>
      </c>
      <c r="AT31" s="609" t="str">
        <f t="shared" si="49"/>
        <v/>
      </c>
      <c r="AU31" s="609" t="str">
        <f t="shared" si="50"/>
        <v/>
      </c>
      <c r="AV31" s="609" t="str">
        <f t="shared" si="51"/>
        <v/>
      </c>
      <c r="AW31" s="609" t="str">
        <f t="shared" si="52"/>
        <v/>
      </c>
      <c r="AX31" s="610" t="str">
        <f t="shared" si="53"/>
        <v/>
      </c>
      <c r="BA31" s="611" t="str">
        <f t="shared" si="54"/>
        <v/>
      </c>
      <c r="BB31" s="609" t="str">
        <f t="shared" si="55"/>
        <v/>
      </c>
      <c r="BC31" s="609" t="str">
        <f t="shared" si="56"/>
        <v/>
      </c>
      <c r="BD31" s="609" t="str">
        <f t="shared" si="57"/>
        <v/>
      </c>
      <c r="BE31" s="609" t="str">
        <f t="shared" si="58"/>
        <v/>
      </c>
      <c r="BF31" s="609" t="str">
        <f t="shared" si="59"/>
        <v/>
      </c>
      <c r="BG31" s="610" t="str">
        <f t="shared" si="60"/>
        <v/>
      </c>
      <c r="BJ31" s="611" t="str">
        <f t="shared" si="61"/>
        <v/>
      </c>
      <c r="BK31" s="609" t="str">
        <f t="shared" si="62"/>
        <v/>
      </c>
      <c r="BL31" s="609" t="str">
        <f t="shared" si="63"/>
        <v/>
      </c>
      <c r="BM31" s="609" t="str">
        <f t="shared" si="64"/>
        <v/>
      </c>
      <c r="BN31" s="609" t="str">
        <f t="shared" si="65"/>
        <v/>
      </c>
      <c r="BO31" s="610" t="str">
        <f t="shared" si="66"/>
        <v/>
      </c>
      <c r="BR31" s="611" t="str">
        <f t="shared" si="67"/>
        <v/>
      </c>
      <c r="BS31" s="609" t="str">
        <f t="shared" si="68"/>
        <v/>
      </c>
      <c r="BT31" s="609" t="str">
        <f t="shared" si="69"/>
        <v/>
      </c>
      <c r="BU31" s="609" t="str">
        <f t="shared" si="70"/>
        <v/>
      </c>
      <c r="BV31" s="609" t="str">
        <f t="shared" si="71"/>
        <v/>
      </c>
      <c r="BW31" s="609" t="str">
        <f t="shared" si="72"/>
        <v/>
      </c>
      <c r="BX31" s="609" t="str">
        <f t="shared" si="73"/>
        <v/>
      </c>
      <c r="BY31" s="609" t="str">
        <f t="shared" si="74"/>
        <v/>
      </c>
      <c r="BZ31" s="609" t="str">
        <f t="shared" si="75"/>
        <v/>
      </c>
      <c r="CA31" s="610" t="str">
        <f t="shared" si="76"/>
        <v/>
      </c>
    </row>
    <row r="32" spans="1:79" ht="16" hidden="1" thickBot="1">
      <c r="A32" s="614" t="str">
        <f>IF((13-COUNTIF('Bearer list'!$E$4:$E$16,""))&gt;A31,A31+1,"")</f>
        <v/>
      </c>
      <c r="B32" s="615">
        <v>13</v>
      </c>
      <c r="C32" s="616" t="str">
        <f>IF(A32&lt;&gt;"",INDEX('Bearer list'!$D$4:$D$16,A32),"")</f>
        <v/>
      </c>
      <c r="D32" s="637" t="str">
        <f>IF($A32&lt;&gt;"", SUMIF('Overall savings and benefits'!$AG$4:$AG$13, $C32, 'Overall savings and benefits'!AK$4:AK$13), "")</f>
        <v/>
      </c>
      <c r="E32" s="617" t="str">
        <f>IF($A32&lt;&gt;"", SUMIF('Overall savings and benefits'!$AG$4:$AG$13, $C32, 'Overall savings and benefits'!AL$4:AL$13), "")</f>
        <v/>
      </c>
      <c r="F32" s="617" t="str">
        <f>IF($A32&lt;&gt;"", SUMIF('Overall savings and benefits'!$AG$4:$AG$13, $C32, 'Overall savings and benefits'!AM$4:AM$13), "")</f>
        <v/>
      </c>
      <c r="G32" s="617" t="str">
        <f>IF($A32&lt;&gt;"", SUMIF('Overall savings and benefits'!$AG$4:$AG$13, $C32, 'Overall savings and benefits'!AN$4:AN$13), "")</f>
        <v/>
      </c>
      <c r="H32" s="617" t="str">
        <f>IF($A32&lt;&gt;"", SUMIF('Overall savings and benefits'!$AG$4:$AG$13, $C32, 'Overall savings and benefits'!AO$4:AO$13), "")</f>
        <v/>
      </c>
      <c r="I32" s="617" t="str">
        <f>IF($A32&lt;&gt;"", SUMIF('Overall savings and benefits'!$AG$4:$AG$13, $C32, 'Overall savings and benefits'!AP$4:AP$13), "")</f>
        <v/>
      </c>
      <c r="J32" s="617" t="str">
        <f>IF($A32&lt;&gt;"", SUMIF('Overall savings and benefits'!$AG$4:$AG$13, $C32, 'Overall savings and benefits'!AQ$4:AQ$13), "")</f>
        <v/>
      </c>
      <c r="K32" s="617" t="str">
        <f>IF($A32&lt;&gt;"", SUMIF('Overall savings and benefits'!$AG$4:$AG$13, $C32, 'Overall savings and benefits'!AR$4:AR$13), "")</f>
        <v/>
      </c>
      <c r="L32" s="617" t="str">
        <f>IF($A32&lt;&gt;"", SUMIF('Overall savings and benefits'!$AG$4:$AG$13, $C32, 'Overall savings and benefits'!AS$4:AS$13), "")</f>
        <v/>
      </c>
      <c r="M32" s="617" t="str">
        <f>IF($A32&lt;&gt;"", SUMIF('Overall savings and benefits'!$AG$4:$AG$13, $C32, 'Overall savings and benefits'!AT$4:AT$13), "")</f>
        <v/>
      </c>
      <c r="N32" s="617" t="str">
        <f>IF($A32&lt;&gt;"", SUMIF('Overall savings and benefits'!$AG$4:$AG$13, $C32, 'Overall savings and benefits'!AU$4:AU$13), "")</f>
        <v/>
      </c>
      <c r="O32" s="617" t="str">
        <f>IF($A32&lt;&gt;"", SUMIF('Overall savings and benefits'!$AG$4:$AG$13, $C32, 'Overall savings and benefits'!AV$4:AV$13), "")</f>
        <v/>
      </c>
      <c r="P32" s="617" t="str">
        <f>IF($A32&lt;&gt;"", SUMIF('Overall savings and benefits'!$AG$4:$AG$13, $C32, 'Overall savings and benefits'!AW$4:AW$13), "")</f>
        <v/>
      </c>
      <c r="Q32" s="617" t="str">
        <f>IF($A32&lt;&gt;"", SUMIF('Overall savings and benefits'!$AG$4:$AG$13, $C32, 'Overall savings and benefits'!AX$4:AX$13), "")</f>
        <v/>
      </c>
      <c r="R32" s="617" t="str">
        <f>IF($A32&lt;&gt;"", SUMIF('Overall savings and benefits'!$AG$4:$AG$13, $C32, 'Overall savings and benefits'!AY$4:AY$13), "")</f>
        <v/>
      </c>
      <c r="S32" s="617" t="str">
        <f>IF($A32&lt;&gt;"", SUMIF('Overall savings and benefits'!$AG$4:$AG$13, $C32, 'Overall savings and benefits'!AZ$4:AZ$13), "")</f>
        <v/>
      </c>
      <c r="T32" s="617" t="str">
        <f>IF($A32&lt;&gt;"", SUMIF('Overall savings and benefits'!$AG$4:$AG$13, $C32, 'Overall savings and benefits'!BA$4:BA$13), "")</f>
        <v/>
      </c>
      <c r="U32" s="617" t="str">
        <f>IF($A32&lt;&gt;"", SUMIF('Overall savings and benefits'!$AG$4:$AG$13, $C32, 'Overall savings and benefits'!BB$4:BB$13), "")</f>
        <v/>
      </c>
      <c r="V32" s="617" t="str">
        <f>IF($A32&lt;&gt;"", SUMIF('Overall savings and benefits'!$AG$4:$AG$13, $C32, 'Overall savings and benefits'!BC$4:BC$13), "")</f>
        <v/>
      </c>
      <c r="W32" s="617" t="str">
        <f>IF($A32&lt;&gt;"", SUMIF('Overall savings and benefits'!$AG$4:$AG$13, $C32, 'Overall savings and benefits'!BD$4:BD$13), "")</f>
        <v/>
      </c>
      <c r="X32" s="617" t="str">
        <f>IF($A32&lt;&gt;"", SUMIF('Overall savings and benefits'!$AG$4:$AG$13, $C32, 'Overall savings and benefits'!BE$4:BE$13), "")</f>
        <v/>
      </c>
      <c r="Y32" s="617" t="str">
        <f>IF($A32&lt;&gt;"", SUMIF('Overall savings and benefits'!$AG$4:$AG$13, $C32, 'Overall savings and benefits'!BF$4:BF$13), "")</f>
        <v/>
      </c>
      <c r="Z32" s="617" t="str">
        <f>IF($A32&lt;&gt;"", SUMIF('Overall savings and benefits'!$AG$4:$AG$13, $C32, 'Overall savings and benefits'!BG$4:BG$13), "")</f>
        <v/>
      </c>
      <c r="AA32" s="617" t="str">
        <f>IF($A32&lt;&gt;"", SUMIF('Overall savings and benefits'!$AG$4:$AG$13, $C32, 'Overall savings and benefits'!BH$4:BH$13), "")</f>
        <v/>
      </c>
      <c r="AB32" s="617" t="str">
        <f>IF($A32&lt;&gt;"", SUMIF('Overall savings and benefits'!$AG$4:$AG$13, $C32, 'Overall savings and benefits'!BI$4:BI$13), "")</f>
        <v/>
      </c>
      <c r="AC32" s="1006" t="str">
        <f t="array" ref="AC32">IF($A32&lt;&gt;"", (SUM( IF(ISERROR(D32:AB32),"", D32:AB32))), "")</f>
        <v/>
      </c>
      <c r="AD32" s="1007" t="str">
        <f t="shared" si="39"/>
        <v/>
      </c>
      <c r="AG32" s="638" t="str">
        <f>IF((13-COUNTIF('Bearer list'!$E$4:$E$16,""))&gt;AG31,AG31+1,"")</f>
        <v/>
      </c>
      <c r="AH32" s="639">
        <v>13</v>
      </c>
      <c r="AI32" s="622" t="str">
        <f>IF(AG32&lt;&gt;"",INDEX('Bearer list'!$D$4:$D$16,AG32),"")</f>
        <v/>
      </c>
      <c r="AJ32" s="623"/>
      <c r="AK32" s="624" t="str">
        <f t="shared" si="40"/>
        <v/>
      </c>
      <c r="AL32" s="609" t="str">
        <f t="shared" si="41"/>
        <v/>
      </c>
      <c r="AM32" s="624" t="str">
        <f t="shared" si="42"/>
        <v/>
      </c>
      <c r="AN32" s="624" t="str">
        <f t="shared" si="43"/>
        <v/>
      </c>
      <c r="AO32" s="624" t="str">
        <f t="shared" si="44"/>
        <v/>
      </c>
      <c r="AP32" s="624" t="str">
        <f t="shared" si="45"/>
        <v/>
      </c>
      <c r="AQ32" s="624" t="str">
        <f t="shared" si="46"/>
        <v/>
      </c>
      <c r="AR32" s="624" t="str">
        <f t="shared" si="47"/>
        <v/>
      </c>
      <c r="AS32" s="609" t="str">
        <f t="shared" si="48"/>
        <v/>
      </c>
      <c r="AT32" s="624" t="str">
        <f t="shared" si="49"/>
        <v/>
      </c>
      <c r="AU32" s="624" t="str">
        <f t="shared" si="50"/>
        <v/>
      </c>
      <c r="AV32" s="624" t="str">
        <f t="shared" si="51"/>
        <v/>
      </c>
      <c r="AW32" s="624" t="str">
        <f t="shared" si="52"/>
        <v/>
      </c>
      <c r="AX32" s="625" t="str">
        <f t="shared" si="53"/>
        <v/>
      </c>
      <c r="BA32" s="626" t="str">
        <f t="shared" si="54"/>
        <v/>
      </c>
      <c r="BB32" s="627" t="str">
        <f t="shared" si="55"/>
        <v/>
      </c>
      <c r="BC32" s="627" t="str">
        <f t="shared" si="56"/>
        <v/>
      </c>
      <c r="BD32" s="627" t="str">
        <f t="shared" si="57"/>
        <v/>
      </c>
      <c r="BE32" s="627" t="str">
        <f t="shared" si="58"/>
        <v/>
      </c>
      <c r="BF32" s="627" t="str">
        <f t="shared" si="59"/>
        <v/>
      </c>
      <c r="BG32" s="628" t="str">
        <f t="shared" si="60"/>
        <v/>
      </c>
      <c r="BJ32" s="626" t="str">
        <f t="shared" si="61"/>
        <v/>
      </c>
      <c r="BK32" s="627" t="str">
        <f t="shared" si="62"/>
        <v/>
      </c>
      <c r="BL32" s="627" t="str">
        <f t="shared" si="63"/>
        <v/>
      </c>
      <c r="BM32" s="627" t="str">
        <f t="shared" si="64"/>
        <v/>
      </c>
      <c r="BN32" s="627" t="str">
        <f t="shared" si="65"/>
        <v/>
      </c>
      <c r="BO32" s="628" t="str">
        <f t="shared" si="66"/>
        <v/>
      </c>
      <c r="BR32" s="629" t="str">
        <f t="shared" si="67"/>
        <v/>
      </c>
      <c r="BS32" s="630" t="str">
        <f t="shared" si="68"/>
        <v/>
      </c>
      <c r="BT32" s="630" t="str">
        <f t="shared" si="69"/>
        <v/>
      </c>
      <c r="BU32" s="630" t="str">
        <f t="shared" si="70"/>
        <v/>
      </c>
      <c r="BV32" s="630" t="str">
        <f t="shared" si="71"/>
        <v/>
      </c>
      <c r="BW32" s="630" t="str">
        <f t="shared" si="72"/>
        <v/>
      </c>
      <c r="BX32" s="630" t="str">
        <f t="shared" si="73"/>
        <v/>
      </c>
      <c r="BY32" s="630" t="str">
        <f t="shared" si="74"/>
        <v/>
      </c>
      <c r="BZ32" s="630" t="str">
        <f t="shared" si="75"/>
        <v/>
      </c>
      <c r="CA32" s="631" t="str">
        <f t="shared" si="76"/>
        <v/>
      </c>
    </row>
    <row r="33" spans="1:39" ht="16" hidden="1" thickBot="1">
      <c r="B33" s="640"/>
      <c r="AH33" s="529"/>
    </row>
    <row r="34" spans="1:39" ht="109" hidden="1" thickBot="1">
      <c r="A34" s="593" t="str">
        <f>CONCATENATE("Savings with Inflation and Discount rate"," ", "(",'Proposition Summary'!$B$76,")",":")</f>
        <v>Savings with Inflation and Discount rate (GBP (£)):</v>
      </c>
      <c r="B34" s="594"/>
      <c r="C34" s="595"/>
      <c r="D34" s="593" t="str">
        <f>CONCATENATE("Financial savings due to avoided crime in Year 1"," ", "(",'Proposition Summary'!$B$76,")")</f>
        <v>Financial savings due to avoided crime in Year 1 (GBP (£))</v>
      </c>
      <c r="E34" s="594" t="str">
        <f>CONCATENATE("Financial savings due to avoided crime in Year 2"," ", "(",'Proposition Summary'!$B$76,")")</f>
        <v>Financial savings due to avoided crime in Year 2 (GBP (£))</v>
      </c>
      <c r="F34" s="594" t="str">
        <f>CONCATENATE("Financial savings due to avoided crime in Year 3"," ", "(",'Proposition Summary'!$B$76,")")</f>
        <v>Financial savings due to avoided crime in Year 3 (GBP (£))</v>
      </c>
      <c r="G34" s="594" t="str">
        <f>CONCATENATE("Financial savings due to avoided crime in Year 4"," ", "(",'Proposition Summary'!$B$76,")")</f>
        <v>Financial savings due to avoided crime in Year 4 (GBP (£))</v>
      </c>
      <c r="H34" s="594" t="str">
        <f>CONCATENATE("Financial savings due to avoided crime in Year 5"," ", "(",'Proposition Summary'!$B$76,")")</f>
        <v>Financial savings due to avoided crime in Year 5 (GBP (£))</v>
      </c>
      <c r="I34" s="594" t="str">
        <f>CONCATENATE("Financial savings due to avoided crime in Year 6"," ", "(",'Proposition Summary'!$B$76,")")</f>
        <v>Financial savings due to avoided crime in Year 6 (GBP (£))</v>
      </c>
      <c r="J34" s="594" t="str">
        <f>CONCATENATE("Financial savings due to avoided crime in Year 7"," ", "(",'Proposition Summary'!$B$76,")")</f>
        <v>Financial savings due to avoided crime in Year 7 (GBP (£))</v>
      </c>
      <c r="K34" s="594" t="str">
        <f>CONCATENATE("Financial savings due to avoided crime in Year 8"," ", "(",'Proposition Summary'!$B$76,")")</f>
        <v>Financial savings due to avoided crime in Year 8 (GBP (£))</v>
      </c>
      <c r="L34" s="594" t="str">
        <f>CONCATENATE("Financial savings due to avoided crime in Year 9"," ", "(",'Proposition Summary'!$B$76,")")</f>
        <v>Financial savings due to avoided crime in Year 9 (GBP (£))</v>
      </c>
      <c r="M34" s="594" t="str">
        <f>CONCATENATE("Financial savings due to avoided crime in Year 10"," ", "(",'Proposition Summary'!$B$76,")")</f>
        <v>Financial savings due to avoided crime in Year 10 (GBP (£))</v>
      </c>
      <c r="N34" s="594" t="str">
        <f>CONCATENATE("Financial savings due to avoided crime in Year 11"," ", "(",'Proposition Summary'!$B$76,")")</f>
        <v>Financial savings due to avoided crime in Year 11 (GBP (£))</v>
      </c>
      <c r="O34" s="594" t="str">
        <f>CONCATENATE("Financial savings due to avoided crime in Year 12"," ", "(",'Proposition Summary'!$B$76,")")</f>
        <v>Financial savings due to avoided crime in Year 12 (GBP (£))</v>
      </c>
      <c r="P34" s="594" t="str">
        <f>CONCATENATE("Financial savings due to avoided crime in Year 13"," ", "(",'Proposition Summary'!$B$76,")")</f>
        <v>Financial savings due to avoided crime in Year 13 (GBP (£))</v>
      </c>
      <c r="Q34" s="594" t="str">
        <f>CONCATENATE("Financial savings due to avoided crime in Year 14"," ", "(",'Proposition Summary'!$B$76,")")</f>
        <v>Financial savings due to avoided crime in Year 14 (GBP (£))</v>
      </c>
      <c r="R34" s="594" t="str">
        <f>CONCATENATE("Financial savings due to avoided crime in Year 15"," ", "(",'Proposition Summary'!$B$76,")")</f>
        <v>Financial savings due to avoided crime in Year 15 (GBP (£))</v>
      </c>
      <c r="S34" s="594" t="str">
        <f>CONCATENATE("Financial savings due to avoided crime in Year 16"," ", "(",'Proposition Summary'!$B$76,")")</f>
        <v>Financial savings due to avoided crime in Year 16 (GBP (£))</v>
      </c>
      <c r="T34" s="594" t="str">
        <f>CONCATENATE("Financial savings due to avoided crime in Year 17"," ", "(",'Proposition Summary'!$B$76,")")</f>
        <v>Financial savings due to avoided crime in Year 17 (GBP (£))</v>
      </c>
      <c r="U34" s="594" t="str">
        <f>CONCATENATE("Financial savings due to avoided crime in Year 18"," ", "(",'Proposition Summary'!$B$76,")")</f>
        <v>Financial savings due to avoided crime in Year 18 (GBP (£))</v>
      </c>
      <c r="V34" s="594" t="str">
        <f>CONCATENATE("Financial savings due to avoided crime in Year 19"," ", "(",'Proposition Summary'!$B$76,")")</f>
        <v>Financial savings due to avoided crime in Year 19 (GBP (£))</v>
      </c>
      <c r="W34" s="594" t="str">
        <f>CONCATENATE("Financial savings due to avoided crime in Year 20"," ", "(",'Proposition Summary'!$B$76,")")</f>
        <v>Financial savings due to avoided crime in Year 20 (GBP (£))</v>
      </c>
      <c r="X34" s="594" t="str">
        <f>CONCATENATE("Financial savings due to avoided crime in Year 21"," ", "(",'Proposition Summary'!$B$76,")")</f>
        <v>Financial savings due to avoided crime in Year 21 (GBP (£))</v>
      </c>
      <c r="Y34" s="594" t="str">
        <f>CONCATENATE("Financial savings due to avoided crime in Year 22"," ", "(",'Proposition Summary'!$B$76,")")</f>
        <v>Financial savings due to avoided crime in Year 22 (GBP (£))</v>
      </c>
      <c r="Z34" s="594" t="str">
        <f>CONCATENATE("Financial savings due to avoided crime in Year 23"," ", "(",'Proposition Summary'!$B$76,")")</f>
        <v>Financial savings due to avoided crime in Year 23 (GBP (£))</v>
      </c>
      <c r="AA34" s="594" t="str">
        <f>CONCATENATE("Financial savings due to avoided crime in Year 24"," ", "(",'Proposition Summary'!$B$76,")")</f>
        <v>Financial savings due to avoided crime in Year 24 (GBP (£))</v>
      </c>
      <c r="AB34" s="594" t="str">
        <f>CONCATENATE("Financial savings due to avoided crime in Year 25"," ", "(",'Proposition Summary'!$B$76,")")</f>
        <v>Financial savings due to avoided crime in Year 25 (GBP (£))</v>
      </c>
      <c r="AC34" s="593" t="str">
        <f>CONCATENATE("Total Savings"," ", "(",'Proposition Summary'!$B$76,")")</f>
        <v>Total Savings (GBP (£))</v>
      </c>
      <c r="AD34" s="595" t="str">
        <f>CONCATENATE("Annual Savings"," ", "(",'Proposition Summary'!$B$76,")")</f>
        <v>Annual Savings (GBP (£))</v>
      </c>
    </row>
    <row r="35" spans="1:39" hidden="1">
      <c r="A35" s="603">
        <v>1</v>
      </c>
      <c r="B35" s="367">
        <v>1</v>
      </c>
      <c r="C35" s="604" t="str">
        <f>IF(A35&lt;&gt;"",INDEX('Bearer list'!$D$4:$D$16,A35),"")</f>
        <v>CJS</v>
      </c>
      <c r="D35" s="634">
        <f>IF($A35&lt;&gt;"", IF(D$2&lt;=time,D4*(1+Economics!$B$4)^(D$2-$D$2)/((1+Economics!$B$3)^(D$2-$D$2)),""), "")</f>
        <v>0</v>
      </c>
      <c r="E35" s="605">
        <f>IF($A35&lt;&gt;"", IF(E$2&lt;=time,E4*(1+Economics!$B$4)^(E$2-$D$2)/((1+Economics!$B$3)^(E$2-$D$2)),""), "")</f>
        <v>1203.9660856534467</v>
      </c>
      <c r="F35" s="605">
        <f>IF($A35&lt;&gt;"", IF(F$2&lt;=time,F4*(1+Economics!$B$4)^(F$2-$D$2)/((1+Economics!$B$3)^(F$2-$D$2)),""), "")</f>
        <v>0</v>
      </c>
      <c r="G35" s="605">
        <f>IF($A35&lt;&gt;"", IF(G$2&lt;=time,G4*(1+Economics!$B$4)^(G$2-$D$2)/((1+Economics!$B$3)^(G$2-$D$2)),""), "")</f>
        <v>0</v>
      </c>
      <c r="H35" s="605">
        <f>IF($A35&lt;&gt;"", IF(H$2&lt;=time,H4*(1+Economics!$B$4)^(H$2-$D$2)/((1+Economics!$B$3)^(H$2-$D$2)),""), "")</f>
        <v>0</v>
      </c>
      <c r="I35" s="605" t="str">
        <f>IF($A35&lt;&gt;"", IF(I$2&lt;=time,I4*(1+Economics!$B$4)^(I$2-$D$2)/((1+Economics!$B$3)^(I$2-$D$2)),""), "")</f>
        <v/>
      </c>
      <c r="J35" s="605" t="str">
        <f>IF($A35&lt;&gt;"", IF(J$2&lt;=time,J4*(1+Economics!$B$4)^(J$2-$D$2)/((1+Economics!$B$3)^(J$2-$D$2)),""), "")</f>
        <v/>
      </c>
      <c r="K35" s="605" t="str">
        <f>IF($A35&lt;&gt;"", IF(K$2&lt;=time,K4*(1+Economics!$B$4)^(K$2-$D$2)/((1+Economics!$B$3)^(K$2-$D$2)),""), "")</f>
        <v/>
      </c>
      <c r="L35" s="605" t="str">
        <f>IF($A35&lt;&gt;"", IF(L$2&lt;=time,L4*(1+Economics!$B$4)^(L$2-$D$2)/((1+Economics!$B$3)^(L$2-$D$2)),""), "")</f>
        <v/>
      </c>
      <c r="M35" s="605" t="str">
        <f>IF($A35&lt;&gt;"", IF(M$2&lt;=time,M4*(1+Economics!$B$4)^(M$2-$D$2)/((1+Economics!$B$3)^(M$2-$D$2)),""), "")</f>
        <v/>
      </c>
      <c r="N35" s="605" t="str">
        <f>IF($A35&lt;&gt;"", IF(N$2&lt;=time,N4*(1+Economics!$B$4)^(N$2-$D$2)/((1+Economics!$B$3)^(N$2-$D$2)),""), "")</f>
        <v/>
      </c>
      <c r="O35" s="605" t="str">
        <f>IF($A35&lt;&gt;"", IF(O$2&lt;=time,O4*(1+Economics!$B$4)^(O$2-$D$2)/((1+Economics!$B$3)^(O$2-$D$2)),""), "")</f>
        <v/>
      </c>
      <c r="P35" s="605" t="str">
        <f>IF($A35&lt;&gt;"", IF(P$2&lt;=time,P4*(1+Economics!$B$4)^(P$2-$D$2)/((1+Economics!$B$3)^(P$2-$D$2)),""), "")</f>
        <v/>
      </c>
      <c r="Q35" s="605" t="str">
        <f>IF($A35&lt;&gt;"", IF(Q$2&lt;=time,Q4*(1+Economics!$B$4)^(Q$2-$D$2)/((1+Economics!$B$3)^(Q$2-$D$2)),""), "")</f>
        <v/>
      </c>
      <c r="R35" s="605" t="str">
        <f>IF($A35&lt;&gt;"", IF(R$2&lt;=time,R4*(1+Economics!$B$4)^(R$2-$D$2)/((1+Economics!$B$3)^(R$2-$D$2)),""), "")</f>
        <v/>
      </c>
      <c r="S35" s="605" t="str">
        <f>IF($A35&lt;&gt;"", IF(S$2&lt;=time,S4*(1+Economics!$B$4)^(S$2-$D$2)/((1+Economics!$B$3)^(S$2-$D$2)),""), "")</f>
        <v/>
      </c>
      <c r="T35" s="605" t="str">
        <f>IF($A35&lt;&gt;"", IF(T$2&lt;=time,T4*(1+Economics!$B$4)^(T$2-$D$2)/((1+Economics!$B$3)^(T$2-$D$2)),""), "")</f>
        <v/>
      </c>
      <c r="U35" s="605" t="str">
        <f>IF($A35&lt;&gt;"", IF(U$2&lt;=time,U4*(1+Economics!$B$4)^(U$2-$D$2)/((1+Economics!$B$3)^(U$2-$D$2)),""), "")</f>
        <v/>
      </c>
      <c r="V35" s="605" t="str">
        <f>IF($A35&lt;&gt;"", IF(V$2&lt;=time,V4*(1+Economics!$B$4)^(V$2-$D$2)/((1+Economics!$B$3)^(V$2-$D$2)),""), "")</f>
        <v/>
      </c>
      <c r="W35" s="605" t="str">
        <f>IF($A35&lt;&gt;"", IF(W$2&lt;=time,W4*(1+Economics!$B$4)^(W$2-$D$2)/((1+Economics!$B$3)^(W$2-$D$2)),""), "")</f>
        <v/>
      </c>
      <c r="X35" s="605" t="str">
        <f>IF($A35&lt;&gt;"", IF(X$2&lt;=time,X4*(1+Economics!$B$4)^(X$2-$D$2)/((1+Economics!$B$3)^(X$2-$D$2)),""), "")</f>
        <v/>
      </c>
      <c r="Y35" s="605" t="str">
        <f>IF($A35&lt;&gt;"", IF(Y$2&lt;=time,Y4*(1+Economics!$B$4)^(Y$2-$D$2)/((1+Economics!$B$3)^(Y$2-$D$2)),""), "")</f>
        <v/>
      </c>
      <c r="Z35" s="605" t="str">
        <f>IF($A35&lt;&gt;"", IF(Z$2&lt;=time,Z4*(1+Economics!$B$4)^(Z$2-$D$2)/((1+Economics!$B$3)^(Z$2-$D$2)),""), "")</f>
        <v/>
      </c>
      <c r="AA35" s="605" t="str">
        <f>IF($A35&lt;&gt;"", IF(AA$2&lt;=time,AA4*(1+Economics!$B$4)^(AA$2-$D$2)/((1+Economics!$B$3)^(AA$2-$D$2)),""), "")</f>
        <v/>
      </c>
      <c r="AB35" s="605" t="str">
        <f>IF($A35&lt;&gt;"", IF(AB$2&lt;=time,AB4*(1+Economics!$B$4)^(AB$2-$D$2)/((1+Economics!$B$3)^(AB$2-$D$2)),""), "")</f>
        <v/>
      </c>
      <c r="AC35" s="606">
        <f t="array" ref="AC35">IF($A35&lt;&gt;"", (SUM( IF(ISERROR(D35:AB35),"", D35:AB35))), "")</f>
        <v>1203.9660856534467</v>
      </c>
      <c r="AD35" s="371">
        <f t="shared" ref="AD35:AD47" si="77">IF(A35&lt;&gt;"", AC35/time, "")</f>
        <v>240.79321713068936</v>
      </c>
    </row>
    <row r="36" spans="1:39" hidden="1">
      <c r="A36" s="612">
        <f>IF((13-COUNTIF('Bearer list'!$E$4:$E$16,""))&gt;A35,A35+1,"")</f>
        <v>2</v>
      </c>
      <c r="B36" s="367">
        <v>2</v>
      </c>
      <c r="C36" s="604" t="str">
        <f>IF(A36&lt;&gt;"",INDEX('Bearer list'!$D$4:$D$16,A36),"")</f>
        <v>Society</v>
      </c>
      <c r="D36" s="634">
        <f>IF($A36&lt;&gt;"", IF(D$2&lt;=time,D5*(1+Economics!$B$4)^(D$2-$D$2)/((1+Economics!$B$3)^(D$2-$D$2)),""), "")</f>
        <v>0</v>
      </c>
      <c r="E36" s="605">
        <f>IF($A36&lt;&gt;"", IF(E$2&lt;=time,E5*(1+Economics!$B$4)^(E$2-$D$2)/((1+Economics!$B$3)^(E$2-$D$2)),""), "")</f>
        <v>2635.6690336596726</v>
      </c>
      <c r="F36" s="605">
        <f>IF($A36&lt;&gt;"", IF(F$2&lt;=time,F5*(1+Economics!$B$4)^(F$2-$D$2)/((1+Economics!$B$3)^(F$2-$D$2)),""), "")</f>
        <v>0</v>
      </c>
      <c r="G36" s="605">
        <f>IF($A36&lt;&gt;"", IF(G$2&lt;=time,G5*(1+Economics!$B$4)^(G$2-$D$2)/((1+Economics!$B$3)^(G$2-$D$2)),""), "")</f>
        <v>0</v>
      </c>
      <c r="H36" s="605">
        <f>IF($A36&lt;&gt;"", IF(H$2&lt;=time,H5*(1+Economics!$B$4)^(H$2-$D$2)/((1+Economics!$B$3)^(H$2-$D$2)),""), "")</f>
        <v>0</v>
      </c>
      <c r="I36" s="605" t="str">
        <f>IF($A36&lt;&gt;"", IF(I$2&lt;=time,I5*(1+Economics!$B$4)^(I$2-$D$2)/((1+Economics!$B$3)^(I$2-$D$2)),""), "")</f>
        <v/>
      </c>
      <c r="J36" s="605" t="str">
        <f>IF($A36&lt;&gt;"", IF(J$2&lt;=time,J5*(1+Economics!$B$4)^(J$2-$D$2)/((1+Economics!$B$3)^(J$2-$D$2)),""), "")</f>
        <v/>
      </c>
      <c r="K36" s="605" t="str">
        <f>IF($A36&lt;&gt;"", IF(K$2&lt;=time,K5*(1+Economics!$B$4)^(K$2-$D$2)/((1+Economics!$B$3)^(K$2-$D$2)),""), "")</f>
        <v/>
      </c>
      <c r="L36" s="605" t="str">
        <f>IF($A36&lt;&gt;"", IF(L$2&lt;=time,L5*(1+Economics!$B$4)^(L$2-$D$2)/((1+Economics!$B$3)^(L$2-$D$2)),""), "")</f>
        <v/>
      </c>
      <c r="M36" s="605" t="str">
        <f>IF($A36&lt;&gt;"", IF(M$2&lt;=time,M5*(1+Economics!$B$4)^(M$2-$D$2)/((1+Economics!$B$3)^(M$2-$D$2)),""), "")</f>
        <v/>
      </c>
      <c r="N36" s="605" t="str">
        <f>IF($A36&lt;&gt;"", IF(N$2&lt;=time,N5*(1+Economics!$B$4)^(N$2-$D$2)/((1+Economics!$B$3)^(N$2-$D$2)),""), "")</f>
        <v/>
      </c>
      <c r="O36" s="605" t="str">
        <f>IF($A36&lt;&gt;"", IF(O$2&lt;=time,O5*(1+Economics!$B$4)^(O$2-$D$2)/((1+Economics!$B$3)^(O$2-$D$2)),""), "")</f>
        <v/>
      </c>
      <c r="P36" s="605" t="str">
        <f>IF($A36&lt;&gt;"", IF(P$2&lt;=time,P5*(1+Economics!$B$4)^(P$2-$D$2)/((1+Economics!$B$3)^(P$2-$D$2)),""), "")</f>
        <v/>
      </c>
      <c r="Q36" s="605" t="str">
        <f>IF($A36&lt;&gt;"", IF(Q$2&lt;=time,Q5*(1+Economics!$B$4)^(Q$2-$D$2)/((1+Economics!$B$3)^(Q$2-$D$2)),""), "")</f>
        <v/>
      </c>
      <c r="R36" s="605" t="str">
        <f>IF($A36&lt;&gt;"", IF(R$2&lt;=time,R5*(1+Economics!$B$4)^(R$2-$D$2)/((1+Economics!$B$3)^(R$2-$D$2)),""), "")</f>
        <v/>
      </c>
      <c r="S36" s="605" t="str">
        <f>IF($A36&lt;&gt;"", IF(S$2&lt;=time,S5*(1+Economics!$B$4)^(S$2-$D$2)/((1+Economics!$B$3)^(S$2-$D$2)),""), "")</f>
        <v/>
      </c>
      <c r="T36" s="605" t="str">
        <f>IF($A36&lt;&gt;"", IF(T$2&lt;=time,T5*(1+Economics!$B$4)^(T$2-$D$2)/((1+Economics!$B$3)^(T$2-$D$2)),""), "")</f>
        <v/>
      </c>
      <c r="U36" s="605" t="str">
        <f>IF($A36&lt;&gt;"", IF(U$2&lt;=time,U5*(1+Economics!$B$4)^(U$2-$D$2)/((1+Economics!$B$3)^(U$2-$D$2)),""), "")</f>
        <v/>
      </c>
      <c r="V36" s="605" t="str">
        <f>IF($A36&lt;&gt;"", IF(V$2&lt;=time,V5*(1+Economics!$B$4)^(V$2-$D$2)/((1+Economics!$B$3)^(V$2-$D$2)),""), "")</f>
        <v/>
      </c>
      <c r="W36" s="605" t="str">
        <f>IF($A36&lt;&gt;"", IF(W$2&lt;=time,W5*(1+Economics!$B$4)^(W$2-$D$2)/((1+Economics!$B$3)^(W$2-$D$2)),""), "")</f>
        <v/>
      </c>
      <c r="X36" s="605" t="str">
        <f>IF($A36&lt;&gt;"", IF(X$2&lt;=time,X5*(1+Economics!$B$4)^(X$2-$D$2)/((1+Economics!$B$3)^(X$2-$D$2)),""), "")</f>
        <v/>
      </c>
      <c r="Y36" s="605" t="str">
        <f>IF($A36&lt;&gt;"", IF(Y$2&lt;=time,Y5*(1+Economics!$B$4)^(Y$2-$D$2)/((1+Economics!$B$3)^(Y$2-$D$2)),""), "")</f>
        <v/>
      </c>
      <c r="Z36" s="605" t="str">
        <f>IF($A36&lt;&gt;"", IF(Z$2&lt;=time,Z5*(1+Economics!$B$4)^(Z$2-$D$2)/((1+Economics!$B$3)^(Z$2-$D$2)),""), "")</f>
        <v/>
      </c>
      <c r="AA36" s="605" t="str">
        <f>IF($A36&lt;&gt;"", IF(AA$2&lt;=time,AA5*(1+Economics!$B$4)^(AA$2-$D$2)/((1+Economics!$B$3)^(AA$2-$D$2)),""), "")</f>
        <v/>
      </c>
      <c r="AB36" s="605" t="str">
        <f>IF($A36&lt;&gt;"", IF(AB$2&lt;=time,AB5*(1+Economics!$B$4)^(AB$2-$D$2)/((1+Economics!$B$3)^(AB$2-$D$2)),""), "")</f>
        <v/>
      </c>
      <c r="AC36" s="606">
        <f t="array" ref="AC36">IF($A36&lt;&gt;"", (SUM( IF(ISERROR(D36:AB36),"", D36:AB36))), "")</f>
        <v>2635.6690336596726</v>
      </c>
      <c r="AD36" s="371">
        <f t="shared" si="77"/>
        <v>527.13380673193456</v>
      </c>
    </row>
    <row r="37" spans="1:39" hidden="1">
      <c r="A37" s="612">
        <f>IF((13-COUNTIF('Bearer list'!$E$4:$E$16,""))&gt;A36,A36+1,"")</f>
        <v>3</v>
      </c>
      <c r="B37" s="367">
        <v>3</v>
      </c>
      <c r="C37" s="604" t="str">
        <f>IF(A37&lt;&gt;"",INDEX('Bearer list'!$D$4:$D$16,A37),"")</f>
        <v>HealthSystem</v>
      </c>
      <c r="D37" s="634">
        <f>IF($A37&lt;&gt;"", IF(D$2&lt;=time,D6*(1+Economics!$B$4)^(D$2-$D$2)/((1+Economics!$B$3)^(D$2-$D$2)),""), "")</f>
        <v>0</v>
      </c>
      <c r="E37" s="605">
        <f>IF($A37&lt;&gt;"", IF(E$2&lt;=time,E6*(1+Economics!$B$4)^(E$2-$D$2)/((1+Economics!$B$3)^(E$2-$D$2)),""), "")</f>
        <v>252.78789887061015</v>
      </c>
      <c r="F37" s="605">
        <f>IF($A37&lt;&gt;"", IF(F$2&lt;=time,F6*(1+Economics!$B$4)^(F$2-$D$2)/((1+Economics!$B$3)^(F$2-$D$2)),""), "")</f>
        <v>0</v>
      </c>
      <c r="G37" s="605">
        <f>IF($A37&lt;&gt;"", IF(G$2&lt;=time,G6*(1+Economics!$B$4)^(G$2-$D$2)/((1+Economics!$B$3)^(G$2-$D$2)),""), "")</f>
        <v>0</v>
      </c>
      <c r="H37" s="605">
        <f>IF($A37&lt;&gt;"", IF(H$2&lt;=time,H6*(1+Economics!$B$4)^(H$2-$D$2)/((1+Economics!$B$3)^(H$2-$D$2)),""), "")</f>
        <v>0</v>
      </c>
      <c r="I37" s="605" t="str">
        <f>IF($A37&lt;&gt;"", IF(I$2&lt;=time,I6*(1+Economics!$B$4)^(I$2-$D$2)/((1+Economics!$B$3)^(I$2-$D$2)),""), "")</f>
        <v/>
      </c>
      <c r="J37" s="605" t="str">
        <f>IF($A37&lt;&gt;"", IF(J$2&lt;=time,J6*(1+Economics!$B$4)^(J$2-$D$2)/((1+Economics!$B$3)^(J$2-$D$2)),""), "")</f>
        <v/>
      </c>
      <c r="K37" s="605" t="str">
        <f>IF($A37&lt;&gt;"", IF(K$2&lt;=time,K6*(1+Economics!$B$4)^(K$2-$D$2)/((1+Economics!$B$3)^(K$2-$D$2)),""), "")</f>
        <v/>
      </c>
      <c r="L37" s="605" t="str">
        <f>IF($A37&lt;&gt;"", IF(L$2&lt;=time,L6*(1+Economics!$B$4)^(L$2-$D$2)/((1+Economics!$B$3)^(L$2-$D$2)),""), "")</f>
        <v/>
      </c>
      <c r="M37" s="605" t="str">
        <f>IF($A37&lt;&gt;"", IF(M$2&lt;=time,M6*(1+Economics!$B$4)^(M$2-$D$2)/((1+Economics!$B$3)^(M$2-$D$2)),""), "")</f>
        <v/>
      </c>
      <c r="N37" s="605" t="str">
        <f>IF($A37&lt;&gt;"", IF(N$2&lt;=time,N6*(1+Economics!$B$4)^(N$2-$D$2)/((1+Economics!$B$3)^(N$2-$D$2)),""), "")</f>
        <v/>
      </c>
      <c r="O37" s="605" t="str">
        <f>IF($A37&lt;&gt;"", IF(O$2&lt;=time,O6*(1+Economics!$B$4)^(O$2-$D$2)/((1+Economics!$B$3)^(O$2-$D$2)),""), "")</f>
        <v/>
      </c>
      <c r="P37" s="605" t="str">
        <f>IF($A37&lt;&gt;"", IF(P$2&lt;=time,P6*(1+Economics!$B$4)^(P$2-$D$2)/((1+Economics!$B$3)^(P$2-$D$2)),""), "")</f>
        <v/>
      </c>
      <c r="Q37" s="605" t="str">
        <f>IF($A37&lt;&gt;"", IF(Q$2&lt;=time,Q6*(1+Economics!$B$4)^(Q$2-$D$2)/((1+Economics!$B$3)^(Q$2-$D$2)),""), "")</f>
        <v/>
      </c>
      <c r="R37" s="605" t="str">
        <f>IF($A37&lt;&gt;"", IF(R$2&lt;=time,R6*(1+Economics!$B$4)^(R$2-$D$2)/((1+Economics!$B$3)^(R$2-$D$2)),""), "")</f>
        <v/>
      </c>
      <c r="S37" s="605" t="str">
        <f>IF($A37&lt;&gt;"", IF(S$2&lt;=time,S6*(1+Economics!$B$4)^(S$2-$D$2)/((1+Economics!$B$3)^(S$2-$D$2)),""), "")</f>
        <v/>
      </c>
      <c r="T37" s="605" t="str">
        <f>IF($A37&lt;&gt;"", IF(T$2&lt;=time,T6*(1+Economics!$B$4)^(T$2-$D$2)/((1+Economics!$B$3)^(T$2-$D$2)),""), "")</f>
        <v/>
      </c>
      <c r="U37" s="605" t="str">
        <f>IF($A37&lt;&gt;"", IF(U$2&lt;=time,U6*(1+Economics!$B$4)^(U$2-$D$2)/((1+Economics!$B$3)^(U$2-$D$2)),""), "")</f>
        <v/>
      </c>
      <c r="V37" s="605" t="str">
        <f>IF($A37&lt;&gt;"", IF(V$2&lt;=time,V6*(1+Economics!$B$4)^(V$2-$D$2)/((1+Economics!$B$3)^(V$2-$D$2)),""), "")</f>
        <v/>
      </c>
      <c r="W37" s="605" t="str">
        <f>IF($A37&lt;&gt;"", IF(W$2&lt;=time,W6*(1+Economics!$B$4)^(W$2-$D$2)/((1+Economics!$B$3)^(W$2-$D$2)),""), "")</f>
        <v/>
      </c>
      <c r="X37" s="605" t="str">
        <f>IF($A37&lt;&gt;"", IF(X$2&lt;=time,X6*(1+Economics!$B$4)^(X$2-$D$2)/((1+Economics!$B$3)^(X$2-$D$2)),""), "")</f>
        <v/>
      </c>
      <c r="Y37" s="605" t="str">
        <f>IF($A37&lt;&gt;"", IF(Y$2&lt;=time,Y6*(1+Economics!$B$4)^(Y$2-$D$2)/((1+Economics!$B$3)^(Y$2-$D$2)),""), "")</f>
        <v/>
      </c>
      <c r="Z37" s="605" t="str">
        <f>IF($A37&lt;&gt;"", IF(Z$2&lt;=time,Z6*(1+Economics!$B$4)^(Z$2-$D$2)/((1+Economics!$B$3)^(Z$2-$D$2)),""), "")</f>
        <v/>
      </c>
      <c r="AA37" s="605" t="str">
        <f>IF($A37&lt;&gt;"", IF(AA$2&lt;=time,AA6*(1+Economics!$B$4)^(AA$2-$D$2)/((1+Economics!$B$3)^(AA$2-$D$2)),""), "")</f>
        <v/>
      </c>
      <c r="AB37" s="605" t="str">
        <f>IF($A37&lt;&gt;"", IF(AB$2&lt;=time,AB6*(1+Economics!$B$4)^(AB$2-$D$2)/((1+Economics!$B$3)^(AB$2-$D$2)),""), "")</f>
        <v/>
      </c>
      <c r="AC37" s="606">
        <f t="array" ref="AC37">IF($A37&lt;&gt;"", (SUM( IF(ISERROR(D37:AB37),"", D37:AB37))), "")</f>
        <v>252.78789887061015</v>
      </c>
      <c r="AD37" s="371">
        <f t="shared" si="77"/>
        <v>50.557579774122033</v>
      </c>
    </row>
    <row r="38" spans="1:39" hidden="1">
      <c r="A38" s="612">
        <f>IF((13-COUNTIF('Bearer list'!$E$4:$E$16,""))&gt;A37,A37+1,"")</f>
        <v>4</v>
      </c>
      <c r="B38" s="367">
        <v>4</v>
      </c>
      <c r="C38" s="604" t="str">
        <f>IF(A38&lt;&gt;"",INDEX('Bearer list'!$D$4:$D$16,A38),"")</f>
        <v>Victim</v>
      </c>
      <c r="D38" s="634">
        <f>IF($A38&lt;&gt;"", IF(D$2&lt;=time,D7*(1+Economics!$B$4)^(D$2-$D$2)/((1+Economics!$B$3)^(D$2-$D$2)),""), "")</f>
        <v>0</v>
      </c>
      <c r="E38" s="605">
        <f>IF($A38&lt;&gt;"", IF(E$2&lt;=time,E7*(1+Economics!$B$4)^(E$2-$D$2)/((1+Economics!$B$3)^(E$2-$D$2)),""), "")</f>
        <v>0</v>
      </c>
      <c r="F38" s="605">
        <f>IF($A38&lt;&gt;"", IF(F$2&lt;=time,F7*(1+Economics!$B$4)^(F$2-$D$2)/((1+Economics!$B$3)^(F$2-$D$2)),""), "")</f>
        <v>0</v>
      </c>
      <c r="G38" s="605">
        <f>IF($A38&lt;&gt;"", IF(G$2&lt;=time,G7*(1+Economics!$B$4)^(G$2-$D$2)/((1+Economics!$B$3)^(G$2-$D$2)),""), "")</f>
        <v>0</v>
      </c>
      <c r="H38" s="605">
        <f>IF($A38&lt;&gt;"", IF(H$2&lt;=time,H7*(1+Economics!$B$4)^(H$2-$D$2)/((1+Economics!$B$3)^(H$2-$D$2)),""), "")</f>
        <v>0</v>
      </c>
      <c r="I38" s="605" t="str">
        <f>IF($A38&lt;&gt;"", IF(I$2&lt;=time,I7*(1+Economics!$B$4)^(I$2-$D$2)/((1+Economics!$B$3)^(I$2-$D$2)),""), "")</f>
        <v/>
      </c>
      <c r="J38" s="605" t="str">
        <f>IF($A38&lt;&gt;"", IF(J$2&lt;=time,J7*(1+Economics!$B$4)^(J$2-$D$2)/((1+Economics!$B$3)^(J$2-$D$2)),""), "")</f>
        <v/>
      </c>
      <c r="K38" s="605" t="str">
        <f>IF($A38&lt;&gt;"", IF(K$2&lt;=time,K7*(1+Economics!$B$4)^(K$2-$D$2)/((1+Economics!$B$3)^(K$2-$D$2)),""), "")</f>
        <v/>
      </c>
      <c r="L38" s="605" t="str">
        <f>IF($A38&lt;&gt;"", IF(L$2&lt;=time,L7*(1+Economics!$B$4)^(L$2-$D$2)/((1+Economics!$B$3)^(L$2-$D$2)),""), "")</f>
        <v/>
      </c>
      <c r="M38" s="605" t="str">
        <f>IF($A38&lt;&gt;"", IF(M$2&lt;=time,M7*(1+Economics!$B$4)^(M$2-$D$2)/((1+Economics!$B$3)^(M$2-$D$2)),""), "")</f>
        <v/>
      </c>
      <c r="N38" s="605" t="str">
        <f>IF($A38&lt;&gt;"", IF(N$2&lt;=time,N7*(1+Economics!$B$4)^(N$2-$D$2)/((1+Economics!$B$3)^(N$2-$D$2)),""), "")</f>
        <v/>
      </c>
      <c r="O38" s="605" t="str">
        <f>IF($A38&lt;&gt;"", IF(O$2&lt;=time,O7*(1+Economics!$B$4)^(O$2-$D$2)/((1+Economics!$B$3)^(O$2-$D$2)),""), "")</f>
        <v/>
      </c>
      <c r="P38" s="605" t="str">
        <f>IF($A38&lt;&gt;"", IF(P$2&lt;=time,P7*(1+Economics!$B$4)^(P$2-$D$2)/((1+Economics!$B$3)^(P$2-$D$2)),""), "")</f>
        <v/>
      </c>
      <c r="Q38" s="605" t="str">
        <f>IF($A38&lt;&gt;"", IF(Q$2&lt;=time,Q7*(1+Economics!$B$4)^(Q$2-$D$2)/((1+Economics!$B$3)^(Q$2-$D$2)),""), "")</f>
        <v/>
      </c>
      <c r="R38" s="605" t="str">
        <f>IF($A38&lt;&gt;"", IF(R$2&lt;=time,R7*(1+Economics!$B$4)^(R$2-$D$2)/((1+Economics!$B$3)^(R$2-$D$2)),""), "")</f>
        <v/>
      </c>
      <c r="S38" s="605" t="str">
        <f>IF($A38&lt;&gt;"", IF(S$2&lt;=time,S7*(1+Economics!$B$4)^(S$2-$D$2)/((1+Economics!$B$3)^(S$2-$D$2)),""), "")</f>
        <v/>
      </c>
      <c r="T38" s="605" t="str">
        <f>IF($A38&lt;&gt;"", IF(T$2&lt;=time,T7*(1+Economics!$B$4)^(T$2-$D$2)/((1+Economics!$B$3)^(T$2-$D$2)),""), "")</f>
        <v/>
      </c>
      <c r="U38" s="605" t="str">
        <f>IF($A38&lt;&gt;"", IF(U$2&lt;=time,U7*(1+Economics!$B$4)^(U$2-$D$2)/((1+Economics!$B$3)^(U$2-$D$2)),""), "")</f>
        <v/>
      </c>
      <c r="V38" s="605" t="str">
        <f>IF($A38&lt;&gt;"", IF(V$2&lt;=time,V7*(1+Economics!$B$4)^(V$2-$D$2)/((1+Economics!$B$3)^(V$2-$D$2)),""), "")</f>
        <v/>
      </c>
      <c r="W38" s="605" t="str">
        <f>IF($A38&lt;&gt;"", IF(W$2&lt;=time,W7*(1+Economics!$B$4)^(W$2-$D$2)/((1+Economics!$B$3)^(W$2-$D$2)),""), "")</f>
        <v/>
      </c>
      <c r="X38" s="605" t="str">
        <f>IF($A38&lt;&gt;"", IF(X$2&lt;=time,X7*(1+Economics!$B$4)^(X$2-$D$2)/((1+Economics!$B$3)^(X$2-$D$2)),""), "")</f>
        <v/>
      </c>
      <c r="Y38" s="605" t="str">
        <f>IF($A38&lt;&gt;"", IF(Y$2&lt;=time,Y7*(1+Economics!$B$4)^(Y$2-$D$2)/((1+Economics!$B$3)^(Y$2-$D$2)),""), "")</f>
        <v/>
      </c>
      <c r="Z38" s="605" t="str">
        <f>IF($A38&lt;&gt;"", IF(Z$2&lt;=time,Z7*(1+Economics!$B$4)^(Z$2-$D$2)/((1+Economics!$B$3)^(Z$2-$D$2)),""), "")</f>
        <v/>
      </c>
      <c r="AA38" s="605" t="str">
        <f>IF($A38&lt;&gt;"", IF(AA$2&lt;=time,AA7*(1+Economics!$B$4)^(AA$2-$D$2)/((1+Economics!$B$3)^(AA$2-$D$2)),""), "")</f>
        <v/>
      </c>
      <c r="AB38" s="605" t="str">
        <f>IF($A38&lt;&gt;"", IF(AB$2&lt;=time,AB7*(1+Economics!$B$4)^(AB$2-$D$2)/((1+Economics!$B$3)^(AB$2-$D$2)),""), "")</f>
        <v/>
      </c>
      <c r="AC38" s="606">
        <f t="array" ref="AC38">IF($A38&lt;&gt;"", (SUM( IF(ISERROR(D38:AB38),"", D38:AB38))), "")</f>
        <v>0</v>
      </c>
      <c r="AD38" s="371">
        <f t="shared" si="77"/>
        <v>0</v>
      </c>
    </row>
    <row r="39" spans="1:39" hidden="1">
      <c r="A39" s="612" t="str">
        <f>IF((13-COUNTIF('Bearer list'!$E$4:$E$16,""))&gt;A38,A38+1,"")</f>
        <v/>
      </c>
      <c r="B39" s="367">
        <v>5</v>
      </c>
      <c r="C39" s="604" t="str">
        <f>IF(A39&lt;&gt;"",INDEX('Bearer list'!$D$4:$D$16,A39),"")</f>
        <v/>
      </c>
      <c r="D39" s="634" t="str">
        <f>IF($A39&lt;&gt;"", IF(D$2&lt;=time,D8*(1+Economics!$B$4)^(D$2-$D$2)/((1+Economics!$B$3)^(D$2-$D$2)),""), "")</f>
        <v/>
      </c>
      <c r="E39" s="605" t="str">
        <f>IF($A39&lt;&gt;"", IF(E$2&lt;=time,E8*(1+Economics!$B$4)^(E$2-$D$2)/((1+Economics!$B$3)^(E$2-$D$2)),""), "")</f>
        <v/>
      </c>
      <c r="F39" s="605" t="str">
        <f>IF($A39&lt;&gt;"", IF(F$2&lt;=time,F8*(1+Economics!$B$4)^(F$2-$D$2)/((1+Economics!$B$3)^(F$2-$D$2)),""), "")</f>
        <v/>
      </c>
      <c r="G39" s="605" t="str">
        <f>IF($A39&lt;&gt;"", IF(G$2&lt;=time,G8*(1+Economics!$B$4)^(G$2-$D$2)/((1+Economics!$B$3)^(G$2-$D$2)),""), "")</f>
        <v/>
      </c>
      <c r="H39" s="605" t="str">
        <f>IF($A39&lt;&gt;"", IF(H$2&lt;=time,H8*(1+Economics!$B$4)^(H$2-$D$2)/((1+Economics!$B$3)^(H$2-$D$2)),""), "")</f>
        <v/>
      </c>
      <c r="I39" s="605" t="str">
        <f>IF($A39&lt;&gt;"", IF(I$2&lt;=time,I8*(1+Economics!$B$4)^(I$2-$D$2)/((1+Economics!$B$3)^(I$2-$D$2)),""), "")</f>
        <v/>
      </c>
      <c r="J39" s="605" t="str">
        <f>IF($A39&lt;&gt;"", IF(J$2&lt;=time,J8*(1+Economics!$B$4)^(J$2-$D$2)/((1+Economics!$B$3)^(J$2-$D$2)),""), "")</f>
        <v/>
      </c>
      <c r="K39" s="605" t="str">
        <f>IF($A39&lt;&gt;"", IF(K$2&lt;=time,K8*(1+Economics!$B$4)^(K$2-$D$2)/((1+Economics!$B$3)^(K$2-$D$2)),""), "")</f>
        <v/>
      </c>
      <c r="L39" s="605" t="str">
        <f>IF($A39&lt;&gt;"", IF(L$2&lt;=time,L8*(1+Economics!$B$4)^(L$2-$D$2)/((1+Economics!$B$3)^(L$2-$D$2)),""), "")</f>
        <v/>
      </c>
      <c r="M39" s="605" t="str">
        <f>IF($A39&lt;&gt;"", IF(M$2&lt;=time,M8*(1+Economics!$B$4)^(M$2-$D$2)/((1+Economics!$B$3)^(M$2-$D$2)),""), "")</f>
        <v/>
      </c>
      <c r="N39" s="605" t="str">
        <f>IF($A39&lt;&gt;"", IF(N$2&lt;=time,N8*(1+Economics!$B$4)^(N$2-$D$2)/((1+Economics!$B$3)^(N$2-$D$2)),""), "")</f>
        <v/>
      </c>
      <c r="O39" s="605" t="str">
        <f>IF($A39&lt;&gt;"", IF(O$2&lt;=time,O8*(1+Economics!$B$4)^(O$2-$D$2)/((1+Economics!$B$3)^(O$2-$D$2)),""), "")</f>
        <v/>
      </c>
      <c r="P39" s="605" t="str">
        <f>IF($A39&lt;&gt;"", IF(P$2&lt;=time,P8*(1+Economics!$B$4)^(P$2-$D$2)/((1+Economics!$B$3)^(P$2-$D$2)),""), "")</f>
        <v/>
      </c>
      <c r="Q39" s="605" t="str">
        <f>IF($A39&lt;&gt;"", IF(Q$2&lt;=time,Q8*(1+Economics!$B$4)^(Q$2-$D$2)/((1+Economics!$B$3)^(Q$2-$D$2)),""), "")</f>
        <v/>
      </c>
      <c r="R39" s="605" t="str">
        <f>IF($A39&lt;&gt;"", IF(R$2&lt;=time,R8*(1+Economics!$B$4)^(R$2-$D$2)/((1+Economics!$B$3)^(R$2-$D$2)),""), "")</f>
        <v/>
      </c>
      <c r="S39" s="605" t="str">
        <f>IF($A39&lt;&gt;"", IF(S$2&lt;=time,S8*(1+Economics!$B$4)^(S$2-$D$2)/((1+Economics!$B$3)^(S$2-$D$2)),""), "")</f>
        <v/>
      </c>
      <c r="T39" s="605" t="str">
        <f>IF($A39&lt;&gt;"", IF(T$2&lt;=time,T8*(1+Economics!$B$4)^(T$2-$D$2)/((1+Economics!$B$3)^(T$2-$D$2)),""), "")</f>
        <v/>
      </c>
      <c r="U39" s="605" t="str">
        <f>IF($A39&lt;&gt;"", IF(U$2&lt;=time,U8*(1+Economics!$B$4)^(U$2-$D$2)/((1+Economics!$B$3)^(U$2-$D$2)),""), "")</f>
        <v/>
      </c>
      <c r="V39" s="605" t="str">
        <f>IF($A39&lt;&gt;"", IF(V$2&lt;=time,V8*(1+Economics!$B$4)^(V$2-$D$2)/((1+Economics!$B$3)^(V$2-$D$2)),""), "")</f>
        <v/>
      </c>
      <c r="W39" s="605" t="str">
        <f>IF($A39&lt;&gt;"", IF(W$2&lt;=time,W8*(1+Economics!$B$4)^(W$2-$D$2)/((1+Economics!$B$3)^(W$2-$D$2)),""), "")</f>
        <v/>
      </c>
      <c r="X39" s="605" t="str">
        <f>IF($A39&lt;&gt;"", IF(X$2&lt;=time,X8*(1+Economics!$B$4)^(X$2-$D$2)/((1+Economics!$B$3)^(X$2-$D$2)),""), "")</f>
        <v/>
      </c>
      <c r="Y39" s="605" t="str">
        <f>IF($A39&lt;&gt;"", IF(Y$2&lt;=time,Y8*(1+Economics!$B$4)^(Y$2-$D$2)/((1+Economics!$B$3)^(Y$2-$D$2)),""), "")</f>
        <v/>
      </c>
      <c r="Z39" s="605" t="str">
        <f>IF($A39&lt;&gt;"", IF(Z$2&lt;=time,Z8*(1+Economics!$B$4)^(Z$2-$D$2)/((1+Economics!$B$3)^(Z$2-$D$2)),""), "")</f>
        <v/>
      </c>
      <c r="AA39" s="605" t="str">
        <f>IF($A39&lt;&gt;"", IF(AA$2&lt;=time,AA8*(1+Economics!$B$4)^(AA$2-$D$2)/((1+Economics!$B$3)^(AA$2-$D$2)),""), "")</f>
        <v/>
      </c>
      <c r="AB39" s="605" t="str">
        <f>IF($A39&lt;&gt;"", IF(AB$2&lt;=time,AB8*(1+Economics!$B$4)^(AB$2-$D$2)/((1+Economics!$B$3)^(AB$2-$D$2)),""), "")</f>
        <v/>
      </c>
      <c r="AC39" s="606" t="str">
        <f t="array" ref="AC39">IF($A39&lt;&gt;"", (SUM( IF(ISERROR(D39:AB39),"", D39:AB39))), "")</f>
        <v/>
      </c>
      <c r="AD39" s="371" t="str">
        <f t="shared" si="77"/>
        <v/>
      </c>
    </row>
    <row r="40" spans="1:39" hidden="1">
      <c r="A40" s="612" t="str">
        <f>IF((13-COUNTIF('Bearer list'!$E$4:$E$16,""))&gt;A39,A39+1,"")</f>
        <v/>
      </c>
      <c r="B40" s="367">
        <v>6</v>
      </c>
      <c r="C40" s="604" t="str">
        <f>IF(A40&lt;&gt;"",INDEX('Bearer list'!$D$4:$D$16,A40),"")</f>
        <v/>
      </c>
      <c r="D40" s="634" t="str">
        <f>IF($A40&lt;&gt;"", IF(D$2&lt;=time,D9*(1+Economics!$B$4)^(D$2-$D$2)/((1+Economics!$B$3)^(D$2-$D$2)),""), "")</f>
        <v/>
      </c>
      <c r="E40" s="605" t="str">
        <f>IF($A40&lt;&gt;"", IF(E$2&lt;=time,E9*(1+Economics!$B$4)^(E$2-$D$2)/((1+Economics!$B$3)^(E$2-$D$2)),""), "")</f>
        <v/>
      </c>
      <c r="F40" s="605" t="str">
        <f>IF($A40&lt;&gt;"", IF(F$2&lt;=time,F9*(1+Economics!$B$4)^(F$2-$D$2)/((1+Economics!$B$3)^(F$2-$D$2)),""), "")</f>
        <v/>
      </c>
      <c r="G40" s="605" t="str">
        <f>IF($A40&lt;&gt;"", IF(G$2&lt;=time,G9*(1+Economics!$B$4)^(G$2-$D$2)/((1+Economics!$B$3)^(G$2-$D$2)),""), "")</f>
        <v/>
      </c>
      <c r="H40" s="605" t="str">
        <f>IF($A40&lt;&gt;"", IF(H$2&lt;=time,H9*(1+Economics!$B$4)^(H$2-$D$2)/((1+Economics!$B$3)^(H$2-$D$2)),""), "")</f>
        <v/>
      </c>
      <c r="I40" s="605" t="str">
        <f>IF($A40&lt;&gt;"", IF(I$2&lt;=time,I9*(1+Economics!$B$4)^(I$2-$D$2)/((1+Economics!$B$3)^(I$2-$D$2)),""), "")</f>
        <v/>
      </c>
      <c r="J40" s="605" t="str">
        <f>IF($A40&lt;&gt;"", IF(J$2&lt;=time,J9*(1+Economics!$B$4)^(J$2-$D$2)/((1+Economics!$B$3)^(J$2-$D$2)),""), "")</f>
        <v/>
      </c>
      <c r="K40" s="605" t="str">
        <f>IF($A40&lt;&gt;"", IF(K$2&lt;=time,K9*(1+Economics!$B$4)^(K$2-$D$2)/((1+Economics!$B$3)^(K$2-$D$2)),""), "")</f>
        <v/>
      </c>
      <c r="L40" s="605" t="str">
        <f>IF($A40&lt;&gt;"", IF(L$2&lt;=time,L9*(1+Economics!$B$4)^(L$2-$D$2)/((1+Economics!$B$3)^(L$2-$D$2)),""), "")</f>
        <v/>
      </c>
      <c r="M40" s="605" t="str">
        <f>IF($A40&lt;&gt;"", IF(M$2&lt;=time,M9*(1+Economics!$B$4)^(M$2-$D$2)/((1+Economics!$B$3)^(M$2-$D$2)),""), "")</f>
        <v/>
      </c>
      <c r="N40" s="605" t="str">
        <f>IF($A40&lt;&gt;"", IF(N$2&lt;=time,N9*(1+Economics!$B$4)^(N$2-$D$2)/((1+Economics!$B$3)^(N$2-$D$2)),""), "")</f>
        <v/>
      </c>
      <c r="O40" s="605" t="str">
        <f>IF($A40&lt;&gt;"", IF(O$2&lt;=time,O9*(1+Economics!$B$4)^(O$2-$D$2)/((1+Economics!$B$3)^(O$2-$D$2)),""), "")</f>
        <v/>
      </c>
      <c r="P40" s="605" t="str">
        <f>IF($A40&lt;&gt;"", IF(P$2&lt;=time,P9*(1+Economics!$B$4)^(P$2-$D$2)/((1+Economics!$B$3)^(P$2-$D$2)),""), "")</f>
        <v/>
      </c>
      <c r="Q40" s="605" t="str">
        <f>IF($A40&lt;&gt;"", IF(Q$2&lt;=time,Q9*(1+Economics!$B$4)^(Q$2-$D$2)/((1+Economics!$B$3)^(Q$2-$D$2)),""), "")</f>
        <v/>
      </c>
      <c r="R40" s="605" t="str">
        <f>IF($A40&lt;&gt;"", IF(R$2&lt;=time,R9*(1+Economics!$B$4)^(R$2-$D$2)/((1+Economics!$B$3)^(R$2-$D$2)),""), "")</f>
        <v/>
      </c>
      <c r="S40" s="605" t="str">
        <f>IF($A40&lt;&gt;"", IF(S$2&lt;=time,S9*(1+Economics!$B$4)^(S$2-$D$2)/((1+Economics!$B$3)^(S$2-$D$2)),""), "")</f>
        <v/>
      </c>
      <c r="T40" s="605" t="str">
        <f>IF($A40&lt;&gt;"", IF(T$2&lt;=time,T9*(1+Economics!$B$4)^(T$2-$D$2)/((1+Economics!$B$3)^(T$2-$D$2)),""), "")</f>
        <v/>
      </c>
      <c r="U40" s="605" t="str">
        <f>IF($A40&lt;&gt;"", IF(U$2&lt;=time,U9*(1+Economics!$B$4)^(U$2-$D$2)/((1+Economics!$B$3)^(U$2-$D$2)),""), "")</f>
        <v/>
      </c>
      <c r="V40" s="605" t="str">
        <f>IF($A40&lt;&gt;"", IF(V$2&lt;=time,V9*(1+Economics!$B$4)^(V$2-$D$2)/((1+Economics!$B$3)^(V$2-$D$2)),""), "")</f>
        <v/>
      </c>
      <c r="W40" s="605" t="str">
        <f>IF($A40&lt;&gt;"", IF(W$2&lt;=time,W9*(1+Economics!$B$4)^(W$2-$D$2)/((1+Economics!$B$3)^(W$2-$D$2)),""), "")</f>
        <v/>
      </c>
      <c r="X40" s="605" t="str">
        <f>IF($A40&lt;&gt;"", IF(X$2&lt;=time,X9*(1+Economics!$B$4)^(X$2-$D$2)/((1+Economics!$B$3)^(X$2-$D$2)),""), "")</f>
        <v/>
      </c>
      <c r="Y40" s="605" t="str">
        <f>IF($A40&lt;&gt;"", IF(Y$2&lt;=time,Y9*(1+Economics!$B$4)^(Y$2-$D$2)/((1+Economics!$B$3)^(Y$2-$D$2)),""), "")</f>
        <v/>
      </c>
      <c r="Z40" s="605" t="str">
        <f>IF($A40&lt;&gt;"", IF(Z$2&lt;=time,Z9*(1+Economics!$B$4)^(Z$2-$D$2)/((1+Economics!$B$3)^(Z$2-$D$2)),""), "")</f>
        <v/>
      </c>
      <c r="AA40" s="605" t="str">
        <f>IF($A40&lt;&gt;"", IF(AA$2&lt;=time,AA9*(1+Economics!$B$4)^(AA$2-$D$2)/((1+Economics!$B$3)^(AA$2-$D$2)),""), "")</f>
        <v/>
      </c>
      <c r="AB40" s="605" t="str">
        <f>IF($A40&lt;&gt;"", IF(AB$2&lt;=time,AB9*(1+Economics!$B$4)^(AB$2-$D$2)/((1+Economics!$B$3)^(AB$2-$D$2)),""), "")</f>
        <v/>
      </c>
      <c r="AC40" s="606" t="str">
        <f t="array" ref="AC40">IF($A40&lt;&gt;"", (SUM( IF(ISERROR(D40:AB40),"", D40:AB40))), "")</f>
        <v/>
      </c>
      <c r="AD40" s="371" t="str">
        <f t="shared" si="77"/>
        <v/>
      </c>
    </row>
    <row r="41" spans="1:39" hidden="1">
      <c r="A41" s="612" t="str">
        <f>IF((13-COUNTIF('Bearer list'!$E$4:$E$16,""))&gt;A40,A40+1,"")</f>
        <v/>
      </c>
      <c r="B41" s="367">
        <v>7</v>
      </c>
      <c r="C41" s="604" t="str">
        <f>IF(A41&lt;&gt;"",INDEX('Bearer list'!$D$4:$D$16,A41),"")</f>
        <v/>
      </c>
      <c r="D41" s="634" t="str">
        <f>IF($A41&lt;&gt;"", IF(D$2&lt;=time,D10*(1+Economics!$B$4)^(D$2-$D$2)/((1+Economics!$B$3)^(D$2-$D$2)),""), "")</f>
        <v/>
      </c>
      <c r="E41" s="605" t="str">
        <f>IF($A41&lt;&gt;"", IF(E$2&lt;=time,E10*(1+Economics!$B$4)^(E$2-$D$2)/((1+Economics!$B$3)^(E$2-$D$2)),""), "")</f>
        <v/>
      </c>
      <c r="F41" s="605" t="str">
        <f>IF($A41&lt;&gt;"", IF(F$2&lt;=time,F10*(1+Economics!$B$4)^(F$2-$D$2)/((1+Economics!$B$3)^(F$2-$D$2)),""), "")</f>
        <v/>
      </c>
      <c r="G41" s="605" t="str">
        <f>IF($A41&lt;&gt;"", IF(G$2&lt;=time,G10*(1+Economics!$B$4)^(G$2-$D$2)/((1+Economics!$B$3)^(G$2-$D$2)),""), "")</f>
        <v/>
      </c>
      <c r="H41" s="605" t="str">
        <f>IF($A41&lt;&gt;"", IF(H$2&lt;=time,H10*(1+Economics!$B$4)^(H$2-$D$2)/((1+Economics!$B$3)^(H$2-$D$2)),""), "")</f>
        <v/>
      </c>
      <c r="I41" s="605" t="str">
        <f>IF($A41&lt;&gt;"", IF(I$2&lt;=time,I10*(1+Economics!$B$4)^(I$2-$D$2)/((1+Economics!$B$3)^(I$2-$D$2)),""), "")</f>
        <v/>
      </c>
      <c r="J41" s="605" t="str">
        <f>IF($A41&lt;&gt;"", IF(J$2&lt;=time,J10*(1+Economics!$B$4)^(J$2-$D$2)/((1+Economics!$B$3)^(J$2-$D$2)),""), "")</f>
        <v/>
      </c>
      <c r="K41" s="605" t="str">
        <f>IF($A41&lt;&gt;"", IF(K$2&lt;=time,K10*(1+Economics!$B$4)^(K$2-$D$2)/((1+Economics!$B$3)^(K$2-$D$2)),""), "")</f>
        <v/>
      </c>
      <c r="L41" s="605" t="str">
        <f>IF($A41&lt;&gt;"", IF(L$2&lt;=time,L10*(1+Economics!$B$4)^(L$2-$D$2)/((1+Economics!$B$3)^(L$2-$D$2)),""), "")</f>
        <v/>
      </c>
      <c r="M41" s="605" t="str">
        <f>IF($A41&lt;&gt;"", IF(M$2&lt;=time,M10*(1+Economics!$B$4)^(M$2-$D$2)/((1+Economics!$B$3)^(M$2-$D$2)),""), "")</f>
        <v/>
      </c>
      <c r="N41" s="605" t="str">
        <f>IF($A41&lt;&gt;"", IF(N$2&lt;=time,N10*(1+Economics!$B$4)^(N$2-$D$2)/((1+Economics!$B$3)^(N$2-$D$2)),""), "")</f>
        <v/>
      </c>
      <c r="O41" s="605" t="str">
        <f>IF($A41&lt;&gt;"", IF(O$2&lt;=time,O10*(1+Economics!$B$4)^(O$2-$D$2)/((1+Economics!$B$3)^(O$2-$D$2)),""), "")</f>
        <v/>
      </c>
      <c r="P41" s="605" t="str">
        <f>IF($A41&lt;&gt;"", IF(P$2&lt;=time,P10*(1+Economics!$B$4)^(P$2-$D$2)/((1+Economics!$B$3)^(P$2-$D$2)),""), "")</f>
        <v/>
      </c>
      <c r="Q41" s="605" t="str">
        <f>IF($A41&lt;&gt;"", IF(Q$2&lt;=time,Q10*(1+Economics!$B$4)^(Q$2-$D$2)/((1+Economics!$B$3)^(Q$2-$D$2)),""), "")</f>
        <v/>
      </c>
      <c r="R41" s="605" t="str">
        <f>IF($A41&lt;&gt;"", IF(R$2&lt;=time,R10*(1+Economics!$B$4)^(R$2-$D$2)/((1+Economics!$B$3)^(R$2-$D$2)),""), "")</f>
        <v/>
      </c>
      <c r="S41" s="605" t="str">
        <f>IF($A41&lt;&gt;"", IF(S$2&lt;=time,S10*(1+Economics!$B$4)^(S$2-$D$2)/((1+Economics!$B$3)^(S$2-$D$2)),""), "")</f>
        <v/>
      </c>
      <c r="T41" s="605" t="str">
        <f>IF($A41&lt;&gt;"", IF(T$2&lt;=time,T10*(1+Economics!$B$4)^(T$2-$D$2)/((1+Economics!$B$3)^(T$2-$D$2)),""), "")</f>
        <v/>
      </c>
      <c r="U41" s="605" t="str">
        <f>IF($A41&lt;&gt;"", IF(U$2&lt;=time,U10*(1+Economics!$B$4)^(U$2-$D$2)/((1+Economics!$B$3)^(U$2-$D$2)),""), "")</f>
        <v/>
      </c>
      <c r="V41" s="605" t="str">
        <f>IF($A41&lt;&gt;"", IF(V$2&lt;=time,V10*(1+Economics!$B$4)^(V$2-$D$2)/((1+Economics!$B$3)^(V$2-$D$2)),""), "")</f>
        <v/>
      </c>
      <c r="W41" s="605" t="str">
        <f>IF($A41&lt;&gt;"", IF(W$2&lt;=time,W10*(1+Economics!$B$4)^(W$2-$D$2)/((1+Economics!$B$3)^(W$2-$D$2)),""), "")</f>
        <v/>
      </c>
      <c r="X41" s="605" t="str">
        <f>IF($A41&lt;&gt;"", IF(X$2&lt;=time,X10*(1+Economics!$B$4)^(X$2-$D$2)/((1+Economics!$B$3)^(X$2-$D$2)),""), "")</f>
        <v/>
      </c>
      <c r="Y41" s="605" t="str">
        <f>IF($A41&lt;&gt;"", IF(Y$2&lt;=time,Y10*(1+Economics!$B$4)^(Y$2-$D$2)/((1+Economics!$B$3)^(Y$2-$D$2)),""), "")</f>
        <v/>
      </c>
      <c r="Z41" s="605" t="str">
        <f>IF($A41&lt;&gt;"", IF(Z$2&lt;=time,Z10*(1+Economics!$B$4)^(Z$2-$D$2)/((1+Economics!$B$3)^(Z$2-$D$2)),""), "")</f>
        <v/>
      </c>
      <c r="AA41" s="605" t="str">
        <f>IF($A41&lt;&gt;"", IF(AA$2&lt;=time,AA10*(1+Economics!$B$4)^(AA$2-$D$2)/((1+Economics!$B$3)^(AA$2-$D$2)),""), "")</f>
        <v/>
      </c>
      <c r="AB41" s="605" t="str">
        <f>IF($A41&lt;&gt;"", IF(AB$2&lt;=time,AB10*(1+Economics!$B$4)^(AB$2-$D$2)/((1+Economics!$B$3)^(AB$2-$D$2)),""), "")</f>
        <v/>
      </c>
      <c r="AC41" s="606" t="str">
        <f t="array" ref="AC41">IF($A41&lt;&gt;"", (SUM( IF(ISERROR(D41:AB41),"", D41:AB41))), "")</f>
        <v/>
      </c>
      <c r="AD41" s="371" t="str">
        <f t="shared" si="77"/>
        <v/>
      </c>
    </row>
    <row r="42" spans="1:39" hidden="1">
      <c r="A42" s="612" t="str">
        <f>IF((13-COUNTIF('Bearer list'!$E$4:$E$16,""))&gt;A41,A41+1,"")</f>
        <v/>
      </c>
      <c r="B42" s="367">
        <v>8</v>
      </c>
      <c r="C42" s="604" t="str">
        <f>IF(A42&lt;&gt;"",INDEX('Bearer list'!$D$4:$D$16,A42),"")</f>
        <v/>
      </c>
      <c r="D42" s="634" t="str">
        <f>IF($A42&lt;&gt;"", IF(D$2&lt;=time,D11*(1+Economics!$B$4)^(D$2-$D$2)/((1+Economics!$B$3)^(D$2-$D$2)),""), "")</f>
        <v/>
      </c>
      <c r="E42" s="605" t="str">
        <f>IF($A42&lt;&gt;"", IF(E$2&lt;=time,E11*(1+Economics!$B$4)^(E$2-$D$2)/((1+Economics!$B$3)^(E$2-$D$2)),""), "")</f>
        <v/>
      </c>
      <c r="F42" s="605" t="str">
        <f>IF($A42&lt;&gt;"", IF(F$2&lt;=time,F11*(1+Economics!$B$4)^(F$2-$D$2)/((1+Economics!$B$3)^(F$2-$D$2)),""), "")</f>
        <v/>
      </c>
      <c r="G42" s="605" t="str">
        <f>IF($A42&lt;&gt;"", IF(G$2&lt;=time,G11*(1+Economics!$B$4)^(G$2-$D$2)/((1+Economics!$B$3)^(G$2-$D$2)),""), "")</f>
        <v/>
      </c>
      <c r="H42" s="605" t="str">
        <f>IF($A42&lt;&gt;"", IF(H$2&lt;=time,H11*(1+Economics!$B$4)^(H$2-$D$2)/((1+Economics!$B$3)^(H$2-$D$2)),""), "")</f>
        <v/>
      </c>
      <c r="I42" s="605" t="str">
        <f>IF($A42&lt;&gt;"", IF(I$2&lt;=time,I11*(1+Economics!$B$4)^(I$2-$D$2)/((1+Economics!$B$3)^(I$2-$D$2)),""), "")</f>
        <v/>
      </c>
      <c r="J42" s="605" t="str">
        <f>IF($A42&lt;&gt;"", IF(J$2&lt;=time,J11*(1+Economics!$B$4)^(J$2-$D$2)/((1+Economics!$B$3)^(J$2-$D$2)),""), "")</f>
        <v/>
      </c>
      <c r="K42" s="605" t="str">
        <f>IF($A42&lt;&gt;"", IF(K$2&lt;=time,K11*(1+Economics!$B$4)^(K$2-$D$2)/((1+Economics!$B$3)^(K$2-$D$2)),""), "")</f>
        <v/>
      </c>
      <c r="L42" s="605" t="str">
        <f>IF($A42&lt;&gt;"", IF(L$2&lt;=time,L11*(1+Economics!$B$4)^(L$2-$D$2)/((1+Economics!$B$3)^(L$2-$D$2)),""), "")</f>
        <v/>
      </c>
      <c r="M42" s="605" t="str">
        <f>IF($A42&lt;&gt;"", IF(M$2&lt;=time,M11*(1+Economics!$B$4)^(M$2-$D$2)/((1+Economics!$B$3)^(M$2-$D$2)),""), "")</f>
        <v/>
      </c>
      <c r="N42" s="605" t="str">
        <f>IF($A42&lt;&gt;"", IF(N$2&lt;=time,N11*(1+Economics!$B$4)^(N$2-$D$2)/((1+Economics!$B$3)^(N$2-$D$2)),""), "")</f>
        <v/>
      </c>
      <c r="O42" s="605" t="str">
        <f>IF($A42&lt;&gt;"", IF(O$2&lt;=time,O11*(1+Economics!$B$4)^(O$2-$D$2)/((1+Economics!$B$3)^(O$2-$D$2)),""), "")</f>
        <v/>
      </c>
      <c r="P42" s="605" t="str">
        <f>IF($A42&lt;&gt;"", IF(P$2&lt;=time,P11*(1+Economics!$B$4)^(P$2-$D$2)/((1+Economics!$B$3)^(P$2-$D$2)),""), "")</f>
        <v/>
      </c>
      <c r="Q42" s="605" t="str">
        <f>IF($A42&lt;&gt;"", IF(Q$2&lt;=time,Q11*(1+Economics!$B$4)^(Q$2-$D$2)/((1+Economics!$B$3)^(Q$2-$D$2)),""), "")</f>
        <v/>
      </c>
      <c r="R42" s="605" t="str">
        <f>IF($A42&lt;&gt;"", IF(R$2&lt;=time,R11*(1+Economics!$B$4)^(R$2-$D$2)/((1+Economics!$B$3)^(R$2-$D$2)),""), "")</f>
        <v/>
      </c>
      <c r="S42" s="605" t="str">
        <f>IF($A42&lt;&gt;"", IF(S$2&lt;=time,S11*(1+Economics!$B$4)^(S$2-$D$2)/((1+Economics!$B$3)^(S$2-$D$2)),""), "")</f>
        <v/>
      </c>
      <c r="T42" s="605" t="str">
        <f>IF($A42&lt;&gt;"", IF(T$2&lt;=time,T11*(1+Economics!$B$4)^(T$2-$D$2)/((1+Economics!$B$3)^(T$2-$D$2)),""), "")</f>
        <v/>
      </c>
      <c r="U42" s="605" t="str">
        <f>IF($A42&lt;&gt;"", IF(U$2&lt;=time,U11*(1+Economics!$B$4)^(U$2-$D$2)/((1+Economics!$B$3)^(U$2-$D$2)),""), "")</f>
        <v/>
      </c>
      <c r="V42" s="605" t="str">
        <f>IF($A42&lt;&gt;"", IF(V$2&lt;=time,V11*(1+Economics!$B$4)^(V$2-$D$2)/((1+Economics!$B$3)^(V$2-$D$2)),""), "")</f>
        <v/>
      </c>
      <c r="W42" s="605" t="str">
        <f>IF($A42&lt;&gt;"", IF(W$2&lt;=time,W11*(1+Economics!$B$4)^(W$2-$D$2)/((1+Economics!$B$3)^(W$2-$D$2)),""), "")</f>
        <v/>
      </c>
      <c r="X42" s="605" t="str">
        <f>IF($A42&lt;&gt;"", IF(X$2&lt;=time,X11*(1+Economics!$B$4)^(X$2-$D$2)/((1+Economics!$B$3)^(X$2-$D$2)),""), "")</f>
        <v/>
      </c>
      <c r="Y42" s="605" t="str">
        <f>IF($A42&lt;&gt;"", IF(Y$2&lt;=time,Y11*(1+Economics!$B$4)^(Y$2-$D$2)/((1+Economics!$B$3)^(Y$2-$D$2)),""), "")</f>
        <v/>
      </c>
      <c r="Z42" s="605" t="str">
        <f>IF($A42&lt;&gt;"", IF(Z$2&lt;=time,Z11*(1+Economics!$B$4)^(Z$2-$D$2)/((1+Economics!$B$3)^(Z$2-$D$2)),""), "")</f>
        <v/>
      </c>
      <c r="AA42" s="605" t="str">
        <f>IF($A42&lt;&gt;"", IF(AA$2&lt;=time,AA11*(1+Economics!$B$4)^(AA$2-$D$2)/((1+Economics!$B$3)^(AA$2-$D$2)),""), "")</f>
        <v/>
      </c>
      <c r="AB42" s="605" t="str">
        <f>IF($A42&lt;&gt;"", IF(AB$2&lt;=time,AB11*(1+Economics!$B$4)^(AB$2-$D$2)/((1+Economics!$B$3)^(AB$2-$D$2)),""), "")</f>
        <v/>
      </c>
      <c r="AC42" s="606" t="str">
        <f t="array" ref="AC42">IF($A42&lt;&gt;"", (SUM( IF(ISERROR(D42:AB42),"", D42:AB42))), "")</f>
        <v/>
      </c>
      <c r="AD42" s="371" t="str">
        <f t="shared" si="77"/>
        <v/>
      </c>
    </row>
    <row r="43" spans="1:39" hidden="1">
      <c r="A43" s="612" t="str">
        <f>IF((13-COUNTIF('Bearer list'!$E$4:$E$16,""))&gt;A42,A42+1,"")</f>
        <v/>
      </c>
      <c r="B43" s="367">
        <v>9</v>
      </c>
      <c r="C43" s="604" t="str">
        <f>IF(A43&lt;&gt;"",INDEX('Bearer list'!$D$4:$D$16,A43),"")</f>
        <v/>
      </c>
      <c r="D43" s="634" t="str">
        <f>IF($A43&lt;&gt;"", IF(D$2&lt;=time,D12*(1+Economics!$B$4)^(D$2-$D$2)/((1+Economics!$B$3)^(D$2-$D$2)),""), "")</f>
        <v/>
      </c>
      <c r="E43" s="605" t="str">
        <f>IF($A43&lt;&gt;"", IF(E$2&lt;=time,E12*(1+Economics!$B$4)^(E$2-$D$2)/((1+Economics!$B$3)^(E$2-$D$2)),""), "")</f>
        <v/>
      </c>
      <c r="F43" s="605" t="str">
        <f>IF($A43&lt;&gt;"", IF(F$2&lt;=time,F12*(1+Economics!$B$4)^(F$2-$D$2)/((1+Economics!$B$3)^(F$2-$D$2)),""), "")</f>
        <v/>
      </c>
      <c r="G43" s="605" t="str">
        <f>IF($A43&lt;&gt;"", IF(G$2&lt;=time,G12*(1+Economics!$B$4)^(G$2-$D$2)/((1+Economics!$B$3)^(G$2-$D$2)),""), "")</f>
        <v/>
      </c>
      <c r="H43" s="605" t="str">
        <f>IF($A43&lt;&gt;"", IF(H$2&lt;=time,H12*(1+Economics!$B$4)^(H$2-$D$2)/((1+Economics!$B$3)^(H$2-$D$2)),""), "")</f>
        <v/>
      </c>
      <c r="I43" s="605" t="str">
        <f>IF($A43&lt;&gt;"", IF(I$2&lt;=time,I12*(1+Economics!$B$4)^(I$2-$D$2)/((1+Economics!$B$3)^(I$2-$D$2)),""), "")</f>
        <v/>
      </c>
      <c r="J43" s="605" t="str">
        <f>IF($A43&lt;&gt;"", IF(J$2&lt;=time,J12*(1+Economics!$B$4)^(J$2-$D$2)/((1+Economics!$B$3)^(J$2-$D$2)),""), "")</f>
        <v/>
      </c>
      <c r="K43" s="605" t="str">
        <f>IF($A43&lt;&gt;"", IF(K$2&lt;=time,K12*(1+Economics!$B$4)^(K$2-$D$2)/((1+Economics!$B$3)^(K$2-$D$2)),""), "")</f>
        <v/>
      </c>
      <c r="L43" s="605" t="str">
        <f>IF($A43&lt;&gt;"", IF(L$2&lt;=time,L12*(1+Economics!$B$4)^(L$2-$D$2)/((1+Economics!$B$3)^(L$2-$D$2)),""), "")</f>
        <v/>
      </c>
      <c r="M43" s="605" t="str">
        <f>IF($A43&lt;&gt;"", IF(M$2&lt;=time,M12*(1+Economics!$B$4)^(M$2-$D$2)/((1+Economics!$B$3)^(M$2-$D$2)),""), "")</f>
        <v/>
      </c>
      <c r="N43" s="605" t="str">
        <f>IF($A43&lt;&gt;"", IF(N$2&lt;=time,N12*(1+Economics!$B$4)^(N$2-$D$2)/((1+Economics!$B$3)^(N$2-$D$2)),""), "")</f>
        <v/>
      </c>
      <c r="O43" s="605" t="str">
        <f>IF($A43&lt;&gt;"", IF(O$2&lt;=time,O12*(1+Economics!$B$4)^(O$2-$D$2)/((1+Economics!$B$3)^(O$2-$D$2)),""), "")</f>
        <v/>
      </c>
      <c r="P43" s="605" t="str">
        <f>IF($A43&lt;&gt;"", IF(P$2&lt;=time,P12*(1+Economics!$B$4)^(P$2-$D$2)/((1+Economics!$B$3)^(P$2-$D$2)),""), "")</f>
        <v/>
      </c>
      <c r="Q43" s="605" t="str">
        <f>IF($A43&lt;&gt;"", IF(Q$2&lt;=time,Q12*(1+Economics!$B$4)^(Q$2-$D$2)/((1+Economics!$B$3)^(Q$2-$D$2)),""), "")</f>
        <v/>
      </c>
      <c r="R43" s="605" t="str">
        <f>IF($A43&lt;&gt;"", IF(R$2&lt;=time,R12*(1+Economics!$B$4)^(R$2-$D$2)/((1+Economics!$B$3)^(R$2-$D$2)),""), "")</f>
        <v/>
      </c>
      <c r="S43" s="605" t="str">
        <f>IF($A43&lt;&gt;"", IF(S$2&lt;=time,S12*(1+Economics!$B$4)^(S$2-$D$2)/((1+Economics!$B$3)^(S$2-$D$2)),""), "")</f>
        <v/>
      </c>
      <c r="T43" s="605" t="str">
        <f>IF($A43&lt;&gt;"", IF(T$2&lt;=time,T12*(1+Economics!$B$4)^(T$2-$D$2)/((1+Economics!$B$3)^(T$2-$D$2)),""), "")</f>
        <v/>
      </c>
      <c r="U43" s="605" t="str">
        <f>IF($A43&lt;&gt;"", IF(U$2&lt;=time,U12*(1+Economics!$B$4)^(U$2-$D$2)/((1+Economics!$B$3)^(U$2-$D$2)),""), "")</f>
        <v/>
      </c>
      <c r="V43" s="605" t="str">
        <f>IF($A43&lt;&gt;"", IF(V$2&lt;=time,V12*(1+Economics!$B$4)^(V$2-$D$2)/((1+Economics!$B$3)^(V$2-$D$2)),""), "")</f>
        <v/>
      </c>
      <c r="W43" s="605" t="str">
        <f>IF($A43&lt;&gt;"", IF(W$2&lt;=time,W12*(1+Economics!$B$4)^(W$2-$D$2)/((1+Economics!$B$3)^(W$2-$D$2)),""), "")</f>
        <v/>
      </c>
      <c r="X43" s="605" t="str">
        <f>IF($A43&lt;&gt;"", IF(X$2&lt;=time,X12*(1+Economics!$B$4)^(X$2-$D$2)/((1+Economics!$B$3)^(X$2-$D$2)),""), "")</f>
        <v/>
      </c>
      <c r="Y43" s="605" t="str">
        <f>IF($A43&lt;&gt;"", IF(Y$2&lt;=time,Y12*(1+Economics!$B$4)^(Y$2-$D$2)/((1+Economics!$B$3)^(Y$2-$D$2)),""), "")</f>
        <v/>
      </c>
      <c r="Z43" s="605" t="str">
        <f>IF($A43&lt;&gt;"", IF(Z$2&lt;=time,Z12*(1+Economics!$B$4)^(Z$2-$D$2)/((1+Economics!$B$3)^(Z$2-$D$2)),""), "")</f>
        <v/>
      </c>
      <c r="AA43" s="605" t="str">
        <f>IF($A43&lt;&gt;"", IF(AA$2&lt;=time,AA12*(1+Economics!$B$4)^(AA$2-$D$2)/((1+Economics!$B$3)^(AA$2-$D$2)),""), "")</f>
        <v/>
      </c>
      <c r="AB43" s="605" t="str">
        <f>IF($A43&lt;&gt;"", IF(AB$2&lt;=time,AB12*(1+Economics!$B$4)^(AB$2-$D$2)/((1+Economics!$B$3)^(AB$2-$D$2)),""), "")</f>
        <v/>
      </c>
      <c r="AC43" s="606" t="str">
        <f t="array" ref="AC43">IF($A43&lt;&gt;"", (SUM( IF(ISERROR(D43:AB43),"", D43:AB43))), "")</f>
        <v/>
      </c>
      <c r="AD43" s="371" t="str">
        <f t="shared" si="77"/>
        <v/>
      </c>
    </row>
    <row r="44" spans="1:39" hidden="1">
      <c r="A44" s="612" t="str">
        <f>IF((13-COUNTIF('Bearer list'!$E$4:$E$16,""))&gt;A43,A43+1,"")</f>
        <v/>
      </c>
      <c r="B44" s="367">
        <v>10</v>
      </c>
      <c r="C44" s="604" t="str">
        <f>IF(A44&lt;&gt;"",INDEX('Bearer list'!$D$4:$D$16,A44),"")</f>
        <v/>
      </c>
      <c r="D44" s="634" t="str">
        <f>IF($A44&lt;&gt;"", IF(D$2&lt;=time,D13*(1+Economics!$B$4)^(D$2-$D$2)/((1+Economics!$B$3)^(D$2-$D$2)),""), "")</f>
        <v/>
      </c>
      <c r="E44" s="605" t="str">
        <f>IF($A44&lt;&gt;"", IF(E$2&lt;=time,E13*(1+Economics!$B$4)^(E$2-$D$2)/((1+Economics!$B$3)^(E$2-$D$2)),""), "")</f>
        <v/>
      </c>
      <c r="F44" s="605" t="str">
        <f>IF($A44&lt;&gt;"", IF(F$2&lt;=time,F13*(1+Economics!$B$4)^(F$2-$D$2)/((1+Economics!$B$3)^(F$2-$D$2)),""), "")</f>
        <v/>
      </c>
      <c r="G44" s="605" t="str">
        <f>IF($A44&lt;&gt;"", IF(G$2&lt;=time,G13*(1+Economics!$B$4)^(G$2-$D$2)/((1+Economics!$B$3)^(G$2-$D$2)),""), "")</f>
        <v/>
      </c>
      <c r="H44" s="605" t="str">
        <f>IF($A44&lt;&gt;"", IF(H$2&lt;=time,H13*(1+Economics!$B$4)^(H$2-$D$2)/((1+Economics!$B$3)^(H$2-$D$2)),""), "")</f>
        <v/>
      </c>
      <c r="I44" s="605" t="str">
        <f>IF($A44&lt;&gt;"", IF(I$2&lt;=time,I13*(1+Economics!$B$4)^(I$2-$D$2)/((1+Economics!$B$3)^(I$2-$D$2)),""), "")</f>
        <v/>
      </c>
      <c r="J44" s="605" t="str">
        <f>IF($A44&lt;&gt;"", IF(J$2&lt;=time,J13*(1+Economics!$B$4)^(J$2-$D$2)/((1+Economics!$B$3)^(J$2-$D$2)),""), "")</f>
        <v/>
      </c>
      <c r="K44" s="605" t="str">
        <f>IF($A44&lt;&gt;"", IF(K$2&lt;=time,K13*(1+Economics!$B$4)^(K$2-$D$2)/((1+Economics!$B$3)^(K$2-$D$2)),""), "")</f>
        <v/>
      </c>
      <c r="L44" s="605" t="str">
        <f>IF($A44&lt;&gt;"", IF(L$2&lt;=time,L13*(1+Economics!$B$4)^(L$2-$D$2)/((1+Economics!$B$3)^(L$2-$D$2)),""), "")</f>
        <v/>
      </c>
      <c r="M44" s="605" t="str">
        <f>IF($A44&lt;&gt;"", IF(M$2&lt;=time,M13*(1+Economics!$B$4)^(M$2-$D$2)/((1+Economics!$B$3)^(M$2-$D$2)),""), "")</f>
        <v/>
      </c>
      <c r="N44" s="605" t="str">
        <f>IF($A44&lt;&gt;"", IF(N$2&lt;=time,N13*(1+Economics!$B$4)^(N$2-$D$2)/((1+Economics!$B$3)^(N$2-$D$2)),""), "")</f>
        <v/>
      </c>
      <c r="O44" s="605" t="str">
        <f>IF($A44&lt;&gt;"", IF(O$2&lt;=time,O13*(1+Economics!$B$4)^(O$2-$D$2)/((1+Economics!$B$3)^(O$2-$D$2)),""), "")</f>
        <v/>
      </c>
      <c r="P44" s="605" t="str">
        <f>IF($A44&lt;&gt;"", IF(P$2&lt;=time,P13*(1+Economics!$B$4)^(P$2-$D$2)/((1+Economics!$B$3)^(P$2-$D$2)),""), "")</f>
        <v/>
      </c>
      <c r="Q44" s="605" t="str">
        <f>IF($A44&lt;&gt;"", IF(Q$2&lt;=time,Q13*(1+Economics!$B$4)^(Q$2-$D$2)/((1+Economics!$B$3)^(Q$2-$D$2)),""), "")</f>
        <v/>
      </c>
      <c r="R44" s="605" t="str">
        <f>IF($A44&lt;&gt;"", IF(R$2&lt;=time,R13*(1+Economics!$B$4)^(R$2-$D$2)/((1+Economics!$B$3)^(R$2-$D$2)),""), "")</f>
        <v/>
      </c>
      <c r="S44" s="605" t="str">
        <f>IF($A44&lt;&gt;"", IF(S$2&lt;=time,S13*(1+Economics!$B$4)^(S$2-$D$2)/((1+Economics!$B$3)^(S$2-$D$2)),""), "")</f>
        <v/>
      </c>
      <c r="T44" s="605" t="str">
        <f>IF($A44&lt;&gt;"", IF(T$2&lt;=time,T13*(1+Economics!$B$4)^(T$2-$D$2)/((1+Economics!$B$3)^(T$2-$D$2)),""), "")</f>
        <v/>
      </c>
      <c r="U44" s="605" t="str">
        <f>IF($A44&lt;&gt;"", IF(U$2&lt;=time,U13*(1+Economics!$B$4)^(U$2-$D$2)/((1+Economics!$B$3)^(U$2-$D$2)),""), "")</f>
        <v/>
      </c>
      <c r="V44" s="605" t="str">
        <f>IF($A44&lt;&gt;"", IF(V$2&lt;=time,V13*(1+Economics!$B$4)^(V$2-$D$2)/((1+Economics!$B$3)^(V$2-$D$2)),""), "")</f>
        <v/>
      </c>
      <c r="W44" s="605" t="str">
        <f>IF($A44&lt;&gt;"", IF(W$2&lt;=time,W13*(1+Economics!$B$4)^(W$2-$D$2)/((1+Economics!$B$3)^(W$2-$D$2)),""), "")</f>
        <v/>
      </c>
      <c r="X44" s="605" t="str">
        <f>IF($A44&lt;&gt;"", IF(X$2&lt;=time,X13*(1+Economics!$B$4)^(X$2-$D$2)/((1+Economics!$B$3)^(X$2-$D$2)),""), "")</f>
        <v/>
      </c>
      <c r="Y44" s="605" t="str">
        <f>IF($A44&lt;&gt;"", IF(Y$2&lt;=time,Y13*(1+Economics!$B$4)^(Y$2-$D$2)/((1+Economics!$B$3)^(Y$2-$D$2)),""), "")</f>
        <v/>
      </c>
      <c r="Z44" s="605" t="str">
        <f>IF($A44&lt;&gt;"", IF(Z$2&lt;=time,Z13*(1+Economics!$B$4)^(Z$2-$D$2)/((1+Economics!$B$3)^(Z$2-$D$2)),""), "")</f>
        <v/>
      </c>
      <c r="AA44" s="605" t="str">
        <f>IF($A44&lt;&gt;"", IF(AA$2&lt;=time,AA13*(1+Economics!$B$4)^(AA$2-$D$2)/((1+Economics!$B$3)^(AA$2-$D$2)),""), "")</f>
        <v/>
      </c>
      <c r="AB44" s="605" t="str">
        <f>IF($A44&lt;&gt;"", IF(AB$2&lt;=time,AB13*(1+Economics!$B$4)^(AB$2-$D$2)/((1+Economics!$B$3)^(AB$2-$D$2)),""), "")</f>
        <v/>
      </c>
      <c r="AC44" s="606" t="str">
        <f t="array" ref="AC44">IF($A44&lt;&gt;"", (SUM( IF(ISERROR(D44:AB44),"", D44:AB44))), "")</f>
        <v/>
      </c>
      <c r="AD44" s="371" t="str">
        <f t="shared" si="77"/>
        <v/>
      </c>
    </row>
    <row r="45" spans="1:39" hidden="1">
      <c r="A45" s="612" t="str">
        <f>IF((13-COUNTIF('Bearer list'!$E$4:$E$16,""))&gt;A44,A44+1,"")</f>
        <v/>
      </c>
      <c r="B45" s="367">
        <v>11</v>
      </c>
      <c r="C45" s="604" t="str">
        <f>IF(A45&lt;&gt;"",INDEX('Bearer list'!$D$4:$D$16,A45),"")</f>
        <v/>
      </c>
      <c r="D45" s="634" t="str">
        <f>IF($A45&lt;&gt;"", IF(D$2&lt;=time,D14*(1+Economics!$B$4)^(D$2-$D$2)/((1+Economics!$B$3)^(D$2-$D$2)),""), "")</f>
        <v/>
      </c>
      <c r="E45" s="605" t="str">
        <f>IF($A45&lt;&gt;"", IF(E$2&lt;=time,E14*(1+Economics!$B$4)^(E$2-$D$2)/((1+Economics!$B$3)^(E$2-$D$2)),""), "")</f>
        <v/>
      </c>
      <c r="F45" s="605" t="str">
        <f>IF($A45&lt;&gt;"", IF(F$2&lt;=time,F14*(1+Economics!$B$4)^(F$2-$D$2)/((1+Economics!$B$3)^(F$2-$D$2)),""), "")</f>
        <v/>
      </c>
      <c r="G45" s="605" t="str">
        <f>IF($A45&lt;&gt;"", IF(G$2&lt;=time,G14*(1+Economics!$B$4)^(G$2-$D$2)/((1+Economics!$B$3)^(G$2-$D$2)),""), "")</f>
        <v/>
      </c>
      <c r="H45" s="605" t="str">
        <f>IF($A45&lt;&gt;"", IF(H$2&lt;=time,H14*(1+Economics!$B$4)^(H$2-$D$2)/((1+Economics!$B$3)^(H$2-$D$2)),""), "")</f>
        <v/>
      </c>
      <c r="I45" s="605" t="str">
        <f>IF($A45&lt;&gt;"", IF(I$2&lt;=time,I14*(1+Economics!$B$4)^(I$2-$D$2)/((1+Economics!$B$3)^(I$2-$D$2)),""), "")</f>
        <v/>
      </c>
      <c r="J45" s="605" t="str">
        <f>IF($A45&lt;&gt;"", IF(J$2&lt;=time,J14*(1+Economics!$B$4)^(J$2-$D$2)/((1+Economics!$B$3)^(J$2-$D$2)),""), "")</f>
        <v/>
      </c>
      <c r="K45" s="605" t="str">
        <f>IF($A45&lt;&gt;"", IF(K$2&lt;=time,K14*(1+Economics!$B$4)^(K$2-$D$2)/((1+Economics!$B$3)^(K$2-$D$2)),""), "")</f>
        <v/>
      </c>
      <c r="L45" s="605" t="str">
        <f>IF($A45&lt;&gt;"", IF(L$2&lt;=time,L14*(1+Economics!$B$4)^(L$2-$D$2)/((1+Economics!$B$3)^(L$2-$D$2)),""), "")</f>
        <v/>
      </c>
      <c r="M45" s="605" t="str">
        <f>IF($A45&lt;&gt;"", IF(M$2&lt;=time,M14*(1+Economics!$B$4)^(M$2-$D$2)/((1+Economics!$B$3)^(M$2-$D$2)),""), "")</f>
        <v/>
      </c>
      <c r="N45" s="605" t="str">
        <f>IF($A45&lt;&gt;"", IF(N$2&lt;=time,N14*(1+Economics!$B$4)^(N$2-$D$2)/((1+Economics!$B$3)^(N$2-$D$2)),""), "")</f>
        <v/>
      </c>
      <c r="O45" s="605" t="str">
        <f>IF($A45&lt;&gt;"", IF(O$2&lt;=time,O14*(1+Economics!$B$4)^(O$2-$D$2)/((1+Economics!$B$3)^(O$2-$D$2)),""), "")</f>
        <v/>
      </c>
      <c r="P45" s="605" t="str">
        <f>IF($A45&lt;&gt;"", IF(P$2&lt;=time,P14*(1+Economics!$B$4)^(P$2-$D$2)/((1+Economics!$B$3)^(P$2-$D$2)),""), "")</f>
        <v/>
      </c>
      <c r="Q45" s="605" t="str">
        <f>IF($A45&lt;&gt;"", IF(Q$2&lt;=time,Q14*(1+Economics!$B$4)^(Q$2-$D$2)/((1+Economics!$B$3)^(Q$2-$D$2)),""), "")</f>
        <v/>
      </c>
      <c r="R45" s="605" t="str">
        <f>IF($A45&lt;&gt;"", IF(R$2&lt;=time,R14*(1+Economics!$B$4)^(R$2-$D$2)/((1+Economics!$B$3)^(R$2-$D$2)),""), "")</f>
        <v/>
      </c>
      <c r="S45" s="605" t="str">
        <f>IF($A45&lt;&gt;"", IF(S$2&lt;=time,S14*(1+Economics!$B$4)^(S$2-$D$2)/((1+Economics!$B$3)^(S$2-$D$2)),""), "")</f>
        <v/>
      </c>
      <c r="T45" s="605" t="str">
        <f>IF($A45&lt;&gt;"", IF(T$2&lt;=time,T14*(1+Economics!$B$4)^(T$2-$D$2)/((1+Economics!$B$3)^(T$2-$D$2)),""), "")</f>
        <v/>
      </c>
      <c r="U45" s="605" t="str">
        <f>IF($A45&lt;&gt;"", IF(U$2&lt;=time,U14*(1+Economics!$B$4)^(U$2-$D$2)/((1+Economics!$B$3)^(U$2-$D$2)),""), "")</f>
        <v/>
      </c>
      <c r="V45" s="605" t="str">
        <f>IF($A45&lt;&gt;"", IF(V$2&lt;=time,V14*(1+Economics!$B$4)^(V$2-$D$2)/((1+Economics!$B$3)^(V$2-$D$2)),""), "")</f>
        <v/>
      </c>
      <c r="W45" s="605" t="str">
        <f>IF($A45&lt;&gt;"", IF(W$2&lt;=time,W14*(1+Economics!$B$4)^(W$2-$D$2)/((1+Economics!$B$3)^(W$2-$D$2)),""), "")</f>
        <v/>
      </c>
      <c r="X45" s="605" t="str">
        <f>IF($A45&lt;&gt;"", IF(X$2&lt;=time,X14*(1+Economics!$B$4)^(X$2-$D$2)/((1+Economics!$B$3)^(X$2-$D$2)),""), "")</f>
        <v/>
      </c>
      <c r="Y45" s="605" t="str">
        <f>IF($A45&lt;&gt;"", IF(Y$2&lt;=time,Y14*(1+Economics!$B$4)^(Y$2-$D$2)/((1+Economics!$B$3)^(Y$2-$D$2)),""), "")</f>
        <v/>
      </c>
      <c r="Z45" s="605" t="str">
        <f>IF($A45&lt;&gt;"", IF(Z$2&lt;=time,Z14*(1+Economics!$B$4)^(Z$2-$D$2)/((1+Economics!$B$3)^(Z$2-$D$2)),""), "")</f>
        <v/>
      </c>
      <c r="AA45" s="605" t="str">
        <f>IF($A45&lt;&gt;"", IF(AA$2&lt;=time,AA14*(1+Economics!$B$4)^(AA$2-$D$2)/((1+Economics!$B$3)^(AA$2-$D$2)),""), "")</f>
        <v/>
      </c>
      <c r="AB45" s="605" t="str">
        <f>IF($A45&lt;&gt;"", IF(AB$2&lt;=time,AB14*(1+Economics!$B$4)^(AB$2-$D$2)/((1+Economics!$B$3)^(AB$2-$D$2)),""), "")</f>
        <v/>
      </c>
      <c r="AC45" s="606" t="str">
        <f t="array" ref="AC45">IF($A45&lt;&gt;"", (SUM( IF(ISERROR(D45:AB45),"", D45:AB45))), "")</f>
        <v/>
      </c>
      <c r="AD45" s="371" t="str">
        <f t="shared" si="77"/>
        <v/>
      </c>
    </row>
    <row r="46" spans="1:39" hidden="1">
      <c r="A46" s="612" t="str">
        <f>IF((13-COUNTIF('Bearer list'!$E$4:$E$16,""))&gt;A45,A45+1,"")</f>
        <v/>
      </c>
      <c r="B46" s="367">
        <v>12</v>
      </c>
      <c r="C46" s="604" t="str">
        <f>IF(A46&lt;&gt;"",INDEX('Bearer list'!$D$4:$D$16,A46),"")</f>
        <v/>
      </c>
      <c r="D46" s="634" t="str">
        <f>IF($A46&lt;&gt;"", IF(D$2&lt;=time,D15*(1+Economics!$B$4)^(D$2-$D$2)/((1+Economics!$B$3)^(D$2-$D$2)),""), "")</f>
        <v/>
      </c>
      <c r="E46" s="605" t="str">
        <f>IF($A46&lt;&gt;"", IF(E$2&lt;=time,E15*(1+Economics!$B$4)^(E$2-$D$2)/((1+Economics!$B$3)^(E$2-$D$2)),""), "")</f>
        <v/>
      </c>
      <c r="F46" s="605" t="str">
        <f>IF($A46&lt;&gt;"", IF(F$2&lt;=time,F15*(1+Economics!$B$4)^(F$2-$D$2)/((1+Economics!$B$3)^(F$2-$D$2)),""), "")</f>
        <v/>
      </c>
      <c r="G46" s="605" t="str">
        <f>IF($A46&lt;&gt;"", IF(G$2&lt;=time,G15*(1+Economics!$B$4)^(G$2-$D$2)/((1+Economics!$B$3)^(G$2-$D$2)),""), "")</f>
        <v/>
      </c>
      <c r="H46" s="605" t="str">
        <f>IF($A46&lt;&gt;"", IF(H$2&lt;=time,H15*(1+Economics!$B$4)^(H$2-$D$2)/((1+Economics!$B$3)^(H$2-$D$2)),""), "")</f>
        <v/>
      </c>
      <c r="I46" s="605" t="str">
        <f>IF($A46&lt;&gt;"", IF(I$2&lt;=time,I15*(1+Economics!$B$4)^(I$2-$D$2)/((1+Economics!$B$3)^(I$2-$D$2)),""), "")</f>
        <v/>
      </c>
      <c r="J46" s="605" t="str">
        <f>IF($A46&lt;&gt;"", IF(J$2&lt;=time,J15*(1+Economics!$B$4)^(J$2-$D$2)/((1+Economics!$B$3)^(J$2-$D$2)),""), "")</f>
        <v/>
      </c>
      <c r="K46" s="605" t="str">
        <f>IF($A46&lt;&gt;"", IF(K$2&lt;=time,K15*(1+Economics!$B$4)^(K$2-$D$2)/((1+Economics!$B$3)^(K$2-$D$2)),""), "")</f>
        <v/>
      </c>
      <c r="L46" s="605" t="str">
        <f>IF($A46&lt;&gt;"", IF(L$2&lt;=time,L15*(1+Economics!$B$4)^(L$2-$D$2)/((1+Economics!$B$3)^(L$2-$D$2)),""), "")</f>
        <v/>
      </c>
      <c r="M46" s="605" t="str">
        <f>IF($A46&lt;&gt;"", IF(M$2&lt;=time,M15*(1+Economics!$B$4)^(M$2-$D$2)/((1+Economics!$B$3)^(M$2-$D$2)),""), "")</f>
        <v/>
      </c>
      <c r="N46" s="605" t="str">
        <f>IF($A46&lt;&gt;"", IF(N$2&lt;=time,N15*(1+Economics!$B$4)^(N$2-$D$2)/((1+Economics!$B$3)^(N$2-$D$2)),""), "")</f>
        <v/>
      </c>
      <c r="O46" s="605" t="str">
        <f>IF($A46&lt;&gt;"", IF(O$2&lt;=time,O15*(1+Economics!$B$4)^(O$2-$D$2)/((1+Economics!$B$3)^(O$2-$D$2)),""), "")</f>
        <v/>
      </c>
      <c r="P46" s="605" t="str">
        <f>IF($A46&lt;&gt;"", IF(P$2&lt;=time,P15*(1+Economics!$B$4)^(P$2-$D$2)/((1+Economics!$B$3)^(P$2-$D$2)),""), "")</f>
        <v/>
      </c>
      <c r="Q46" s="605" t="str">
        <f>IF($A46&lt;&gt;"", IF(Q$2&lt;=time,Q15*(1+Economics!$B$4)^(Q$2-$D$2)/((1+Economics!$B$3)^(Q$2-$D$2)),""), "")</f>
        <v/>
      </c>
      <c r="R46" s="605" t="str">
        <f>IF($A46&lt;&gt;"", IF(R$2&lt;=time,R15*(1+Economics!$B$4)^(R$2-$D$2)/((1+Economics!$B$3)^(R$2-$D$2)),""), "")</f>
        <v/>
      </c>
      <c r="S46" s="605" t="str">
        <f>IF($A46&lt;&gt;"", IF(S$2&lt;=time,S15*(1+Economics!$B$4)^(S$2-$D$2)/((1+Economics!$B$3)^(S$2-$D$2)),""), "")</f>
        <v/>
      </c>
      <c r="T46" s="605" t="str">
        <f>IF($A46&lt;&gt;"", IF(T$2&lt;=time,T15*(1+Economics!$B$4)^(T$2-$D$2)/((1+Economics!$B$3)^(T$2-$D$2)),""), "")</f>
        <v/>
      </c>
      <c r="U46" s="605" t="str">
        <f>IF($A46&lt;&gt;"", IF(U$2&lt;=time,U15*(1+Economics!$B$4)^(U$2-$D$2)/((1+Economics!$B$3)^(U$2-$D$2)),""), "")</f>
        <v/>
      </c>
      <c r="V46" s="605" t="str">
        <f>IF($A46&lt;&gt;"", IF(V$2&lt;=time,V15*(1+Economics!$B$4)^(V$2-$D$2)/((1+Economics!$B$3)^(V$2-$D$2)),""), "")</f>
        <v/>
      </c>
      <c r="W46" s="605" t="str">
        <f>IF($A46&lt;&gt;"", IF(W$2&lt;=time,W15*(1+Economics!$B$4)^(W$2-$D$2)/((1+Economics!$B$3)^(W$2-$D$2)),""), "")</f>
        <v/>
      </c>
      <c r="X46" s="605" t="str">
        <f>IF($A46&lt;&gt;"", IF(X$2&lt;=time,X15*(1+Economics!$B$4)^(X$2-$D$2)/((1+Economics!$B$3)^(X$2-$D$2)),""), "")</f>
        <v/>
      </c>
      <c r="Y46" s="605" t="str">
        <f>IF($A46&lt;&gt;"", IF(Y$2&lt;=time,Y15*(1+Economics!$B$4)^(Y$2-$D$2)/((1+Economics!$B$3)^(Y$2-$D$2)),""), "")</f>
        <v/>
      </c>
      <c r="Z46" s="605" t="str">
        <f>IF($A46&lt;&gt;"", IF(Z$2&lt;=time,Z15*(1+Economics!$B$4)^(Z$2-$D$2)/((1+Economics!$B$3)^(Z$2-$D$2)),""), "")</f>
        <v/>
      </c>
      <c r="AA46" s="605" t="str">
        <f>IF($A46&lt;&gt;"", IF(AA$2&lt;=time,AA15*(1+Economics!$B$4)^(AA$2-$D$2)/((1+Economics!$B$3)^(AA$2-$D$2)),""), "")</f>
        <v/>
      </c>
      <c r="AB46" s="605" t="str">
        <f>IF($A46&lt;&gt;"", IF(AB$2&lt;=time,AB15*(1+Economics!$B$4)^(AB$2-$D$2)/((1+Economics!$B$3)^(AB$2-$D$2)),""), "")</f>
        <v/>
      </c>
      <c r="AC46" s="606" t="str">
        <f t="array" ref="AC46">IF($A46&lt;&gt;"", (SUM( IF(ISERROR(D46:AB46),"", D46:AB46))), "")</f>
        <v/>
      </c>
      <c r="AD46" s="371" t="str">
        <f t="shared" si="77"/>
        <v/>
      </c>
    </row>
    <row r="47" spans="1:39" ht="47" hidden="1" customHeight="1" thickBot="1">
      <c r="A47" s="614" t="str">
        <f>IF((13-COUNTIF('Bearer list'!$E$4:$E$16,""))&gt;A46,A46+1,"")</f>
        <v/>
      </c>
      <c r="B47" s="615">
        <v>13</v>
      </c>
      <c r="C47" s="616" t="str">
        <f>IF(A47&lt;&gt;"",INDEX('Bearer list'!$D$4:$D$16,A47),"")</f>
        <v/>
      </c>
      <c r="D47" s="637" t="str">
        <f>IF($A47&lt;&gt;"", IF(D$2&lt;=time,D16*(1+Economics!$B$4)^(D$2-$D$2)/((1+Economics!$B$3)^(D$2-$D$2)),""), "")</f>
        <v/>
      </c>
      <c r="E47" s="617" t="str">
        <f>IF($A47&lt;&gt;"", IF(E$2&lt;=time,E16*(1+Economics!$B$4)^(E$2-$D$2)/((1+Economics!$B$3)^(E$2-$D$2)),""), "")</f>
        <v/>
      </c>
      <c r="F47" s="617" t="str">
        <f>IF($A47&lt;&gt;"", IF(F$2&lt;=time,F16*(1+Economics!$B$4)^(F$2-$D$2)/((1+Economics!$B$3)^(F$2-$D$2)),""), "")</f>
        <v/>
      </c>
      <c r="G47" s="617" t="str">
        <f>IF($A47&lt;&gt;"", IF(G$2&lt;=time,G16*(1+Economics!$B$4)^(G$2-$D$2)/((1+Economics!$B$3)^(G$2-$D$2)),""), "")</f>
        <v/>
      </c>
      <c r="H47" s="617" t="str">
        <f>IF($A47&lt;&gt;"", IF(H$2&lt;=time,H16*(1+Economics!$B$4)^(H$2-$D$2)/((1+Economics!$B$3)^(H$2-$D$2)),""), "")</f>
        <v/>
      </c>
      <c r="I47" s="617" t="str">
        <f>IF($A47&lt;&gt;"", IF(I$2&lt;=time,I16*(1+Economics!$B$4)^(I$2-$D$2)/((1+Economics!$B$3)^(I$2-$D$2)),""), "")</f>
        <v/>
      </c>
      <c r="J47" s="617" t="str">
        <f>IF($A47&lt;&gt;"", IF(J$2&lt;=time,J16*(1+Economics!$B$4)^(J$2-$D$2)/((1+Economics!$B$3)^(J$2-$D$2)),""), "")</f>
        <v/>
      </c>
      <c r="K47" s="617" t="str">
        <f>IF($A47&lt;&gt;"", IF(K$2&lt;=time,K16*(1+Economics!$B$4)^(K$2-$D$2)/((1+Economics!$B$3)^(K$2-$D$2)),""), "")</f>
        <v/>
      </c>
      <c r="L47" s="617" t="str">
        <f>IF($A47&lt;&gt;"", IF(L$2&lt;=time,L16*(1+Economics!$B$4)^(L$2-$D$2)/((1+Economics!$B$3)^(L$2-$D$2)),""), "")</f>
        <v/>
      </c>
      <c r="M47" s="617" t="str">
        <f>IF($A47&lt;&gt;"", IF(M$2&lt;=time,M16*(1+Economics!$B$4)^(M$2-$D$2)/((1+Economics!$B$3)^(M$2-$D$2)),""), "")</f>
        <v/>
      </c>
      <c r="N47" s="617" t="str">
        <f>IF($A47&lt;&gt;"", IF(N$2&lt;=time,N16*(1+Economics!$B$4)^(N$2-$D$2)/((1+Economics!$B$3)^(N$2-$D$2)),""), "")</f>
        <v/>
      </c>
      <c r="O47" s="617" t="str">
        <f>IF($A47&lt;&gt;"", IF(O$2&lt;=time,O16*(1+Economics!$B$4)^(O$2-$D$2)/((1+Economics!$B$3)^(O$2-$D$2)),""), "")</f>
        <v/>
      </c>
      <c r="P47" s="617" t="str">
        <f>IF($A47&lt;&gt;"", IF(P$2&lt;=time,P16*(1+Economics!$B$4)^(P$2-$D$2)/((1+Economics!$B$3)^(P$2-$D$2)),""), "")</f>
        <v/>
      </c>
      <c r="Q47" s="617" t="str">
        <f>IF($A47&lt;&gt;"", IF(Q$2&lt;=time,Q16*(1+Economics!$B$4)^(Q$2-$D$2)/((1+Economics!$B$3)^(Q$2-$D$2)),""), "")</f>
        <v/>
      </c>
      <c r="R47" s="617" t="str">
        <f>IF($A47&lt;&gt;"", IF(R$2&lt;=time,R16*(1+Economics!$B$4)^(R$2-$D$2)/((1+Economics!$B$3)^(R$2-$D$2)),""), "")</f>
        <v/>
      </c>
      <c r="S47" s="617" t="str">
        <f>IF($A47&lt;&gt;"", IF(S$2&lt;=time,S16*(1+Economics!$B$4)^(S$2-$D$2)/((1+Economics!$B$3)^(S$2-$D$2)),""), "")</f>
        <v/>
      </c>
      <c r="T47" s="617" t="str">
        <f>IF($A47&lt;&gt;"", IF(T$2&lt;=time,T16*(1+Economics!$B$4)^(T$2-$D$2)/((1+Economics!$B$3)^(T$2-$D$2)),""), "")</f>
        <v/>
      </c>
      <c r="U47" s="617" t="str">
        <f>IF($A47&lt;&gt;"", IF(U$2&lt;=time,U16*(1+Economics!$B$4)^(U$2-$D$2)/((1+Economics!$B$3)^(U$2-$D$2)),""), "")</f>
        <v/>
      </c>
      <c r="V47" s="617" t="str">
        <f>IF($A47&lt;&gt;"", IF(V$2&lt;=time,V16*(1+Economics!$B$4)^(V$2-$D$2)/((1+Economics!$B$3)^(V$2-$D$2)),""), "")</f>
        <v/>
      </c>
      <c r="W47" s="617" t="str">
        <f>IF($A47&lt;&gt;"", IF(W$2&lt;=time,W16*(1+Economics!$B$4)^(W$2-$D$2)/((1+Economics!$B$3)^(W$2-$D$2)),""), "")</f>
        <v/>
      </c>
      <c r="X47" s="617" t="str">
        <f>IF($A47&lt;&gt;"", IF(X$2&lt;=time,X16*(1+Economics!$B$4)^(X$2-$D$2)/((1+Economics!$B$3)^(X$2-$D$2)),""), "")</f>
        <v/>
      </c>
      <c r="Y47" s="617" t="str">
        <f>IF($A47&lt;&gt;"", IF(Y$2&lt;=time,Y16*(1+Economics!$B$4)^(Y$2-$D$2)/((1+Economics!$B$3)^(Y$2-$D$2)),""), "")</f>
        <v/>
      </c>
      <c r="Z47" s="617" t="str">
        <f>IF($A47&lt;&gt;"", IF(Z$2&lt;=time,Z16*(1+Economics!$B$4)^(Z$2-$D$2)/((1+Economics!$B$3)^(Z$2-$D$2)),""), "")</f>
        <v/>
      </c>
      <c r="AA47" s="617" t="str">
        <f>IF($A47&lt;&gt;"", IF(AA$2&lt;=time,AA16*(1+Economics!$B$4)^(AA$2-$D$2)/((1+Economics!$B$3)^(AA$2-$D$2)),""), "")</f>
        <v/>
      </c>
      <c r="AB47" s="617" t="str">
        <f>IF($A47&lt;&gt;"", IF(AB$2&lt;=time,AB16*(1+Economics!$B$4)^(AB$2-$D$2)/((1+Economics!$B$3)^(AB$2-$D$2)),""), "")</f>
        <v/>
      </c>
      <c r="AC47" s="618" t="str">
        <f t="array" ref="AC47">IF($A47&lt;&gt;"", (SUM( IF(ISERROR(D47:AB47),"", D47:AB47))), "")</f>
        <v/>
      </c>
      <c r="AD47" s="619" t="str">
        <f t="shared" si="77"/>
        <v/>
      </c>
      <c r="AL47" s="113" t="s">
        <v>290</v>
      </c>
      <c r="AM47" s="113" t="s">
        <v>542</v>
      </c>
    </row>
    <row r="48" spans="1:39" ht="16" hidden="1" thickBot="1">
      <c r="A48" s="632"/>
    </row>
    <row r="49" spans="1:111" ht="124.5" hidden="1" thickBot="1">
      <c r="A49" s="593" t="str">
        <f>CONCATENATE("Benefits with Inflation and Discount rate"," ", "(",'Proposition Summary'!$B$76,")",":")</f>
        <v>Benefits with Inflation and Discount rate (GBP (£)):</v>
      </c>
      <c r="B49" s="594"/>
      <c r="C49" s="595"/>
      <c r="D49" s="593" t="str">
        <f>CONCATENATE("Financial benefits of the intervention in Year 1"," ", "(",'Proposition Summary'!$B$76,")")</f>
        <v>Financial benefits of the intervention in Year 1 (GBP (£))</v>
      </c>
      <c r="E49" s="594" t="str">
        <f>CONCATENATE("Financial benefits of the intervention in Year 2"," ", "(",'Proposition Summary'!$B$76,")")</f>
        <v>Financial benefits of the intervention in Year 2 (GBP (£))</v>
      </c>
      <c r="F49" s="594" t="str">
        <f>CONCATENATE("Financial benefits of the intervention in Year 3"," ", "(",'Proposition Summary'!$B$76,")")</f>
        <v>Financial benefits of the intervention in Year 3 (GBP (£))</v>
      </c>
      <c r="G49" s="594" t="str">
        <f>CONCATENATE("Financial benefits of the intervention in Year 4"," ", "(",'Proposition Summary'!$B$76,")")</f>
        <v>Financial benefits of the intervention in Year 4 (GBP (£))</v>
      </c>
      <c r="H49" s="594" t="str">
        <f>CONCATENATE("Financial benefits of the intervention in Year 5"," ", "(",'Proposition Summary'!$B$76,")")</f>
        <v>Financial benefits of the intervention in Year 5 (GBP (£))</v>
      </c>
      <c r="I49" s="594" t="str">
        <f>CONCATENATE("Financial benefits of the intervention in Year 6"," ", "(",'Proposition Summary'!$B$76,")")</f>
        <v>Financial benefits of the intervention in Year 6 (GBP (£))</v>
      </c>
      <c r="J49" s="594" t="str">
        <f>CONCATENATE("Financial benefits of the intervention in Year 7"," ", "(",'Proposition Summary'!$B$76,")")</f>
        <v>Financial benefits of the intervention in Year 7 (GBP (£))</v>
      </c>
      <c r="K49" s="594" t="str">
        <f>CONCATENATE("Financial benefits of the intervention in Year 8"," ", "(",'Proposition Summary'!$B$76,")")</f>
        <v>Financial benefits of the intervention in Year 8 (GBP (£))</v>
      </c>
      <c r="L49" s="594" t="str">
        <f>CONCATENATE("Financial benefits of the intervention in Year 9"," ", "(",'Proposition Summary'!$B$76,")")</f>
        <v>Financial benefits of the intervention in Year 9 (GBP (£))</v>
      </c>
      <c r="M49" s="594" t="str">
        <f>CONCATENATE("Financial benefits of the intervention in Year 10"," ", "(",'Proposition Summary'!$B$76,")")</f>
        <v>Financial benefits of the intervention in Year 10 (GBP (£))</v>
      </c>
      <c r="N49" s="594" t="str">
        <f>CONCATENATE("Financial benefits of the intervention in Year 11"," ", "(",'Proposition Summary'!$B$76,")")</f>
        <v>Financial benefits of the intervention in Year 11 (GBP (£))</v>
      </c>
      <c r="O49" s="594" t="str">
        <f>CONCATENATE("Financial benefits of the intervention in Year 12"," ", "(",'Proposition Summary'!$B$76,")")</f>
        <v>Financial benefits of the intervention in Year 12 (GBP (£))</v>
      </c>
      <c r="P49" s="594" t="str">
        <f>CONCATENATE("Financial benefits of the intervention in Year 13"," ", "(",'Proposition Summary'!$B$76,")")</f>
        <v>Financial benefits of the intervention in Year 13 (GBP (£))</v>
      </c>
      <c r="Q49" s="594" t="str">
        <f>CONCATENATE("Financial benefits of the intervention in Year 14"," ", "(",'Proposition Summary'!$B$76,")")</f>
        <v>Financial benefits of the intervention in Year 14 (GBP (£))</v>
      </c>
      <c r="R49" s="594" t="str">
        <f>CONCATENATE("Financial benefits of the intervention in Year 15"," ", "(",'Proposition Summary'!$B$76,")")</f>
        <v>Financial benefits of the intervention in Year 15 (GBP (£))</v>
      </c>
      <c r="S49" s="594" t="str">
        <f>CONCATENATE("Financial benefits of the intervention in Year 16"," ", "(",'Proposition Summary'!$B$76,")")</f>
        <v>Financial benefits of the intervention in Year 16 (GBP (£))</v>
      </c>
      <c r="T49" s="594" t="str">
        <f>CONCATENATE("Financial benefits of the intervention in Year 17"," ", "(",'Proposition Summary'!$B$76,")")</f>
        <v>Financial benefits of the intervention in Year 17 (GBP (£))</v>
      </c>
      <c r="U49" s="594" t="str">
        <f>CONCATENATE("Financial benefits of the intervention in Year 18"," ", "(",'Proposition Summary'!$B$76,")")</f>
        <v>Financial benefits of the intervention in Year 18 (GBP (£))</v>
      </c>
      <c r="V49" s="594" t="str">
        <f>CONCATENATE("Financial benefits of the intervention in Year 19"," ", "(",'Proposition Summary'!$B$76,")")</f>
        <v>Financial benefits of the intervention in Year 19 (GBP (£))</v>
      </c>
      <c r="W49" s="594" t="str">
        <f>CONCATENATE("Financial benefits of the intervention in Year 20"," ", "(",'Proposition Summary'!$B$76,")")</f>
        <v>Financial benefits of the intervention in Year 20 (GBP (£))</v>
      </c>
      <c r="X49" s="594" t="str">
        <f>CONCATENATE("Financial benefits of the intervention in Year 21"," ", "(",'Proposition Summary'!$B$76,")")</f>
        <v>Financial benefits of the intervention in Year 21 (GBP (£))</v>
      </c>
      <c r="Y49" s="594" t="str">
        <f>CONCATENATE("Financial benefits of the intervention in Year 22"," ", "(",'Proposition Summary'!$B$76,")")</f>
        <v>Financial benefits of the intervention in Year 22 (GBP (£))</v>
      </c>
      <c r="Z49" s="594" t="str">
        <f>CONCATENATE("Financial benefits of the intervention in Year 23"," ", "(",'Proposition Summary'!$B$76,")")</f>
        <v>Financial benefits of the intervention in Year 23 (GBP (£))</v>
      </c>
      <c r="AA49" s="594" t="str">
        <f>CONCATENATE("Financial benefits of the intervention in Year 24"," ", "(",'Proposition Summary'!$B$76,")")</f>
        <v>Financial benefits of the intervention in Year 24 (GBP (£))</v>
      </c>
      <c r="AB49" s="594" t="str">
        <f>CONCATENATE("Financial benefits of the intervention in Year 25"," ", "(",'Proposition Summary'!$B$76,")")</f>
        <v>Financial benefits of the intervention in Year 25 (GBP (£))</v>
      </c>
      <c r="AC49" s="593" t="str">
        <f>CONCATENATE("Total Benefits"," ", "(",'Proposition Summary'!$B$76,")")</f>
        <v>Total Benefits (GBP (£))</v>
      </c>
      <c r="AD49" s="595" t="str">
        <f>CONCATENATE("Annual Benefits"," ", "(",'Proposition Summary'!$B$76,")")</f>
        <v>Annual Benefits (GBP (£))</v>
      </c>
      <c r="AH49" s="641"/>
      <c r="AI49" s="642"/>
      <c r="AJ49" s="599"/>
      <c r="AK49" s="601"/>
      <c r="AL49" s="599" t="s">
        <v>290</v>
      </c>
      <c r="AM49" s="599" t="s">
        <v>381</v>
      </c>
      <c r="AN49" s="113" t="s">
        <v>542</v>
      </c>
      <c r="AO49" s="599" t="s">
        <v>381</v>
      </c>
      <c r="AP49" s="113" t="s">
        <v>543</v>
      </c>
      <c r="AQ49" s="599" t="s">
        <v>381</v>
      </c>
      <c r="AR49" s="113" t="s">
        <v>544</v>
      </c>
      <c r="AS49" s="599" t="s">
        <v>381</v>
      </c>
      <c r="AT49" s="113" t="s">
        <v>545</v>
      </c>
      <c r="AU49" s="599" t="s">
        <v>381</v>
      </c>
      <c r="AV49" s="113" t="s">
        <v>292</v>
      </c>
      <c r="AW49" s="599" t="s">
        <v>381</v>
      </c>
      <c r="AX49" s="113" t="s">
        <v>546</v>
      </c>
      <c r="AY49" s="599" t="s">
        <v>381</v>
      </c>
      <c r="AZ49" s="113" t="s">
        <v>547</v>
      </c>
      <c r="BA49" s="599" t="s">
        <v>381</v>
      </c>
      <c r="BB49" s="113" t="s">
        <v>548</v>
      </c>
      <c r="BC49" s="599" t="s">
        <v>381</v>
      </c>
      <c r="BD49" s="113" t="s">
        <v>549</v>
      </c>
      <c r="BE49" s="599" t="s">
        <v>381</v>
      </c>
      <c r="BF49" s="113" t="s">
        <v>550</v>
      </c>
      <c r="BG49" s="601" t="s">
        <v>381</v>
      </c>
      <c r="BH49" s="113" t="s">
        <v>551</v>
      </c>
      <c r="BI49" s="599" t="s">
        <v>381</v>
      </c>
      <c r="BJ49" s="113" t="s">
        <v>424</v>
      </c>
      <c r="BK49" s="601" t="s">
        <v>381</v>
      </c>
      <c r="BL49" s="113" t="s">
        <v>552</v>
      </c>
      <c r="BM49" s="602" t="s">
        <v>381</v>
      </c>
      <c r="BN49" s="113" t="s">
        <v>555</v>
      </c>
      <c r="BO49" s="601" t="s">
        <v>381</v>
      </c>
      <c r="BP49" s="113" t="s">
        <v>556</v>
      </c>
      <c r="BQ49" s="601" t="s">
        <v>381</v>
      </c>
      <c r="BR49" s="113" t="s">
        <v>557</v>
      </c>
      <c r="BS49" s="601" t="s">
        <v>381</v>
      </c>
      <c r="BT49" s="113" t="s">
        <v>408</v>
      </c>
      <c r="BU49" s="601" t="s">
        <v>381</v>
      </c>
      <c r="BV49" s="113" t="s">
        <v>409</v>
      </c>
      <c r="BW49" s="601" t="s">
        <v>381</v>
      </c>
      <c r="BX49" s="113" t="s">
        <v>558</v>
      </c>
      <c r="BY49" s="601" t="s">
        <v>381</v>
      </c>
      <c r="BZ49" s="113" t="s">
        <v>559</v>
      </c>
      <c r="CA49" s="602" t="s">
        <v>381</v>
      </c>
      <c r="CB49" s="642" t="s">
        <v>421</v>
      </c>
      <c r="CC49" s="601" t="s">
        <v>381</v>
      </c>
      <c r="CD49" s="601" t="s">
        <v>422</v>
      </c>
      <c r="CE49" s="601" t="s">
        <v>381</v>
      </c>
      <c r="CF49" s="601" t="s">
        <v>415</v>
      </c>
      <c r="CG49" s="601" t="s">
        <v>381</v>
      </c>
      <c r="CH49" s="601" t="s">
        <v>416</v>
      </c>
      <c r="CI49" s="601" t="s">
        <v>381</v>
      </c>
      <c r="CJ49" s="601" t="s">
        <v>417</v>
      </c>
      <c r="CK49" s="601" t="s">
        <v>381</v>
      </c>
      <c r="CL49" s="601" t="s">
        <v>418</v>
      </c>
      <c r="CM49" s="602" t="s">
        <v>381</v>
      </c>
      <c r="CN49" s="643" t="s">
        <v>526</v>
      </c>
      <c r="CO49" s="602" t="s">
        <v>381</v>
      </c>
      <c r="CP49" s="643" t="s">
        <v>527</v>
      </c>
      <c r="CQ49" s="602" t="s">
        <v>381</v>
      </c>
      <c r="CR49" s="643" t="s">
        <v>528</v>
      </c>
      <c r="CS49" s="602" t="s">
        <v>381</v>
      </c>
      <c r="CT49" s="643" t="s">
        <v>529</v>
      </c>
      <c r="CU49" s="602" t="s">
        <v>381</v>
      </c>
      <c r="CV49" s="643" t="s">
        <v>530</v>
      </c>
      <c r="CW49" s="602" t="s">
        <v>381</v>
      </c>
      <c r="CX49" s="643" t="s">
        <v>531</v>
      </c>
      <c r="CY49" s="602" t="s">
        <v>381</v>
      </c>
      <c r="CZ49" s="643" t="s">
        <v>532</v>
      </c>
      <c r="DA49" s="602" t="s">
        <v>381</v>
      </c>
      <c r="DB49" s="643" t="s">
        <v>533</v>
      </c>
      <c r="DC49" s="602" t="s">
        <v>381</v>
      </c>
      <c r="DD49" s="643" t="s">
        <v>534</v>
      </c>
      <c r="DE49" s="602" t="s">
        <v>381</v>
      </c>
      <c r="DF49" s="643" t="s">
        <v>535</v>
      </c>
      <c r="DG49" s="602" t="s">
        <v>381</v>
      </c>
    </row>
    <row r="50" spans="1:111" hidden="1">
      <c r="A50" s="603">
        <v>1</v>
      </c>
      <c r="B50" s="367">
        <v>1</v>
      </c>
      <c r="C50" s="604" t="str">
        <f>IF(A50&lt;&gt;"",INDEX('Bearer list'!$D$4:$D$16,A50),"")</f>
        <v>CJS</v>
      </c>
      <c r="D50" s="634">
        <f>IF($A50&lt;&gt;"", IF(D$2&lt;=time,D20*(1+Economics!$B$4)^(D$2-$D$2)/((1+Economics!$B$3)^(D$2-$D$2)),""), "")</f>
        <v>0</v>
      </c>
      <c r="E50" s="605">
        <f>IF($A50&lt;&gt;"", IF(E$2&lt;=time,E20*(1+Economics!$B$4)^(E$2-$D$2)/((1+Economics!$B$3)^(E$2-$D$2)),""), "")</f>
        <v>0</v>
      </c>
      <c r="F50" s="605">
        <f>IF($A50&lt;&gt;"", IF(F$2&lt;=time,F20*(1+Economics!$B$4)^(F$2-$D$2)/((1+Economics!$B$3)^(F$2-$D$2)),""), "")</f>
        <v>0</v>
      </c>
      <c r="G50" s="605">
        <f>IF($A50&lt;&gt;"", IF(G$2&lt;=time,G20*(1+Economics!$B$4)^(G$2-$D$2)/((1+Economics!$B$3)^(G$2-$D$2)),""), "")</f>
        <v>0</v>
      </c>
      <c r="H50" s="605">
        <f>IF($A50&lt;&gt;"", IF(H$2&lt;=time,H20*(1+Economics!$B$4)^(H$2-$D$2)/((1+Economics!$B$3)^(H$2-$D$2)),""), "")</f>
        <v>0</v>
      </c>
      <c r="I50" s="605" t="str">
        <f>IF($A50&lt;&gt;"", IF(I$2&lt;=time,I20*(1+Economics!$B$4)^(I$2-$D$2)/((1+Economics!$B$3)^(I$2-$D$2)),""), "")</f>
        <v/>
      </c>
      <c r="J50" s="605" t="str">
        <f>IF($A50&lt;&gt;"", IF(J$2&lt;=time,J20*(1+Economics!$B$4)^(J$2-$D$2)/((1+Economics!$B$3)^(J$2-$D$2)),""), "")</f>
        <v/>
      </c>
      <c r="K50" s="605" t="str">
        <f>IF($A50&lt;&gt;"", IF(K$2&lt;=time,K20*(1+Economics!$B$4)^(K$2-$D$2)/((1+Economics!$B$3)^(K$2-$D$2)),""), "")</f>
        <v/>
      </c>
      <c r="L50" s="605" t="str">
        <f>IF($A50&lt;&gt;"", IF(L$2&lt;=time,L20*(1+Economics!$B$4)^(L$2-$D$2)/((1+Economics!$B$3)^(L$2-$D$2)),""), "")</f>
        <v/>
      </c>
      <c r="M50" s="605" t="str">
        <f>IF($A50&lt;&gt;"", IF(M$2&lt;=time,M20*(1+Economics!$B$4)^(M$2-$D$2)/((1+Economics!$B$3)^(M$2-$D$2)),""), "")</f>
        <v/>
      </c>
      <c r="N50" s="605" t="str">
        <f>IF($A50&lt;&gt;"", IF(N$2&lt;=time,N20*(1+Economics!$B$4)^(N$2-$D$2)/((1+Economics!$B$3)^(N$2-$D$2)),""), "")</f>
        <v/>
      </c>
      <c r="O50" s="605" t="str">
        <f>IF($A50&lt;&gt;"", IF(O$2&lt;=time,O20*(1+Economics!$B$4)^(O$2-$D$2)/((1+Economics!$B$3)^(O$2-$D$2)),""), "")</f>
        <v/>
      </c>
      <c r="P50" s="605" t="str">
        <f>IF($A50&lt;&gt;"", IF(P$2&lt;=time,P20*(1+Economics!$B$4)^(P$2-$D$2)/((1+Economics!$B$3)^(P$2-$D$2)),""), "")</f>
        <v/>
      </c>
      <c r="Q50" s="605" t="str">
        <f>IF($A50&lt;&gt;"", IF(Q$2&lt;=time,Q20*(1+Economics!$B$4)^(Q$2-$D$2)/((1+Economics!$B$3)^(Q$2-$D$2)),""), "")</f>
        <v/>
      </c>
      <c r="R50" s="605" t="str">
        <f>IF($A50&lt;&gt;"", IF(R$2&lt;=time,R20*(1+Economics!$B$4)^(R$2-$D$2)/((1+Economics!$B$3)^(R$2-$D$2)),""), "")</f>
        <v/>
      </c>
      <c r="S50" s="605" t="str">
        <f>IF($A50&lt;&gt;"", IF(S$2&lt;=time,S20*(1+Economics!$B$4)^(S$2-$D$2)/((1+Economics!$B$3)^(S$2-$D$2)),""), "")</f>
        <v/>
      </c>
      <c r="T50" s="605" t="str">
        <f>IF($A50&lt;&gt;"", IF(T$2&lt;=time,T20*(1+Economics!$B$4)^(T$2-$D$2)/((1+Economics!$B$3)^(T$2-$D$2)),""), "")</f>
        <v/>
      </c>
      <c r="U50" s="605" t="str">
        <f>IF($A50&lt;&gt;"", IF(U$2&lt;=time,U20*(1+Economics!$B$4)^(U$2-$D$2)/((1+Economics!$B$3)^(U$2-$D$2)),""), "")</f>
        <v/>
      </c>
      <c r="V50" s="605" t="str">
        <f>IF($A50&lt;&gt;"", IF(V$2&lt;=time,V20*(1+Economics!$B$4)^(V$2-$D$2)/((1+Economics!$B$3)^(V$2-$D$2)),""), "")</f>
        <v/>
      </c>
      <c r="W50" s="605" t="str">
        <f>IF($A50&lt;&gt;"", IF(W$2&lt;=time,W20*(1+Economics!$B$4)^(W$2-$D$2)/((1+Economics!$B$3)^(W$2-$D$2)),""), "")</f>
        <v/>
      </c>
      <c r="X50" s="605" t="str">
        <f>IF($A50&lt;&gt;"", IF(X$2&lt;=time,X20*(1+Economics!$B$4)^(X$2-$D$2)/((1+Economics!$B$3)^(X$2-$D$2)),""), "")</f>
        <v/>
      </c>
      <c r="Y50" s="605" t="str">
        <f>IF($A50&lt;&gt;"", IF(Y$2&lt;=time,Y20*(1+Economics!$B$4)^(Y$2-$D$2)/((1+Economics!$B$3)^(Y$2-$D$2)),""), "")</f>
        <v/>
      </c>
      <c r="Z50" s="605" t="str">
        <f>IF($A50&lt;&gt;"", IF(Z$2&lt;=time,Z20*(1+Economics!$B$4)^(Z$2-$D$2)/((1+Economics!$B$3)^(Z$2-$D$2)),""), "")</f>
        <v/>
      </c>
      <c r="AA50" s="605" t="str">
        <f>IF($A50&lt;&gt;"", IF(AA$2&lt;=time,AA20*(1+Economics!$B$4)^(AA$2-$D$2)/((1+Economics!$B$3)^(AA$2-$D$2)),""), "")</f>
        <v/>
      </c>
      <c r="AB50" s="605" t="str">
        <f>IF($A50&lt;&gt;"", IF(AB$2&lt;=time,AB20*(1+Economics!$B$4)^(AB$2-$D$2)/((1+Economics!$B$3)^(AB$2-$D$2)),""), "")</f>
        <v/>
      </c>
      <c r="AC50" s="606">
        <f t="array" ref="AC50">IF($A50&lt;&gt;"", (SUM( IF(ISERROR(D50:AB50),"", D50:AB50))), "")</f>
        <v>0</v>
      </c>
      <c r="AD50" s="371">
        <f t="shared" ref="AD50:AD62" si="78">IF($A50&lt;&gt;"", AC50/time, "")</f>
        <v>0</v>
      </c>
      <c r="AH50" s="644">
        <v>1</v>
      </c>
      <c r="AI50" s="645" t="s">
        <v>288</v>
      </c>
      <c r="AJ50" s="646"/>
      <c r="AK50" s="646"/>
      <c r="AL50" s="646">
        <f>INDEX('Savings of avoided crimes'!$B$6:$I$20, 2, 'Savings and benefits to bearers'!$AH50*4)</f>
        <v>69479.924671290326</v>
      </c>
      <c r="AM50" s="646" t="str">
        <f>INDEX('Savings of avoided crimes'!$B$6:$I$20,2,'Savings and benefits to bearers'!$AH50*4-2)</f>
        <v>Society</v>
      </c>
      <c r="AN50" s="646">
        <f>INDEX('Savings of avoided crimes'!$B$6:$I$20, 3, 'Savings and benefits to bearers'!$AH50*4)</f>
        <v>375.50565249796603</v>
      </c>
      <c r="AO50" s="646" t="str">
        <f>INDEX('Savings of avoided crimes'!$B$6:$I$20,3,'Savings and benefits to bearers'!$AH50*4-2)</f>
        <v>Society</v>
      </c>
      <c r="AP50" s="646">
        <f>INDEX('Savings of avoided crimes'!$B$6:$I$20, 4, 'Savings and benefits to bearers'!$AH50*4)</f>
        <v>125.16855083265533</v>
      </c>
      <c r="AQ50" s="646" t="str">
        <f>INDEX('Savings of avoided crimes'!$B$6:$I$20,4,'Savings and benefits to bearers'!$AH50*4-2)</f>
        <v>Society</v>
      </c>
      <c r="AR50" s="646">
        <f>INDEX('Savings of avoided crimes'!$B$6:$I$20, 5, 'Savings and benefits to bearers'!$AH50*4)</f>
        <v>1103.7590391606877</v>
      </c>
      <c r="AS50" s="646" t="str">
        <f>INDEX('Savings of avoided crimes'!$B$6:$I$20,5,'Savings and benefits to bearers'!$AH50*4-2)</f>
        <v>Society</v>
      </c>
      <c r="AT50" s="646">
        <f>INDEX('Savings of avoided crimes'!$B$6:$I$20, 6, 'Savings and benefits to bearers'!$AH50*4)</f>
        <v>170.68438749907546</v>
      </c>
      <c r="AU50" s="646" t="str">
        <f>INDEX('Savings of avoided crimes'!$B$6:$I$20,6,'Savings and benefits to bearers'!$AH50*4-2)</f>
        <v>Society</v>
      </c>
      <c r="AV50" s="646">
        <f>INDEX('Savings of avoided crimes'!$B$6:$I$20, 7, 'Savings and benefits to bearers'!$AH50*4)</f>
        <v>216.20022416549557</v>
      </c>
      <c r="AW50" s="646" t="str">
        <f>INDEX('Savings of avoided crimes'!$B$6:$I$20,7,'Savings and benefits to bearers'!$AH50*4-2)</f>
        <v>Society</v>
      </c>
      <c r="AX50" s="646">
        <f>INDEX('Savings of avoided crimes'!$B$6:$I$20, 8, 'Savings and benefits to bearers'!$AH50*4)</f>
        <v>364.12669333136091</v>
      </c>
      <c r="AY50" s="646" t="str">
        <f>INDEX('Savings of avoided crimes'!$B$6:$I$20,8,'Savings and benefits to bearers'!$AH50*4-2)</f>
        <v>Society</v>
      </c>
      <c r="AZ50" s="646">
        <f>INDEX('Savings of avoided crimes'!$B$6:$I$20, 9, 'Savings and benefits to bearers'!$AH50*4)</f>
        <v>1149.2748758271077</v>
      </c>
      <c r="BA50" s="646" t="str">
        <f>INDEX('Savings of avoided crimes'!$B$6:$I$20,9,'Savings and benefits to bearers'!$AH50*4-2)</f>
        <v>Society</v>
      </c>
      <c r="BB50" s="646">
        <f>INDEX('Savings of avoided crimes'!$B$6:$I$20, 10, 'Savings and benefits to bearers'!$AH50*4)</f>
        <v>125.16855083265533</v>
      </c>
      <c r="BC50" s="646" t="str">
        <f>INDEX('Savings of avoided crimes'!$B$6:$I$20,10,'Savings and benefits to bearers'!$AH50*4-2)</f>
        <v>Society</v>
      </c>
      <c r="BD50" s="646">
        <f>INDEX('Savings of avoided crimes'!$B$6:$I$20, 11, 'Savings and benefits to bearers'!$AH50*4)</f>
        <v>125.16855083265533</v>
      </c>
      <c r="BE50" s="646" t="str">
        <f>INDEX('Savings of avoided crimes'!$B$6:$I$20,11,'Savings and benefits to bearers'!$AH50*4-2)</f>
        <v>Society</v>
      </c>
      <c r="BF50" s="646">
        <f>INDEX('Savings of avoided crimes'!$B$6:$I$20, 12, 'Savings and benefits to bearers'!$AH50*4)</f>
        <v>125.16855083265533</v>
      </c>
      <c r="BG50" s="646" t="str">
        <f>INDEX('Savings of avoided crimes'!$B$6:$I$20,12,'Savings and benefits to bearers'!$AH50*4-2)</f>
        <v>Society</v>
      </c>
      <c r="BH50" s="646">
        <f>INDEX('Savings of avoided crimes'!$B$6:$I$20, 13, 'Savings and benefits to bearers'!$AH50*4)</f>
        <v>22.757918333210057</v>
      </c>
      <c r="BI50" s="646" t="str">
        <f>INDEX('Savings of avoided crimes'!$B$6:$I$20,13,'Savings and benefits to bearers'!$AH50*4-2)</f>
        <v>Society</v>
      </c>
      <c r="BJ50" s="646">
        <f>INDEX('Savings of avoided crimes'!$B$6:$I$20, 14, 'Savings and benefits to bearers'!$AH50*4)</f>
        <v>193.44230583228551</v>
      </c>
      <c r="BK50" s="646" t="str">
        <f>INDEX('Savings of avoided crimes'!$B$6:$I$20,14,'Savings and benefits to bearers'!$AH50*4-2)</f>
        <v>Society</v>
      </c>
      <c r="BL50" s="646">
        <f>INDEX('Savings of avoided crimes'!$B$6:$I$20, 15, 'Savings and benefits to bearers'!$AH50*4)</f>
        <v>329.98981583154591</v>
      </c>
      <c r="BM50" s="647" t="str">
        <f>INDEX('Savings of avoided crimes'!$B$6:$I$20,15,'Savings and benefits to bearers'!$AH50*4-2)</f>
        <v>Society</v>
      </c>
      <c r="BN50" s="648">
        <f>INDEX('Savings of avoided crimes'!$B$6:$I$37, 18, 'Savings and benefits to bearers'!$AH50*4)</f>
        <v>2344.0655883206368</v>
      </c>
      <c r="BO50" s="646" t="str">
        <f>INDEX('Savings of avoided crimes'!$B$6:$I$37,18,'Savings and benefits to bearers'!$AH50*4-2)</f>
        <v>Society</v>
      </c>
      <c r="BP50" s="646">
        <f>INDEX('Savings of avoided crimes'!$B$6:$I$37, 19, 'Savings and benefits to bearers'!$AH50*4)</f>
        <v>8158.7137224558064</v>
      </c>
      <c r="BQ50" s="646" t="str">
        <f>INDEX('Savings of avoided crimes'!$B$6:$I$37,19,'Savings and benefits to bearers'!$AH50*4-2)</f>
        <v>Society</v>
      </c>
      <c r="BR50" s="646">
        <f>INDEX('Savings of avoided crimes'!$B$6:$I$37, 20, 'Savings and benefits to bearers'!$AH50*4)</f>
        <v>238.95814249870563</v>
      </c>
      <c r="BS50" s="646" t="str">
        <f>INDEX('Savings of avoided crimes'!$B$6:$I$37,20,'Savings and benefits to bearers'!$AH50*4-2)</f>
        <v>Society</v>
      </c>
      <c r="BT50" s="646">
        <f>INDEX('Savings of avoided crimes'!$B$6:$I$37, 21, 'Savings and benefits to bearers'!$AH50*4)</f>
        <v>4597.0995033084309</v>
      </c>
      <c r="BU50" s="646" t="str">
        <f>INDEX('Savings of avoided crimes'!$B$6:$I$37,21,'Savings and benefits to bearers'!$AH50*4-2)</f>
        <v>Society</v>
      </c>
      <c r="BV50" s="646">
        <f>INDEX('Savings of avoided crimes'!$B$6:$I$37, 22, 'Savings and benefits to bearers'!$AH50*4)</f>
        <v>250.33710166531066</v>
      </c>
      <c r="BW50" s="646" t="str">
        <f>INDEX('Savings of avoided crimes'!$B$6:$I$37,22,'Savings and benefits to bearers'!$AH50*4-2)</f>
        <v>Society</v>
      </c>
      <c r="BX50" s="646">
        <f>INDEX('Savings of avoided crimes'!$B$6:$I$37, 23, 'Savings and benefits to bearers'!$AH50*4)</f>
        <v>1479.2646916586536</v>
      </c>
      <c r="BY50" s="646" t="str">
        <f>INDEX('Savings of avoided crimes'!$B$6:$I$37,23,'Savings and benefits to bearers'!$AH50*4-2)</f>
        <v>Society</v>
      </c>
      <c r="BZ50" s="646">
        <f>INDEX('Savings of avoided crimes'!$B$6:$I$37, 24, 'Savings and benefits to bearers'!$AH50*4)</f>
        <v>238.95814249870563</v>
      </c>
      <c r="CA50" s="647" t="str">
        <f>INDEX('Savings of avoided crimes'!$B$6:$I$37,24,'Savings and benefits to bearers'!$AH50*4-2)</f>
        <v>Society</v>
      </c>
      <c r="CB50" s="648" t="str">
        <f>INDEX('Savings of avoided crimes'!$B$6:$I$37, 27, 'Savings and benefits to bearers'!$AH50*4)</f>
        <v>0</v>
      </c>
      <c r="CC50" s="646" t="str">
        <f>INDEX('Savings of avoided crimes'!$B$6:$I$37,27,'Savings and benefits to bearers'!$AH50*4-2)</f>
        <v>Society</v>
      </c>
      <c r="CD50" s="646" t="str">
        <f>INDEX('Savings of avoided crimes'!$B$6:$I$37, 28, 'Savings and benefits to bearers'!$AH50*4)</f>
        <v>0</v>
      </c>
      <c r="CE50" s="646" t="str">
        <f>INDEX('Savings of avoided crimes'!$B$6:$I$37,28,'Savings and benefits to bearers'!$AH50*4-2)</f>
        <v>Society</v>
      </c>
      <c r="CF50" s="646" t="str">
        <f>INDEX('Savings of avoided crimes'!$B$6:$I$37, 29, 'Savings and benefits to bearers'!$AH50*4)</f>
        <v>0</v>
      </c>
      <c r="CG50" s="646" t="str">
        <f>INDEX('Savings of avoided crimes'!$B$6:$I$37,29,'Savings and benefits to bearers'!$AH50*4-2)</f>
        <v>Society</v>
      </c>
      <c r="CH50" s="646" t="str">
        <f>INDEX('Savings of avoided crimes'!$B$6:$I$37, 30, 'Savings and benefits to bearers'!$AH50*4)</f>
        <v>0</v>
      </c>
      <c r="CI50" s="646" t="str">
        <f>INDEX('Savings of avoided crimes'!$B$6:$I$37,30,'Savings and benefits to bearers'!$AH50*4-2)</f>
        <v>Society</v>
      </c>
      <c r="CJ50" s="646" t="str">
        <f>INDEX('Savings of avoided crimes'!$B$6:$I$37, 31, 'Savings and benefits to bearers'!$AH50*4)</f>
        <v>0</v>
      </c>
      <c r="CK50" s="646" t="str">
        <f>INDEX('Savings of avoided crimes'!$B$6:$I$37,31,'Savings and benefits to bearers'!$AH50*4-2)</f>
        <v>Society</v>
      </c>
      <c r="CL50" s="646" t="str">
        <f>INDEX('Savings of avoided crimes'!$B$6:$I$37, 32, 'Savings and benefits to bearers'!$AH50*4)</f>
        <v>0</v>
      </c>
      <c r="CM50" s="647" t="str">
        <f>INDEX('Savings of avoided crimes'!$B$6:$I$37,32,'Savings and benefits to bearers'!$AH50*4-2)</f>
        <v>Society</v>
      </c>
      <c r="CN50" s="114">
        <f>INDEX('Savings of avoided crimes'!$B$120:$I$129, 1, 'Savings and benefits to bearers'!$AH50*4)</f>
        <v>0</v>
      </c>
      <c r="CO50" s="114">
        <f>INDEX('Savings of avoided crimes'!$B$120:$I$129, 1, 'Savings and benefits to bearers'!$AH50*4-2)</f>
        <v>0</v>
      </c>
      <c r="CP50" s="114">
        <f>INDEX('Savings of avoided crimes'!$B$120:$I$129, 2, 'Savings and benefits to bearers'!$AH50*4)</f>
        <v>0</v>
      </c>
      <c r="CQ50" s="114">
        <f>INDEX('Savings of avoided crimes'!$B$120:$I$129, 2, 'Savings and benefits to bearers'!$AH50*4-2)</f>
        <v>0</v>
      </c>
      <c r="CR50" s="114">
        <f>INDEX('Savings of avoided crimes'!$B$120:$I$129, 3, 'Savings and benefits to bearers'!$AH50*4)</f>
        <v>0</v>
      </c>
      <c r="CS50" s="114">
        <f>INDEX('Savings of avoided crimes'!$B$120:$I$129, 3, 'Savings and benefits to bearers'!$AH50*4-2)</f>
        <v>0</v>
      </c>
      <c r="CT50" s="114">
        <f>INDEX('Savings of avoided crimes'!$B$120:$I$129, 4, 'Savings and benefits to bearers'!$AH50*4)</f>
        <v>0</v>
      </c>
      <c r="CU50" s="114">
        <f>INDEX('Savings of avoided crimes'!$B$120:$I$129, 4, 'Savings and benefits to bearers'!$AH50*4-2)</f>
        <v>0</v>
      </c>
      <c r="CV50" s="114">
        <f>INDEX('Savings of avoided crimes'!$B$120:$I$129, 5, 'Savings and benefits to bearers'!$AH50*4)</f>
        <v>0</v>
      </c>
      <c r="CW50" s="114">
        <f>INDEX('Savings of avoided crimes'!$B$120:$I$129, 5, 'Savings and benefits to bearers'!$AH50*4-2)</f>
        <v>0</v>
      </c>
      <c r="CX50" s="114">
        <f>INDEX('Savings of avoided crimes'!$B$120:$I$129, 6, 'Savings and benefits to bearers'!$AH50*4)</f>
        <v>0</v>
      </c>
      <c r="CY50" s="114">
        <f>INDEX('Savings of avoided crimes'!$B$120:$I$129, 6, 'Savings and benefits to bearers'!$AH50*4-2)</f>
        <v>0</v>
      </c>
      <c r="CZ50" s="114">
        <f>INDEX('Savings of avoided crimes'!$B$120:$I$129, 7, 'Savings and benefits to bearers'!$AH50*4)</f>
        <v>0</v>
      </c>
      <c r="DA50" s="114">
        <f>INDEX('Savings of avoided crimes'!$B$120:$I$129, 7, 'Savings and benefits to bearers'!$AH50*4-2)</f>
        <v>0</v>
      </c>
      <c r="DB50" s="114">
        <f>INDEX('Savings of avoided crimes'!$B$120:$I$129, 8, 'Savings and benefits to bearers'!$AH50*4)</f>
        <v>0</v>
      </c>
      <c r="DC50" s="114">
        <f>INDEX('Savings of avoided crimes'!$B$120:$I$129, 8, 'Savings and benefits to bearers'!$AH50*4-2)</f>
        <v>0</v>
      </c>
      <c r="DD50" s="114">
        <f>INDEX('Savings of avoided crimes'!$B$120:$I$129, 9, 'Savings and benefits to bearers'!$AH50*4)</f>
        <v>0</v>
      </c>
      <c r="DE50" s="114">
        <f>INDEX('Savings of avoided crimes'!$B$120:$I$129, 9, 'Savings and benefits to bearers'!$AH50*4-2)</f>
        <v>0</v>
      </c>
      <c r="DF50" s="114">
        <f>INDEX('Savings of avoided crimes'!$B$120:$I$129, 10, 'Savings and benefits to bearers'!$AH50*4)</f>
        <v>0</v>
      </c>
      <c r="DG50" s="114">
        <f>INDEX('Savings of avoided crimes'!$B$120:$I$129, 10, 'Savings and benefits to bearers'!$AH50*4-2)</f>
        <v>0</v>
      </c>
    </row>
    <row r="51" spans="1:111" hidden="1">
      <c r="A51" s="612">
        <f>IF((13-COUNTIF('Bearer list'!$E$4:$E$16,""))&gt;A50,A50+1,"")</f>
        <v>2</v>
      </c>
      <c r="B51" s="367">
        <v>2</v>
      </c>
      <c r="C51" s="604" t="str">
        <f>IF(A51&lt;&gt;"",INDEX('Bearer list'!$D$4:$D$16,A51),"")</f>
        <v>Society</v>
      </c>
      <c r="D51" s="634">
        <f>IF($A51&lt;&gt;"", IF(D$2&lt;=time,D21*(1+Economics!$B$4)^(D$2-$D$2)/((1+Economics!$B$3)^(D$2-$D$2)),""), "")</f>
        <v>0</v>
      </c>
      <c r="E51" s="605">
        <f>IF($A51&lt;&gt;"", IF(E$2&lt;=time,E21*(1+Economics!$B$4)^(E$2-$D$2)/((1+Economics!$B$3)^(E$2-$D$2)),""), "")</f>
        <v>0</v>
      </c>
      <c r="F51" s="605">
        <f>IF($A51&lt;&gt;"", IF(F$2&lt;=time,F21*(1+Economics!$B$4)^(F$2-$D$2)/((1+Economics!$B$3)^(F$2-$D$2)),""), "")</f>
        <v>0</v>
      </c>
      <c r="G51" s="605">
        <f>IF($A51&lt;&gt;"", IF(G$2&lt;=time,G21*(1+Economics!$B$4)^(G$2-$D$2)/((1+Economics!$B$3)^(G$2-$D$2)),""), "")</f>
        <v>0</v>
      </c>
      <c r="H51" s="605">
        <f>IF($A51&lt;&gt;"", IF(H$2&lt;=time,H21*(1+Economics!$B$4)^(H$2-$D$2)/((1+Economics!$B$3)^(H$2-$D$2)),""), "")</f>
        <v>0</v>
      </c>
      <c r="I51" s="605" t="str">
        <f>IF($A51&lt;&gt;"", IF(I$2&lt;=time,I21*(1+Economics!$B$4)^(I$2-$D$2)/((1+Economics!$B$3)^(I$2-$D$2)),""), "")</f>
        <v/>
      </c>
      <c r="J51" s="605" t="str">
        <f>IF($A51&lt;&gt;"", IF(J$2&lt;=time,J21*(1+Economics!$B$4)^(J$2-$D$2)/((1+Economics!$B$3)^(J$2-$D$2)),""), "")</f>
        <v/>
      </c>
      <c r="K51" s="605" t="str">
        <f>IF($A51&lt;&gt;"", IF(K$2&lt;=time,K21*(1+Economics!$B$4)^(K$2-$D$2)/((1+Economics!$B$3)^(K$2-$D$2)),""), "")</f>
        <v/>
      </c>
      <c r="L51" s="605" t="str">
        <f>IF($A51&lt;&gt;"", IF(L$2&lt;=time,L21*(1+Economics!$B$4)^(L$2-$D$2)/((1+Economics!$B$3)^(L$2-$D$2)),""), "")</f>
        <v/>
      </c>
      <c r="M51" s="605" t="str">
        <f>IF($A51&lt;&gt;"", IF(M$2&lt;=time,M21*(1+Economics!$B$4)^(M$2-$D$2)/((1+Economics!$B$3)^(M$2-$D$2)),""), "")</f>
        <v/>
      </c>
      <c r="N51" s="605" t="str">
        <f>IF($A51&lt;&gt;"", IF(N$2&lt;=time,N21*(1+Economics!$B$4)^(N$2-$D$2)/((1+Economics!$B$3)^(N$2-$D$2)),""), "")</f>
        <v/>
      </c>
      <c r="O51" s="605" t="str">
        <f>IF($A51&lt;&gt;"", IF(O$2&lt;=time,O21*(1+Economics!$B$4)^(O$2-$D$2)/((1+Economics!$B$3)^(O$2-$D$2)),""), "")</f>
        <v/>
      </c>
      <c r="P51" s="605" t="str">
        <f>IF($A51&lt;&gt;"", IF(P$2&lt;=time,P21*(1+Economics!$B$4)^(P$2-$D$2)/((1+Economics!$B$3)^(P$2-$D$2)),""), "")</f>
        <v/>
      </c>
      <c r="Q51" s="605" t="str">
        <f>IF($A51&lt;&gt;"", IF(Q$2&lt;=time,Q21*(1+Economics!$B$4)^(Q$2-$D$2)/((1+Economics!$B$3)^(Q$2-$D$2)),""), "")</f>
        <v/>
      </c>
      <c r="R51" s="605" t="str">
        <f>IF($A51&lt;&gt;"", IF(R$2&lt;=time,R21*(1+Economics!$B$4)^(R$2-$D$2)/((1+Economics!$B$3)^(R$2-$D$2)),""), "")</f>
        <v/>
      </c>
      <c r="S51" s="605" t="str">
        <f>IF($A51&lt;&gt;"", IF(S$2&lt;=time,S21*(1+Economics!$B$4)^(S$2-$D$2)/((1+Economics!$B$3)^(S$2-$D$2)),""), "")</f>
        <v/>
      </c>
      <c r="T51" s="605" t="str">
        <f>IF($A51&lt;&gt;"", IF(T$2&lt;=time,T21*(1+Economics!$B$4)^(T$2-$D$2)/((1+Economics!$B$3)^(T$2-$D$2)),""), "")</f>
        <v/>
      </c>
      <c r="U51" s="605" t="str">
        <f>IF($A51&lt;&gt;"", IF(U$2&lt;=time,U21*(1+Economics!$B$4)^(U$2-$D$2)/((1+Economics!$B$3)^(U$2-$D$2)),""), "")</f>
        <v/>
      </c>
      <c r="V51" s="605" t="str">
        <f>IF($A51&lt;&gt;"", IF(V$2&lt;=time,V21*(1+Economics!$B$4)^(V$2-$D$2)/((1+Economics!$B$3)^(V$2-$D$2)),""), "")</f>
        <v/>
      </c>
      <c r="W51" s="605" t="str">
        <f>IF($A51&lt;&gt;"", IF(W$2&lt;=time,W21*(1+Economics!$B$4)^(W$2-$D$2)/((1+Economics!$B$3)^(W$2-$D$2)),""), "")</f>
        <v/>
      </c>
      <c r="X51" s="605" t="str">
        <f>IF($A51&lt;&gt;"", IF(X$2&lt;=time,X21*(1+Economics!$B$4)^(X$2-$D$2)/((1+Economics!$B$3)^(X$2-$D$2)),""), "")</f>
        <v/>
      </c>
      <c r="Y51" s="605" t="str">
        <f>IF($A51&lt;&gt;"", IF(Y$2&lt;=time,Y21*(1+Economics!$B$4)^(Y$2-$D$2)/((1+Economics!$B$3)^(Y$2-$D$2)),""), "")</f>
        <v/>
      </c>
      <c r="Z51" s="605" t="str">
        <f>IF($A51&lt;&gt;"", IF(Z$2&lt;=time,Z21*(1+Economics!$B$4)^(Z$2-$D$2)/((1+Economics!$B$3)^(Z$2-$D$2)),""), "")</f>
        <v/>
      </c>
      <c r="AA51" s="605" t="str">
        <f>IF($A51&lt;&gt;"", IF(AA$2&lt;=time,AA21*(1+Economics!$B$4)^(AA$2-$D$2)/((1+Economics!$B$3)^(AA$2-$D$2)),""), "")</f>
        <v/>
      </c>
      <c r="AB51" s="605" t="str">
        <f>IF($A51&lt;&gt;"", IF(AB$2&lt;=time,AB21*(1+Economics!$B$4)^(AB$2-$D$2)/((1+Economics!$B$3)^(AB$2-$D$2)),""), "")</f>
        <v/>
      </c>
      <c r="AC51" s="606">
        <f t="array" ref="AC51">IF($A51&lt;&gt;"", (SUM( IF(ISERROR(D51:AB51),"", D51:AB51))), "")</f>
        <v>0</v>
      </c>
      <c r="AD51" s="371">
        <f t="shared" si="78"/>
        <v>0</v>
      </c>
      <c r="AH51" s="644">
        <v>2</v>
      </c>
      <c r="AI51" s="645" t="s">
        <v>289</v>
      </c>
      <c r="AJ51" s="646"/>
      <c r="AK51" s="646"/>
      <c r="AL51" s="646">
        <f>INDEX('Savings of avoided crimes'!$B$6:$I$20, 2, 'Savings and benefits to bearers'!$AH51*4)</f>
        <v>11.378959166605028</v>
      </c>
      <c r="AM51" s="646" t="str">
        <f>INDEX('Savings of avoided crimes'!$B$6:$I$20,2,'Savings and benefits to bearers'!$AH51*4-2)</f>
        <v>Society</v>
      </c>
      <c r="AN51" s="646">
        <f>INDEX('Savings of avoided crimes'!$B$6:$I$20, 3, 'Savings and benefits to bearers'!$AH51*4)</f>
        <v>11.378959166605028</v>
      </c>
      <c r="AO51" s="646" t="str">
        <f>INDEX('Savings of avoided crimes'!$B$6:$I$20,3,'Savings and benefits to bearers'!$AH51*4-2)</f>
        <v>Society</v>
      </c>
      <c r="AP51" s="646">
        <f>INDEX('Savings of avoided crimes'!$B$6:$I$20, 4, 'Savings and benefits to bearers'!$AH51*4)</f>
        <v>11.378959166605028</v>
      </c>
      <c r="AQ51" s="646" t="str">
        <f>INDEX('Savings of avoided crimes'!$B$6:$I$20,4,'Savings and benefits to bearers'!$AH51*4-2)</f>
        <v>Society</v>
      </c>
      <c r="AR51" s="646">
        <f>INDEX('Savings of avoided crimes'!$B$6:$I$20, 5, 'Savings and benefits to bearers'!$AH51*4)</f>
        <v>11.378959166605028</v>
      </c>
      <c r="AS51" s="646" t="str">
        <f>INDEX('Savings of avoided crimes'!$B$6:$I$20,5,'Savings and benefits to bearers'!$AH51*4-2)</f>
        <v>Society</v>
      </c>
      <c r="AT51" s="646">
        <f>INDEX('Savings of avoided crimes'!$B$6:$I$20, 6, 'Savings and benefits to bearers'!$AH51*4)</f>
        <v>11.378959166605028</v>
      </c>
      <c r="AU51" s="646" t="str">
        <f>INDEX('Savings of avoided crimes'!$B$6:$I$20,6,'Savings and benefits to bearers'!$AH51*4-2)</f>
        <v>Society</v>
      </c>
      <c r="AV51" s="646">
        <f>INDEX('Savings of avoided crimes'!$B$6:$I$20, 7, 'Savings and benefits to bearers'!$AH51*4)</f>
        <v>159.30542833247043</v>
      </c>
      <c r="AW51" s="646" t="str">
        <f>INDEX('Savings of avoided crimes'!$B$6:$I$20,7,'Savings and benefits to bearers'!$AH51*4-2)</f>
        <v>Society</v>
      </c>
      <c r="AX51" s="646">
        <f>INDEX('Savings of avoided crimes'!$B$6:$I$20, 8, 'Savings and benefits to bearers'!$AH51*4)</f>
        <v>443.77940749759614</v>
      </c>
      <c r="AY51" s="646" t="str">
        <f>INDEX('Savings of avoided crimes'!$B$6:$I$20,8,'Savings and benefits to bearers'!$AH51*4-2)</f>
        <v>Society</v>
      </c>
      <c r="AZ51" s="646">
        <f>INDEX('Savings of avoided crimes'!$B$6:$I$20, 9, 'Savings and benefits to bearers'!$AH51*4)</f>
        <v>819.28505999556216</v>
      </c>
      <c r="BA51" s="646" t="str">
        <f>INDEX('Savings of avoided crimes'!$B$6:$I$20,9,'Savings and benefits to bearers'!$AH51*4-2)</f>
        <v>Society</v>
      </c>
      <c r="BB51" s="646">
        <f>INDEX('Savings of avoided crimes'!$B$6:$I$20, 10, 'Savings and benefits to bearers'!$AH51*4)</f>
        <v>0</v>
      </c>
      <c r="BC51" s="646" t="str">
        <f>INDEX('Savings of avoided crimes'!$B$6:$I$20,10,'Savings and benefits to bearers'!$AH51*4-2)</f>
        <v>Society</v>
      </c>
      <c r="BD51" s="646">
        <f>INDEX('Savings of avoided crimes'!$B$6:$I$20, 11, 'Savings and benefits to bearers'!$AH51*4)</f>
        <v>0</v>
      </c>
      <c r="BE51" s="646" t="str">
        <f>INDEX('Savings of avoided crimes'!$B$6:$I$20,11,'Savings and benefits to bearers'!$AH51*4-2)</f>
        <v>Society</v>
      </c>
      <c r="BF51" s="646">
        <f>INDEX('Savings of avoided crimes'!$B$6:$I$20, 12, 'Savings and benefits to bearers'!$AH51*4)</f>
        <v>250.33710166531066</v>
      </c>
      <c r="BG51" s="646" t="str">
        <f>INDEX('Savings of avoided crimes'!$B$6:$I$20,12,'Savings and benefits to bearers'!$AH51*4-2)</f>
        <v>Society</v>
      </c>
      <c r="BH51" s="646">
        <f>INDEX('Savings of avoided crimes'!$B$6:$I$20, 13, 'Savings and benefits to bearers'!$AH51*4)</f>
        <v>45.515836666420114</v>
      </c>
      <c r="BI51" s="646" t="str">
        <f>INDEX('Savings of avoided crimes'!$B$6:$I$20,13,'Savings and benefits to bearers'!$AH51*4-2)</f>
        <v>Society</v>
      </c>
      <c r="BJ51" s="646">
        <f>INDEX('Savings of avoided crimes'!$B$6:$I$20, 14, 'Savings and benefits to bearers'!$AH51*4)</f>
        <v>56.89479583302515</v>
      </c>
      <c r="BK51" s="646" t="str">
        <f>INDEX('Savings of avoided crimes'!$B$6:$I$20,14,'Savings and benefits to bearers'!$AH51*4-2)</f>
        <v>Society</v>
      </c>
      <c r="BL51" s="646">
        <f>INDEX('Savings of avoided crimes'!$B$6:$I$20, 15, 'Savings and benefits to bearers'!$AH51*4)</f>
        <v>0</v>
      </c>
      <c r="BM51" s="647" t="str">
        <f>INDEX('Savings of avoided crimes'!$B$6:$I$20,15,'Savings and benefits to bearers'!$AH51*4-2)</f>
        <v>Society</v>
      </c>
      <c r="BN51" s="648">
        <f>INDEX('Savings of avoided crimes'!$B$6:$I$37, 18, 'Savings and benefits to bearers'!$AH51*4)</f>
        <v>273.0950199985208</v>
      </c>
      <c r="BO51" s="646" t="str">
        <f>INDEX('Savings of avoided crimes'!$B$6:$I$37,18,'Savings and benefits to bearers'!$AH51*4-2)</f>
        <v>Society</v>
      </c>
      <c r="BP51" s="646">
        <f>INDEX('Savings of avoided crimes'!$B$6:$I$37, 19, 'Savings and benefits to bearers'!$AH51*4)</f>
        <v>978.59048832803262</v>
      </c>
      <c r="BQ51" s="646" t="str">
        <f>INDEX('Savings of avoided crimes'!$B$6:$I$37,19,'Savings and benefits to bearers'!$AH51*4-2)</f>
        <v>Society</v>
      </c>
      <c r="BR51" s="646">
        <f>INDEX('Savings of avoided crimes'!$B$6:$I$37, 20, 'Savings and benefits to bearers'!$AH51*4)</f>
        <v>11.378959166605028</v>
      </c>
      <c r="BS51" s="646" t="str">
        <f>INDEX('Savings of avoided crimes'!$B$6:$I$37,20,'Savings and benefits to bearers'!$AH51*4-2)</f>
        <v>Society</v>
      </c>
      <c r="BT51" s="646">
        <f>INDEX('Savings of avoided crimes'!$B$6:$I$37, 21, 'Savings and benefits to bearers'!$AH51*4)</f>
        <v>2139.2443233217459</v>
      </c>
      <c r="BU51" s="646" t="str">
        <f>INDEX('Savings of avoided crimes'!$B$6:$I$37,21,'Savings and benefits to bearers'!$AH51*4-2)</f>
        <v>Society</v>
      </c>
      <c r="BV51" s="646">
        <f>INDEX('Savings of avoided crimes'!$B$6:$I$37, 22, 'Savings and benefits to bearers'!$AH51*4)</f>
        <v>22.757918333210057</v>
      </c>
      <c r="BW51" s="646" t="str">
        <f>INDEX('Savings of avoided crimes'!$B$6:$I$37,22,'Savings and benefits to bearers'!$AH51*4-2)</f>
        <v>Society</v>
      </c>
      <c r="BX51" s="646">
        <f>INDEX('Savings of avoided crimes'!$B$6:$I$37, 23, 'Savings and benefits to bearers'!$AH51*4)</f>
        <v>603.0848358300666</v>
      </c>
      <c r="BY51" s="646" t="str">
        <f>INDEX('Savings of avoided crimes'!$B$6:$I$37,23,'Savings and benefits to bearers'!$AH51*4-2)</f>
        <v>Society</v>
      </c>
      <c r="BZ51" s="646">
        <f>INDEX('Savings of avoided crimes'!$B$6:$I$37, 24, 'Savings and benefits to bearers'!$AH51*4)</f>
        <v>125.16855083265533</v>
      </c>
      <c r="CA51" s="647" t="str">
        <f>INDEX('Savings of avoided crimes'!$B$6:$I$37,24,'Savings and benefits to bearers'!$AH51*4-2)</f>
        <v>Society</v>
      </c>
      <c r="CB51" s="648" t="str">
        <f>INDEX('Savings of avoided crimes'!$B$6:$I$37, 27, 'Savings and benefits to bearers'!$AH51*4)</f>
        <v>0</v>
      </c>
      <c r="CC51" s="646" t="str">
        <f>INDEX('Savings of avoided crimes'!$B$6:$I$37,27,'Savings and benefits to bearers'!$AH51*4-2)</f>
        <v>Society</v>
      </c>
      <c r="CD51" s="646" t="str">
        <f>INDEX('Savings of avoided crimes'!$B$6:$I$37, 28, 'Savings and benefits to bearers'!$AH51*4)</f>
        <v>0</v>
      </c>
      <c r="CE51" s="646" t="str">
        <f>INDEX('Savings of avoided crimes'!$B$6:$I$37,28,'Savings and benefits to bearers'!$AH51*4-2)</f>
        <v>Society</v>
      </c>
      <c r="CF51" s="646" t="str">
        <f>INDEX('Savings of avoided crimes'!$B$6:$I$37, 29, 'Savings and benefits to bearers'!$AH51*4)</f>
        <v>0</v>
      </c>
      <c r="CG51" s="646" t="str">
        <f>INDEX('Savings of avoided crimes'!$B$6:$I$37,29,'Savings and benefits to bearers'!$AH51*4-2)</f>
        <v>Society</v>
      </c>
      <c r="CH51" s="646" t="str">
        <f>INDEX('Savings of avoided crimes'!$B$6:$I$37, 30, 'Savings and benefits to bearers'!$AH51*4)</f>
        <v>0</v>
      </c>
      <c r="CI51" s="646" t="str">
        <f>INDEX('Savings of avoided crimes'!$B$6:$I$37,30,'Savings and benefits to bearers'!$AH51*4-2)</f>
        <v>Society</v>
      </c>
      <c r="CJ51" s="646" t="str">
        <f>INDEX('Savings of avoided crimes'!$B$6:$I$37, 31, 'Savings and benefits to bearers'!$AH51*4)</f>
        <v>0</v>
      </c>
      <c r="CK51" s="646" t="str">
        <f>INDEX('Savings of avoided crimes'!$B$6:$I$37,31,'Savings and benefits to bearers'!$AH51*4-2)</f>
        <v>Society</v>
      </c>
      <c r="CL51" s="646" t="str">
        <f>INDEX('Savings of avoided crimes'!$B$6:$I$37, 32, 'Savings and benefits to bearers'!$AH51*4)</f>
        <v>0</v>
      </c>
      <c r="CM51" s="647" t="str">
        <f>INDEX('Savings of avoided crimes'!$B$6:$I$37,32,'Savings and benefits to bearers'!$AH51*4-2)</f>
        <v>Society</v>
      </c>
      <c r="CN51" s="114">
        <f>INDEX('Savings of avoided crimes'!$B$120:$I$129, 1, 'Savings and benefits to bearers'!$AH51*4)</f>
        <v>0</v>
      </c>
      <c r="CO51" s="114">
        <f>INDEX('Savings of avoided crimes'!$B$120:$I$129, 1, 'Savings and benefits to bearers'!$AH51*4-2)</f>
        <v>0</v>
      </c>
      <c r="CP51" s="114">
        <f>INDEX('Savings of avoided crimes'!$B$120:$I$129, 2, 'Savings and benefits to bearers'!$AH51*4)</f>
        <v>0</v>
      </c>
      <c r="CQ51" s="114">
        <f>INDEX('Savings of avoided crimes'!$B$120:$I$129, 2, 'Savings and benefits to bearers'!$AH51*4-2)</f>
        <v>0</v>
      </c>
      <c r="CR51" s="114">
        <f>INDEX('Savings of avoided crimes'!$B$120:$I$129, 3, 'Savings and benefits to bearers'!$AH51*4)</f>
        <v>0</v>
      </c>
      <c r="CS51" s="114">
        <f>INDEX('Savings of avoided crimes'!$B$120:$I$129, 3, 'Savings and benefits to bearers'!$AH51*4-2)</f>
        <v>0</v>
      </c>
      <c r="CT51" s="114">
        <f>INDEX('Savings of avoided crimes'!$B$120:$I$129, 4, 'Savings and benefits to bearers'!$AH51*4)</f>
        <v>0</v>
      </c>
      <c r="CU51" s="114">
        <f>INDEX('Savings of avoided crimes'!$B$120:$I$129, 4, 'Savings and benefits to bearers'!$AH51*4-2)</f>
        <v>0</v>
      </c>
      <c r="CV51" s="114">
        <f>INDEX('Savings of avoided crimes'!$B$120:$I$129, 5, 'Savings and benefits to bearers'!$AH51*4)</f>
        <v>0</v>
      </c>
      <c r="CW51" s="114">
        <f>INDEX('Savings of avoided crimes'!$B$120:$I$129, 5, 'Savings and benefits to bearers'!$AH51*4-2)</f>
        <v>0</v>
      </c>
      <c r="CX51" s="114">
        <f>INDEX('Savings of avoided crimes'!$B$120:$I$129, 6, 'Savings and benefits to bearers'!$AH51*4)</f>
        <v>0</v>
      </c>
      <c r="CY51" s="114">
        <f>INDEX('Savings of avoided crimes'!$B$120:$I$129, 6, 'Savings and benefits to bearers'!$AH51*4-2)</f>
        <v>0</v>
      </c>
      <c r="CZ51" s="114">
        <f>INDEX('Savings of avoided crimes'!$B$120:$I$129, 7, 'Savings and benefits to bearers'!$AH51*4)</f>
        <v>0</v>
      </c>
      <c r="DA51" s="114">
        <f>INDEX('Savings of avoided crimes'!$B$120:$I$129, 7, 'Savings and benefits to bearers'!$AH51*4-2)</f>
        <v>0</v>
      </c>
      <c r="DB51" s="114">
        <f>INDEX('Savings of avoided crimes'!$B$120:$I$129, 8, 'Savings and benefits to bearers'!$AH51*4)</f>
        <v>0</v>
      </c>
      <c r="DC51" s="114">
        <f>INDEX('Savings of avoided crimes'!$B$120:$I$129, 8, 'Savings and benefits to bearers'!$AH51*4-2)</f>
        <v>0</v>
      </c>
      <c r="DD51" s="114">
        <f>INDEX('Savings of avoided crimes'!$B$120:$I$129, 9, 'Savings and benefits to bearers'!$AH51*4)</f>
        <v>0</v>
      </c>
      <c r="DE51" s="114">
        <f>INDEX('Savings of avoided crimes'!$B$120:$I$129, 9, 'Savings and benefits to bearers'!$AH51*4-2)</f>
        <v>0</v>
      </c>
      <c r="DF51" s="114">
        <f>INDEX('Savings of avoided crimes'!$B$120:$I$129, 10, 'Savings and benefits to bearers'!$AH51*4)</f>
        <v>0</v>
      </c>
      <c r="DG51" s="114">
        <f>INDEX('Savings of avoided crimes'!$B$120:$I$129, 10, 'Savings and benefits to bearers'!$AH51*4-2)</f>
        <v>0</v>
      </c>
    </row>
    <row r="52" spans="1:111" hidden="1">
      <c r="A52" s="612">
        <f>IF((13-COUNTIF('Bearer list'!$E$4:$E$16,""))&gt;A51,A51+1,"")</f>
        <v>3</v>
      </c>
      <c r="B52" s="367">
        <v>3</v>
      </c>
      <c r="C52" s="604" t="str">
        <f>IF(A52&lt;&gt;"",INDEX('Bearer list'!$D$4:$D$16,A52),"")</f>
        <v>HealthSystem</v>
      </c>
      <c r="D52" s="634">
        <f>IF($A52&lt;&gt;"", IF(D$2&lt;=time,D22*(1+Economics!$B$4)^(D$2-$D$2)/((1+Economics!$B$3)^(D$2-$D$2)),""), "")</f>
        <v>0</v>
      </c>
      <c r="E52" s="605">
        <f>IF($A52&lt;&gt;"", IF(E$2&lt;=time,E22*(1+Economics!$B$4)^(E$2-$D$2)/((1+Economics!$B$3)^(E$2-$D$2)),""), "")</f>
        <v>0</v>
      </c>
      <c r="F52" s="605">
        <f>IF($A52&lt;&gt;"", IF(F$2&lt;=time,F22*(1+Economics!$B$4)^(F$2-$D$2)/((1+Economics!$B$3)^(F$2-$D$2)),""), "")</f>
        <v>0</v>
      </c>
      <c r="G52" s="605">
        <f>IF($A52&lt;&gt;"", IF(G$2&lt;=time,G22*(1+Economics!$B$4)^(G$2-$D$2)/((1+Economics!$B$3)^(G$2-$D$2)),""), "")</f>
        <v>0</v>
      </c>
      <c r="H52" s="605">
        <f>IF($A52&lt;&gt;"", IF(H$2&lt;=time,H22*(1+Economics!$B$4)^(H$2-$D$2)/((1+Economics!$B$3)^(H$2-$D$2)),""), "")</f>
        <v>0</v>
      </c>
      <c r="I52" s="605" t="str">
        <f>IF($A52&lt;&gt;"", IF(I$2&lt;=time,I22*(1+Economics!$B$4)^(I$2-$D$2)/((1+Economics!$B$3)^(I$2-$D$2)),""), "")</f>
        <v/>
      </c>
      <c r="J52" s="605" t="str">
        <f>IF($A52&lt;&gt;"", IF(J$2&lt;=time,J22*(1+Economics!$B$4)^(J$2-$D$2)/((1+Economics!$B$3)^(J$2-$D$2)),""), "")</f>
        <v/>
      </c>
      <c r="K52" s="605" t="str">
        <f>IF($A52&lt;&gt;"", IF(K$2&lt;=time,K22*(1+Economics!$B$4)^(K$2-$D$2)/((1+Economics!$B$3)^(K$2-$D$2)),""), "")</f>
        <v/>
      </c>
      <c r="L52" s="605" t="str">
        <f>IF($A52&lt;&gt;"", IF(L$2&lt;=time,L22*(1+Economics!$B$4)^(L$2-$D$2)/((1+Economics!$B$3)^(L$2-$D$2)),""), "")</f>
        <v/>
      </c>
      <c r="M52" s="605" t="str">
        <f>IF($A52&lt;&gt;"", IF(M$2&lt;=time,M22*(1+Economics!$B$4)^(M$2-$D$2)/((1+Economics!$B$3)^(M$2-$D$2)),""), "")</f>
        <v/>
      </c>
      <c r="N52" s="605" t="str">
        <f>IF($A52&lt;&gt;"", IF(N$2&lt;=time,N22*(1+Economics!$B$4)^(N$2-$D$2)/((1+Economics!$B$3)^(N$2-$D$2)),""), "")</f>
        <v/>
      </c>
      <c r="O52" s="605" t="str">
        <f>IF($A52&lt;&gt;"", IF(O$2&lt;=time,O22*(1+Economics!$B$4)^(O$2-$D$2)/((1+Economics!$B$3)^(O$2-$D$2)),""), "")</f>
        <v/>
      </c>
      <c r="P52" s="605" t="str">
        <f>IF($A52&lt;&gt;"", IF(P$2&lt;=time,P22*(1+Economics!$B$4)^(P$2-$D$2)/((1+Economics!$B$3)^(P$2-$D$2)),""), "")</f>
        <v/>
      </c>
      <c r="Q52" s="605" t="str">
        <f>IF($A52&lt;&gt;"", IF(Q$2&lt;=time,Q22*(1+Economics!$B$4)^(Q$2-$D$2)/((1+Economics!$B$3)^(Q$2-$D$2)),""), "")</f>
        <v/>
      </c>
      <c r="R52" s="605" t="str">
        <f>IF($A52&lt;&gt;"", IF(R$2&lt;=time,R22*(1+Economics!$B$4)^(R$2-$D$2)/((1+Economics!$B$3)^(R$2-$D$2)),""), "")</f>
        <v/>
      </c>
      <c r="S52" s="605" t="str">
        <f>IF($A52&lt;&gt;"", IF(S$2&lt;=time,S22*(1+Economics!$B$4)^(S$2-$D$2)/((1+Economics!$B$3)^(S$2-$D$2)),""), "")</f>
        <v/>
      </c>
      <c r="T52" s="605" t="str">
        <f>IF($A52&lt;&gt;"", IF(T$2&lt;=time,T22*(1+Economics!$B$4)^(T$2-$D$2)/((1+Economics!$B$3)^(T$2-$D$2)),""), "")</f>
        <v/>
      </c>
      <c r="U52" s="605" t="str">
        <f>IF($A52&lt;&gt;"", IF(U$2&lt;=time,U22*(1+Economics!$B$4)^(U$2-$D$2)/((1+Economics!$B$3)^(U$2-$D$2)),""), "")</f>
        <v/>
      </c>
      <c r="V52" s="605" t="str">
        <f>IF($A52&lt;&gt;"", IF(V$2&lt;=time,V22*(1+Economics!$B$4)^(V$2-$D$2)/((1+Economics!$B$3)^(V$2-$D$2)),""), "")</f>
        <v/>
      </c>
      <c r="W52" s="605" t="str">
        <f>IF($A52&lt;&gt;"", IF(W$2&lt;=time,W22*(1+Economics!$B$4)^(W$2-$D$2)/((1+Economics!$B$3)^(W$2-$D$2)),""), "")</f>
        <v/>
      </c>
      <c r="X52" s="605" t="str">
        <f>IF($A52&lt;&gt;"", IF(X$2&lt;=time,X22*(1+Economics!$B$4)^(X$2-$D$2)/((1+Economics!$B$3)^(X$2-$D$2)),""), "")</f>
        <v/>
      </c>
      <c r="Y52" s="605" t="str">
        <f>IF($A52&lt;&gt;"", IF(Y$2&lt;=time,Y22*(1+Economics!$B$4)^(Y$2-$D$2)/((1+Economics!$B$3)^(Y$2-$D$2)),""), "")</f>
        <v/>
      </c>
      <c r="Z52" s="605" t="str">
        <f>IF($A52&lt;&gt;"", IF(Z$2&lt;=time,Z22*(1+Economics!$B$4)^(Z$2-$D$2)/((1+Economics!$B$3)^(Z$2-$D$2)),""), "")</f>
        <v/>
      </c>
      <c r="AA52" s="605" t="str">
        <f>IF($A52&lt;&gt;"", IF(AA$2&lt;=time,AA22*(1+Economics!$B$4)^(AA$2-$D$2)/((1+Economics!$B$3)^(AA$2-$D$2)),""), "")</f>
        <v/>
      </c>
      <c r="AB52" s="605" t="str">
        <f>IF($A52&lt;&gt;"", IF(AB$2&lt;=time,AB22*(1+Economics!$B$4)^(AB$2-$D$2)/((1+Economics!$B$3)^(AB$2-$D$2)),""), "")</f>
        <v/>
      </c>
      <c r="AC52" s="606">
        <f t="array" ref="AC52">IF($A52&lt;&gt;"", (SUM( IF(ISERROR(D52:AB52),"", D52:AB52))), "")</f>
        <v>0</v>
      </c>
      <c r="AD52" s="371">
        <f t="shared" si="78"/>
        <v>0</v>
      </c>
      <c r="AH52" s="644">
        <v>1</v>
      </c>
      <c r="AI52" s="114" t="s">
        <v>562</v>
      </c>
      <c r="AJ52" s="646"/>
      <c r="AK52" s="646"/>
      <c r="AL52" s="646" t="str">
        <f>INDEX('Savings of avoided crimes'!$B$44:$U$75, 2, 'Savings and benefits to bearers'!$AH52*4)</f>
        <v>0</v>
      </c>
      <c r="AM52" s="646" t="str">
        <f>INDEX('Savings of avoided crimes'!$B$44:$U$75,2,'Savings and benefits to bearers'!$AH52*4-2)</f>
        <v>Society</v>
      </c>
      <c r="AN52" s="646" t="str">
        <f>INDEX('Savings of avoided crimes'!$B$44:$U$75, 3, 'Savings and benefits to bearers'!$AH52*4)</f>
        <v>0</v>
      </c>
      <c r="AO52" s="646" t="str">
        <f>INDEX('Savings of avoided crimes'!$B$44:$U$75,3,'Savings and benefits to bearers'!$AH52*4-2)</f>
        <v>Society</v>
      </c>
      <c r="AP52" s="646" t="str">
        <f>INDEX('Savings of avoided crimes'!$B$44:$U$75, 4, 'Savings and benefits to bearers'!$AH52*4)</f>
        <v>0</v>
      </c>
      <c r="AQ52" s="646" t="str">
        <f>INDEX('Savings of avoided crimes'!$B$44:$U$75,4,'Savings and benefits to bearers'!$AH52*4-2)</f>
        <v>Society</v>
      </c>
      <c r="AR52" s="646" t="str">
        <f>INDEX('Savings of avoided crimes'!$B$44:$U$75, 5, 'Savings and benefits to bearers'!$AH52*4)</f>
        <v>0</v>
      </c>
      <c r="AS52" s="646" t="str">
        <f>INDEX('Savings of avoided crimes'!$B$44:$U$75,5,'Savings and benefits to bearers'!$AH52*4-2)</f>
        <v>Society</v>
      </c>
      <c r="AT52" s="646" t="str">
        <f>INDEX('Savings of avoided crimes'!$B$44:$U$75, 6, 'Savings and benefits to bearers'!$AH52*4)</f>
        <v>0</v>
      </c>
      <c r="AU52" s="646" t="str">
        <f>INDEX('Savings of avoided crimes'!$B$44:$U$75,6,'Savings and benefits to bearers'!$AH52*4-2)</f>
        <v>Society</v>
      </c>
      <c r="AV52" s="646">
        <f>INDEX('Savings of avoided crimes'!$B$44:$U$75, 7, 'Savings and benefits to bearers'!$AH52*4)</f>
        <v>1172.0327941603184</v>
      </c>
      <c r="AW52" s="646" t="str">
        <f>INDEX('Savings of avoided crimes'!$B$44:$U$75,7,'Savings and benefits to bearers'!$AH52*4-2)</f>
        <v>Society</v>
      </c>
      <c r="AX52" s="646">
        <f>INDEX('Savings of avoided crimes'!$B$44:$U$75, 8, 'Savings and benefits to bearers'!$AH52*4)</f>
        <v>1593.0542833247043</v>
      </c>
      <c r="AY52" s="646" t="str">
        <f>INDEX('Savings of avoided crimes'!$B$44:$U$75,8,'Savings and benefits to bearers'!$AH52*4-2)</f>
        <v>Society</v>
      </c>
      <c r="AZ52" s="646">
        <f>INDEX('Savings of avoided crimes'!$B$44:$U$75, 9, 'Savings and benefits to bearers'!$AH52*4)</f>
        <v>4710.8890949744828</v>
      </c>
      <c r="BA52" s="646" t="str">
        <f>INDEX('Savings of avoided crimes'!$B$44:$U$75,9,'Savings and benefits to bearers'!$AH52*4-2)</f>
        <v>Society</v>
      </c>
      <c r="BB52" s="646">
        <f>INDEX('Savings of avoided crimes'!$B$44:$U$75, 10, 'Savings and benefits to bearers'!$AH52*4)</f>
        <v>398.26357083117608</v>
      </c>
      <c r="BC52" s="646" t="str">
        <f>INDEX('Savings of avoided crimes'!$B$44:$U$75,10,'Savings and benefits to bearers'!$AH52*4-2)</f>
        <v>Society</v>
      </c>
      <c r="BD52" s="646">
        <f>INDEX('Savings of avoided crimes'!$B$44:$U$75, 11, 'Savings and benefits to bearers'!$AH52*4)</f>
        <v>204.82126499889054</v>
      </c>
      <c r="BE52" s="646" t="str">
        <f>INDEX('Savings of avoided crimes'!$B$44:$U$75,11,'Savings and benefits to bearers'!$AH52*4-2)</f>
        <v>Society</v>
      </c>
      <c r="BF52" s="646">
        <f>INDEX('Savings of avoided crimes'!$B$44:$U$75, 12, 'Savings and benefits to bearers'!$AH52*4)</f>
        <v>1820.6334666568048</v>
      </c>
      <c r="BG52" s="646" t="str">
        <f>INDEX('Savings of avoided crimes'!$B$44:$U$75,12,'Savings and benefits to bearers'!$AH52*4-2)</f>
        <v>Society</v>
      </c>
      <c r="BH52" s="646">
        <f>INDEX('Savings of avoided crimes'!$B$44:$U$75, 13, 'Savings and benefits to bearers'!$AH52*4)</f>
        <v>375.50565249796603</v>
      </c>
      <c r="BI52" s="646" t="str">
        <f>INDEX('Savings of avoided crimes'!$B$44:$U$75,13,'Savings and benefits to bearers'!$AH52*4-2)</f>
        <v>Society</v>
      </c>
      <c r="BJ52" s="646">
        <f>INDEX('Savings of avoided crimes'!$B$44:$U$75, 14, 'Savings and benefits to bearers'!$AH52*4)</f>
        <v>568.94795833025159</v>
      </c>
      <c r="BK52" s="646" t="str">
        <f>INDEX('Savings of avoided crimes'!$B$44:$U$75,14,'Savings and benefits to bearers'!$AH52*4-2)</f>
        <v>Society</v>
      </c>
      <c r="BL52" s="646">
        <f>INDEX('Savings of avoided crimes'!$B$44:$U$75, 15, 'Savings and benefits to bearers'!$AH52*4)</f>
        <v>11.378959166605028</v>
      </c>
      <c r="BM52" s="647" t="str">
        <f>INDEX('Savings of avoided crimes'!$B$44:$U$75,15,'Savings and benefits to bearers'!$AH52*4-2)</f>
        <v>Society</v>
      </c>
      <c r="BN52" s="648">
        <f>INDEX('Savings of avoided crimes'!$B$44:$U$75, 18, 'Savings and benefits to bearers'!$AH52*4)</f>
        <v>1115.1379983272927</v>
      </c>
      <c r="BO52" s="646" t="str">
        <f>INDEX('Savings of avoided crimes'!$B$44:$U$75,18,'Savings and benefits to bearers'!$AH52*4-2)</f>
        <v>Society</v>
      </c>
      <c r="BP52" s="646">
        <f>INDEX('Savings of avoided crimes'!$B$44:$U$75, 19, 'Savings and benefits to bearers'!$AH52*4)</f>
        <v>4096.4252999778109</v>
      </c>
      <c r="BQ52" s="646" t="str">
        <f>INDEX('Savings of avoided crimes'!$B$44:$U$75,19,'Savings and benefits to bearers'!$AH52*4-2)</f>
        <v>Society</v>
      </c>
      <c r="BR52" s="646">
        <f>INDEX('Savings of avoided crimes'!$B$44:$U$75, 20, 'Savings and benefits to bearers'!$AH52*4)</f>
        <v>580.32691749685648</v>
      </c>
      <c r="BS52" s="646" t="str">
        <f>INDEX('Savings of avoided crimes'!$B$44:$U$75,20,'Savings and benefits to bearers'!$AH52*4-2)</f>
        <v>Society</v>
      </c>
      <c r="BT52" s="646">
        <f>INDEX('Savings of avoided crimes'!$B$44:$U$75, 21, 'Savings and benefits to bearers'!$AH52*4)</f>
        <v>28219.818733180473</v>
      </c>
      <c r="BU52" s="646" t="str">
        <f>INDEX('Savings of avoided crimes'!$B$44:$U$75,21,'Savings and benefits to bearers'!$AH52*4-2)</f>
        <v>Society</v>
      </c>
      <c r="BV52" s="646">
        <f>INDEX('Savings of avoided crimes'!$B$44:$U$75, 22, 'Savings and benefits to bearers'!$AH52*4)</f>
        <v>1456.5067733254436</v>
      </c>
      <c r="BW52" s="646" t="str">
        <f>INDEX('Savings of avoided crimes'!$B$44:$U$75,22,'Savings and benefits to bearers'!$AH52*4-2)</f>
        <v>Society</v>
      </c>
      <c r="BX52" s="646">
        <f>INDEX('Savings of avoided crimes'!$B$44:$U$75, 23, 'Savings and benefits to bearers'!$AH52*4)</f>
        <v>2537.5078941529218</v>
      </c>
      <c r="BY52" s="646" t="str">
        <f>INDEX('Savings of avoided crimes'!$B$44:$U$75,23,'Savings and benefits to bearers'!$AH52*4-2)</f>
        <v>Society</v>
      </c>
      <c r="BZ52" s="646">
        <f>INDEX('Savings of avoided crimes'!$B$44:$U$75, 24, 'Savings and benefits to bearers'!$AH52*4)</f>
        <v>523.43212166383148</v>
      </c>
      <c r="CA52" s="647" t="str">
        <f>INDEX('Savings of avoided crimes'!$B$44:$U$75,24,'Savings and benefits to bearers'!$AH52*4-2)</f>
        <v>Society</v>
      </c>
      <c r="CB52" s="648" t="str">
        <f>INDEX('Savings of avoided crimes'!$B$44:$U$75, 27, 'Savings and benefits to bearers'!$AH52*4)</f>
        <v>0</v>
      </c>
      <c r="CC52" s="646" t="str">
        <f>INDEX('Savings of avoided crimes'!$B$44:$U$75,27,'Savings and benefits to bearers'!$AH52*4-2)</f>
        <v>Society</v>
      </c>
      <c r="CD52" s="646" t="str">
        <f>INDEX('Savings of avoided crimes'!$B$44:$U$75, 28, 'Savings and benefits to bearers'!$AH52*4)</f>
        <v>0</v>
      </c>
      <c r="CE52" s="646" t="str">
        <f>INDEX('Savings of avoided crimes'!$B$44:$U$75,28,'Savings and benefits to bearers'!$AH52*4-2)</f>
        <v>Society</v>
      </c>
      <c r="CF52" s="646" t="str">
        <f>INDEX('Savings of avoided crimes'!$B$44:$U$75, 29, 'Savings and benefits to bearers'!$AH52*4)</f>
        <v>0</v>
      </c>
      <c r="CG52" s="646" t="str">
        <f>INDEX('Savings of avoided crimes'!$B$44:$U$75,29,'Savings and benefits to bearers'!$AH52*4-2)</f>
        <v>Society</v>
      </c>
      <c r="CH52" s="646" t="str">
        <f>INDEX('Savings of avoided crimes'!$B$44:$U$75, 30, 'Savings and benefits to bearers'!$AH52*4)</f>
        <v>0</v>
      </c>
      <c r="CI52" s="646" t="str">
        <f>INDEX('Savings of avoided crimes'!$B$44:$U$75,30,'Savings and benefits to bearers'!$AH52*4-2)</f>
        <v>Society</v>
      </c>
      <c r="CJ52" s="646" t="str">
        <f>INDEX('Savings of avoided crimes'!$B$44:$U$75, 31, 'Savings and benefits to bearers'!$AH52*4)</f>
        <v>0</v>
      </c>
      <c r="CK52" s="646" t="str">
        <f>INDEX('Savings of avoided crimes'!$B$44:$U$75,31,'Savings and benefits to bearers'!$AH52*4-2)</f>
        <v>Society</v>
      </c>
      <c r="CL52" s="646" t="str">
        <f>INDEX('Savings of avoided crimes'!$B$44:$U$75, 32, 'Savings and benefits to bearers'!$AH52*4)</f>
        <v>0</v>
      </c>
      <c r="CM52" s="647" t="str">
        <f>INDEX('Savings of avoided crimes'!$B$44:$U$75,32,'Savings and benefits to bearers'!$AH52*4-2)</f>
        <v>Society</v>
      </c>
      <c r="CN52" s="114">
        <f>INDEX('Savings of avoided crimes'!$B$134:$U$143, 1, 'Savings and benefits to bearers'!$AH52*4)</f>
        <v>0</v>
      </c>
      <c r="CO52" s="114">
        <f>INDEX('Savings of avoided crimes'!$B$134:$U$143, 1, 'Savings and benefits to bearers'!$AH52*4-2)</f>
        <v>0</v>
      </c>
      <c r="CP52" s="114">
        <f>INDEX('Savings of avoided crimes'!$B$134:$U$143, 2, 'Savings and benefits to bearers'!$AH52*4)</f>
        <v>0</v>
      </c>
      <c r="CQ52" s="114">
        <f>INDEX('Savings of avoided crimes'!$B$134:$U$143, 2, 'Savings and benefits to bearers'!$AH52*4-2)</f>
        <v>0</v>
      </c>
      <c r="CR52" s="114">
        <f>INDEX('Savings of avoided crimes'!$B$134:$U$143, 3, 'Savings and benefits to bearers'!$AH52*4)</f>
        <v>0</v>
      </c>
      <c r="CS52" s="114">
        <f>INDEX('Savings of avoided crimes'!$B$134:$U$143, 3, 'Savings and benefits to bearers'!$AH52*4-2)</f>
        <v>0</v>
      </c>
      <c r="CT52" s="114">
        <f>INDEX('Savings of avoided crimes'!$B$134:$U$143, 4, 'Savings and benefits to bearers'!$AH52*4)</f>
        <v>0</v>
      </c>
      <c r="CU52" s="114">
        <f>INDEX('Savings of avoided crimes'!$B$134:$U$143, 4, 'Savings and benefits to bearers'!$AH52*4-2)</f>
        <v>0</v>
      </c>
      <c r="CV52" s="114">
        <f>INDEX('Savings of avoided crimes'!$B$134:$U$143, 5, 'Savings and benefits to bearers'!$AH52*4)</f>
        <v>0</v>
      </c>
      <c r="CW52" s="114">
        <f>INDEX('Savings of avoided crimes'!$B$134:$U$143, 5, 'Savings and benefits to bearers'!$AH52*4-2)</f>
        <v>0</v>
      </c>
      <c r="CX52" s="114">
        <f>INDEX('Savings of avoided crimes'!$B$134:$U$143, 6, 'Savings and benefits to bearers'!$AH52*4)</f>
        <v>0</v>
      </c>
      <c r="CY52" s="114">
        <f>INDEX('Savings of avoided crimes'!$B$134:$U$143, 6, 'Savings and benefits to bearers'!$AH52*4-2)</f>
        <v>0</v>
      </c>
      <c r="CZ52" s="114">
        <f>INDEX('Savings of avoided crimes'!$B$134:$U$143, 7, 'Savings and benefits to bearers'!$AH52*4)</f>
        <v>0</v>
      </c>
      <c r="DA52" s="114">
        <f>INDEX('Savings of avoided crimes'!$B$134:$U$143, 7, 'Savings and benefits to bearers'!$AH52*4-2)</f>
        <v>0</v>
      </c>
      <c r="DB52" s="114">
        <f>INDEX('Savings of avoided crimes'!$B$134:$U$143, 8, 'Savings and benefits to bearers'!$AH52*4)</f>
        <v>0</v>
      </c>
      <c r="DC52" s="114">
        <f>INDEX('Savings of avoided crimes'!$B$134:$U$143, 8, 'Savings and benefits to bearers'!$AH52*4-2)</f>
        <v>0</v>
      </c>
      <c r="DD52" s="114">
        <f>INDEX('Savings of avoided crimes'!$B$134:$U$143, 9, 'Savings and benefits to bearers'!$AH52*4)</f>
        <v>0</v>
      </c>
      <c r="DE52" s="114">
        <f>INDEX('Savings of avoided crimes'!$B$134:$U$143, 9, 'Savings and benefits to bearers'!$AH52*4-2)</f>
        <v>0</v>
      </c>
      <c r="DF52" s="114">
        <f>INDEX('Savings of avoided crimes'!$B$134:$U$143, 10, 'Savings and benefits to bearers'!$AH52*4)</f>
        <v>0</v>
      </c>
      <c r="DG52" s="114">
        <f>INDEX('Savings of avoided crimes'!$B$134:$U$143, 10, 'Savings and benefits to bearers'!$AH52*4-2)</f>
        <v>0</v>
      </c>
    </row>
    <row r="53" spans="1:111" hidden="1">
      <c r="A53" s="612">
        <f>IF((13-COUNTIF('Bearer list'!$E$4:$E$16,""))&gt;A52,A52+1,"")</f>
        <v>4</v>
      </c>
      <c r="B53" s="367">
        <v>4</v>
      </c>
      <c r="C53" s="604" t="str">
        <f>IF(A53&lt;&gt;"",INDEX('Bearer list'!$D$4:$D$16,A53),"")</f>
        <v>Victim</v>
      </c>
      <c r="D53" s="634">
        <f>IF($A53&lt;&gt;"", IF(D$2&lt;=time,D23*(1+Economics!$B$4)^(D$2-$D$2)/((1+Economics!$B$3)^(D$2-$D$2)),""), "")</f>
        <v>0</v>
      </c>
      <c r="E53" s="605">
        <f>IF($A53&lt;&gt;"", IF(E$2&lt;=time,E23*(1+Economics!$B$4)^(E$2-$D$2)/((1+Economics!$B$3)^(E$2-$D$2)),""), "")</f>
        <v>0</v>
      </c>
      <c r="F53" s="605">
        <f>IF($A53&lt;&gt;"", IF(F$2&lt;=time,F23*(1+Economics!$B$4)^(F$2-$D$2)/((1+Economics!$B$3)^(F$2-$D$2)),""), "")</f>
        <v>0</v>
      </c>
      <c r="G53" s="605">
        <f>IF($A53&lt;&gt;"", IF(G$2&lt;=time,G23*(1+Economics!$B$4)^(G$2-$D$2)/((1+Economics!$B$3)^(G$2-$D$2)),""), "")</f>
        <v>0</v>
      </c>
      <c r="H53" s="605">
        <f>IF($A53&lt;&gt;"", IF(H$2&lt;=time,H23*(1+Economics!$B$4)^(H$2-$D$2)/((1+Economics!$B$3)^(H$2-$D$2)),""), "")</f>
        <v>0</v>
      </c>
      <c r="I53" s="605" t="str">
        <f>IF($A53&lt;&gt;"", IF(I$2&lt;=time,I23*(1+Economics!$B$4)^(I$2-$D$2)/((1+Economics!$B$3)^(I$2-$D$2)),""), "")</f>
        <v/>
      </c>
      <c r="J53" s="605" t="str">
        <f>IF($A53&lt;&gt;"", IF(J$2&lt;=time,J23*(1+Economics!$B$4)^(J$2-$D$2)/((1+Economics!$B$3)^(J$2-$D$2)),""), "")</f>
        <v/>
      </c>
      <c r="K53" s="605" t="str">
        <f>IF($A53&lt;&gt;"", IF(K$2&lt;=time,K23*(1+Economics!$B$4)^(K$2-$D$2)/((1+Economics!$B$3)^(K$2-$D$2)),""), "")</f>
        <v/>
      </c>
      <c r="L53" s="605" t="str">
        <f>IF($A53&lt;&gt;"", IF(L$2&lt;=time,L23*(1+Economics!$B$4)^(L$2-$D$2)/((1+Economics!$B$3)^(L$2-$D$2)),""), "")</f>
        <v/>
      </c>
      <c r="M53" s="605" t="str">
        <f>IF($A53&lt;&gt;"", IF(M$2&lt;=time,M23*(1+Economics!$B$4)^(M$2-$D$2)/((1+Economics!$B$3)^(M$2-$D$2)),""), "")</f>
        <v/>
      </c>
      <c r="N53" s="605" t="str">
        <f>IF($A53&lt;&gt;"", IF(N$2&lt;=time,N23*(1+Economics!$B$4)^(N$2-$D$2)/((1+Economics!$B$3)^(N$2-$D$2)),""), "")</f>
        <v/>
      </c>
      <c r="O53" s="605" t="str">
        <f>IF($A53&lt;&gt;"", IF(O$2&lt;=time,O23*(1+Economics!$B$4)^(O$2-$D$2)/((1+Economics!$B$3)^(O$2-$D$2)),""), "")</f>
        <v/>
      </c>
      <c r="P53" s="605" t="str">
        <f>IF($A53&lt;&gt;"", IF(P$2&lt;=time,P23*(1+Economics!$B$4)^(P$2-$D$2)/((1+Economics!$B$3)^(P$2-$D$2)),""), "")</f>
        <v/>
      </c>
      <c r="Q53" s="605" t="str">
        <f>IF($A53&lt;&gt;"", IF(Q$2&lt;=time,Q23*(1+Economics!$B$4)^(Q$2-$D$2)/((1+Economics!$B$3)^(Q$2-$D$2)),""), "")</f>
        <v/>
      </c>
      <c r="R53" s="605" t="str">
        <f>IF($A53&lt;&gt;"", IF(R$2&lt;=time,R23*(1+Economics!$B$4)^(R$2-$D$2)/((1+Economics!$B$3)^(R$2-$D$2)),""), "")</f>
        <v/>
      </c>
      <c r="S53" s="605" t="str">
        <f>IF($A53&lt;&gt;"", IF(S$2&lt;=time,S23*(1+Economics!$B$4)^(S$2-$D$2)/((1+Economics!$B$3)^(S$2-$D$2)),""), "")</f>
        <v/>
      </c>
      <c r="T53" s="605" t="str">
        <f>IF($A53&lt;&gt;"", IF(T$2&lt;=time,T23*(1+Economics!$B$4)^(T$2-$D$2)/((1+Economics!$B$3)^(T$2-$D$2)),""), "")</f>
        <v/>
      </c>
      <c r="U53" s="605" t="str">
        <f>IF($A53&lt;&gt;"", IF(U$2&lt;=time,U23*(1+Economics!$B$4)^(U$2-$D$2)/((1+Economics!$B$3)^(U$2-$D$2)),""), "")</f>
        <v/>
      </c>
      <c r="V53" s="605" t="str">
        <f>IF($A53&lt;&gt;"", IF(V$2&lt;=time,V23*(1+Economics!$B$4)^(V$2-$D$2)/((1+Economics!$B$3)^(V$2-$D$2)),""), "")</f>
        <v/>
      </c>
      <c r="W53" s="605" t="str">
        <f>IF($A53&lt;&gt;"", IF(W$2&lt;=time,W23*(1+Economics!$B$4)^(W$2-$D$2)/((1+Economics!$B$3)^(W$2-$D$2)),""), "")</f>
        <v/>
      </c>
      <c r="X53" s="605" t="str">
        <f>IF($A53&lt;&gt;"", IF(X$2&lt;=time,X23*(1+Economics!$B$4)^(X$2-$D$2)/((1+Economics!$B$3)^(X$2-$D$2)),""), "")</f>
        <v/>
      </c>
      <c r="Y53" s="605" t="str">
        <f>IF($A53&lt;&gt;"", IF(Y$2&lt;=time,Y23*(1+Economics!$B$4)^(Y$2-$D$2)/((1+Economics!$B$3)^(Y$2-$D$2)),""), "")</f>
        <v/>
      </c>
      <c r="Z53" s="605" t="str">
        <f>IF($A53&lt;&gt;"", IF(Z$2&lt;=time,Z23*(1+Economics!$B$4)^(Z$2-$D$2)/((1+Economics!$B$3)^(Z$2-$D$2)),""), "")</f>
        <v/>
      </c>
      <c r="AA53" s="605" t="str">
        <f>IF($A53&lt;&gt;"", IF(AA$2&lt;=time,AA23*(1+Economics!$B$4)^(AA$2-$D$2)/((1+Economics!$B$3)^(AA$2-$D$2)),""), "")</f>
        <v/>
      </c>
      <c r="AB53" s="605" t="str">
        <f>IF($A53&lt;&gt;"", IF(AB$2&lt;=time,AB23*(1+Economics!$B$4)^(AB$2-$D$2)/((1+Economics!$B$3)^(AB$2-$D$2)),""), "")</f>
        <v/>
      </c>
      <c r="AC53" s="606">
        <f t="array" ref="AC53">IF($A53&lt;&gt;"", (SUM( IF(ISERROR(D53:AB53),"", D53:AB53))), "")</f>
        <v>0</v>
      </c>
      <c r="AD53" s="371">
        <f t="shared" si="78"/>
        <v>0</v>
      </c>
      <c r="AH53" s="644">
        <v>2</v>
      </c>
      <c r="AI53" s="113" t="s">
        <v>564</v>
      </c>
      <c r="AJ53" s="646"/>
      <c r="AK53" s="646"/>
      <c r="AL53" s="646">
        <f>INDEX('Savings of avoided crimes'!$B$44:$U$75, 2, 'Savings and benefits to bearers'!$AH53*4)</f>
        <v>2369588.5937313312</v>
      </c>
      <c r="AM53" s="646" t="str">
        <f>INDEX('Savings of avoided crimes'!$B$44:$U$75,2,'Savings and benefits to bearers'!$AH53*4-2)</f>
        <v>Society</v>
      </c>
      <c r="AN53" s="646">
        <f>INDEX('Savings of avoided crimes'!$B$44:$U$75, 3, 'Savings and benefits to bearers'!$AH53*4)</f>
        <v>9376.2623532825473</v>
      </c>
      <c r="AO53" s="646" t="str">
        <f>INDEX('Savings of avoided crimes'!$B$44:$U$75,3,'Savings and benefits to bearers'!$AH53*4-2)</f>
        <v>Society</v>
      </c>
      <c r="AP53" s="646">
        <f>INDEX('Savings of avoided crimes'!$B$44:$U$75, 4, 'Savings and benefits to bearers'!$AH53*4)</f>
        <v>3197.4875258160132</v>
      </c>
      <c r="AQ53" s="646" t="str">
        <f>INDEX('Savings of avoided crimes'!$B$44:$U$75,4,'Savings and benefits to bearers'!$AH53*4-2)</f>
        <v>Society</v>
      </c>
      <c r="AR53" s="646">
        <f>INDEX('Savings of avoided crimes'!$B$44:$U$75, 5, 'Savings and benefits to bearers'!$AH53*4)</f>
        <v>27753.281407349667</v>
      </c>
      <c r="AS53" s="646" t="str">
        <f>INDEX('Savings of avoided crimes'!$B$44:$U$75,5,'Savings and benefits to bearers'!$AH53*4-2)</f>
        <v>Society</v>
      </c>
      <c r="AT53" s="646">
        <f>INDEX('Savings of avoided crimes'!$B$44:$U$75, 6, 'Savings and benefits to bearers'!$AH53*4)</f>
        <v>4210.2148916438618</v>
      </c>
      <c r="AU53" s="646" t="str">
        <f>INDEX('Savings of avoided crimes'!$B$44:$U$75,6,'Savings and benefits to bearers'!$AH53*4-2)</f>
        <v>Society</v>
      </c>
      <c r="AV53" s="646">
        <f>INDEX('Savings of avoided crimes'!$B$44:$U$75, 7, 'Savings and benefits to bearers'!$AH53*4)</f>
        <v>4085.0463408112055</v>
      </c>
      <c r="AW53" s="646" t="str">
        <f>INDEX('Savings of avoided crimes'!$B$44:$U$75,7,'Savings and benefits to bearers'!$AH53*4-2)</f>
        <v>Society</v>
      </c>
      <c r="AX53" s="646">
        <f>INDEX('Savings of avoided crimes'!$B$44:$U$75, 8, 'Savings and benefits to bearers'!$AH53*4)</f>
        <v>1354.0961408259989</v>
      </c>
      <c r="AY53" s="646" t="str">
        <f>INDEX('Savings of avoided crimes'!$B$44:$U$75,8,'Savings and benefits to bearers'!$AH53*4-2)</f>
        <v>Society</v>
      </c>
      <c r="AZ53" s="646">
        <f>INDEX('Savings of avoided crimes'!$B$44:$U$75, 9, 'Savings and benefits to bearers'!$AH53*4)</f>
        <v>307.23189749833585</v>
      </c>
      <c r="BA53" s="646" t="str">
        <f>INDEX('Savings of avoided crimes'!$B$44:$U$75,9,'Savings and benefits to bearers'!$AH53*4-2)</f>
        <v>Society</v>
      </c>
      <c r="BB53" s="646">
        <f>INDEX('Savings of avoided crimes'!$B$44:$U$75, 10, 'Savings and benefits to bearers'!$AH53*4)</f>
        <v>159.30542833247043</v>
      </c>
      <c r="BC53" s="646" t="str">
        <f>INDEX('Savings of avoided crimes'!$B$44:$U$75,10,'Savings and benefits to bearers'!$AH53*4-2)</f>
        <v>Society</v>
      </c>
      <c r="BD53" s="646">
        <f>INDEX('Savings of avoided crimes'!$B$44:$U$75, 11, 'Savings and benefits to bearers'!$AH53*4)</f>
        <v>466.5373258308062</v>
      </c>
      <c r="BE53" s="646" t="str">
        <f>INDEX('Savings of avoided crimes'!$B$44:$U$75,11,'Savings and benefits to bearers'!$AH53*4-2)</f>
        <v>Society</v>
      </c>
      <c r="BF53" s="646">
        <f>INDEX('Savings of avoided crimes'!$B$44:$U$75, 12, 'Savings and benefits to bearers'!$AH53*4)</f>
        <v>1115.1379983272927</v>
      </c>
      <c r="BG53" s="646" t="str">
        <f>INDEX('Savings of avoided crimes'!$B$44:$U$75,12,'Savings and benefits to bearers'!$AH53*4-2)</f>
        <v>Society</v>
      </c>
      <c r="BH53" s="646">
        <f>INDEX('Savings of avoided crimes'!$B$44:$U$75, 13, 'Savings and benefits to bearers'!$AH53*4)</f>
        <v>307.23189749833585</v>
      </c>
      <c r="BI53" s="646" t="str">
        <f>INDEX('Savings of avoided crimes'!$B$44:$U$75,13,'Savings and benefits to bearers'!$AH53*4-2)</f>
        <v>Society</v>
      </c>
      <c r="BJ53" s="646">
        <f>INDEX('Savings of avoided crimes'!$B$44:$U$75, 14, 'Savings and benefits to bearers'!$AH53*4)</f>
        <v>227.5791833321006</v>
      </c>
      <c r="BK53" s="646" t="str">
        <f>INDEX('Savings of avoided crimes'!$B$44:$U$75,14,'Savings and benefits to bearers'!$AH53*4-2)</f>
        <v>Society</v>
      </c>
      <c r="BL53" s="646">
        <f>INDEX('Savings of avoided crimes'!$B$44:$U$75, 15, 'Savings and benefits to bearers'!$AH53*4)</f>
        <v>170.68438749907546</v>
      </c>
      <c r="BM53" s="647" t="str">
        <f>INDEX('Savings of avoided crimes'!$B$44:$U$75,15,'Savings and benefits to bearers'!$AH53*4-2)</f>
        <v>Society</v>
      </c>
      <c r="BN53" s="648">
        <f>INDEX('Savings of avoided crimes'!$B$44:$U$75, 18, 'Savings and benefits to bearers'!$AH53*4)</f>
        <v>4745.0259724742973</v>
      </c>
      <c r="BO53" s="646" t="str">
        <f>INDEX('Savings of avoided crimes'!$B$44:$U$75,18,'Savings and benefits to bearers'!$AH53*4-2)</f>
        <v>Society</v>
      </c>
      <c r="BP53" s="646">
        <f>INDEX('Savings of avoided crimes'!$B$44:$U$75, 19, 'Savings and benefits to bearers'!$AH53*4)</f>
        <v>580.32691749685648</v>
      </c>
      <c r="BQ53" s="646" t="str">
        <f>INDEX('Savings of avoided crimes'!$B$44:$U$75,19,'Savings and benefits to bearers'!$AH53*4-2)</f>
        <v>Society</v>
      </c>
      <c r="BR53" s="646">
        <f>INDEX('Savings of avoided crimes'!$B$44:$U$75, 20, 'Savings and benefits to bearers'!$AH53*4)</f>
        <v>0</v>
      </c>
      <c r="BS53" s="646" t="str">
        <f>INDEX('Savings of avoided crimes'!$B$44:$U$75,20,'Savings and benefits to bearers'!$AH53*4-2)</f>
        <v>Society</v>
      </c>
      <c r="BT53" s="646">
        <f>INDEX('Savings of avoided crimes'!$B$44:$U$75, 21, 'Savings and benefits to bearers'!$AH53*4)</f>
        <v>409.64252999778108</v>
      </c>
      <c r="BU53" s="646" t="str">
        <f>INDEX('Savings of avoided crimes'!$B$44:$U$75,21,'Savings and benefits to bearers'!$AH53*4-2)</f>
        <v>Society</v>
      </c>
      <c r="BV53" s="646">
        <f>INDEX('Savings of avoided crimes'!$B$44:$U$75, 22, 'Savings and benefits to bearers'!$AH53*4)</f>
        <v>113.7895916660503</v>
      </c>
      <c r="BW53" s="646" t="str">
        <f>INDEX('Savings of avoided crimes'!$B$44:$U$75,22,'Savings and benefits to bearers'!$AH53*4-2)</f>
        <v>Society</v>
      </c>
      <c r="BX53" s="646">
        <f>INDEX('Savings of avoided crimes'!$B$44:$U$75, 23, 'Savings and benefits to bearers'!$AH53*4)</f>
        <v>1149.2748758271077</v>
      </c>
      <c r="BY53" s="646" t="str">
        <f>INDEX('Savings of avoided crimes'!$B$44:$U$75,23,'Savings and benefits to bearers'!$AH53*4-2)</f>
        <v>Society</v>
      </c>
      <c r="BZ53" s="646">
        <f>INDEX('Savings of avoided crimes'!$B$44:$U$75, 24, 'Savings and benefits to bearers'!$AH53*4)</f>
        <v>68.273754999630199</v>
      </c>
      <c r="CA53" s="647" t="str">
        <f>INDEX('Savings of avoided crimes'!$B$44:$U$75,24,'Savings and benefits to bearers'!$AH53*4-2)</f>
        <v>Society</v>
      </c>
      <c r="CB53" s="648" t="str">
        <f>INDEX('Savings of avoided crimes'!$B$44:$U$75, 27, 'Savings and benefits to bearers'!$AH53*4)</f>
        <v>0</v>
      </c>
      <c r="CC53" s="646" t="str">
        <f>INDEX('Savings of avoided crimes'!$B$44:$U$75,27,'Savings and benefits to bearers'!$AH53*4-2)</f>
        <v>Society</v>
      </c>
      <c r="CD53" s="646" t="str">
        <f>INDEX('Savings of avoided crimes'!$B$44:$U$75, 28, 'Savings and benefits to bearers'!$AH53*4)</f>
        <v>0</v>
      </c>
      <c r="CE53" s="646" t="str">
        <f>INDEX('Savings of avoided crimes'!$B$44:$U$75,28,'Savings and benefits to bearers'!$AH53*4-2)</f>
        <v>Society</v>
      </c>
      <c r="CF53" s="646" t="str">
        <f>INDEX('Savings of avoided crimes'!$B$44:$U$75, 29, 'Savings and benefits to bearers'!$AH53*4)</f>
        <v>0</v>
      </c>
      <c r="CG53" s="646" t="str">
        <f>INDEX('Savings of avoided crimes'!$B$44:$U$75,29,'Savings and benefits to bearers'!$AH53*4-2)</f>
        <v>Society</v>
      </c>
      <c r="CH53" s="646" t="str">
        <f>INDEX('Savings of avoided crimes'!$B$44:$U$75, 30, 'Savings and benefits to bearers'!$AH53*4)</f>
        <v>0</v>
      </c>
      <c r="CI53" s="646" t="str">
        <f>INDEX('Savings of avoided crimes'!$B$44:$U$75,30,'Savings and benefits to bearers'!$AH53*4-2)</f>
        <v>Society</v>
      </c>
      <c r="CJ53" s="646" t="str">
        <f>INDEX('Savings of avoided crimes'!$B$44:$U$75, 31, 'Savings and benefits to bearers'!$AH53*4)</f>
        <v>0</v>
      </c>
      <c r="CK53" s="646" t="str">
        <f>INDEX('Savings of avoided crimes'!$B$44:$U$75,31,'Savings and benefits to bearers'!$AH53*4-2)</f>
        <v>Society</v>
      </c>
      <c r="CL53" s="646" t="str">
        <f>INDEX('Savings of avoided crimes'!$B$44:$U$75, 32, 'Savings and benefits to bearers'!$AH53*4)</f>
        <v>0</v>
      </c>
      <c r="CM53" s="647" t="str">
        <f>INDEX('Savings of avoided crimes'!$B$44:$U$75,32,'Savings and benefits to bearers'!$AH53*4-2)</f>
        <v>Society</v>
      </c>
      <c r="CN53" s="114">
        <f>INDEX('Savings of avoided crimes'!$B$134:$U$143, 1, 'Savings and benefits to bearers'!$AH53*4)</f>
        <v>0</v>
      </c>
      <c r="CO53" s="114">
        <f>INDEX('Savings of avoided crimes'!$B$134:$U$143, 1, 'Savings and benefits to bearers'!$AH53*4-2)</f>
        <v>0</v>
      </c>
      <c r="CP53" s="114">
        <f>INDEX('Savings of avoided crimes'!$B$134:$U$143, 2, 'Savings and benefits to bearers'!$AH53*4)</f>
        <v>0</v>
      </c>
      <c r="CQ53" s="114">
        <f>INDEX('Savings of avoided crimes'!$B$134:$U$143, 2, 'Savings and benefits to bearers'!$AH53*4-2)</f>
        <v>0</v>
      </c>
      <c r="CR53" s="114">
        <f>INDEX('Savings of avoided crimes'!$B$134:$U$143, 3, 'Savings and benefits to bearers'!$AH53*4)</f>
        <v>0</v>
      </c>
      <c r="CS53" s="114">
        <f>INDEX('Savings of avoided crimes'!$B$134:$U$143, 3, 'Savings and benefits to bearers'!$AH53*4-2)</f>
        <v>0</v>
      </c>
      <c r="CT53" s="114">
        <f>INDEX('Savings of avoided crimes'!$B$134:$U$143, 4, 'Savings and benefits to bearers'!$AH53*4)</f>
        <v>0</v>
      </c>
      <c r="CU53" s="114">
        <f>INDEX('Savings of avoided crimes'!$B$134:$U$143, 4, 'Savings and benefits to bearers'!$AH53*4-2)</f>
        <v>0</v>
      </c>
      <c r="CV53" s="114">
        <f>INDEX('Savings of avoided crimes'!$B$134:$U$143, 5, 'Savings and benefits to bearers'!$AH53*4)</f>
        <v>0</v>
      </c>
      <c r="CW53" s="114">
        <f>INDEX('Savings of avoided crimes'!$B$134:$U$143, 5, 'Savings and benefits to bearers'!$AH53*4-2)</f>
        <v>0</v>
      </c>
      <c r="CX53" s="114">
        <f>INDEX('Savings of avoided crimes'!$B$134:$U$143, 6, 'Savings and benefits to bearers'!$AH53*4)</f>
        <v>0</v>
      </c>
      <c r="CY53" s="114">
        <f>INDEX('Savings of avoided crimes'!$B$134:$U$143, 6, 'Savings and benefits to bearers'!$AH53*4-2)</f>
        <v>0</v>
      </c>
      <c r="CZ53" s="114">
        <f>INDEX('Savings of avoided crimes'!$B$134:$U$143, 7, 'Savings and benefits to bearers'!$AH53*4)</f>
        <v>0</v>
      </c>
      <c r="DA53" s="114">
        <f>INDEX('Savings of avoided crimes'!$B$134:$U$143, 7, 'Savings and benefits to bearers'!$AH53*4-2)</f>
        <v>0</v>
      </c>
      <c r="DB53" s="114">
        <f>INDEX('Savings of avoided crimes'!$B$134:$U$143, 8, 'Savings and benefits to bearers'!$AH53*4)</f>
        <v>0</v>
      </c>
      <c r="DC53" s="114">
        <f>INDEX('Savings of avoided crimes'!$B$134:$U$143, 8, 'Savings and benefits to bearers'!$AH53*4-2)</f>
        <v>0</v>
      </c>
      <c r="DD53" s="114">
        <f>INDEX('Savings of avoided crimes'!$B$134:$U$143, 9, 'Savings and benefits to bearers'!$AH53*4)</f>
        <v>0</v>
      </c>
      <c r="DE53" s="114">
        <f>INDEX('Savings of avoided crimes'!$B$134:$U$143, 9, 'Savings and benefits to bearers'!$AH53*4-2)</f>
        <v>0</v>
      </c>
      <c r="DF53" s="114">
        <f>INDEX('Savings of avoided crimes'!$B$134:$U$143, 10, 'Savings and benefits to bearers'!$AH53*4)</f>
        <v>0</v>
      </c>
      <c r="DG53" s="114">
        <f>INDEX('Savings of avoided crimes'!$B$134:$U$143, 10, 'Savings and benefits to bearers'!$AH53*4-2)</f>
        <v>0</v>
      </c>
    </row>
    <row r="54" spans="1:111" hidden="1">
      <c r="A54" s="612" t="str">
        <f>IF((13-COUNTIF('Bearer list'!$E$4:$E$16,""))&gt;A53,A53+1,"")</f>
        <v/>
      </c>
      <c r="B54" s="367">
        <v>5</v>
      </c>
      <c r="C54" s="604" t="str">
        <f>IF(A54&lt;&gt;"",INDEX('Bearer list'!$D$4:$D$16,A54),"")</f>
        <v/>
      </c>
      <c r="D54" s="634" t="str">
        <f>IF($A54&lt;&gt;"", IF(D$2&lt;=time,D24*(1+Economics!$B$4)^(D$2-$D$2)/((1+Economics!$B$3)^(D$2-$D$2)),""), "")</f>
        <v/>
      </c>
      <c r="E54" s="605" t="str">
        <f>IF($A54&lt;&gt;"", IF(E$2&lt;=time,E24*(1+Economics!$B$4)^(E$2-$D$2)/((1+Economics!$B$3)^(E$2-$D$2)),""), "")</f>
        <v/>
      </c>
      <c r="F54" s="605" t="str">
        <f>IF($A54&lt;&gt;"", IF(F$2&lt;=time,F24*(1+Economics!$B$4)^(F$2-$D$2)/((1+Economics!$B$3)^(F$2-$D$2)),""), "")</f>
        <v/>
      </c>
      <c r="G54" s="605" t="str">
        <f>IF($A54&lt;&gt;"", IF(G$2&lt;=time,G24*(1+Economics!$B$4)^(G$2-$D$2)/((1+Economics!$B$3)^(G$2-$D$2)),""), "")</f>
        <v/>
      </c>
      <c r="H54" s="605" t="str">
        <f>IF($A54&lt;&gt;"", IF(H$2&lt;=time,H24*(1+Economics!$B$4)^(H$2-$D$2)/((1+Economics!$B$3)^(H$2-$D$2)),""), "")</f>
        <v/>
      </c>
      <c r="I54" s="605" t="str">
        <f>IF($A54&lt;&gt;"", IF(I$2&lt;=time,I24*(1+Economics!$B$4)^(I$2-$D$2)/((1+Economics!$B$3)^(I$2-$D$2)),""), "")</f>
        <v/>
      </c>
      <c r="J54" s="605" t="str">
        <f>IF($A54&lt;&gt;"", IF(J$2&lt;=time,J24*(1+Economics!$B$4)^(J$2-$D$2)/((1+Economics!$B$3)^(J$2-$D$2)),""), "")</f>
        <v/>
      </c>
      <c r="K54" s="605" t="str">
        <f>IF($A54&lt;&gt;"", IF(K$2&lt;=time,K24*(1+Economics!$B$4)^(K$2-$D$2)/((1+Economics!$B$3)^(K$2-$D$2)),""), "")</f>
        <v/>
      </c>
      <c r="L54" s="605" t="str">
        <f>IF($A54&lt;&gt;"", IF(L$2&lt;=time,L24*(1+Economics!$B$4)^(L$2-$D$2)/((1+Economics!$B$3)^(L$2-$D$2)),""), "")</f>
        <v/>
      </c>
      <c r="M54" s="605" t="str">
        <f>IF($A54&lt;&gt;"", IF(M$2&lt;=time,M24*(1+Economics!$B$4)^(M$2-$D$2)/((1+Economics!$B$3)^(M$2-$D$2)),""), "")</f>
        <v/>
      </c>
      <c r="N54" s="605" t="str">
        <f>IF($A54&lt;&gt;"", IF(N$2&lt;=time,N24*(1+Economics!$B$4)^(N$2-$D$2)/((1+Economics!$B$3)^(N$2-$D$2)),""), "")</f>
        <v/>
      </c>
      <c r="O54" s="605" t="str">
        <f>IF($A54&lt;&gt;"", IF(O$2&lt;=time,O24*(1+Economics!$B$4)^(O$2-$D$2)/((1+Economics!$B$3)^(O$2-$D$2)),""), "")</f>
        <v/>
      </c>
      <c r="P54" s="605" t="str">
        <f>IF($A54&lt;&gt;"", IF(P$2&lt;=time,P24*(1+Economics!$B$4)^(P$2-$D$2)/((1+Economics!$B$3)^(P$2-$D$2)),""), "")</f>
        <v/>
      </c>
      <c r="Q54" s="605" t="str">
        <f>IF($A54&lt;&gt;"", IF(Q$2&lt;=time,Q24*(1+Economics!$B$4)^(Q$2-$D$2)/((1+Economics!$B$3)^(Q$2-$D$2)),""), "")</f>
        <v/>
      </c>
      <c r="R54" s="605" t="str">
        <f>IF($A54&lt;&gt;"", IF(R$2&lt;=time,R24*(1+Economics!$B$4)^(R$2-$D$2)/((1+Economics!$B$3)^(R$2-$D$2)),""), "")</f>
        <v/>
      </c>
      <c r="S54" s="605" t="str">
        <f>IF($A54&lt;&gt;"", IF(S$2&lt;=time,S24*(1+Economics!$B$4)^(S$2-$D$2)/((1+Economics!$B$3)^(S$2-$D$2)),""), "")</f>
        <v/>
      </c>
      <c r="T54" s="605" t="str">
        <f>IF($A54&lt;&gt;"", IF(T$2&lt;=time,T24*(1+Economics!$B$4)^(T$2-$D$2)/((1+Economics!$B$3)^(T$2-$D$2)),""), "")</f>
        <v/>
      </c>
      <c r="U54" s="605" t="str">
        <f>IF($A54&lt;&gt;"", IF(U$2&lt;=time,U24*(1+Economics!$B$4)^(U$2-$D$2)/((1+Economics!$B$3)^(U$2-$D$2)),""), "")</f>
        <v/>
      </c>
      <c r="V54" s="605" t="str">
        <f>IF($A54&lt;&gt;"", IF(V$2&lt;=time,V24*(1+Economics!$B$4)^(V$2-$D$2)/((1+Economics!$B$3)^(V$2-$D$2)),""), "")</f>
        <v/>
      </c>
      <c r="W54" s="605" t="str">
        <f>IF($A54&lt;&gt;"", IF(W$2&lt;=time,W24*(1+Economics!$B$4)^(W$2-$D$2)/((1+Economics!$B$3)^(W$2-$D$2)),""), "")</f>
        <v/>
      </c>
      <c r="X54" s="605" t="str">
        <f>IF($A54&lt;&gt;"", IF(X$2&lt;=time,X24*(1+Economics!$B$4)^(X$2-$D$2)/((1+Economics!$B$3)^(X$2-$D$2)),""), "")</f>
        <v/>
      </c>
      <c r="Y54" s="605" t="str">
        <f>IF($A54&lt;&gt;"", IF(Y$2&lt;=time,Y24*(1+Economics!$B$4)^(Y$2-$D$2)/((1+Economics!$B$3)^(Y$2-$D$2)),""), "")</f>
        <v/>
      </c>
      <c r="Z54" s="605" t="str">
        <f>IF($A54&lt;&gt;"", IF(Z$2&lt;=time,Z24*(1+Economics!$B$4)^(Z$2-$D$2)/((1+Economics!$B$3)^(Z$2-$D$2)),""), "")</f>
        <v/>
      </c>
      <c r="AA54" s="605" t="str">
        <f>IF($A54&lt;&gt;"", IF(AA$2&lt;=time,AA24*(1+Economics!$B$4)^(AA$2-$D$2)/((1+Economics!$B$3)^(AA$2-$D$2)),""), "")</f>
        <v/>
      </c>
      <c r="AB54" s="605" t="str">
        <f>IF($A54&lt;&gt;"", IF(AB$2&lt;=time,AB24*(1+Economics!$B$4)^(AB$2-$D$2)/((1+Economics!$B$3)^(AB$2-$D$2)),""), "")</f>
        <v/>
      </c>
      <c r="AC54" s="606" t="str">
        <f t="array" ref="AC54">IF($A54&lt;&gt;"", (SUM( IF(ISERROR(D54:AB54),"", D54:AB54))), "")</f>
        <v/>
      </c>
      <c r="AD54" s="371" t="str">
        <f t="shared" si="78"/>
        <v/>
      </c>
      <c r="AH54" s="644">
        <v>3</v>
      </c>
      <c r="AI54" s="114" t="s">
        <v>377</v>
      </c>
      <c r="AJ54" s="646"/>
      <c r="AK54" s="646"/>
      <c r="AL54" s="646">
        <f>INDEX('Savings of avoided crimes'!$B$44:$U$75, 2, 'Savings and benefits to bearers'!$AH54*4)</f>
        <v>289833.46893259668</v>
      </c>
      <c r="AM54" s="646" t="str">
        <f>INDEX('Savings of avoided crimes'!$B$44:$U$75,2,'Savings and benefits to bearers'!$AH54*4-2)</f>
        <v>Society</v>
      </c>
      <c r="AN54" s="646">
        <f>INDEX('Savings of avoided crimes'!$B$44:$U$75, 3, 'Savings and benefits to bearers'!$AH54*4)</f>
        <v>2344.0655883206368</v>
      </c>
      <c r="AO54" s="646" t="str">
        <f>INDEX('Savings of avoided crimes'!$B$44:$U$75,3,'Savings and benefits to bearers'!$AH54*4-2)</f>
        <v>Society</v>
      </c>
      <c r="AP54" s="646">
        <f>INDEX('Savings of avoided crimes'!$B$44:$U$75, 4, 'Savings and benefits to bearers'!$AH54*4)</f>
        <v>762.39026416253705</v>
      </c>
      <c r="AQ54" s="646" t="str">
        <f>INDEX('Savings of avoided crimes'!$B$44:$U$75,4,'Savings and benefits to bearers'!$AH54*4-2)</f>
        <v>Society</v>
      </c>
      <c r="AR54" s="646">
        <f>INDEX('Savings of avoided crimes'!$B$44:$U$75, 5, 'Savings and benefits to bearers'!$AH54*4)</f>
        <v>6713.5859082969673</v>
      </c>
      <c r="AS54" s="646" t="str">
        <f>INDEX('Savings of avoided crimes'!$B$44:$U$75,5,'Savings and benefits to bearers'!$AH54*4-2)</f>
        <v>Society</v>
      </c>
      <c r="AT54" s="646">
        <f>INDEX('Savings of avoided crimes'!$B$44:$U$75, 6, 'Savings and benefits to bearers'!$AH54*4)</f>
        <v>1274.4434266597634</v>
      </c>
      <c r="AU54" s="646" t="str">
        <f>INDEX('Savings of avoided crimes'!$B$44:$U$75,6,'Savings and benefits to bearers'!$AH54*4-2)</f>
        <v>Society</v>
      </c>
      <c r="AV54" s="646">
        <f>INDEX('Savings of avoided crimes'!$B$44:$U$75, 7, 'Savings and benefits to bearers'!$AH54*4)</f>
        <v>1046.864243327663</v>
      </c>
      <c r="AW54" s="646" t="str">
        <f>INDEX('Savings of avoided crimes'!$B$44:$U$75,7,'Savings and benefits to bearers'!$AH54*4-2)</f>
        <v>Society</v>
      </c>
      <c r="AX54" s="646">
        <f>INDEX('Savings of avoided crimes'!$B$44:$U$75, 8, 'Savings and benefits to bearers'!$AH54*4)</f>
        <v>500.67420333062131</v>
      </c>
      <c r="AY54" s="646" t="str">
        <f>INDEX('Savings of avoided crimes'!$B$44:$U$75,8,'Savings and benefits to bearers'!$AH54*4-2)</f>
        <v>Society</v>
      </c>
      <c r="AZ54" s="646">
        <f>INDEX('Savings of avoided crimes'!$B$44:$U$75, 9, 'Savings and benefits to bearers'!$AH54*4)</f>
        <v>170.68438749907546</v>
      </c>
      <c r="BA54" s="646" t="str">
        <f>INDEX('Savings of avoided crimes'!$B$44:$U$75,9,'Savings and benefits to bearers'!$AH54*4-2)</f>
        <v>Society</v>
      </c>
      <c r="BB54" s="646">
        <f>INDEX('Savings of avoided crimes'!$B$44:$U$75, 10, 'Savings and benefits to bearers'!$AH54*4)</f>
        <v>68.273754999630199</v>
      </c>
      <c r="BC54" s="646" t="str">
        <f>INDEX('Savings of avoided crimes'!$B$44:$U$75,10,'Savings and benefits to bearers'!$AH54*4-2)</f>
        <v>Society</v>
      </c>
      <c r="BD54" s="646">
        <f>INDEX('Savings of avoided crimes'!$B$44:$U$75, 11, 'Savings and benefits to bearers'!$AH54*4)</f>
        <v>136.5475099992604</v>
      </c>
      <c r="BE54" s="646" t="str">
        <f>INDEX('Savings of avoided crimes'!$B$44:$U$75,11,'Savings and benefits to bearers'!$AH54*4-2)</f>
        <v>Society</v>
      </c>
      <c r="BF54" s="646">
        <f>INDEX('Savings of avoided crimes'!$B$44:$U$75, 12, 'Savings and benefits to bearers'!$AH54*4)</f>
        <v>386.88461166457103</v>
      </c>
      <c r="BG54" s="646" t="str">
        <f>INDEX('Savings of avoided crimes'!$B$44:$U$75,12,'Savings and benefits to bearers'!$AH54*4-2)</f>
        <v>Society</v>
      </c>
      <c r="BH54" s="646">
        <f>INDEX('Savings of avoided crimes'!$B$44:$U$75, 13, 'Savings and benefits to bearers'!$AH54*4)</f>
        <v>91.031673332840228</v>
      </c>
      <c r="BI54" s="646" t="str">
        <f>INDEX('Savings of avoided crimes'!$B$44:$U$75,13,'Savings and benefits to bearers'!$AH54*4-2)</f>
        <v>Society</v>
      </c>
      <c r="BJ54" s="646">
        <f>INDEX('Savings of avoided crimes'!$B$44:$U$75, 14, 'Savings and benefits to bearers'!$AH54*4)</f>
        <v>68.273754999630199</v>
      </c>
      <c r="BK54" s="646" t="str">
        <f>INDEX('Savings of avoided crimes'!$B$44:$U$75,14,'Savings and benefits to bearers'!$AH54*4-2)</f>
        <v>Society</v>
      </c>
      <c r="BL54" s="646">
        <f>INDEX('Savings of avoided crimes'!$B$44:$U$75, 15, 'Savings and benefits to bearers'!$AH54*4)</f>
        <v>56.89479583302515</v>
      </c>
      <c r="BM54" s="647" t="str">
        <f>INDEX('Savings of avoided crimes'!$B$44:$U$75,15,'Savings and benefits to bearers'!$AH54*4-2)</f>
        <v>Society</v>
      </c>
      <c r="BN54" s="648">
        <f>INDEX('Savings of avoided crimes'!$B$44:$U$75, 18, 'Savings and benefits to bearers'!$AH54*4)</f>
        <v>2560.2658124861314</v>
      </c>
      <c r="BO54" s="646" t="str">
        <f>INDEX('Savings of avoided crimes'!$B$44:$U$75,18,'Savings and benefits to bearers'!$AH54*4-2)</f>
        <v>Society</v>
      </c>
      <c r="BP54" s="646">
        <f>INDEX('Savings of avoided crimes'!$B$44:$U$75, 19, 'Savings and benefits to bearers'!$AH54*4)</f>
        <v>432.40044833099114</v>
      </c>
      <c r="BQ54" s="646" t="str">
        <f>INDEX('Savings of avoided crimes'!$B$44:$U$75,19,'Savings and benefits to bearers'!$AH54*4-2)</f>
        <v>Society</v>
      </c>
      <c r="BR54" s="646">
        <f>INDEX('Savings of avoided crimes'!$B$44:$U$75, 20, 'Savings and benefits to bearers'!$AH54*4)</f>
        <v>0</v>
      </c>
      <c r="BS54" s="646" t="str">
        <f>INDEX('Savings of avoided crimes'!$B$44:$U$75,20,'Savings and benefits to bearers'!$AH54*4-2)</f>
        <v>Society</v>
      </c>
      <c r="BT54" s="646">
        <f>INDEX('Savings of avoided crimes'!$B$44:$U$75, 21, 'Savings and benefits to bearers'!$AH54*4)</f>
        <v>216.20022416549557</v>
      </c>
      <c r="BU54" s="646" t="str">
        <f>INDEX('Savings of avoided crimes'!$B$44:$U$75,21,'Savings and benefits to bearers'!$AH54*4-2)</f>
        <v>Society</v>
      </c>
      <c r="BV54" s="646">
        <f>INDEX('Savings of avoided crimes'!$B$44:$U$75, 22, 'Savings and benefits to bearers'!$AH54*4)</f>
        <v>91.031673332840228</v>
      </c>
      <c r="BW54" s="646" t="str">
        <f>INDEX('Savings of avoided crimes'!$B$44:$U$75,22,'Savings and benefits to bearers'!$AH54*4-2)</f>
        <v>Society</v>
      </c>
      <c r="BX54" s="646">
        <f>INDEX('Savings of avoided crimes'!$B$44:$U$75, 23, 'Savings and benefits to bearers'!$AH54*4)</f>
        <v>580.32691749685648</v>
      </c>
      <c r="BY54" s="646" t="str">
        <f>INDEX('Savings of avoided crimes'!$B$44:$U$75,23,'Savings and benefits to bearers'!$AH54*4-2)</f>
        <v>Society</v>
      </c>
      <c r="BZ54" s="646">
        <f>INDEX('Savings of avoided crimes'!$B$44:$U$75, 24, 'Savings and benefits to bearers'!$AH54*4)</f>
        <v>34.1368774998151</v>
      </c>
      <c r="CA54" s="647" t="str">
        <f>INDEX('Savings of avoided crimes'!$B$44:$U$75,24,'Savings and benefits to bearers'!$AH54*4-2)</f>
        <v>Society</v>
      </c>
      <c r="CB54" s="648" t="str">
        <f>INDEX('Savings of avoided crimes'!$B$44:$U$75, 27, 'Savings and benefits to bearers'!$AH54*4)</f>
        <v>0</v>
      </c>
      <c r="CC54" s="646">
        <f>INDEX('Savings of avoided crimes'!$B$44:$U$75,27,'Savings and benefits to bearers'!$AH54*4-2)</f>
        <v>0</v>
      </c>
      <c r="CD54" s="646" t="str">
        <f>INDEX('Savings of avoided crimes'!$B$44:$U$75, 28, 'Savings and benefits to bearers'!$AH54*4)</f>
        <v>0</v>
      </c>
      <c r="CE54" s="646">
        <f>INDEX('Savings of avoided crimes'!$B$44:$U$75,28,'Savings and benefits to bearers'!$AH54*4-2)</f>
        <v>0</v>
      </c>
      <c r="CF54" s="646" t="str">
        <f>INDEX('Savings of avoided crimes'!$B$44:$U$75, 29, 'Savings and benefits to bearers'!$AH54*4)</f>
        <v>0</v>
      </c>
      <c r="CG54" s="646">
        <f>INDEX('Savings of avoided crimes'!$B$44:$U$75,29,'Savings and benefits to bearers'!$AH54*4-2)</f>
        <v>0</v>
      </c>
      <c r="CH54" s="646" t="str">
        <f>INDEX('Savings of avoided crimes'!$B$44:$U$75, 30, 'Savings and benefits to bearers'!$AH54*4)</f>
        <v>0</v>
      </c>
      <c r="CI54" s="646">
        <f>INDEX('Savings of avoided crimes'!$B$44:$U$75,30,'Savings and benefits to bearers'!$AH54*4-2)</f>
        <v>0</v>
      </c>
      <c r="CJ54" s="646" t="str">
        <f>INDEX('Savings of avoided crimes'!$B$44:$U$75, 31, 'Savings and benefits to bearers'!$AH54*4)</f>
        <v>0</v>
      </c>
      <c r="CK54" s="646">
        <f>INDEX('Savings of avoided crimes'!$B$44:$U$75,31,'Savings and benefits to bearers'!$AH54*4-2)</f>
        <v>0</v>
      </c>
      <c r="CL54" s="646" t="str">
        <f>INDEX('Savings of avoided crimes'!$B$44:$U$75, 32, 'Savings and benefits to bearers'!$AH54*4)</f>
        <v>0</v>
      </c>
      <c r="CM54" s="647">
        <f>INDEX('Savings of avoided crimes'!$B$44:$U$75,32,'Savings and benefits to bearers'!$AH54*4-2)</f>
        <v>0</v>
      </c>
      <c r="CN54" s="114">
        <f>INDEX('Savings of avoided crimes'!$B$134:$U$143, 1, 'Savings and benefits to bearers'!$AH54*4)</f>
        <v>0</v>
      </c>
      <c r="CO54" s="114">
        <f>INDEX('Savings of avoided crimes'!$B$134:$U$143, 1, 'Savings and benefits to bearers'!$AH54*4-2)</f>
        <v>0</v>
      </c>
      <c r="CP54" s="114">
        <f>INDEX('Savings of avoided crimes'!$B$134:$U$143, 2, 'Savings and benefits to bearers'!$AH54*4)</f>
        <v>0</v>
      </c>
      <c r="CQ54" s="114">
        <f>INDEX('Savings of avoided crimes'!$B$134:$U$143, 2, 'Savings and benefits to bearers'!$AH54*4-2)</f>
        <v>0</v>
      </c>
      <c r="CR54" s="114">
        <f>INDEX('Savings of avoided crimes'!$B$134:$U$143, 3, 'Savings and benefits to bearers'!$AH54*4)</f>
        <v>0</v>
      </c>
      <c r="CS54" s="114">
        <f>INDEX('Savings of avoided crimes'!$B$134:$U$143, 3, 'Savings and benefits to bearers'!$AH54*4-2)</f>
        <v>0</v>
      </c>
      <c r="CT54" s="114">
        <f>INDEX('Savings of avoided crimes'!$B$134:$U$143, 4, 'Savings and benefits to bearers'!$AH54*4)</f>
        <v>0</v>
      </c>
      <c r="CU54" s="114">
        <f>INDEX('Savings of avoided crimes'!$B$134:$U$143, 4, 'Savings and benefits to bearers'!$AH54*4-2)</f>
        <v>0</v>
      </c>
      <c r="CV54" s="114">
        <f>INDEX('Savings of avoided crimes'!$B$134:$U$143, 5, 'Savings and benefits to bearers'!$AH54*4)</f>
        <v>0</v>
      </c>
      <c r="CW54" s="114">
        <f>INDEX('Savings of avoided crimes'!$B$134:$U$143, 5, 'Savings and benefits to bearers'!$AH54*4-2)</f>
        <v>0</v>
      </c>
      <c r="CX54" s="114">
        <f>INDEX('Savings of avoided crimes'!$B$134:$U$143, 6, 'Savings and benefits to bearers'!$AH54*4)</f>
        <v>0</v>
      </c>
      <c r="CY54" s="114">
        <f>INDEX('Savings of avoided crimes'!$B$134:$U$143, 6, 'Savings and benefits to bearers'!$AH54*4-2)</f>
        <v>0</v>
      </c>
      <c r="CZ54" s="114">
        <f>INDEX('Savings of avoided crimes'!$B$134:$U$143, 7, 'Savings and benefits to bearers'!$AH54*4)</f>
        <v>0</v>
      </c>
      <c r="DA54" s="114">
        <f>INDEX('Savings of avoided crimes'!$B$134:$U$143, 7, 'Savings and benefits to bearers'!$AH54*4-2)</f>
        <v>0</v>
      </c>
      <c r="DB54" s="114">
        <f>INDEX('Savings of avoided crimes'!$B$134:$U$143, 8, 'Savings and benefits to bearers'!$AH54*4)</f>
        <v>0</v>
      </c>
      <c r="DC54" s="114">
        <f>INDEX('Savings of avoided crimes'!$B$134:$U$143, 8, 'Savings and benefits to bearers'!$AH54*4-2)</f>
        <v>0</v>
      </c>
      <c r="DD54" s="114">
        <f>INDEX('Savings of avoided crimes'!$B$134:$U$143, 9, 'Savings and benefits to bearers'!$AH54*4)</f>
        <v>0</v>
      </c>
      <c r="DE54" s="114">
        <f>INDEX('Savings of avoided crimes'!$B$134:$U$143, 9, 'Savings and benefits to bearers'!$AH54*4-2)</f>
        <v>0</v>
      </c>
      <c r="DF54" s="114">
        <f>INDEX('Savings of avoided crimes'!$B$134:$U$143, 10, 'Savings and benefits to bearers'!$AH54*4)</f>
        <v>0</v>
      </c>
      <c r="DG54" s="114">
        <f>INDEX('Savings of avoided crimes'!$B$134:$U$143, 10, 'Savings and benefits to bearers'!$AH54*4-2)</f>
        <v>0</v>
      </c>
    </row>
    <row r="55" spans="1:111" hidden="1">
      <c r="A55" s="612" t="str">
        <f>IF((13-COUNTIF('Bearer list'!$E$4:$E$16,""))&gt;A54,A54+1,"")</f>
        <v/>
      </c>
      <c r="B55" s="367">
        <v>6</v>
      </c>
      <c r="C55" s="604" t="str">
        <f>IF(A55&lt;&gt;"",INDEX('Bearer list'!$D$4:$D$16,A55),"")</f>
        <v/>
      </c>
      <c r="D55" s="634" t="str">
        <f>IF($A55&lt;&gt;"", IF(D$2&lt;=time,D25*(1+Economics!$B$4)^(D$2-$D$2)/((1+Economics!$B$3)^(D$2-$D$2)),""), "")</f>
        <v/>
      </c>
      <c r="E55" s="605" t="str">
        <f>IF($A55&lt;&gt;"", IF(E$2&lt;=time,E25*(1+Economics!$B$4)^(E$2-$D$2)/((1+Economics!$B$3)^(E$2-$D$2)),""), "")</f>
        <v/>
      </c>
      <c r="F55" s="605" t="str">
        <f>IF($A55&lt;&gt;"", IF(F$2&lt;=time,F25*(1+Economics!$B$4)^(F$2-$D$2)/((1+Economics!$B$3)^(F$2-$D$2)),""), "")</f>
        <v/>
      </c>
      <c r="G55" s="605" t="str">
        <f>IF($A55&lt;&gt;"", IF(G$2&lt;=time,G25*(1+Economics!$B$4)^(G$2-$D$2)/((1+Economics!$B$3)^(G$2-$D$2)),""), "")</f>
        <v/>
      </c>
      <c r="H55" s="605" t="str">
        <f>IF($A55&lt;&gt;"", IF(H$2&lt;=time,H25*(1+Economics!$B$4)^(H$2-$D$2)/((1+Economics!$B$3)^(H$2-$D$2)),""), "")</f>
        <v/>
      </c>
      <c r="I55" s="605" t="str">
        <f>IF($A55&lt;&gt;"", IF(I$2&lt;=time,I25*(1+Economics!$B$4)^(I$2-$D$2)/((1+Economics!$B$3)^(I$2-$D$2)),""), "")</f>
        <v/>
      </c>
      <c r="J55" s="605" t="str">
        <f>IF($A55&lt;&gt;"", IF(J$2&lt;=time,J25*(1+Economics!$B$4)^(J$2-$D$2)/((1+Economics!$B$3)^(J$2-$D$2)),""), "")</f>
        <v/>
      </c>
      <c r="K55" s="605" t="str">
        <f>IF($A55&lt;&gt;"", IF(K$2&lt;=time,K25*(1+Economics!$B$4)^(K$2-$D$2)/((1+Economics!$B$3)^(K$2-$D$2)),""), "")</f>
        <v/>
      </c>
      <c r="L55" s="605" t="str">
        <f>IF($A55&lt;&gt;"", IF(L$2&lt;=time,L25*(1+Economics!$B$4)^(L$2-$D$2)/((1+Economics!$B$3)^(L$2-$D$2)),""), "")</f>
        <v/>
      </c>
      <c r="M55" s="605" t="str">
        <f>IF($A55&lt;&gt;"", IF(M$2&lt;=time,M25*(1+Economics!$B$4)^(M$2-$D$2)/((1+Economics!$B$3)^(M$2-$D$2)),""), "")</f>
        <v/>
      </c>
      <c r="N55" s="605" t="str">
        <f>IF($A55&lt;&gt;"", IF(N$2&lt;=time,N25*(1+Economics!$B$4)^(N$2-$D$2)/((1+Economics!$B$3)^(N$2-$D$2)),""), "")</f>
        <v/>
      </c>
      <c r="O55" s="605" t="str">
        <f>IF($A55&lt;&gt;"", IF(O$2&lt;=time,O25*(1+Economics!$B$4)^(O$2-$D$2)/((1+Economics!$B$3)^(O$2-$D$2)),""), "")</f>
        <v/>
      </c>
      <c r="P55" s="605" t="str">
        <f>IF($A55&lt;&gt;"", IF(P$2&lt;=time,P25*(1+Economics!$B$4)^(P$2-$D$2)/((1+Economics!$B$3)^(P$2-$D$2)),""), "")</f>
        <v/>
      </c>
      <c r="Q55" s="605" t="str">
        <f>IF($A55&lt;&gt;"", IF(Q$2&lt;=time,Q25*(1+Economics!$B$4)^(Q$2-$D$2)/((1+Economics!$B$3)^(Q$2-$D$2)),""), "")</f>
        <v/>
      </c>
      <c r="R55" s="605" t="str">
        <f>IF($A55&lt;&gt;"", IF(R$2&lt;=time,R25*(1+Economics!$B$4)^(R$2-$D$2)/((1+Economics!$B$3)^(R$2-$D$2)),""), "")</f>
        <v/>
      </c>
      <c r="S55" s="605" t="str">
        <f>IF($A55&lt;&gt;"", IF(S$2&lt;=time,S25*(1+Economics!$B$4)^(S$2-$D$2)/((1+Economics!$B$3)^(S$2-$D$2)),""), "")</f>
        <v/>
      </c>
      <c r="T55" s="605" t="str">
        <f>IF($A55&lt;&gt;"", IF(T$2&lt;=time,T25*(1+Economics!$B$4)^(T$2-$D$2)/((1+Economics!$B$3)^(T$2-$D$2)),""), "")</f>
        <v/>
      </c>
      <c r="U55" s="605" t="str">
        <f>IF($A55&lt;&gt;"", IF(U$2&lt;=time,U25*(1+Economics!$B$4)^(U$2-$D$2)/((1+Economics!$B$3)^(U$2-$D$2)),""), "")</f>
        <v/>
      </c>
      <c r="V55" s="605" t="str">
        <f>IF($A55&lt;&gt;"", IF(V$2&lt;=time,V25*(1+Economics!$B$4)^(V$2-$D$2)/((1+Economics!$B$3)^(V$2-$D$2)),""), "")</f>
        <v/>
      </c>
      <c r="W55" s="605" t="str">
        <f>IF($A55&lt;&gt;"", IF(W$2&lt;=time,W25*(1+Economics!$B$4)^(W$2-$D$2)/((1+Economics!$B$3)^(W$2-$D$2)),""), "")</f>
        <v/>
      </c>
      <c r="X55" s="605" t="str">
        <f>IF($A55&lt;&gt;"", IF(X$2&lt;=time,X25*(1+Economics!$B$4)^(X$2-$D$2)/((1+Economics!$B$3)^(X$2-$D$2)),""), "")</f>
        <v/>
      </c>
      <c r="Y55" s="605" t="str">
        <f>IF($A55&lt;&gt;"", IF(Y$2&lt;=time,Y25*(1+Economics!$B$4)^(Y$2-$D$2)/((1+Economics!$B$3)^(Y$2-$D$2)),""), "")</f>
        <v/>
      </c>
      <c r="Z55" s="605" t="str">
        <f>IF($A55&lt;&gt;"", IF(Z$2&lt;=time,Z25*(1+Economics!$B$4)^(Z$2-$D$2)/((1+Economics!$B$3)^(Z$2-$D$2)),""), "")</f>
        <v/>
      </c>
      <c r="AA55" s="605" t="str">
        <f>IF($A55&lt;&gt;"", IF(AA$2&lt;=time,AA25*(1+Economics!$B$4)^(AA$2-$D$2)/((1+Economics!$B$3)^(AA$2-$D$2)),""), "")</f>
        <v/>
      </c>
      <c r="AB55" s="605" t="str">
        <f>IF($A55&lt;&gt;"", IF(AB$2&lt;=time,AB25*(1+Economics!$B$4)^(AB$2-$D$2)/((1+Economics!$B$3)^(AB$2-$D$2)),""), "")</f>
        <v/>
      </c>
      <c r="AC55" s="606" t="str">
        <f t="array" ref="AC55">IF($A55&lt;&gt;"", (SUM( IF(ISERROR(D55:AB55),"", D55:AB55))), "")</f>
        <v/>
      </c>
      <c r="AD55" s="371" t="str">
        <f t="shared" si="78"/>
        <v/>
      </c>
      <c r="AH55" s="644">
        <v>4</v>
      </c>
      <c r="AI55" s="114" t="s">
        <v>378</v>
      </c>
      <c r="AJ55" s="646"/>
      <c r="AK55" s="646"/>
      <c r="AL55" s="646">
        <f>INDEX('Savings of avoided crimes'!$B$44:$U$75, 2, 'Savings and benefits to bearers'!$AH55*4)</f>
        <v>1263.0644674931584</v>
      </c>
      <c r="AM55" s="646" t="str">
        <f>INDEX('Savings of avoided crimes'!$B$44:$U$75,2,'Savings and benefits to bearers'!$AH55*4-2)</f>
        <v>HealthSystem</v>
      </c>
      <c r="AN55" s="646">
        <f>INDEX('Savings of avoided crimes'!$B$44:$U$75, 3, 'Savings and benefits to bearers'!$AH55*4)</f>
        <v>1046.864243327663</v>
      </c>
      <c r="AO55" s="646" t="str">
        <f>INDEX('Savings of avoided crimes'!$B$44:$U$75,3,'Savings and benefits to bearers'!$AH55*4-2)</f>
        <v>HealthSystem</v>
      </c>
      <c r="AP55" s="646">
        <f>INDEX('Savings of avoided crimes'!$B$44:$U$75, 4, 'Savings and benefits to bearers'!$AH55*4)</f>
        <v>307.23189749833585</v>
      </c>
      <c r="AQ55" s="646" t="str">
        <f>INDEX('Savings of avoided crimes'!$B$44:$U$75,4,'Savings and benefits to bearers'!$AH55*4-2)</f>
        <v>HealthSystem</v>
      </c>
      <c r="AR55" s="646">
        <f>INDEX('Savings of avoided crimes'!$B$44:$U$75, 5, 'Savings and benefits to bearers'!$AH55*4)</f>
        <v>1263.0644674931584</v>
      </c>
      <c r="AS55" s="646" t="str">
        <f>INDEX('Savings of avoided crimes'!$B$44:$U$75,5,'Savings and benefits to bearers'!$AH55*4-2)</f>
        <v>HealthSystem</v>
      </c>
      <c r="AT55" s="646">
        <f>INDEX('Savings of avoided crimes'!$B$44:$U$75, 6, 'Savings and benefits to bearers'!$AH55*4)</f>
        <v>443.77940749759614</v>
      </c>
      <c r="AU55" s="646" t="str">
        <f>INDEX('Savings of avoided crimes'!$B$44:$U$75,6,'Savings and benefits to bearers'!$AH55*4-2)</f>
        <v>HealthSystem</v>
      </c>
      <c r="AV55" s="646">
        <f>INDEX('Savings of avoided crimes'!$B$44:$U$75, 7, 'Savings and benefits to bearers'!$AH55*4)</f>
        <v>864.80089666198228</v>
      </c>
      <c r="AW55" s="646" t="str">
        <f>INDEX('Savings of avoided crimes'!$B$44:$U$75,7,'Savings and benefits to bearers'!$AH55*4-2)</f>
        <v>HealthSystem</v>
      </c>
      <c r="AX55" s="646">
        <f>INDEX('Savings of avoided crimes'!$B$44:$U$75, 8, 'Savings and benefits to bearers'!$AH55*4)</f>
        <v>432.40044833099114</v>
      </c>
      <c r="AY55" s="646" t="str">
        <f>INDEX('Savings of avoided crimes'!$B$44:$U$75,8,'Savings and benefits to bearers'!$AH55*4-2)</f>
        <v>HealthSystem</v>
      </c>
      <c r="AZ55" s="646">
        <f>INDEX('Savings of avoided crimes'!$B$44:$U$75, 9, 'Savings and benefits to bearers'!$AH55*4)</f>
        <v>113.7895916660503</v>
      </c>
      <c r="BA55" s="646" t="str">
        <f>INDEX('Savings of avoided crimes'!$B$44:$U$75,9,'Savings and benefits to bearers'!$AH55*4-2)</f>
        <v>HealthSystem</v>
      </c>
      <c r="BB55" s="646">
        <f>INDEX('Savings of avoided crimes'!$B$44:$U$75, 10, 'Savings and benefits to bearers'!$AH55*4)</f>
        <v>45.515836666420114</v>
      </c>
      <c r="BC55" s="646" t="str">
        <f>INDEX('Savings of avoided crimes'!$B$44:$U$75,10,'Savings and benefits to bearers'!$AH55*4-2)</f>
        <v>HealthSystem</v>
      </c>
      <c r="BD55" s="646">
        <f>INDEX('Savings of avoided crimes'!$B$44:$U$75, 11, 'Savings and benefits to bearers'!$AH55*4)</f>
        <v>238.95814249870563</v>
      </c>
      <c r="BE55" s="646" t="str">
        <f>INDEX('Savings of avoided crimes'!$B$44:$U$75,11,'Savings and benefits to bearers'!$AH55*4-2)</f>
        <v>HealthSystem</v>
      </c>
      <c r="BF55" s="646">
        <f>INDEX('Savings of avoided crimes'!$B$44:$U$75, 12, 'Savings and benefits to bearers'!$AH55*4)</f>
        <v>204.82126499889054</v>
      </c>
      <c r="BG55" s="646" t="str">
        <f>INDEX('Savings of avoided crimes'!$B$44:$U$75,12,'Savings and benefits to bearers'!$AH55*4-2)</f>
        <v>HealthSystem</v>
      </c>
      <c r="BH55" s="646">
        <f>INDEX('Savings of avoided crimes'!$B$44:$U$75, 13, 'Savings and benefits to bearers'!$AH55*4)</f>
        <v>102.41063249944527</v>
      </c>
      <c r="BI55" s="646" t="str">
        <f>INDEX('Savings of avoided crimes'!$B$44:$U$75,13,'Savings and benefits to bearers'!$AH55*4-2)</f>
        <v>HealthSystem</v>
      </c>
      <c r="BJ55" s="646">
        <f>INDEX('Savings of avoided crimes'!$B$44:$U$75, 14, 'Savings and benefits to bearers'!$AH55*4)</f>
        <v>79.652714166235214</v>
      </c>
      <c r="BK55" s="646" t="str">
        <f>INDEX('Savings of avoided crimes'!$B$44:$U$75,14,'Savings and benefits to bearers'!$AH55*4-2)</f>
        <v>HealthSystem</v>
      </c>
      <c r="BL55" s="646">
        <f>INDEX('Savings of avoided crimes'!$B$44:$U$75, 15, 'Savings and benefits to bearers'!$AH55*4)</f>
        <v>56.89479583302515</v>
      </c>
      <c r="BM55" s="647" t="str">
        <f>INDEX('Savings of avoided crimes'!$B$44:$U$75,15,'Savings and benefits to bearers'!$AH55*4-2)</f>
        <v>HealthSystem</v>
      </c>
      <c r="BN55" s="648">
        <f>INDEX('Savings of avoided crimes'!$B$44:$U$75, 18, 'Savings and benefits to bearers'!$AH55*4)</f>
        <v>682.73754999630182</v>
      </c>
      <c r="BO55" s="646" t="str">
        <f>INDEX('Savings of avoided crimes'!$B$44:$U$75,18,'Savings and benefits to bearers'!$AH55*4-2)</f>
        <v>HealthSystem</v>
      </c>
      <c r="BP55" s="646">
        <f>INDEX('Savings of avoided crimes'!$B$44:$U$75, 19, 'Savings and benefits to bearers'!$AH55*4)</f>
        <v>182.06334666568046</v>
      </c>
      <c r="BQ55" s="646" t="str">
        <f>INDEX('Savings of avoided crimes'!$B$44:$U$75,19,'Savings and benefits to bearers'!$AH55*4-2)</f>
        <v>HealthSystem</v>
      </c>
      <c r="BR55" s="646">
        <f>INDEX('Savings of avoided crimes'!$B$44:$U$75, 20, 'Savings and benefits to bearers'!$AH55*4)</f>
        <v>0</v>
      </c>
      <c r="BS55" s="646" t="str">
        <f>INDEX('Savings of avoided crimes'!$B$44:$U$75,20,'Savings and benefits to bearers'!$AH55*4-2)</f>
        <v>HealthSystem</v>
      </c>
      <c r="BT55" s="646">
        <f>INDEX('Savings of avoided crimes'!$B$44:$U$75, 21, 'Savings and benefits to bearers'!$AH55*4)</f>
        <v>11.378959166605028</v>
      </c>
      <c r="BU55" s="646" t="str">
        <f>INDEX('Savings of avoided crimes'!$B$44:$U$75,21,'Savings and benefits to bearers'!$AH55*4-2)</f>
        <v>HealthSystem</v>
      </c>
      <c r="BV55" s="646">
        <f>INDEX('Savings of avoided crimes'!$B$44:$U$75, 22, 'Savings and benefits to bearers'!$AH55*4)</f>
        <v>0</v>
      </c>
      <c r="BW55" s="646" t="str">
        <f>INDEX('Savings of avoided crimes'!$B$44:$U$75,22,'Savings and benefits to bearers'!$AH55*4-2)</f>
        <v>HealthSystem</v>
      </c>
      <c r="BX55" s="646">
        <f>INDEX('Savings of avoided crimes'!$B$44:$U$75, 23, 'Savings and benefits to bearers'!$AH55*4)</f>
        <v>386.88461166457103</v>
      </c>
      <c r="BY55" s="646" t="str">
        <f>INDEX('Savings of avoided crimes'!$B$44:$U$75,23,'Savings and benefits to bearers'!$AH55*4-2)</f>
        <v>HealthSystem</v>
      </c>
      <c r="BZ55" s="646">
        <f>INDEX('Savings of avoided crimes'!$B$44:$U$75, 24, 'Savings and benefits to bearers'!$AH55*4)</f>
        <v>45.515836666420114</v>
      </c>
      <c r="CA55" s="647" t="str">
        <f>INDEX('Savings of avoided crimes'!$B$44:$U$75,24,'Savings and benefits to bearers'!$AH55*4-2)</f>
        <v>HealthSystem</v>
      </c>
      <c r="CB55" s="648" t="str">
        <f>INDEX('Savings of avoided crimes'!$B$44:$U$75, 27, 'Savings and benefits to bearers'!$AH55*4)</f>
        <v>0</v>
      </c>
      <c r="CC55" s="646" t="str">
        <f>INDEX('Savings of avoided crimes'!$B$44:$U$75,27,'Savings and benefits to bearers'!$AH55*4-2)</f>
        <v>HealthSystem</v>
      </c>
      <c r="CD55" s="646" t="str">
        <f>INDEX('Savings of avoided crimes'!$B$44:$U$75, 28, 'Savings and benefits to bearers'!$AH55*4)</f>
        <v>0</v>
      </c>
      <c r="CE55" s="646" t="str">
        <f>INDEX('Savings of avoided crimes'!$B$44:$U$75,28,'Savings and benefits to bearers'!$AH55*4-2)</f>
        <v>HealthSystem</v>
      </c>
      <c r="CF55" s="646" t="str">
        <f>INDEX('Savings of avoided crimes'!$B$44:$U$75, 29, 'Savings and benefits to bearers'!$AH55*4)</f>
        <v>0</v>
      </c>
      <c r="CG55" s="646" t="str">
        <f>INDEX('Savings of avoided crimes'!$B$44:$U$75,29,'Savings and benefits to bearers'!$AH55*4-2)</f>
        <v>HealthSystem</v>
      </c>
      <c r="CH55" s="646" t="str">
        <f>INDEX('Savings of avoided crimes'!$B$44:$U$75, 30, 'Savings and benefits to bearers'!$AH55*4)</f>
        <v>0</v>
      </c>
      <c r="CI55" s="646" t="str">
        <f>INDEX('Savings of avoided crimes'!$B$44:$U$75,30,'Savings and benefits to bearers'!$AH55*4-2)</f>
        <v>HealthSystem</v>
      </c>
      <c r="CJ55" s="646" t="str">
        <f>INDEX('Savings of avoided crimes'!$B$44:$U$75, 31, 'Savings and benefits to bearers'!$AH55*4)</f>
        <v>0</v>
      </c>
      <c r="CK55" s="646" t="str">
        <f>INDEX('Savings of avoided crimes'!$B$44:$U$75,31,'Savings and benefits to bearers'!$AH55*4-2)</f>
        <v>HealthSystem</v>
      </c>
      <c r="CL55" s="646" t="str">
        <f>INDEX('Savings of avoided crimes'!$B$44:$U$75, 32, 'Savings and benefits to bearers'!$AH55*4)</f>
        <v>0</v>
      </c>
      <c r="CM55" s="647" t="str">
        <f>INDEX('Savings of avoided crimes'!$B$44:$U$75,32,'Savings and benefits to bearers'!$AH55*4-2)</f>
        <v>HealthSystem</v>
      </c>
      <c r="CN55" s="114">
        <f>INDEX('Savings of avoided crimes'!$B$134:$U$143, 1, 'Savings and benefits to bearers'!$AH55*4)</f>
        <v>0</v>
      </c>
      <c r="CO55" s="114">
        <f>INDEX('Savings of avoided crimes'!$B$134:$U$143, 1, 'Savings and benefits to bearers'!$AH55*4-2)</f>
        <v>0</v>
      </c>
      <c r="CP55" s="114">
        <f>INDEX('Savings of avoided crimes'!$B$134:$U$143, 2, 'Savings and benefits to bearers'!$AH55*4)</f>
        <v>0</v>
      </c>
      <c r="CQ55" s="114">
        <f>INDEX('Savings of avoided crimes'!$B$134:$U$143, 2, 'Savings and benefits to bearers'!$AH55*4-2)</f>
        <v>0</v>
      </c>
      <c r="CR55" s="114">
        <f>INDEX('Savings of avoided crimes'!$B$134:$U$143, 3, 'Savings and benefits to bearers'!$AH55*4)</f>
        <v>0</v>
      </c>
      <c r="CS55" s="114">
        <f>INDEX('Savings of avoided crimes'!$B$134:$U$143, 3, 'Savings and benefits to bearers'!$AH55*4-2)</f>
        <v>0</v>
      </c>
      <c r="CT55" s="114">
        <f>INDEX('Savings of avoided crimes'!$B$134:$U$143, 4, 'Savings and benefits to bearers'!$AH55*4)</f>
        <v>0</v>
      </c>
      <c r="CU55" s="114">
        <f>INDEX('Savings of avoided crimes'!$B$134:$U$143, 4, 'Savings and benefits to bearers'!$AH55*4-2)</f>
        <v>0</v>
      </c>
      <c r="CV55" s="114">
        <f>INDEX('Savings of avoided crimes'!$B$134:$U$143, 5, 'Savings and benefits to bearers'!$AH55*4)</f>
        <v>0</v>
      </c>
      <c r="CW55" s="114">
        <f>INDEX('Savings of avoided crimes'!$B$134:$U$143, 5, 'Savings and benefits to bearers'!$AH55*4-2)</f>
        <v>0</v>
      </c>
      <c r="CX55" s="114">
        <f>INDEX('Savings of avoided crimes'!$B$134:$U$143, 6, 'Savings and benefits to bearers'!$AH55*4)</f>
        <v>0</v>
      </c>
      <c r="CY55" s="114">
        <f>INDEX('Savings of avoided crimes'!$B$134:$U$143, 6, 'Savings and benefits to bearers'!$AH55*4-2)</f>
        <v>0</v>
      </c>
      <c r="CZ55" s="114">
        <f>INDEX('Savings of avoided crimes'!$B$134:$U$143, 7, 'Savings and benefits to bearers'!$AH55*4)</f>
        <v>0</v>
      </c>
      <c r="DA55" s="114">
        <f>INDEX('Savings of avoided crimes'!$B$134:$U$143, 7, 'Savings and benefits to bearers'!$AH55*4-2)</f>
        <v>0</v>
      </c>
      <c r="DB55" s="114">
        <f>INDEX('Savings of avoided crimes'!$B$134:$U$143, 8, 'Savings and benefits to bearers'!$AH55*4)</f>
        <v>0</v>
      </c>
      <c r="DC55" s="114">
        <f>INDEX('Savings of avoided crimes'!$B$134:$U$143, 8, 'Savings and benefits to bearers'!$AH55*4-2)</f>
        <v>0</v>
      </c>
      <c r="DD55" s="114">
        <f>INDEX('Savings of avoided crimes'!$B$134:$U$143, 9, 'Savings and benefits to bearers'!$AH55*4)</f>
        <v>0</v>
      </c>
      <c r="DE55" s="114">
        <f>INDEX('Savings of avoided crimes'!$B$134:$U$143, 9, 'Savings and benefits to bearers'!$AH55*4-2)</f>
        <v>0</v>
      </c>
      <c r="DF55" s="114">
        <f>INDEX('Savings of avoided crimes'!$B$134:$U$143, 10, 'Savings and benefits to bearers'!$AH55*4)</f>
        <v>0</v>
      </c>
      <c r="DG55" s="114">
        <f>INDEX('Savings of avoided crimes'!$B$134:$U$143, 10, 'Savings and benefits to bearers'!$AH55*4-2)</f>
        <v>0</v>
      </c>
    </row>
    <row r="56" spans="1:111" hidden="1">
      <c r="A56" s="612" t="str">
        <f>IF((13-COUNTIF('Bearer list'!$E$4:$E$16,""))&gt;A55,A55+1,"")</f>
        <v/>
      </c>
      <c r="B56" s="367">
        <v>7</v>
      </c>
      <c r="C56" s="604" t="str">
        <f>IF(A56&lt;&gt;"",INDEX('Bearer list'!$D$4:$D$16,A56),"")</f>
        <v/>
      </c>
      <c r="D56" s="634" t="str">
        <f>IF($A56&lt;&gt;"", IF(D$2&lt;=time,D26*(1+Economics!$B$4)^(D$2-$D$2)/((1+Economics!$B$3)^(D$2-$D$2)),""), "")</f>
        <v/>
      </c>
      <c r="E56" s="605" t="str">
        <f>IF($A56&lt;&gt;"", IF(E$2&lt;=time,E26*(1+Economics!$B$4)^(E$2-$D$2)/((1+Economics!$B$3)^(E$2-$D$2)),""), "")</f>
        <v/>
      </c>
      <c r="F56" s="605" t="str">
        <f>IF($A56&lt;&gt;"", IF(F$2&lt;=time,F26*(1+Economics!$B$4)^(F$2-$D$2)/((1+Economics!$B$3)^(F$2-$D$2)),""), "")</f>
        <v/>
      </c>
      <c r="G56" s="605" t="str">
        <f>IF($A56&lt;&gt;"", IF(G$2&lt;=time,G26*(1+Economics!$B$4)^(G$2-$D$2)/((1+Economics!$B$3)^(G$2-$D$2)),""), "")</f>
        <v/>
      </c>
      <c r="H56" s="605" t="str">
        <f>IF($A56&lt;&gt;"", IF(H$2&lt;=time,H26*(1+Economics!$B$4)^(H$2-$D$2)/((1+Economics!$B$3)^(H$2-$D$2)),""), "")</f>
        <v/>
      </c>
      <c r="I56" s="605" t="str">
        <f>IF($A56&lt;&gt;"", IF(I$2&lt;=time,I26*(1+Economics!$B$4)^(I$2-$D$2)/((1+Economics!$B$3)^(I$2-$D$2)),""), "")</f>
        <v/>
      </c>
      <c r="J56" s="605" t="str">
        <f>IF($A56&lt;&gt;"", IF(J$2&lt;=time,J26*(1+Economics!$B$4)^(J$2-$D$2)/((1+Economics!$B$3)^(J$2-$D$2)),""), "")</f>
        <v/>
      </c>
      <c r="K56" s="605" t="str">
        <f>IF($A56&lt;&gt;"", IF(K$2&lt;=time,K26*(1+Economics!$B$4)^(K$2-$D$2)/((1+Economics!$B$3)^(K$2-$D$2)),""), "")</f>
        <v/>
      </c>
      <c r="L56" s="605" t="str">
        <f>IF($A56&lt;&gt;"", IF(L$2&lt;=time,L26*(1+Economics!$B$4)^(L$2-$D$2)/((1+Economics!$B$3)^(L$2-$D$2)),""), "")</f>
        <v/>
      </c>
      <c r="M56" s="605" t="str">
        <f>IF($A56&lt;&gt;"", IF(M$2&lt;=time,M26*(1+Economics!$B$4)^(M$2-$D$2)/((1+Economics!$B$3)^(M$2-$D$2)),""), "")</f>
        <v/>
      </c>
      <c r="N56" s="605" t="str">
        <f>IF($A56&lt;&gt;"", IF(N$2&lt;=time,N26*(1+Economics!$B$4)^(N$2-$D$2)/((1+Economics!$B$3)^(N$2-$D$2)),""), "")</f>
        <v/>
      </c>
      <c r="O56" s="605" t="str">
        <f>IF($A56&lt;&gt;"", IF(O$2&lt;=time,O26*(1+Economics!$B$4)^(O$2-$D$2)/((1+Economics!$B$3)^(O$2-$D$2)),""), "")</f>
        <v/>
      </c>
      <c r="P56" s="605" t="str">
        <f>IF($A56&lt;&gt;"", IF(P$2&lt;=time,P26*(1+Economics!$B$4)^(P$2-$D$2)/((1+Economics!$B$3)^(P$2-$D$2)),""), "")</f>
        <v/>
      </c>
      <c r="Q56" s="605" t="str">
        <f>IF($A56&lt;&gt;"", IF(Q$2&lt;=time,Q26*(1+Economics!$B$4)^(Q$2-$D$2)/((1+Economics!$B$3)^(Q$2-$D$2)),""), "")</f>
        <v/>
      </c>
      <c r="R56" s="605" t="str">
        <f>IF($A56&lt;&gt;"", IF(R$2&lt;=time,R26*(1+Economics!$B$4)^(R$2-$D$2)/((1+Economics!$B$3)^(R$2-$D$2)),""), "")</f>
        <v/>
      </c>
      <c r="S56" s="605" t="str">
        <f>IF($A56&lt;&gt;"", IF(S$2&lt;=time,S26*(1+Economics!$B$4)^(S$2-$D$2)/((1+Economics!$B$3)^(S$2-$D$2)),""), "")</f>
        <v/>
      </c>
      <c r="T56" s="605" t="str">
        <f>IF($A56&lt;&gt;"", IF(T$2&lt;=time,T26*(1+Economics!$B$4)^(T$2-$D$2)/((1+Economics!$B$3)^(T$2-$D$2)),""), "")</f>
        <v/>
      </c>
      <c r="U56" s="605" t="str">
        <f>IF($A56&lt;&gt;"", IF(U$2&lt;=time,U26*(1+Economics!$B$4)^(U$2-$D$2)/((1+Economics!$B$3)^(U$2-$D$2)),""), "")</f>
        <v/>
      </c>
      <c r="V56" s="605" t="str">
        <f>IF($A56&lt;&gt;"", IF(V$2&lt;=time,V26*(1+Economics!$B$4)^(V$2-$D$2)/((1+Economics!$B$3)^(V$2-$D$2)),""), "")</f>
        <v/>
      </c>
      <c r="W56" s="605" t="str">
        <f>IF($A56&lt;&gt;"", IF(W$2&lt;=time,W26*(1+Economics!$B$4)^(W$2-$D$2)/((1+Economics!$B$3)^(W$2-$D$2)),""), "")</f>
        <v/>
      </c>
      <c r="X56" s="605" t="str">
        <f>IF($A56&lt;&gt;"", IF(X$2&lt;=time,X26*(1+Economics!$B$4)^(X$2-$D$2)/((1+Economics!$B$3)^(X$2-$D$2)),""), "")</f>
        <v/>
      </c>
      <c r="Y56" s="605" t="str">
        <f>IF($A56&lt;&gt;"", IF(Y$2&lt;=time,Y26*(1+Economics!$B$4)^(Y$2-$D$2)/((1+Economics!$B$3)^(Y$2-$D$2)),""), "")</f>
        <v/>
      </c>
      <c r="Z56" s="605" t="str">
        <f>IF($A56&lt;&gt;"", IF(Z$2&lt;=time,Z26*(1+Economics!$B$4)^(Z$2-$D$2)/((1+Economics!$B$3)^(Z$2-$D$2)),""), "")</f>
        <v/>
      </c>
      <c r="AA56" s="605" t="str">
        <f>IF($A56&lt;&gt;"", IF(AA$2&lt;=time,AA26*(1+Economics!$B$4)^(AA$2-$D$2)/((1+Economics!$B$3)^(AA$2-$D$2)),""), "")</f>
        <v/>
      </c>
      <c r="AB56" s="605" t="str">
        <f>IF($A56&lt;&gt;"", IF(AB$2&lt;=time,AB26*(1+Economics!$B$4)^(AB$2-$D$2)/((1+Economics!$B$3)^(AB$2-$D$2)),""), "")</f>
        <v/>
      </c>
      <c r="AC56" s="606" t="str">
        <f t="array" ref="AC56">IF($A56&lt;&gt;"", (SUM( IF(ISERROR(D56:AB56),"", D56:AB56))), "")</f>
        <v/>
      </c>
      <c r="AD56" s="371" t="str">
        <f t="shared" si="78"/>
        <v/>
      </c>
      <c r="AH56" s="644">
        <v>5</v>
      </c>
      <c r="AI56" s="114" t="s">
        <v>376</v>
      </c>
      <c r="AJ56" s="646"/>
      <c r="AK56" s="646"/>
      <c r="AL56" s="646">
        <f>INDEX('Savings of avoided crimes'!$B$44:$U$75, 2, 'Savings and benefits to bearers'!$AH56*4)</f>
        <v>6235.6696232995573</v>
      </c>
      <c r="AM56" s="646" t="str">
        <f>INDEX('Savings of avoided crimes'!$B$44:$U$75,2,'Savings and benefits to bearers'!$AH56*4-2)</f>
        <v>CJS</v>
      </c>
      <c r="AN56" s="646">
        <f>INDEX('Savings of avoided crimes'!$B$44:$U$75, 3, 'Savings and benefits to bearers'!$AH56*4)</f>
        <v>0</v>
      </c>
      <c r="AO56" s="646" t="str">
        <f>INDEX('Savings of avoided crimes'!$B$44:$U$75,3,'Savings and benefits to bearers'!$AH56*4-2)</f>
        <v>CJS</v>
      </c>
      <c r="AP56" s="646">
        <f>INDEX('Savings of avoided crimes'!$B$44:$U$75, 4, 'Savings and benefits to bearers'!$AH56*4)</f>
        <v>11.378959166605028</v>
      </c>
      <c r="AQ56" s="646" t="str">
        <f>INDEX('Savings of avoided crimes'!$B$44:$U$75,4,'Savings and benefits to bearers'!$AH56*4-2)</f>
        <v>CJS</v>
      </c>
      <c r="AR56" s="646">
        <f>INDEX('Savings of avoided crimes'!$B$44:$U$75, 5, 'Savings and benefits to bearers'!$AH56*4)</f>
        <v>45.515836666420114</v>
      </c>
      <c r="AS56" s="646" t="str">
        <f>INDEX('Savings of avoided crimes'!$B$44:$U$75,5,'Savings and benefits to bearers'!$AH56*4-2)</f>
        <v>CJS</v>
      </c>
      <c r="AT56" s="646">
        <f>INDEX('Savings of avoided crimes'!$B$44:$U$75, 6, 'Savings and benefits to bearers'!$AH56*4)</f>
        <v>11.378959166605028</v>
      </c>
      <c r="AU56" s="646" t="str">
        <f>INDEX('Savings of avoided crimes'!$B$44:$U$75,6,'Savings and benefits to bearers'!$AH56*4-2)</f>
        <v>CJS</v>
      </c>
      <c r="AV56" s="646">
        <f>INDEX('Savings of avoided crimes'!$B$44:$U$75, 7, 'Savings and benefits to bearers'!$AH56*4)</f>
        <v>11.378959166605028</v>
      </c>
      <c r="AW56" s="646" t="str">
        <f>INDEX('Savings of avoided crimes'!$B$44:$U$75,7,'Savings and benefits to bearers'!$AH56*4-2)</f>
        <v>CJS</v>
      </c>
      <c r="AX56" s="646">
        <f>INDEX('Savings of avoided crimes'!$B$44:$U$75, 8, 'Savings and benefits to bearers'!$AH56*4)</f>
        <v>0</v>
      </c>
      <c r="AY56" s="646" t="str">
        <f>INDEX('Savings of avoided crimes'!$B$44:$U$75,8,'Savings and benefits to bearers'!$AH56*4-2)</f>
        <v>CJS</v>
      </c>
      <c r="AZ56" s="646">
        <f>INDEX('Savings of avoided crimes'!$B$44:$U$75, 9, 'Savings and benefits to bearers'!$AH56*4)</f>
        <v>0</v>
      </c>
      <c r="BA56" s="646" t="str">
        <f>INDEX('Savings of avoided crimes'!$B$44:$U$75,9,'Savings and benefits to bearers'!$AH56*4-2)</f>
        <v>CJS</v>
      </c>
      <c r="BB56" s="646">
        <f>INDEX('Savings of avoided crimes'!$B$44:$U$75, 10, 'Savings and benefits to bearers'!$AH56*4)</f>
        <v>0</v>
      </c>
      <c r="BC56" s="646" t="str">
        <f>INDEX('Savings of avoided crimes'!$B$44:$U$75,10,'Savings and benefits to bearers'!$AH56*4-2)</f>
        <v>CJS</v>
      </c>
      <c r="BD56" s="646">
        <f>INDEX('Savings of avoided crimes'!$B$44:$U$75, 11, 'Savings and benefits to bearers'!$AH56*4)</f>
        <v>0</v>
      </c>
      <c r="BE56" s="646" t="str">
        <f>INDEX('Savings of avoided crimes'!$B$44:$U$75,11,'Savings and benefits to bearers'!$AH56*4-2)</f>
        <v>CJS</v>
      </c>
      <c r="BF56" s="646">
        <f>INDEX('Savings of avoided crimes'!$B$44:$U$75, 12, 'Savings and benefits to bearers'!$AH56*4)</f>
        <v>11.378959166605028</v>
      </c>
      <c r="BG56" s="646" t="str">
        <f>INDEX('Savings of avoided crimes'!$B$44:$U$75,12,'Savings and benefits to bearers'!$AH56*4-2)</f>
        <v>CJS</v>
      </c>
      <c r="BH56" s="646">
        <f>INDEX('Savings of avoided crimes'!$B$44:$U$75, 13, 'Savings and benefits to bearers'!$AH56*4)</f>
        <v>0</v>
      </c>
      <c r="BI56" s="646" t="str">
        <f>INDEX('Savings of avoided crimes'!$B$44:$U$75,13,'Savings and benefits to bearers'!$AH56*4-2)</f>
        <v>CJS</v>
      </c>
      <c r="BJ56" s="646">
        <f>INDEX('Savings of avoided crimes'!$B$44:$U$75, 14, 'Savings and benefits to bearers'!$AH56*4)</f>
        <v>0</v>
      </c>
      <c r="BK56" s="646" t="str">
        <f>INDEX('Savings of avoided crimes'!$B$44:$U$75,14,'Savings and benefits to bearers'!$AH56*4-2)</f>
        <v>CJS</v>
      </c>
      <c r="BL56" s="646" t="str">
        <f>INDEX('Savings of avoided crimes'!$B$44:$U$75, 15, 'Savings and benefits to bearers'!$AH56*4)</f>
        <v>0</v>
      </c>
      <c r="BM56" s="647" t="str">
        <f>INDEX('Savings of avoided crimes'!$B$44:$U$75,15,'Savings and benefits to bearers'!$AH56*4-2)</f>
        <v>CJS</v>
      </c>
      <c r="BN56" s="648">
        <f>INDEX('Savings of avoided crimes'!$B$44:$U$75, 18, 'Savings and benefits to bearers'!$AH56*4)</f>
        <v>23.189477545357036</v>
      </c>
      <c r="BO56" s="646" t="str">
        <f>INDEX('Savings of avoided crimes'!$B$44:$U$75,18,'Savings and benefits to bearers'!$AH56*4-2)</f>
        <v>CJS</v>
      </c>
      <c r="BP56" s="646">
        <f>INDEX('Savings of avoided crimes'!$B$44:$U$75, 19, 'Savings and benefits to bearers'!$AH56*4)</f>
        <v>0</v>
      </c>
      <c r="BQ56" s="646" t="str">
        <f>INDEX('Savings of avoided crimes'!$B$44:$U$75,19,'Savings and benefits to bearers'!$AH56*4-2)</f>
        <v>CJS</v>
      </c>
      <c r="BR56" s="646">
        <f>INDEX('Savings of avoided crimes'!$B$44:$U$75, 20, 'Savings and benefits to bearers'!$AH56*4)</f>
        <v>0</v>
      </c>
      <c r="BS56" s="646" t="str">
        <f>INDEX('Savings of avoided crimes'!$B$44:$U$75,20,'Savings and benefits to bearers'!$AH56*4-2)</f>
        <v>CJS</v>
      </c>
      <c r="BT56" s="646">
        <f>INDEX('Savings of avoided crimes'!$B$44:$U$75, 21, 'Savings and benefits to bearers'!$AH56*4)</f>
        <v>0</v>
      </c>
      <c r="BU56" s="646" t="str">
        <f>INDEX('Savings of avoided crimes'!$B$44:$U$75,21,'Savings and benefits to bearers'!$AH56*4-2)</f>
        <v>CJS</v>
      </c>
      <c r="BV56" s="646">
        <f>INDEX('Savings of avoided crimes'!$B$44:$U$75, 22, 'Savings and benefits to bearers'!$AH56*4)</f>
        <v>0</v>
      </c>
      <c r="BW56" s="646" t="str">
        <f>INDEX('Savings of avoided crimes'!$B$44:$U$75,22,'Savings and benefits to bearers'!$AH56*4-2)</f>
        <v>CJS</v>
      </c>
      <c r="BX56" s="646">
        <f>INDEX('Savings of avoided crimes'!$B$44:$U$75, 23, 'Savings and benefits to bearers'!$AH56*4)</f>
        <v>11.594738772678518</v>
      </c>
      <c r="BY56" s="646" t="str">
        <f>INDEX('Savings of avoided crimes'!$B$44:$U$75,23,'Savings and benefits to bearers'!$AH56*4-2)</f>
        <v>CJS</v>
      </c>
      <c r="BZ56" s="646">
        <f>INDEX('Savings of avoided crimes'!$B$44:$U$75, 24, 'Savings and benefits to bearers'!$AH56*4)</f>
        <v>0</v>
      </c>
      <c r="CA56" s="647" t="str">
        <f>INDEX('Savings of avoided crimes'!$B$44:$U$75,24,'Savings and benefits to bearers'!$AH56*4-2)</f>
        <v>CJS</v>
      </c>
      <c r="CB56" s="648" t="str">
        <f>INDEX('Savings of avoided crimes'!$B$44:$U$75, 27, 'Savings and benefits to bearers'!$AH56*4)</f>
        <v>0</v>
      </c>
      <c r="CC56" s="646" t="str">
        <f>INDEX('Savings of avoided crimes'!$B$44:$U$75,27,'Savings and benefits to bearers'!$AH56*4-2)</f>
        <v>CJS</v>
      </c>
      <c r="CD56" s="646" t="str">
        <f>INDEX('Savings of avoided crimes'!$B$44:$U$75, 28, 'Savings and benefits to bearers'!$AH56*4)</f>
        <v>0</v>
      </c>
      <c r="CE56" s="646" t="str">
        <f>INDEX('Savings of avoided crimes'!$B$44:$U$75,28,'Savings and benefits to bearers'!$AH56*4-2)</f>
        <v>CJS</v>
      </c>
      <c r="CF56" s="646" t="str">
        <f>INDEX('Savings of avoided crimes'!$B$44:$U$75, 29, 'Savings and benefits to bearers'!$AH56*4)</f>
        <v>0</v>
      </c>
      <c r="CG56" s="646" t="str">
        <f>INDEX('Savings of avoided crimes'!$B$44:$U$75,29,'Savings and benefits to bearers'!$AH56*4-2)</f>
        <v>CJS</v>
      </c>
      <c r="CH56" s="646" t="str">
        <f>INDEX('Savings of avoided crimes'!$B$44:$U$75, 30, 'Savings and benefits to bearers'!$AH56*4)</f>
        <v>0</v>
      </c>
      <c r="CI56" s="646" t="str">
        <f>INDEX('Savings of avoided crimes'!$B$44:$U$75,30,'Savings and benefits to bearers'!$AH56*4-2)</f>
        <v>CJS</v>
      </c>
      <c r="CJ56" s="646" t="str">
        <f>INDEX('Savings of avoided crimes'!$B$44:$U$75, 31, 'Savings and benefits to bearers'!$AH56*4)</f>
        <v>0</v>
      </c>
      <c r="CK56" s="646" t="str">
        <f>INDEX('Savings of avoided crimes'!$B$44:$U$75,31,'Savings and benefits to bearers'!$AH56*4-2)</f>
        <v>CJS</v>
      </c>
      <c r="CL56" s="646" t="str">
        <f>INDEX('Savings of avoided crimes'!$B$44:$U$75, 32, 'Savings and benefits to bearers'!$AH56*4)</f>
        <v>0</v>
      </c>
      <c r="CM56" s="647" t="str">
        <f>INDEX('Savings of avoided crimes'!$B$44:$U$75,32,'Savings and benefits to bearers'!$AH56*4-2)</f>
        <v>CJS</v>
      </c>
      <c r="CN56" s="114">
        <f>INDEX('Savings of avoided crimes'!$B$134:$U$143, 1, 'Savings and benefits to bearers'!$AH56*4)</f>
        <v>0</v>
      </c>
      <c r="CO56" s="114">
        <f>INDEX('Savings of avoided crimes'!$B$134:$U$143, 1, 'Savings and benefits to bearers'!$AH56*4-2)</f>
        <v>0</v>
      </c>
      <c r="CP56" s="114">
        <f>INDEX('Savings of avoided crimes'!$B$134:$U$143, 2, 'Savings and benefits to bearers'!$AH56*4)</f>
        <v>0</v>
      </c>
      <c r="CQ56" s="114">
        <f>INDEX('Savings of avoided crimes'!$B$134:$U$143, 2, 'Savings and benefits to bearers'!$AH56*4-2)</f>
        <v>0</v>
      </c>
      <c r="CR56" s="114">
        <f>INDEX('Savings of avoided crimes'!$B$134:$U$143, 3, 'Savings and benefits to bearers'!$AH56*4)</f>
        <v>0</v>
      </c>
      <c r="CS56" s="114">
        <f>INDEX('Savings of avoided crimes'!$B$134:$U$143, 3, 'Savings and benefits to bearers'!$AH56*4-2)</f>
        <v>0</v>
      </c>
      <c r="CT56" s="114">
        <f>INDEX('Savings of avoided crimes'!$B$134:$U$143, 4, 'Savings and benefits to bearers'!$AH56*4)</f>
        <v>0</v>
      </c>
      <c r="CU56" s="114">
        <f>INDEX('Savings of avoided crimes'!$B$134:$U$143, 4, 'Savings and benefits to bearers'!$AH56*4-2)</f>
        <v>0</v>
      </c>
      <c r="CV56" s="114">
        <f>INDEX('Savings of avoided crimes'!$B$134:$U$143, 5, 'Savings and benefits to bearers'!$AH56*4)</f>
        <v>0</v>
      </c>
      <c r="CW56" s="114">
        <f>INDEX('Savings of avoided crimes'!$B$134:$U$143, 5, 'Savings and benefits to bearers'!$AH56*4-2)</f>
        <v>0</v>
      </c>
      <c r="CX56" s="114">
        <f>INDEX('Savings of avoided crimes'!$B$134:$U$143, 6, 'Savings and benefits to bearers'!$AH56*4)</f>
        <v>0</v>
      </c>
      <c r="CY56" s="114">
        <f>INDEX('Savings of avoided crimes'!$B$134:$U$143, 6, 'Savings and benefits to bearers'!$AH56*4-2)</f>
        <v>0</v>
      </c>
      <c r="CZ56" s="114">
        <f>INDEX('Savings of avoided crimes'!$B$134:$U$143, 7, 'Savings and benefits to bearers'!$AH56*4)</f>
        <v>0</v>
      </c>
      <c r="DA56" s="114">
        <f>INDEX('Savings of avoided crimes'!$B$134:$U$143, 7, 'Savings and benefits to bearers'!$AH56*4-2)</f>
        <v>0</v>
      </c>
      <c r="DB56" s="114">
        <f>INDEX('Savings of avoided crimes'!$B$134:$U$143, 8, 'Savings and benefits to bearers'!$AH56*4)</f>
        <v>0</v>
      </c>
      <c r="DC56" s="114">
        <f>INDEX('Savings of avoided crimes'!$B$134:$U$143, 8, 'Savings and benefits to bearers'!$AH56*4-2)</f>
        <v>0</v>
      </c>
      <c r="DD56" s="114">
        <f>INDEX('Savings of avoided crimes'!$B$134:$U$143, 9, 'Savings and benefits to bearers'!$AH56*4)</f>
        <v>0</v>
      </c>
      <c r="DE56" s="114">
        <f>INDEX('Savings of avoided crimes'!$B$134:$U$143, 9, 'Savings and benefits to bearers'!$AH56*4-2)</f>
        <v>0</v>
      </c>
      <c r="DF56" s="114">
        <f>INDEX('Savings of avoided crimes'!$B$134:$U$143, 10, 'Savings and benefits to bearers'!$AH56*4)</f>
        <v>0</v>
      </c>
      <c r="DG56" s="114">
        <f>INDEX('Savings of avoided crimes'!$B$134:$U$143, 10, 'Savings and benefits to bearers'!$AH56*4-2)</f>
        <v>0</v>
      </c>
    </row>
    <row r="57" spans="1:111" hidden="1">
      <c r="A57" s="612" t="str">
        <f>IF((13-COUNTIF('Bearer list'!$E$4:$E$16,""))&gt;A56,A56+1,"")</f>
        <v/>
      </c>
      <c r="B57" s="367">
        <v>8</v>
      </c>
      <c r="C57" s="604" t="str">
        <f>IF(A57&lt;&gt;"",INDEX('Bearer list'!$D$4:$D$16,A57),"")</f>
        <v/>
      </c>
      <c r="D57" s="634" t="str">
        <f>IF($A57&lt;&gt;"", IF(D$2&lt;=time,D27*(1+Economics!$B$4)^(D$2-$D$2)/((1+Economics!$B$3)^(D$2-$D$2)),""), "")</f>
        <v/>
      </c>
      <c r="E57" s="605" t="str">
        <f>IF($A57&lt;&gt;"", IF(E$2&lt;=time,E27*(1+Economics!$B$4)^(E$2-$D$2)/((1+Economics!$B$3)^(E$2-$D$2)),""), "")</f>
        <v/>
      </c>
      <c r="F57" s="605" t="str">
        <f>IF($A57&lt;&gt;"", IF(F$2&lt;=time,F27*(1+Economics!$B$4)^(F$2-$D$2)/((1+Economics!$B$3)^(F$2-$D$2)),""), "")</f>
        <v/>
      </c>
      <c r="G57" s="605" t="str">
        <f>IF($A57&lt;&gt;"", IF(G$2&lt;=time,G27*(1+Economics!$B$4)^(G$2-$D$2)/((1+Economics!$B$3)^(G$2-$D$2)),""), "")</f>
        <v/>
      </c>
      <c r="H57" s="605" t="str">
        <f>IF($A57&lt;&gt;"", IF(H$2&lt;=time,H27*(1+Economics!$B$4)^(H$2-$D$2)/((1+Economics!$B$3)^(H$2-$D$2)),""), "")</f>
        <v/>
      </c>
      <c r="I57" s="605" t="str">
        <f>IF($A57&lt;&gt;"", IF(I$2&lt;=time,I27*(1+Economics!$B$4)^(I$2-$D$2)/((1+Economics!$B$3)^(I$2-$D$2)),""), "")</f>
        <v/>
      </c>
      <c r="J57" s="605" t="str">
        <f>IF($A57&lt;&gt;"", IF(J$2&lt;=time,J27*(1+Economics!$B$4)^(J$2-$D$2)/((1+Economics!$B$3)^(J$2-$D$2)),""), "")</f>
        <v/>
      </c>
      <c r="K57" s="605" t="str">
        <f>IF($A57&lt;&gt;"", IF(K$2&lt;=time,K27*(1+Economics!$B$4)^(K$2-$D$2)/((1+Economics!$B$3)^(K$2-$D$2)),""), "")</f>
        <v/>
      </c>
      <c r="L57" s="605" t="str">
        <f>IF($A57&lt;&gt;"", IF(L$2&lt;=time,L27*(1+Economics!$B$4)^(L$2-$D$2)/((1+Economics!$B$3)^(L$2-$D$2)),""), "")</f>
        <v/>
      </c>
      <c r="M57" s="605" t="str">
        <f>IF($A57&lt;&gt;"", IF(M$2&lt;=time,M27*(1+Economics!$B$4)^(M$2-$D$2)/((1+Economics!$B$3)^(M$2-$D$2)),""), "")</f>
        <v/>
      </c>
      <c r="N57" s="605" t="str">
        <f>IF($A57&lt;&gt;"", IF(N$2&lt;=time,N27*(1+Economics!$B$4)^(N$2-$D$2)/((1+Economics!$B$3)^(N$2-$D$2)),""), "")</f>
        <v/>
      </c>
      <c r="O57" s="605" t="str">
        <f>IF($A57&lt;&gt;"", IF(O$2&lt;=time,O27*(1+Economics!$B$4)^(O$2-$D$2)/((1+Economics!$B$3)^(O$2-$D$2)),""), "")</f>
        <v/>
      </c>
      <c r="P57" s="605" t="str">
        <f>IF($A57&lt;&gt;"", IF(P$2&lt;=time,P27*(1+Economics!$B$4)^(P$2-$D$2)/((1+Economics!$B$3)^(P$2-$D$2)),""), "")</f>
        <v/>
      </c>
      <c r="Q57" s="605" t="str">
        <f>IF($A57&lt;&gt;"", IF(Q$2&lt;=time,Q27*(1+Economics!$B$4)^(Q$2-$D$2)/((1+Economics!$B$3)^(Q$2-$D$2)),""), "")</f>
        <v/>
      </c>
      <c r="R57" s="605" t="str">
        <f>IF($A57&lt;&gt;"", IF(R$2&lt;=time,R27*(1+Economics!$B$4)^(R$2-$D$2)/((1+Economics!$B$3)^(R$2-$D$2)),""), "")</f>
        <v/>
      </c>
      <c r="S57" s="605" t="str">
        <f>IF($A57&lt;&gt;"", IF(S$2&lt;=time,S27*(1+Economics!$B$4)^(S$2-$D$2)/((1+Economics!$B$3)^(S$2-$D$2)),""), "")</f>
        <v/>
      </c>
      <c r="T57" s="605" t="str">
        <f>IF($A57&lt;&gt;"", IF(T$2&lt;=time,T27*(1+Economics!$B$4)^(T$2-$D$2)/((1+Economics!$B$3)^(T$2-$D$2)),""), "")</f>
        <v/>
      </c>
      <c r="U57" s="605" t="str">
        <f>IF($A57&lt;&gt;"", IF(U$2&lt;=time,U27*(1+Economics!$B$4)^(U$2-$D$2)/((1+Economics!$B$3)^(U$2-$D$2)),""), "")</f>
        <v/>
      </c>
      <c r="V57" s="605" t="str">
        <f>IF($A57&lt;&gt;"", IF(V$2&lt;=time,V27*(1+Economics!$B$4)^(V$2-$D$2)/((1+Economics!$B$3)^(V$2-$D$2)),""), "")</f>
        <v/>
      </c>
      <c r="W57" s="605" t="str">
        <f>IF($A57&lt;&gt;"", IF(W$2&lt;=time,W27*(1+Economics!$B$4)^(W$2-$D$2)/((1+Economics!$B$3)^(W$2-$D$2)),""), "")</f>
        <v/>
      </c>
      <c r="X57" s="605" t="str">
        <f>IF($A57&lt;&gt;"", IF(X$2&lt;=time,X27*(1+Economics!$B$4)^(X$2-$D$2)/((1+Economics!$B$3)^(X$2-$D$2)),""), "")</f>
        <v/>
      </c>
      <c r="Y57" s="605" t="str">
        <f>IF($A57&lt;&gt;"", IF(Y$2&lt;=time,Y27*(1+Economics!$B$4)^(Y$2-$D$2)/((1+Economics!$B$3)^(Y$2-$D$2)),""), "")</f>
        <v/>
      </c>
      <c r="Z57" s="605" t="str">
        <f>IF($A57&lt;&gt;"", IF(Z$2&lt;=time,Z27*(1+Economics!$B$4)^(Z$2-$D$2)/((1+Economics!$B$3)^(Z$2-$D$2)),""), "")</f>
        <v/>
      </c>
      <c r="AA57" s="605" t="str">
        <f>IF($A57&lt;&gt;"", IF(AA$2&lt;=time,AA27*(1+Economics!$B$4)^(AA$2-$D$2)/((1+Economics!$B$3)^(AA$2-$D$2)),""), "")</f>
        <v/>
      </c>
      <c r="AB57" s="605" t="str">
        <f>IF($A57&lt;&gt;"", IF(AB$2&lt;=time,AB27*(1+Economics!$B$4)^(AB$2-$D$2)/((1+Economics!$B$3)^(AB$2-$D$2)),""), "")</f>
        <v/>
      </c>
      <c r="AC57" s="606" t="str">
        <f t="array" ref="AC57">IF($A57&lt;&gt;"", (SUM( IF(ISERROR(D57:AB57),"", D57:AB57))), "")</f>
        <v/>
      </c>
      <c r="AD57" s="371" t="str">
        <f t="shared" si="78"/>
        <v/>
      </c>
      <c r="AH57" s="644">
        <v>1</v>
      </c>
      <c r="AI57" s="150" t="s">
        <v>565</v>
      </c>
      <c r="AJ57" s="646"/>
      <c r="AK57" s="646"/>
      <c r="AL57" s="646">
        <f>INDEX('Savings of avoided crimes'!$B$83:$AW$114, 2, 'Savings and benefits to bearers'!$AH57*4)</f>
        <v>13609.235163259613</v>
      </c>
      <c r="AM57" s="646" t="str">
        <f>INDEX('Savings of avoided crimes'!$B$83:$AW$114,2,'Savings and benefits to bearers'!$AH57*4-2)</f>
        <v>CJS</v>
      </c>
      <c r="AN57" s="646">
        <f>INDEX('Savings of avoided crimes'!$B$83:$AW$114, 3, 'Savings and benefits to bearers'!$AH57*4)</f>
        <v>1285.8223858263689</v>
      </c>
      <c r="AO57" s="646" t="str">
        <f>INDEX('Savings of avoided crimes'!$B$83:$AW$114,3,'Savings and benefits to bearers'!$AH57*4-2)</f>
        <v>CJS</v>
      </c>
      <c r="AP57" s="646">
        <f>INDEX('Savings of avoided crimes'!$B$83:$AW$114, 4, 'Savings and benefits to bearers'!$AH57*4)</f>
        <v>921.69569249500751</v>
      </c>
      <c r="AQ57" s="646" t="str">
        <f>INDEX('Savings of avoided crimes'!$B$83:$AW$114,4,'Savings and benefits to bearers'!$AH57*4-2)</f>
        <v>CJS</v>
      </c>
      <c r="AR57" s="646">
        <f>INDEX('Savings of avoided crimes'!$B$83:$AW$114,5, 'Savings and benefits to bearers'!$AH57*4)</f>
        <v>7237.0180299607991</v>
      </c>
      <c r="AS57" s="646" t="str">
        <f>INDEX('Savings of avoided crimes'!$B$83:$AW$114,5,'Savings and benefits to bearers'!$AH57*4-2)</f>
        <v>CJS</v>
      </c>
      <c r="AT57" s="646">
        <f>INDEX('Savings of avoided crimes'!$B$83:$AW$114, 6, 'Savings and benefits to bearers'!$AH57*4)</f>
        <v>648.60067249648671</v>
      </c>
      <c r="AU57" s="646" t="str">
        <f>INDEX('Savings of avoided crimes'!$B$83:$AW$114,6,'Savings and benefits to bearers'!$AH57*4-2)</f>
        <v>CJS</v>
      </c>
      <c r="AV57" s="646">
        <f>INDEX('Savings of avoided crimes'!$B$83:$AW$114, 7, 'Savings and benefits to bearers'!$AH57*4)</f>
        <v>1149.2748758271077</v>
      </c>
      <c r="AW57" s="646" t="str">
        <f>INDEX('Savings of avoided crimes'!$B$83:$AW$114,7,'Savings and benefits to bearers'!$AH57*4-2)</f>
        <v>CJS</v>
      </c>
      <c r="AX57" s="646">
        <f>INDEX('Savings of avoided crimes'!$B$83:$AW$114, 8, 'Savings and benefits to bearers'!$AH57*4)</f>
        <v>603.0848358300666</v>
      </c>
      <c r="AY57" s="646" t="str">
        <f>INDEX('Savings of avoided crimes'!$B$83:$AW$114,8,'Savings and benefits to bearers'!$AH57*4-2)</f>
        <v>CJS</v>
      </c>
      <c r="AZ57" s="646">
        <f>INDEX('Savings of avoided crimes'!$B$83:$AW$114, 9, 'Savings and benefits to bearers'!$AH57*4)</f>
        <v>2309.9287108208214</v>
      </c>
      <c r="BA57" s="646" t="str">
        <f>INDEX('Savings of avoided crimes'!$B$83:$AW$114,9,'Savings and benefits to bearers'!$AH57*4-2)</f>
        <v>CJS</v>
      </c>
      <c r="BB57" s="646">
        <f>INDEX('Savings of avoided crimes'!$B$83:$AW$114, 10, 'Savings and benefits to bearers'!$AH57*4)</f>
        <v>91.031673332840228</v>
      </c>
      <c r="BC57" s="646" t="str">
        <f>INDEX('Savings of avoided crimes'!$B$83:$AW$114,10,'Savings and benefits to bearers'!$AH57*4-2)</f>
        <v>CJS</v>
      </c>
      <c r="BD57" s="646">
        <f>INDEX('Savings of avoided crimes'!$B$83:$AW$114, 11, 'Savings and benefits to bearers'!$AH57*4)</f>
        <v>45.515836666420114</v>
      </c>
      <c r="BE57" s="646" t="str">
        <f>INDEX('Savings of avoided crimes'!$B$83:$AW$114,11,'Savings and benefits to bearers'!$AH57*4-2)</f>
        <v>CJS</v>
      </c>
      <c r="BF57" s="646">
        <f>INDEX('Savings of avoided crimes'!$B$83:$AW$114, 12, 'Savings and benefits to bearers'!$AH57*4)</f>
        <v>1228.9275899933434</v>
      </c>
      <c r="BG57" s="646" t="str">
        <f>INDEX('Savings of avoided crimes'!$B$83:$AW$114,12,'Savings and benefits to bearers'!$AH57*4-2)</f>
        <v>CJS</v>
      </c>
      <c r="BH57" s="646">
        <f>INDEX('Savings of avoided crimes'!$B$83:$AW$114, 13, 'Savings and benefits to bearers'!$AH57*4)</f>
        <v>170.68438749907546</v>
      </c>
      <c r="BI57" s="646" t="str">
        <f>INDEX('Savings of avoided crimes'!$B$83:$AW$114,13,'Savings and benefits to bearers'!$AH57*4-2)</f>
        <v>CJS</v>
      </c>
      <c r="BJ57" s="646">
        <f>INDEX('Savings of avoided crimes'!$B$83:$AW$114, 14, 'Savings and benefits to bearers'!$AH57*4)</f>
        <v>68.273754999630199</v>
      </c>
      <c r="BK57" s="646" t="str">
        <f>INDEX('Savings of avoided crimes'!$B$83:$AW$114,14,'Savings and benefits to bearers'!$AH57*4-2)</f>
        <v>CJS</v>
      </c>
      <c r="BL57" s="646" t="str">
        <f>INDEX('Savings of avoided crimes'!$B$83:$AW$114, 15, 'Savings and benefits to bearers'!$AH57*4)</f>
        <v>0</v>
      </c>
      <c r="BM57" s="647" t="str">
        <f>INDEX('Savings of avoided crimes'!$B$83:$AW$114,15,'Savings and benefits to bearers'!$AH57*4-2)</f>
        <v>CJS</v>
      </c>
      <c r="BN57" s="648">
        <f>INDEX('Savings of avoided crimes'!$B$83:$AW$114, 18, 'Savings and benefits to bearers'!$AH57*4)</f>
        <v>1149.2748758271077</v>
      </c>
      <c r="BO57" s="646" t="str">
        <f>INDEX('Savings of avoided crimes'!$B$83:$AW$114,18,'Savings and benefits to bearers'!$AH57*4-2)</f>
        <v>CJS</v>
      </c>
      <c r="BP57" s="646">
        <f>INDEX('Savings of avoided crimes'!$B$83:$AW$114, 19, 'Savings and benefits to bearers'!$AH57*4)</f>
        <v>603.0848358300666</v>
      </c>
      <c r="BQ57" s="646" t="str">
        <f>INDEX('Savings of avoided crimes'!$B$83:$AW$114,19,'Savings and benefits to bearers'!$AH57*4-2)</f>
        <v>CJS</v>
      </c>
      <c r="BR57" s="646">
        <f>INDEX('Savings of avoided crimes'!$B$83:$AW$114, 20, 'Savings and benefits to bearers'!$AH57*4)</f>
        <v>45.515836666420114</v>
      </c>
      <c r="BS57" s="646" t="str">
        <f>INDEX('Savings of avoided crimes'!$B$83:$AW$114,20,'Savings and benefits to bearers'!$AH57*4-2)</f>
        <v>CJS</v>
      </c>
      <c r="BT57" s="646">
        <f>INDEX('Savings of avoided crimes'!$B$83:$AW$114, 21, 'Savings and benefits to bearers'!$AH57*4)</f>
        <v>2309.9287108208214</v>
      </c>
      <c r="BU57" s="646" t="str">
        <f>INDEX('Savings of avoided crimes'!$B$83:$AW$114,21,'Savings and benefits to bearers'!$AH57*4-2)</f>
        <v>CJS</v>
      </c>
      <c r="BV57" s="646">
        <f>INDEX('Savings of avoided crimes'!$B$83:$AW$114, 22, 'Savings and benefits to bearers'!$AH57*4)</f>
        <v>91.031673332840228</v>
      </c>
      <c r="BW57" s="646" t="str">
        <f>INDEX('Savings of avoided crimes'!$B$83:$AW$114,22,'Savings and benefits to bearers'!$AH57*4-2)</f>
        <v>CJS</v>
      </c>
      <c r="BX57" s="646">
        <f>INDEX('Savings of avoided crimes'!$B$83:$AW$114, 23, 'Savings and benefits to bearers'!$AH57*4)</f>
        <v>1228.9275899933434</v>
      </c>
      <c r="BY57" s="646" t="str">
        <f>INDEX('Savings of avoided crimes'!$B$83:$AW$114,23,'Savings and benefits to bearers'!$AH57*4-2)</f>
        <v>CJS</v>
      </c>
      <c r="BZ57" s="646">
        <f>INDEX('Savings of avoided crimes'!$B$83:$AW$114, 24, 'Savings and benefits to bearers'!$AH57*4)</f>
        <v>170.68438749907546</v>
      </c>
      <c r="CA57" s="647" t="str">
        <f>INDEX('Savings of avoided crimes'!$B$83:$AW$114,24,'Savings and benefits to bearers'!$AH57*4-2)</f>
        <v>CJS</v>
      </c>
      <c r="CB57" s="648" t="str">
        <f>INDEX('Savings of avoided crimes'!$B$83:$AW$114, 27, 'Savings and benefits to bearers'!$AH57*4)</f>
        <v>0</v>
      </c>
      <c r="CC57" s="646" t="str">
        <f>INDEX('Savings of avoided crimes'!$B$83:$AW$114,27,'Savings and benefits to bearers'!$AH57*4-2)</f>
        <v>CJS</v>
      </c>
      <c r="CD57" s="646" t="str">
        <f>INDEX('Savings of avoided crimes'!$B$83:$AW$114, 28, 'Savings and benefits to bearers'!$AH57*4)</f>
        <v>0</v>
      </c>
      <c r="CE57" s="646" t="str">
        <f>INDEX('Savings of avoided crimes'!$B$83:$AW$114,28,'Savings and benefits to bearers'!$AH57*4-2)</f>
        <v>CJS</v>
      </c>
      <c r="CF57" s="646" t="str">
        <f>INDEX('Savings of avoided crimes'!$B$83:$AW$114, 29, 'Savings and benefits to bearers'!$AH57*4)</f>
        <v>0</v>
      </c>
      <c r="CG57" s="646" t="str">
        <f>INDEX('Savings of avoided crimes'!$B$83:$AW$114,29,'Savings and benefits to bearers'!$AH57*4-2)</f>
        <v>CJS</v>
      </c>
      <c r="CH57" s="646" t="str">
        <f>INDEX('Savings of avoided crimes'!$B$83:$AW$114, 30, 'Savings and benefits to bearers'!$AH57*4)</f>
        <v>0</v>
      </c>
      <c r="CI57" s="646" t="str">
        <f>INDEX('Savings of avoided crimes'!$B$83:$AW$114,30,'Savings and benefits to bearers'!$AH57*4-2)</f>
        <v>CJS</v>
      </c>
      <c r="CJ57" s="646" t="str">
        <f>INDEX('Savings of avoided crimes'!$B$83:$AW$114, 31, 'Savings and benefits to bearers'!$AH57*4)</f>
        <v>0</v>
      </c>
      <c r="CK57" s="646" t="str">
        <f>INDEX('Savings of avoided crimes'!$B$83:$AW$114,31,'Savings and benefits to bearers'!$AH57*4-2)</f>
        <v>CJS</v>
      </c>
      <c r="CL57" s="646" t="str">
        <f>INDEX('Savings of avoided crimes'!$B$83:$AW$114, 32, 'Savings and benefits to bearers'!$AH57*4)</f>
        <v>0</v>
      </c>
      <c r="CM57" s="647" t="str">
        <f>INDEX('Savings of avoided crimes'!$B$83:$AW$114,32,'Savings and benefits to bearers'!$AH57*4-2)</f>
        <v>CJS</v>
      </c>
      <c r="CN57" s="114">
        <f>INDEX('Savings of avoided crimes'!$B$148:$I$157, 1, 'Savings and benefits to bearers'!$AH57*4)</f>
        <v>0</v>
      </c>
      <c r="CO57" s="114">
        <f>INDEX('Savings of avoided crimes'!$B$148:$I$157, 1, 'Savings and benefits to bearers'!$AH57*4-2)</f>
        <v>0</v>
      </c>
      <c r="CP57" s="114">
        <f>INDEX('Savings of avoided crimes'!$B$148:$I$157, 2, 'Savings and benefits to bearers'!$AH57*4)</f>
        <v>0</v>
      </c>
      <c r="CQ57" s="114">
        <f>INDEX('Savings of avoided crimes'!$B$148:$I$157, 2, 'Savings and benefits to bearers'!$AH57*4-2)</f>
        <v>0</v>
      </c>
      <c r="CR57" s="114">
        <f>INDEX('Savings of avoided crimes'!$B$148:$I$157, 3, 'Savings and benefits to bearers'!$AH57*4)</f>
        <v>0</v>
      </c>
      <c r="CS57" s="114">
        <f>INDEX('Savings of avoided crimes'!$B$148:$I$157, 3, 'Savings and benefits to bearers'!$AH57*4-2)</f>
        <v>0</v>
      </c>
      <c r="CT57" s="114">
        <f>INDEX('Savings of avoided crimes'!$B$148:$I$157, 4, 'Savings and benefits to bearers'!$AH57*4)</f>
        <v>0</v>
      </c>
      <c r="CU57" s="114">
        <f>INDEX('Savings of avoided crimes'!$B$148:$I$157, 4, 'Savings and benefits to bearers'!$AH57*4-2)</f>
        <v>0</v>
      </c>
      <c r="CV57" s="114">
        <f>INDEX('Savings of avoided crimes'!$B$148:$I$157, 5, 'Savings and benefits to bearers'!$AH57*4)</f>
        <v>0</v>
      </c>
      <c r="CW57" s="114">
        <f>INDEX('Savings of avoided crimes'!$B$148:$I$157, 5, 'Savings and benefits to bearers'!$AH57*4-2)</f>
        <v>0</v>
      </c>
      <c r="CX57" s="114">
        <f>INDEX('Savings of avoided crimes'!$B$148:$I$157, 6, 'Savings and benefits to bearers'!$AH57*4)</f>
        <v>0</v>
      </c>
      <c r="CY57" s="114">
        <f>INDEX('Savings of avoided crimes'!$B$148:$I$157, 6, 'Savings and benefits to bearers'!$AH57*4-2)</f>
        <v>0</v>
      </c>
      <c r="CZ57" s="114">
        <f>INDEX('Savings of avoided crimes'!$B$148:$I$157, 7, 'Savings and benefits to bearers'!$AH57*4)</f>
        <v>0</v>
      </c>
      <c r="DA57" s="114">
        <f>INDEX('Savings of avoided crimes'!$B$148:$I$157, 7, 'Savings and benefits to bearers'!$AH57*4-2)</f>
        <v>0</v>
      </c>
      <c r="DB57" s="114">
        <f>INDEX('Savings of avoided crimes'!$B$148:$I$157, 8, 'Savings and benefits to bearers'!$AH57*4)</f>
        <v>0</v>
      </c>
      <c r="DC57" s="114">
        <f>INDEX('Savings of avoided crimes'!$B$148:$I$157, 8, 'Savings and benefits to bearers'!$AH57*4-2)</f>
        <v>0</v>
      </c>
      <c r="DD57" s="114">
        <f>INDEX('Savings of avoided crimes'!$B$148:$I$157, 9, 'Savings and benefits to bearers'!$AH57*4)</f>
        <v>0</v>
      </c>
      <c r="DE57" s="114">
        <f>INDEX('Savings of avoided crimes'!$B$148:$I$157, 9, 'Savings and benefits to bearers'!$AH57*4-2)</f>
        <v>0</v>
      </c>
      <c r="DF57" s="114">
        <f>INDEX('Savings of avoided crimes'!$B$148:$I$157, 10, 'Savings and benefits to bearers'!$AH57*4)</f>
        <v>0</v>
      </c>
      <c r="DG57" s="114">
        <f>INDEX('Savings of avoided crimes'!$B$148:$I$157, 10, 'Savings and benefits to bearers'!$AH57*4-2)</f>
        <v>0</v>
      </c>
    </row>
    <row r="58" spans="1:111" hidden="1">
      <c r="A58" s="612" t="str">
        <f>IF((13-COUNTIF('Bearer list'!$E$4:$E$16,""))&gt;A57,A57+1,"")</f>
        <v/>
      </c>
      <c r="B58" s="367">
        <v>9</v>
      </c>
      <c r="C58" s="604" t="str">
        <f>IF(A58&lt;&gt;"",INDEX('Bearer list'!$D$4:$D$16,A58),"")</f>
        <v/>
      </c>
      <c r="D58" s="634" t="str">
        <f>IF($A58&lt;&gt;"", IF(D$2&lt;=time,D28*(1+Economics!$B$4)^(D$2-$D$2)/((1+Economics!$B$3)^(D$2-$D$2)),""), "")</f>
        <v/>
      </c>
      <c r="E58" s="605" t="str">
        <f>IF($A58&lt;&gt;"", IF(E$2&lt;=time,E28*(1+Economics!$B$4)^(E$2-$D$2)/((1+Economics!$B$3)^(E$2-$D$2)),""), "")</f>
        <v/>
      </c>
      <c r="F58" s="605" t="str">
        <f>IF($A58&lt;&gt;"", IF(F$2&lt;=time,F28*(1+Economics!$B$4)^(F$2-$D$2)/((1+Economics!$B$3)^(F$2-$D$2)),""), "")</f>
        <v/>
      </c>
      <c r="G58" s="605" t="str">
        <f>IF($A58&lt;&gt;"", IF(G$2&lt;=time,G28*(1+Economics!$B$4)^(G$2-$D$2)/((1+Economics!$B$3)^(G$2-$D$2)),""), "")</f>
        <v/>
      </c>
      <c r="H58" s="605" t="str">
        <f>IF($A58&lt;&gt;"", IF(H$2&lt;=time,H28*(1+Economics!$B$4)^(H$2-$D$2)/((1+Economics!$B$3)^(H$2-$D$2)),""), "")</f>
        <v/>
      </c>
      <c r="I58" s="605" t="str">
        <f>IF($A58&lt;&gt;"", IF(I$2&lt;=time,I28*(1+Economics!$B$4)^(I$2-$D$2)/((1+Economics!$B$3)^(I$2-$D$2)),""), "")</f>
        <v/>
      </c>
      <c r="J58" s="605" t="str">
        <f>IF($A58&lt;&gt;"", IF(J$2&lt;=time,J28*(1+Economics!$B$4)^(J$2-$D$2)/((1+Economics!$B$3)^(J$2-$D$2)),""), "")</f>
        <v/>
      </c>
      <c r="K58" s="605" t="str">
        <f>IF($A58&lt;&gt;"", IF(K$2&lt;=time,K28*(1+Economics!$B$4)^(K$2-$D$2)/((1+Economics!$B$3)^(K$2-$D$2)),""), "")</f>
        <v/>
      </c>
      <c r="L58" s="605" t="str">
        <f>IF($A58&lt;&gt;"", IF(L$2&lt;=time,L28*(1+Economics!$B$4)^(L$2-$D$2)/((1+Economics!$B$3)^(L$2-$D$2)),""), "")</f>
        <v/>
      </c>
      <c r="M58" s="605" t="str">
        <f>IF($A58&lt;&gt;"", IF(M$2&lt;=time,M28*(1+Economics!$B$4)^(M$2-$D$2)/((1+Economics!$B$3)^(M$2-$D$2)),""), "")</f>
        <v/>
      </c>
      <c r="N58" s="605" t="str">
        <f>IF($A58&lt;&gt;"", IF(N$2&lt;=time,N28*(1+Economics!$B$4)^(N$2-$D$2)/((1+Economics!$B$3)^(N$2-$D$2)),""), "")</f>
        <v/>
      </c>
      <c r="O58" s="605" t="str">
        <f>IF($A58&lt;&gt;"", IF(O$2&lt;=time,O28*(1+Economics!$B$4)^(O$2-$D$2)/((1+Economics!$B$3)^(O$2-$D$2)),""), "")</f>
        <v/>
      </c>
      <c r="P58" s="605" t="str">
        <f>IF($A58&lt;&gt;"", IF(P$2&lt;=time,P28*(1+Economics!$B$4)^(P$2-$D$2)/((1+Economics!$B$3)^(P$2-$D$2)),""), "")</f>
        <v/>
      </c>
      <c r="Q58" s="605" t="str">
        <f>IF($A58&lt;&gt;"", IF(Q$2&lt;=time,Q28*(1+Economics!$B$4)^(Q$2-$D$2)/((1+Economics!$B$3)^(Q$2-$D$2)),""), "")</f>
        <v/>
      </c>
      <c r="R58" s="605" t="str">
        <f>IF($A58&lt;&gt;"", IF(R$2&lt;=time,R28*(1+Economics!$B$4)^(R$2-$D$2)/((1+Economics!$B$3)^(R$2-$D$2)),""), "")</f>
        <v/>
      </c>
      <c r="S58" s="605" t="str">
        <f>IF($A58&lt;&gt;"", IF(S$2&lt;=time,S28*(1+Economics!$B$4)^(S$2-$D$2)/((1+Economics!$B$3)^(S$2-$D$2)),""), "")</f>
        <v/>
      </c>
      <c r="T58" s="605" t="str">
        <f>IF($A58&lt;&gt;"", IF(T$2&lt;=time,T28*(1+Economics!$B$4)^(T$2-$D$2)/((1+Economics!$B$3)^(T$2-$D$2)),""), "")</f>
        <v/>
      </c>
      <c r="U58" s="605" t="str">
        <f>IF($A58&lt;&gt;"", IF(U$2&lt;=time,U28*(1+Economics!$B$4)^(U$2-$D$2)/((1+Economics!$B$3)^(U$2-$D$2)),""), "")</f>
        <v/>
      </c>
      <c r="V58" s="605" t="str">
        <f>IF($A58&lt;&gt;"", IF(V$2&lt;=time,V28*(1+Economics!$B$4)^(V$2-$D$2)/((1+Economics!$B$3)^(V$2-$D$2)),""), "")</f>
        <v/>
      </c>
      <c r="W58" s="605" t="str">
        <f>IF($A58&lt;&gt;"", IF(W$2&lt;=time,W28*(1+Economics!$B$4)^(W$2-$D$2)/((1+Economics!$B$3)^(W$2-$D$2)),""), "")</f>
        <v/>
      </c>
      <c r="X58" s="605" t="str">
        <f>IF($A58&lt;&gt;"", IF(X$2&lt;=time,X28*(1+Economics!$B$4)^(X$2-$D$2)/((1+Economics!$B$3)^(X$2-$D$2)),""), "")</f>
        <v/>
      </c>
      <c r="Y58" s="605" t="str">
        <f>IF($A58&lt;&gt;"", IF(Y$2&lt;=time,Y28*(1+Economics!$B$4)^(Y$2-$D$2)/((1+Economics!$B$3)^(Y$2-$D$2)),""), "")</f>
        <v/>
      </c>
      <c r="Z58" s="605" t="str">
        <f>IF($A58&lt;&gt;"", IF(Z$2&lt;=time,Z28*(1+Economics!$B$4)^(Z$2-$D$2)/((1+Economics!$B$3)^(Z$2-$D$2)),""), "")</f>
        <v/>
      </c>
      <c r="AA58" s="605" t="str">
        <f>IF($A58&lt;&gt;"", IF(AA$2&lt;=time,AA28*(1+Economics!$B$4)^(AA$2-$D$2)/((1+Economics!$B$3)^(AA$2-$D$2)),""), "")</f>
        <v/>
      </c>
      <c r="AB58" s="605" t="str">
        <f>IF($A58&lt;&gt;"", IF(AB$2&lt;=time,AB28*(1+Economics!$B$4)^(AB$2-$D$2)/((1+Economics!$B$3)^(AB$2-$D$2)),""), "")</f>
        <v/>
      </c>
      <c r="AC58" s="606" t="str">
        <f t="array" ref="AC58">IF($A58&lt;&gt;"", (SUM( IF(ISERROR(D58:AB58),"", D58:AB58))), "")</f>
        <v/>
      </c>
      <c r="AD58" s="371" t="str">
        <f t="shared" si="78"/>
        <v/>
      </c>
      <c r="AH58" s="644">
        <v>2</v>
      </c>
      <c r="AI58" s="150" t="s">
        <v>566</v>
      </c>
      <c r="AJ58" s="646"/>
      <c r="AK58" s="646"/>
      <c r="AL58" s="646">
        <f>INDEX('Savings of avoided crimes'!$B$83:$AW$114, 2, 'Savings and benefits to bearers'!$AH58*4)</f>
        <v>911431.87132672966</v>
      </c>
      <c r="AM58" s="646" t="str">
        <f>INDEX('Savings of avoided crimes'!$B$83:$AW$114,2,'Savings and benefits to bearers'!$AH58*4-2)</f>
        <v>CJS</v>
      </c>
      <c r="AN58" s="646">
        <f>INDEX('Savings of avoided crimes'!$B$83:$AW$114, 3, 'Savings and benefits to bearers'!$AH58*4)</f>
        <v>1558.9174058248893</v>
      </c>
      <c r="AO58" s="646" t="str">
        <f>INDEX('Savings of avoided crimes'!$B$83:$AW$114,3,'Savings and benefits to bearers'!$AH58*4-2)</f>
        <v>CJS</v>
      </c>
      <c r="AP58" s="646">
        <f>INDEX('Savings of avoided crimes'!$B$83:$AW$114, 4, 'Savings and benefits to bearers'!$AH58*4)</f>
        <v>1422.3698958256286</v>
      </c>
      <c r="AQ58" s="646" t="str">
        <f>INDEX('Savings of avoided crimes'!$B$83:$AW$114,4,'Savings and benefits to bearers'!$AH58*4-2)</f>
        <v>CJS</v>
      </c>
      <c r="AR58" s="646">
        <f>INDEX('Savings of avoided crimes'!$B$83:$AW$114,5, 'Savings and benefits to bearers'!$AH58*4)</f>
        <v>659.97963166309182</v>
      </c>
      <c r="AS58" s="646" t="str">
        <f>INDEX('Savings of avoided crimes'!$B$83:$AW$114,5,'Savings and benefits to bearers'!$AH58*4-2)</f>
        <v>CJS</v>
      </c>
      <c r="AT58" s="646">
        <f>INDEX('Savings of avoided crimes'!$B$83:$AW$114, 6, 'Savings and benefits to bearers'!$AH58*4)</f>
        <v>659.97963166309182</v>
      </c>
      <c r="AU58" s="646" t="str">
        <f>INDEX('Savings of avoided crimes'!$B$83:$AW$114,6,'Savings and benefits to bearers'!$AH58*4-2)</f>
        <v>CJS</v>
      </c>
      <c r="AV58" s="646">
        <f>INDEX('Savings of avoided crimes'!$B$83:$AW$114, 7, 'Savings and benefits to bearers'!$AH58*4)</f>
        <v>4176.0780141440464</v>
      </c>
      <c r="AW58" s="646" t="str">
        <f>INDEX('Savings of avoided crimes'!$B$83:$AW$114,7,'Savings and benefits to bearers'!$AH58*4-2)</f>
        <v>CJS</v>
      </c>
      <c r="AX58" s="646">
        <f>INDEX('Savings of avoided crimes'!$B$83:$AW$114, 8, 'Savings and benefits to bearers'!$AH58*4)</f>
        <v>1445.1278141588389</v>
      </c>
      <c r="AY58" s="646" t="str">
        <f>INDEX('Savings of avoided crimes'!$B$83:$AW$114,8,'Savings and benefits to bearers'!$AH58*4-2)</f>
        <v>CJS</v>
      </c>
      <c r="AZ58" s="646">
        <f>INDEX('Savings of avoided crimes'!$B$83:$AW$114, 9, 'Savings and benefits to bearers'!$AH58*4)</f>
        <v>2127.8653641551409</v>
      </c>
      <c r="BA58" s="646" t="str">
        <f>INDEX('Savings of avoided crimes'!$B$83:$AW$114,9,'Savings and benefits to bearers'!$AH58*4-2)</f>
        <v>CJS</v>
      </c>
      <c r="BB58" s="646">
        <f>INDEX('Savings of avoided crimes'!$B$83:$AW$114, 10, 'Savings and benefits to bearers'!$AH58*4)</f>
        <v>113.7895916660503</v>
      </c>
      <c r="BC58" s="646" t="str">
        <f>INDEX('Savings of avoided crimes'!$B$83:$AW$114,10,'Savings and benefits to bearers'!$AH58*4-2)</f>
        <v>CJS</v>
      </c>
      <c r="BD58" s="646">
        <f>INDEX('Savings of avoided crimes'!$B$83:$AW$114, 11, 'Savings and benefits to bearers'!$AH58*4)</f>
        <v>443.77940749759614</v>
      </c>
      <c r="BE58" s="646" t="str">
        <f>INDEX('Savings of avoided crimes'!$B$83:$AW$114,11,'Savings and benefits to bearers'!$AH58*4-2)</f>
        <v>CJS</v>
      </c>
      <c r="BF58" s="646">
        <f>INDEX('Savings of avoided crimes'!$B$83:$AW$114, 12, 'Savings and benefits to bearers'!$AH58*4)</f>
        <v>4437.7940749759609</v>
      </c>
      <c r="BG58" s="646" t="str">
        <f>INDEX('Savings of avoided crimes'!$B$83:$AW$114,12,'Savings and benefits to bearers'!$AH58*4-2)</f>
        <v>CJS</v>
      </c>
      <c r="BH58" s="646">
        <f>INDEX('Savings of avoided crimes'!$B$83:$AW$114, 13, 'Savings and benefits to bearers'!$AH58*4)</f>
        <v>398.26357083117608</v>
      </c>
      <c r="BI58" s="646" t="str">
        <f>INDEX('Savings of avoided crimes'!$B$83:$AW$114,13,'Savings and benefits to bearers'!$AH58*4-2)</f>
        <v>CJS</v>
      </c>
      <c r="BJ58" s="646">
        <f>INDEX('Savings of avoided crimes'!$B$83:$AW$114, 14, 'Savings and benefits to bearers'!$AH58*4)</f>
        <v>193.44230583228551</v>
      </c>
      <c r="BK58" s="646" t="str">
        <f>INDEX('Savings of avoided crimes'!$B$83:$AW$114,14,'Savings and benefits to bearers'!$AH58*4-2)</f>
        <v>CJS</v>
      </c>
      <c r="BL58" s="646">
        <f>INDEX('Savings of avoided crimes'!$B$83:$AW$114, 15, 'Savings and benefits to bearers'!$AH58*4)</f>
        <v>0</v>
      </c>
      <c r="BM58" s="647" t="str">
        <f>INDEX('Savings of avoided crimes'!$B$83:$AW$114,15,'Savings and benefits to bearers'!$AH58*4-2)</f>
        <v>CJS</v>
      </c>
      <c r="BN58" s="648">
        <f>INDEX('Savings of avoided crimes'!$B$83:$AW$114, 18, 'Savings and benefits to bearers'!$AH58*4)</f>
        <v>4176.0780141440464</v>
      </c>
      <c r="BO58" s="646" t="str">
        <f>INDEX('Savings of avoided crimes'!$B$83:$AW$114,18,'Savings and benefits to bearers'!$AH58*4-2)</f>
        <v>CJS</v>
      </c>
      <c r="BP58" s="646">
        <f>INDEX('Savings of avoided crimes'!$B$83:$AW$114, 19, 'Savings and benefits to bearers'!$AH58*4)</f>
        <v>2548.8868533195268</v>
      </c>
      <c r="BQ58" s="646" t="str">
        <f>INDEX('Savings of avoided crimes'!$B$83:$AW$114,19,'Savings and benefits to bearers'!$AH58*4-2)</f>
        <v>CJS</v>
      </c>
      <c r="BR58" s="646">
        <f>INDEX('Savings of avoided crimes'!$B$83:$AW$114, 20, 'Savings and benefits to bearers'!$AH58*4)</f>
        <v>227.5791833321006</v>
      </c>
      <c r="BS58" s="646" t="str">
        <f>INDEX('Savings of avoided crimes'!$B$83:$AW$114,20,'Savings and benefits to bearers'!$AH58*4-2)</f>
        <v>CJS</v>
      </c>
      <c r="BT58" s="646">
        <f>INDEX('Savings of avoided crimes'!$B$83:$AW$114, 21, 'Savings and benefits to bearers'!$AH58*4)</f>
        <v>2127.8653641551409</v>
      </c>
      <c r="BU58" s="646" t="str">
        <f>INDEX('Savings of avoided crimes'!$B$83:$AW$114,21,'Savings and benefits to bearers'!$AH58*4-2)</f>
        <v>CJS</v>
      </c>
      <c r="BV58" s="646">
        <f>INDEX('Savings of avoided crimes'!$B$83:$AW$114, 22, 'Savings and benefits to bearers'!$AH58*4)</f>
        <v>113.7895916660503</v>
      </c>
      <c r="BW58" s="646" t="str">
        <f>INDEX('Savings of avoided crimes'!$B$83:$AW$114,22,'Savings and benefits to bearers'!$AH58*4-2)</f>
        <v>CJS</v>
      </c>
      <c r="BX58" s="646">
        <f>INDEX('Savings of avoided crimes'!$B$83:$AW$114, 23, 'Savings and benefits to bearers'!$AH58*4)</f>
        <v>4437.7940749759609</v>
      </c>
      <c r="BY58" s="646" t="str">
        <f>INDEX('Savings of avoided crimes'!$B$83:$AW$114,23,'Savings and benefits to bearers'!$AH58*4-2)</f>
        <v>CJS</v>
      </c>
      <c r="BZ58" s="646">
        <f>INDEX('Savings of avoided crimes'!$B$83:$AW$114, 24, 'Savings and benefits to bearers'!$AH58*4)</f>
        <v>398.26357083117608</v>
      </c>
      <c r="CA58" s="647" t="str">
        <f>INDEX('Savings of avoided crimes'!$B$83:$AW$114,24,'Savings and benefits to bearers'!$AH58*4-2)</f>
        <v>CJS</v>
      </c>
      <c r="CB58" s="648" t="str">
        <f>INDEX('Savings of avoided crimes'!$B$83:$AW$114, 27, 'Savings and benefits to bearers'!$AH58*4)</f>
        <v>0</v>
      </c>
      <c r="CC58" s="646" t="str">
        <f>INDEX('Savings of avoided crimes'!$B$83:$AW$114,27,'Savings and benefits to bearers'!$AH58*4-2)</f>
        <v>CJS</v>
      </c>
      <c r="CD58" s="646" t="str">
        <f>INDEX('Savings of avoided crimes'!$B$83:$AW$114, 28, 'Savings and benefits to bearers'!$AH58*4)</f>
        <v>0</v>
      </c>
      <c r="CE58" s="646" t="str">
        <f>INDEX('Savings of avoided crimes'!$B$83:$AW$114,28,'Savings and benefits to bearers'!$AH58*4-2)</f>
        <v>CJS</v>
      </c>
      <c r="CF58" s="646" t="str">
        <f>INDEX('Savings of avoided crimes'!$B$83:$AW$114, 29, 'Savings and benefits to bearers'!$AH58*4)</f>
        <v>0</v>
      </c>
      <c r="CG58" s="646" t="str">
        <f>INDEX('Savings of avoided crimes'!$B$83:$AW$114,29,'Savings and benefits to bearers'!$AH58*4-2)</f>
        <v>CJS</v>
      </c>
      <c r="CH58" s="646" t="str">
        <f>INDEX('Savings of avoided crimes'!$B$83:$AW$114, 30, 'Savings and benefits to bearers'!$AH58*4)</f>
        <v>0</v>
      </c>
      <c r="CI58" s="646" t="str">
        <f>INDEX('Savings of avoided crimes'!$B$83:$AW$114,30,'Savings and benefits to bearers'!$AH58*4-2)</f>
        <v>CJS</v>
      </c>
      <c r="CJ58" s="646" t="str">
        <f>INDEX('Savings of avoided crimes'!$B$83:$AW$114, 31, 'Savings and benefits to bearers'!$AH58*4)</f>
        <v>0</v>
      </c>
      <c r="CK58" s="646" t="str">
        <f>INDEX('Savings of avoided crimes'!$B$83:$AW$114,31,'Savings and benefits to bearers'!$AH58*4-2)</f>
        <v>CJS</v>
      </c>
      <c r="CL58" s="646" t="str">
        <f>INDEX('Savings of avoided crimes'!$B$83:$AW$114, 32, 'Savings and benefits to bearers'!$AH58*4)</f>
        <v>0</v>
      </c>
      <c r="CM58" s="647" t="str">
        <f>INDEX('Savings of avoided crimes'!$B$83:$AW$114,32,'Savings and benefits to bearers'!$AH58*4-2)</f>
        <v>CJS</v>
      </c>
      <c r="CN58" s="114">
        <f>INDEX('Savings of avoided crimes'!$B$148:$I$157, 1, 'Savings and benefits to bearers'!$AH58*4)</f>
        <v>0</v>
      </c>
      <c r="CO58" s="114">
        <f>INDEX('Savings of avoided crimes'!$B$148:$I$157, 1, 'Savings and benefits to bearers'!$AH58*4-2)</f>
        <v>0</v>
      </c>
      <c r="CP58" s="114">
        <f>INDEX('Savings of avoided crimes'!$B$148:$I$157, 2, 'Savings and benefits to bearers'!$AH58*4)</f>
        <v>0</v>
      </c>
      <c r="CQ58" s="114">
        <f>INDEX('Savings of avoided crimes'!$B$148:$I$157, 2, 'Savings and benefits to bearers'!$AH58*4-2)</f>
        <v>0</v>
      </c>
      <c r="CR58" s="114">
        <f>INDEX('Savings of avoided crimes'!$B$148:$I$157, 3, 'Savings and benefits to bearers'!$AH58*4)</f>
        <v>0</v>
      </c>
      <c r="CS58" s="114">
        <f>INDEX('Savings of avoided crimes'!$B$148:$I$157, 3, 'Savings and benefits to bearers'!$AH58*4-2)</f>
        <v>0</v>
      </c>
      <c r="CT58" s="114">
        <f>INDEX('Savings of avoided crimes'!$B$148:$I$157, 4, 'Savings and benefits to bearers'!$AH58*4)</f>
        <v>0</v>
      </c>
      <c r="CU58" s="114">
        <f>INDEX('Savings of avoided crimes'!$B$148:$I$157, 4, 'Savings and benefits to bearers'!$AH58*4-2)</f>
        <v>0</v>
      </c>
      <c r="CV58" s="114">
        <f>INDEX('Savings of avoided crimes'!$B$148:$I$157, 5, 'Savings and benefits to bearers'!$AH58*4)</f>
        <v>0</v>
      </c>
      <c r="CW58" s="114">
        <f>INDEX('Savings of avoided crimes'!$B$148:$I$157, 5, 'Savings and benefits to bearers'!$AH58*4-2)</f>
        <v>0</v>
      </c>
      <c r="CX58" s="114">
        <f>INDEX('Savings of avoided crimes'!$B$148:$I$157, 6, 'Savings and benefits to bearers'!$AH58*4)</f>
        <v>0</v>
      </c>
      <c r="CY58" s="114">
        <f>INDEX('Savings of avoided crimes'!$B$148:$I$157, 6, 'Savings and benefits to bearers'!$AH58*4-2)</f>
        <v>0</v>
      </c>
      <c r="CZ58" s="114">
        <f>INDEX('Savings of avoided crimes'!$B$148:$I$157, 7, 'Savings and benefits to bearers'!$AH58*4)</f>
        <v>0</v>
      </c>
      <c r="DA58" s="114">
        <f>INDEX('Savings of avoided crimes'!$B$148:$I$157, 7, 'Savings and benefits to bearers'!$AH58*4-2)</f>
        <v>0</v>
      </c>
      <c r="DB58" s="114">
        <f>INDEX('Savings of avoided crimes'!$B$148:$I$157, 8, 'Savings and benefits to bearers'!$AH58*4)</f>
        <v>0</v>
      </c>
      <c r="DC58" s="114">
        <f>INDEX('Savings of avoided crimes'!$B$148:$I$157, 8, 'Savings and benefits to bearers'!$AH58*4-2)</f>
        <v>0</v>
      </c>
      <c r="DD58" s="114">
        <f>INDEX('Savings of avoided crimes'!$B$148:$I$157, 9, 'Savings and benefits to bearers'!$AH58*4)</f>
        <v>0</v>
      </c>
      <c r="DE58" s="114">
        <f>INDEX('Savings of avoided crimes'!$B$148:$I$157, 9, 'Savings and benefits to bearers'!$AH58*4-2)</f>
        <v>0</v>
      </c>
      <c r="DF58" s="114">
        <f>INDEX('Savings of avoided crimes'!$B$148:$I$157, 10, 'Savings and benefits to bearers'!$AH58*4)</f>
        <v>0</v>
      </c>
      <c r="DG58" s="114">
        <f>INDEX('Savings of avoided crimes'!$B$148:$I$157, 10, 'Savings and benefits to bearers'!$AH58*4-2)</f>
        <v>0</v>
      </c>
    </row>
    <row r="59" spans="1:111" hidden="1">
      <c r="A59" s="612" t="str">
        <f>IF((13-COUNTIF('Bearer list'!$E$4:$E$16,""))&gt;A58,A58+1,"")</f>
        <v/>
      </c>
      <c r="B59" s="367">
        <v>10</v>
      </c>
      <c r="C59" s="604" t="str">
        <f>IF(A59&lt;&gt;"",INDEX('Bearer list'!$D$4:$D$16,A59),"")</f>
        <v/>
      </c>
      <c r="D59" s="634" t="str">
        <f>IF($A59&lt;&gt;"", IF(D$2&lt;=time,D29*(1+Economics!$B$4)^(D$2-$D$2)/((1+Economics!$B$3)^(D$2-$D$2)),""), "")</f>
        <v/>
      </c>
      <c r="E59" s="605" t="str">
        <f>IF($A59&lt;&gt;"", IF(E$2&lt;=time,E29*(1+Economics!$B$4)^(E$2-$D$2)/((1+Economics!$B$3)^(E$2-$D$2)),""), "")</f>
        <v/>
      </c>
      <c r="F59" s="605" t="str">
        <f>IF($A59&lt;&gt;"", IF(F$2&lt;=time,F29*(1+Economics!$B$4)^(F$2-$D$2)/((1+Economics!$B$3)^(F$2-$D$2)),""), "")</f>
        <v/>
      </c>
      <c r="G59" s="605" t="str">
        <f>IF($A59&lt;&gt;"", IF(G$2&lt;=time,G29*(1+Economics!$B$4)^(G$2-$D$2)/((1+Economics!$B$3)^(G$2-$D$2)),""), "")</f>
        <v/>
      </c>
      <c r="H59" s="605" t="str">
        <f>IF($A59&lt;&gt;"", IF(H$2&lt;=time,H29*(1+Economics!$B$4)^(H$2-$D$2)/((1+Economics!$B$3)^(H$2-$D$2)),""), "")</f>
        <v/>
      </c>
      <c r="I59" s="605" t="str">
        <f>IF($A59&lt;&gt;"", IF(I$2&lt;=time,I29*(1+Economics!$B$4)^(I$2-$D$2)/((1+Economics!$B$3)^(I$2-$D$2)),""), "")</f>
        <v/>
      </c>
      <c r="J59" s="605" t="str">
        <f>IF($A59&lt;&gt;"", IF(J$2&lt;=time,J29*(1+Economics!$B$4)^(J$2-$D$2)/((1+Economics!$B$3)^(J$2-$D$2)),""), "")</f>
        <v/>
      </c>
      <c r="K59" s="605" t="str">
        <f>IF($A59&lt;&gt;"", IF(K$2&lt;=time,K29*(1+Economics!$B$4)^(K$2-$D$2)/((1+Economics!$B$3)^(K$2-$D$2)),""), "")</f>
        <v/>
      </c>
      <c r="L59" s="605" t="str">
        <f>IF($A59&lt;&gt;"", IF(L$2&lt;=time,L29*(1+Economics!$B$4)^(L$2-$D$2)/((1+Economics!$B$3)^(L$2-$D$2)),""), "")</f>
        <v/>
      </c>
      <c r="M59" s="605" t="str">
        <f>IF($A59&lt;&gt;"", IF(M$2&lt;=time,M29*(1+Economics!$B$4)^(M$2-$D$2)/((1+Economics!$B$3)^(M$2-$D$2)),""), "")</f>
        <v/>
      </c>
      <c r="N59" s="605" t="str">
        <f>IF($A59&lt;&gt;"", IF(N$2&lt;=time,N29*(1+Economics!$B$4)^(N$2-$D$2)/((1+Economics!$B$3)^(N$2-$D$2)),""), "")</f>
        <v/>
      </c>
      <c r="O59" s="605" t="str">
        <f>IF($A59&lt;&gt;"", IF(O$2&lt;=time,O29*(1+Economics!$B$4)^(O$2-$D$2)/((1+Economics!$B$3)^(O$2-$D$2)),""), "")</f>
        <v/>
      </c>
      <c r="P59" s="605" t="str">
        <f>IF($A59&lt;&gt;"", IF(P$2&lt;=time,P29*(1+Economics!$B$4)^(P$2-$D$2)/((1+Economics!$B$3)^(P$2-$D$2)),""), "")</f>
        <v/>
      </c>
      <c r="Q59" s="605" t="str">
        <f>IF($A59&lt;&gt;"", IF(Q$2&lt;=time,Q29*(1+Economics!$B$4)^(Q$2-$D$2)/((1+Economics!$B$3)^(Q$2-$D$2)),""), "")</f>
        <v/>
      </c>
      <c r="R59" s="605" t="str">
        <f>IF($A59&lt;&gt;"", IF(R$2&lt;=time,R29*(1+Economics!$B$4)^(R$2-$D$2)/((1+Economics!$B$3)^(R$2-$D$2)),""), "")</f>
        <v/>
      </c>
      <c r="S59" s="605" t="str">
        <f>IF($A59&lt;&gt;"", IF(S$2&lt;=time,S29*(1+Economics!$B$4)^(S$2-$D$2)/((1+Economics!$B$3)^(S$2-$D$2)),""), "")</f>
        <v/>
      </c>
      <c r="T59" s="605" t="str">
        <f>IF($A59&lt;&gt;"", IF(T$2&lt;=time,T29*(1+Economics!$B$4)^(T$2-$D$2)/((1+Economics!$B$3)^(T$2-$D$2)),""), "")</f>
        <v/>
      </c>
      <c r="U59" s="605" t="str">
        <f>IF($A59&lt;&gt;"", IF(U$2&lt;=time,U29*(1+Economics!$B$4)^(U$2-$D$2)/((1+Economics!$B$3)^(U$2-$D$2)),""), "")</f>
        <v/>
      </c>
      <c r="V59" s="605" t="str">
        <f>IF($A59&lt;&gt;"", IF(V$2&lt;=time,V29*(1+Economics!$B$4)^(V$2-$D$2)/((1+Economics!$B$3)^(V$2-$D$2)),""), "")</f>
        <v/>
      </c>
      <c r="W59" s="605" t="str">
        <f>IF($A59&lt;&gt;"", IF(W$2&lt;=time,W29*(1+Economics!$B$4)^(W$2-$D$2)/((1+Economics!$B$3)^(W$2-$D$2)),""), "")</f>
        <v/>
      </c>
      <c r="X59" s="605" t="str">
        <f>IF($A59&lt;&gt;"", IF(X$2&lt;=time,X29*(1+Economics!$B$4)^(X$2-$D$2)/((1+Economics!$B$3)^(X$2-$D$2)),""), "")</f>
        <v/>
      </c>
      <c r="Y59" s="605" t="str">
        <f>IF($A59&lt;&gt;"", IF(Y$2&lt;=time,Y29*(1+Economics!$B$4)^(Y$2-$D$2)/((1+Economics!$B$3)^(Y$2-$D$2)),""), "")</f>
        <v/>
      </c>
      <c r="Z59" s="605" t="str">
        <f>IF($A59&lt;&gt;"", IF(Z$2&lt;=time,Z29*(1+Economics!$B$4)^(Z$2-$D$2)/((1+Economics!$B$3)^(Z$2-$D$2)),""), "")</f>
        <v/>
      </c>
      <c r="AA59" s="605" t="str">
        <f>IF($A59&lt;&gt;"", IF(AA$2&lt;=time,AA29*(1+Economics!$B$4)^(AA$2-$D$2)/((1+Economics!$B$3)^(AA$2-$D$2)),""), "")</f>
        <v/>
      </c>
      <c r="AB59" s="605" t="str">
        <f>IF($A59&lt;&gt;"", IF(AB$2&lt;=time,AB29*(1+Economics!$B$4)^(AB$2-$D$2)/((1+Economics!$B$3)^(AB$2-$D$2)),""), "")</f>
        <v/>
      </c>
      <c r="AC59" s="606" t="str">
        <f t="array" ref="AC59">IF($A59&lt;&gt;"", (SUM( IF(ISERROR(D59:AB59),"", D59:AB59))), "")</f>
        <v/>
      </c>
      <c r="AD59" s="371" t="str">
        <f t="shared" si="78"/>
        <v/>
      </c>
    </row>
    <row r="60" spans="1:111" hidden="1">
      <c r="A60" s="612" t="str">
        <f>IF((13-COUNTIF('Bearer list'!$E$4:$E$16,""))&gt;A59,A59+1,"")</f>
        <v/>
      </c>
      <c r="B60" s="367">
        <v>11</v>
      </c>
      <c r="C60" s="604" t="str">
        <f>IF(A60&lt;&gt;"",INDEX('Bearer list'!$D$4:$D$16,A60),"")</f>
        <v/>
      </c>
      <c r="D60" s="634" t="str">
        <f>IF($A60&lt;&gt;"", IF(D$2&lt;=time,D30*(1+Economics!$B$4)^(D$2-$D$2)/((1+Economics!$B$3)^(D$2-$D$2)),""), "")</f>
        <v/>
      </c>
      <c r="E60" s="605" t="str">
        <f>IF($A60&lt;&gt;"", IF(E$2&lt;=time,E30*(1+Economics!$B$4)^(E$2-$D$2)/((1+Economics!$B$3)^(E$2-$D$2)),""), "")</f>
        <v/>
      </c>
      <c r="F60" s="605" t="str">
        <f>IF($A60&lt;&gt;"", IF(F$2&lt;=time,F30*(1+Economics!$B$4)^(F$2-$D$2)/((1+Economics!$B$3)^(F$2-$D$2)),""), "")</f>
        <v/>
      </c>
      <c r="G60" s="605" t="str">
        <f>IF($A60&lt;&gt;"", IF(G$2&lt;=time,G30*(1+Economics!$B$4)^(G$2-$D$2)/((1+Economics!$B$3)^(G$2-$D$2)),""), "")</f>
        <v/>
      </c>
      <c r="H60" s="605" t="str">
        <f>IF($A60&lt;&gt;"", IF(H$2&lt;=time,H30*(1+Economics!$B$4)^(H$2-$D$2)/((1+Economics!$B$3)^(H$2-$D$2)),""), "")</f>
        <v/>
      </c>
      <c r="I60" s="605" t="str">
        <f>IF($A60&lt;&gt;"", IF(I$2&lt;=time,I30*(1+Economics!$B$4)^(I$2-$D$2)/((1+Economics!$B$3)^(I$2-$D$2)),""), "")</f>
        <v/>
      </c>
      <c r="J60" s="605" t="str">
        <f>IF($A60&lt;&gt;"", IF(J$2&lt;=time,J30*(1+Economics!$B$4)^(J$2-$D$2)/((1+Economics!$B$3)^(J$2-$D$2)),""), "")</f>
        <v/>
      </c>
      <c r="K60" s="605" t="str">
        <f>IF($A60&lt;&gt;"", IF(K$2&lt;=time,K30*(1+Economics!$B$4)^(K$2-$D$2)/((1+Economics!$B$3)^(K$2-$D$2)),""), "")</f>
        <v/>
      </c>
      <c r="L60" s="605" t="str">
        <f>IF($A60&lt;&gt;"", IF(L$2&lt;=time,L30*(1+Economics!$B$4)^(L$2-$D$2)/((1+Economics!$B$3)^(L$2-$D$2)),""), "")</f>
        <v/>
      </c>
      <c r="M60" s="605" t="str">
        <f>IF($A60&lt;&gt;"", IF(M$2&lt;=time,M30*(1+Economics!$B$4)^(M$2-$D$2)/((1+Economics!$B$3)^(M$2-$D$2)),""), "")</f>
        <v/>
      </c>
      <c r="N60" s="605" t="str">
        <f>IF($A60&lt;&gt;"", IF(N$2&lt;=time,N30*(1+Economics!$B$4)^(N$2-$D$2)/((1+Economics!$B$3)^(N$2-$D$2)),""), "")</f>
        <v/>
      </c>
      <c r="O60" s="605" t="str">
        <f>IF($A60&lt;&gt;"", IF(O$2&lt;=time,O30*(1+Economics!$B$4)^(O$2-$D$2)/((1+Economics!$B$3)^(O$2-$D$2)),""), "")</f>
        <v/>
      </c>
      <c r="P60" s="605" t="str">
        <f>IF($A60&lt;&gt;"", IF(P$2&lt;=time,P30*(1+Economics!$B$4)^(P$2-$D$2)/((1+Economics!$B$3)^(P$2-$D$2)),""), "")</f>
        <v/>
      </c>
      <c r="Q60" s="605" t="str">
        <f>IF($A60&lt;&gt;"", IF(Q$2&lt;=time,Q30*(1+Economics!$B$4)^(Q$2-$D$2)/((1+Economics!$B$3)^(Q$2-$D$2)),""), "")</f>
        <v/>
      </c>
      <c r="R60" s="605" t="str">
        <f>IF($A60&lt;&gt;"", IF(R$2&lt;=time,R30*(1+Economics!$B$4)^(R$2-$D$2)/((1+Economics!$B$3)^(R$2-$D$2)),""), "")</f>
        <v/>
      </c>
      <c r="S60" s="605" t="str">
        <f>IF($A60&lt;&gt;"", IF(S$2&lt;=time,S30*(1+Economics!$B$4)^(S$2-$D$2)/((1+Economics!$B$3)^(S$2-$D$2)),""), "")</f>
        <v/>
      </c>
      <c r="T60" s="605" t="str">
        <f>IF($A60&lt;&gt;"", IF(T$2&lt;=time,T30*(1+Economics!$B$4)^(T$2-$D$2)/((1+Economics!$B$3)^(T$2-$D$2)),""), "")</f>
        <v/>
      </c>
      <c r="U60" s="605" t="str">
        <f>IF($A60&lt;&gt;"", IF(U$2&lt;=time,U30*(1+Economics!$B$4)^(U$2-$D$2)/((1+Economics!$B$3)^(U$2-$D$2)),""), "")</f>
        <v/>
      </c>
      <c r="V60" s="605" t="str">
        <f>IF($A60&lt;&gt;"", IF(V$2&lt;=time,V30*(1+Economics!$B$4)^(V$2-$D$2)/((1+Economics!$B$3)^(V$2-$D$2)),""), "")</f>
        <v/>
      </c>
      <c r="W60" s="605" t="str">
        <f>IF($A60&lt;&gt;"", IF(W$2&lt;=time,W30*(1+Economics!$B$4)^(W$2-$D$2)/((1+Economics!$B$3)^(W$2-$D$2)),""), "")</f>
        <v/>
      </c>
      <c r="X60" s="605" t="str">
        <f>IF($A60&lt;&gt;"", IF(X$2&lt;=time,X30*(1+Economics!$B$4)^(X$2-$D$2)/((1+Economics!$B$3)^(X$2-$D$2)),""), "")</f>
        <v/>
      </c>
      <c r="Y60" s="605" t="str">
        <f>IF($A60&lt;&gt;"", IF(Y$2&lt;=time,Y30*(1+Economics!$B$4)^(Y$2-$D$2)/((1+Economics!$B$3)^(Y$2-$D$2)),""), "")</f>
        <v/>
      </c>
      <c r="Z60" s="605" t="str">
        <f>IF($A60&lt;&gt;"", IF(Z$2&lt;=time,Z30*(1+Economics!$B$4)^(Z$2-$D$2)/((1+Economics!$B$3)^(Z$2-$D$2)),""), "")</f>
        <v/>
      </c>
      <c r="AA60" s="605" t="str">
        <f>IF($A60&lt;&gt;"", IF(AA$2&lt;=time,AA30*(1+Economics!$B$4)^(AA$2-$D$2)/((1+Economics!$B$3)^(AA$2-$D$2)),""), "")</f>
        <v/>
      </c>
      <c r="AB60" s="605" t="str">
        <f>IF($A60&lt;&gt;"", IF(AB$2&lt;=time,AB30*(1+Economics!$B$4)^(AB$2-$D$2)/((1+Economics!$B$3)^(AB$2-$D$2)),""), "")</f>
        <v/>
      </c>
      <c r="AC60" s="606" t="str">
        <f t="array" ref="AC60">IF($A60&lt;&gt;"", (SUM( IF(ISERROR(D60:AB60),"", D60:AB60))), "")</f>
        <v/>
      </c>
      <c r="AD60" s="371" t="str">
        <f t="shared" si="78"/>
        <v/>
      </c>
    </row>
    <row r="61" spans="1:111" hidden="1">
      <c r="A61" s="612" t="str">
        <f>IF((13-COUNTIF('Bearer list'!$E$4:$E$16,""))&gt;A60,A60+1,"")</f>
        <v/>
      </c>
      <c r="B61" s="367">
        <v>12</v>
      </c>
      <c r="C61" s="604" t="str">
        <f>IF(A61&lt;&gt;"",INDEX('Bearer list'!$D$4:$D$16,A61),"")</f>
        <v/>
      </c>
      <c r="D61" s="634" t="str">
        <f>IF($A61&lt;&gt;"", IF(D$2&lt;=time,D31*(1+Economics!$B$4)^(D$2-$D$2)/((1+Economics!$B$3)^(D$2-$D$2)),""), "")</f>
        <v/>
      </c>
      <c r="E61" s="605" t="str">
        <f>IF($A61&lt;&gt;"", IF(E$2&lt;=time,E31*(1+Economics!$B$4)^(E$2-$D$2)/((1+Economics!$B$3)^(E$2-$D$2)),""), "")</f>
        <v/>
      </c>
      <c r="F61" s="605" t="str">
        <f>IF($A61&lt;&gt;"", IF(F$2&lt;=time,F31*(1+Economics!$B$4)^(F$2-$D$2)/((1+Economics!$B$3)^(F$2-$D$2)),""), "")</f>
        <v/>
      </c>
      <c r="G61" s="605" t="str">
        <f>IF($A61&lt;&gt;"", IF(G$2&lt;=time,G31*(1+Economics!$B$4)^(G$2-$D$2)/((1+Economics!$B$3)^(G$2-$D$2)),""), "")</f>
        <v/>
      </c>
      <c r="H61" s="605" t="str">
        <f>IF($A61&lt;&gt;"", IF(H$2&lt;=time,H31*(1+Economics!$B$4)^(H$2-$D$2)/((1+Economics!$B$3)^(H$2-$D$2)),""), "")</f>
        <v/>
      </c>
      <c r="I61" s="605" t="str">
        <f>IF($A61&lt;&gt;"", IF(I$2&lt;=time,I31*(1+Economics!$B$4)^(I$2-$D$2)/((1+Economics!$B$3)^(I$2-$D$2)),""), "")</f>
        <v/>
      </c>
      <c r="J61" s="605" t="str">
        <f>IF($A61&lt;&gt;"", IF(J$2&lt;=time,J31*(1+Economics!$B$4)^(J$2-$D$2)/((1+Economics!$B$3)^(J$2-$D$2)),""), "")</f>
        <v/>
      </c>
      <c r="K61" s="605" t="str">
        <f>IF($A61&lt;&gt;"", IF(K$2&lt;=time,K31*(1+Economics!$B$4)^(K$2-$D$2)/((1+Economics!$B$3)^(K$2-$D$2)),""), "")</f>
        <v/>
      </c>
      <c r="L61" s="605" t="str">
        <f>IF($A61&lt;&gt;"", IF(L$2&lt;=time,L31*(1+Economics!$B$4)^(L$2-$D$2)/((1+Economics!$B$3)^(L$2-$D$2)),""), "")</f>
        <v/>
      </c>
      <c r="M61" s="605" t="str">
        <f>IF($A61&lt;&gt;"", IF(M$2&lt;=time,M31*(1+Economics!$B$4)^(M$2-$D$2)/((1+Economics!$B$3)^(M$2-$D$2)),""), "")</f>
        <v/>
      </c>
      <c r="N61" s="605" t="str">
        <f>IF($A61&lt;&gt;"", IF(N$2&lt;=time,N31*(1+Economics!$B$4)^(N$2-$D$2)/((1+Economics!$B$3)^(N$2-$D$2)),""), "")</f>
        <v/>
      </c>
      <c r="O61" s="605" t="str">
        <f>IF($A61&lt;&gt;"", IF(O$2&lt;=time,O31*(1+Economics!$B$4)^(O$2-$D$2)/((1+Economics!$B$3)^(O$2-$D$2)),""), "")</f>
        <v/>
      </c>
      <c r="P61" s="605" t="str">
        <f>IF($A61&lt;&gt;"", IF(P$2&lt;=time,P31*(1+Economics!$B$4)^(P$2-$D$2)/((1+Economics!$B$3)^(P$2-$D$2)),""), "")</f>
        <v/>
      </c>
      <c r="Q61" s="605" t="str">
        <f>IF($A61&lt;&gt;"", IF(Q$2&lt;=time,Q31*(1+Economics!$B$4)^(Q$2-$D$2)/((1+Economics!$B$3)^(Q$2-$D$2)),""), "")</f>
        <v/>
      </c>
      <c r="R61" s="605" t="str">
        <f>IF($A61&lt;&gt;"", IF(R$2&lt;=time,R31*(1+Economics!$B$4)^(R$2-$D$2)/((1+Economics!$B$3)^(R$2-$D$2)),""), "")</f>
        <v/>
      </c>
      <c r="S61" s="605" t="str">
        <f>IF($A61&lt;&gt;"", IF(S$2&lt;=time,S31*(1+Economics!$B$4)^(S$2-$D$2)/((1+Economics!$B$3)^(S$2-$D$2)),""), "")</f>
        <v/>
      </c>
      <c r="T61" s="605" t="str">
        <f>IF($A61&lt;&gt;"", IF(T$2&lt;=time,T31*(1+Economics!$B$4)^(T$2-$D$2)/((1+Economics!$B$3)^(T$2-$D$2)),""), "")</f>
        <v/>
      </c>
      <c r="U61" s="605" t="str">
        <f>IF($A61&lt;&gt;"", IF(U$2&lt;=time,U31*(1+Economics!$B$4)^(U$2-$D$2)/((1+Economics!$B$3)^(U$2-$D$2)),""), "")</f>
        <v/>
      </c>
      <c r="V61" s="605" t="str">
        <f>IF($A61&lt;&gt;"", IF(V$2&lt;=time,V31*(1+Economics!$B$4)^(V$2-$D$2)/((1+Economics!$B$3)^(V$2-$D$2)),""), "")</f>
        <v/>
      </c>
      <c r="W61" s="605" t="str">
        <f>IF($A61&lt;&gt;"", IF(W$2&lt;=time,W31*(1+Economics!$B$4)^(W$2-$D$2)/((1+Economics!$B$3)^(W$2-$D$2)),""), "")</f>
        <v/>
      </c>
      <c r="X61" s="605" t="str">
        <f>IF($A61&lt;&gt;"", IF(X$2&lt;=time,X31*(1+Economics!$B$4)^(X$2-$D$2)/((1+Economics!$B$3)^(X$2-$D$2)),""), "")</f>
        <v/>
      </c>
      <c r="Y61" s="605" t="str">
        <f>IF($A61&lt;&gt;"", IF(Y$2&lt;=time,Y31*(1+Economics!$B$4)^(Y$2-$D$2)/((1+Economics!$B$3)^(Y$2-$D$2)),""), "")</f>
        <v/>
      </c>
      <c r="Z61" s="605" t="str">
        <f>IF($A61&lt;&gt;"", IF(Z$2&lt;=time,Z31*(1+Economics!$B$4)^(Z$2-$D$2)/((1+Economics!$B$3)^(Z$2-$D$2)),""), "")</f>
        <v/>
      </c>
      <c r="AA61" s="605" t="str">
        <f>IF($A61&lt;&gt;"", IF(AA$2&lt;=time,AA31*(1+Economics!$B$4)^(AA$2-$D$2)/((1+Economics!$B$3)^(AA$2-$D$2)),""), "")</f>
        <v/>
      </c>
      <c r="AB61" s="605" t="str">
        <f>IF($A61&lt;&gt;"", IF(AB$2&lt;=time,AB31*(1+Economics!$B$4)^(AB$2-$D$2)/((1+Economics!$B$3)^(AB$2-$D$2)),""), "")</f>
        <v/>
      </c>
      <c r="AC61" s="606" t="str">
        <f t="array" ref="AC61">IF($A61&lt;&gt;"", (SUM( IF(ISERROR(D61:AB61),"", D61:AB61))), "")</f>
        <v/>
      </c>
      <c r="AD61" s="371" t="str">
        <f t="shared" si="78"/>
        <v/>
      </c>
    </row>
    <row r="62" spans="1:111" ht="16" hidden="1" thickBot="1">
      <c r="A62" s="614" t="str">
        <f>IF((13-COUNTIF('Bearer list'!$E$4:$E$16,""))&gt;A61,A61+1,"")</f>
        <v/>
      </c>
      <c r="B62" s="615">
        <v>13</v>
      </c>
      <c r="C62" s="616" t="str">
        <f>IF(A62&lt;&gt;"",INDEX('Bearer list'!$D$4:$D$16,A62),"")</f>
        <v/>
      </c>
      <c r="D62" s="637" t="str">
        <f>IF($A62&lt;&gt;"", IF(D$2&lt;=time,D32*(1+Economics!$B$4)^(D$2-$D$2)/((1+Economics!$B$3)^(D$2-$D$2)),""), "")</f>
        <v/>
      </c>
      <c r="E62" s="617" t="str">
        <f>IF($A62&lt;&gt;"", IF(E$2&lt;=time,E32*(1+Economics!$B$4)^(E$2-$D$2)/((1+Economics!$B$3)^(E$2-$D$2)),""), "")</f>
        <v/>
      </c>
      <c r="F62" s="617" t="str">
        <f>IF($A62&lt;&gt;"", IF(F$2&lt;=time,F32*(1+Economics!$B$4)^(F$2-$D$2)/((1+Economics!$B$3)^(F$2-$D$2)),""), "")</f>
        <v/>
      </c>
      <c r="G62" s="617" t="str">
        <f>IF($A62&lt;&gt;"", IF(G$2&lt;=time,G32*(1+Economics!$B$4)^(G$2-$D$2)/((1+Economics!$B$3)^(G$2-$D$2)),""), "")</f>
        <v/>
      </c>
      <c r="H62" s="617" t="str">
        <f>IF($A62&lt;&gt;"", IF(H$2&lt;=time,H32*(1+Economics!$B$4)^(H$2-$D$2)/((1+Economics!$B$3)^(H$2-$D$2)),""), "")</f>
        <v/>
      </c>
      <c r="I62" s="617" t="str">
        <f>IF($A62&lt;&gt;"", IF(I$2&lt;=time,I32*(1+Economics!$B$4)^(I$2-$D$2)/((1+Economics!$B$3)^(I$2-$D$2)),""), "")</f>
        <v/>
      </c>
      <c r="J62" s="617" t="str">
        <f>IF($A62&lt;&gt;"", IF(J$2&lt;=time,J32*(1+Economics!$B$4)^(J$2-$D$2)/((1+Economics!$B$3)^(J$2-$D$2)),""), "")</f>
        <v/>
      </c>
      <c r="K62" s="617" t="str">
        <f>IF($A62&lt;&gt;"", IF(K$2&lt;=time,K32*(1+Economics!$B$4)^(K$2-$D$2)/((1+Economics!$B$3)^(K$2-$D$2)),""), "")</f>
        <v/>
      </c>
      <c r="L62" s="617" t="str">
        <f>IF($A62&lt;&gt;"", IF(L$2&lt;=time,L32*(1+Economics!$B$4)^(L$2-$D$2)/((1+Economics!$B$3)^(L$2-$D$2)),""), "")</f>
        <v/>
      </c>
      <c r="M62" s="617" t="str">
        <f>IF($A62&lt;&gt;"", IF(M$2&lt;=time,M32*(1+Economics!$B$4)^(M$2-$D$2)/((1+Economics!$B$3)^(M$2-$D$2)),""), "")</f>
        <v/>
      </c>
      <c r="N62" s="617" t="str">
        <f>IF($A62&lt;&gt;"", IF(N$2&lt;=time,N32*(1+Economics!$B$4)^(N$2-$D$2)/((1+Economics!$B$3)^(N$2-$D$2)),""), "")</f>
        <v/>
      </c>
      <c r="O62" s="617" t="str">
        <f>IF($A62&lt;&gt;"", IF(O$2&lt;=time,O32*(1+Economics!$B$4)^(O$2-$D$2)/((1+Economics!$B$3)^(O$2-$D$2)),""), "")</f>
        <v/>
      </c>
      <c r="P62" s="617" t="str">
        <f>IF($A62&lt;&gt;"", IF(P$2&lt;=time,P32*(1+Economics!$B$4)^(P$2-$D$2)/((1+Economics!$B$3)^(P$2-$D$2)),""), "")</f>
        <v/>
      </c>
      <c r="Q62" s="617" t="str">
        <f>IF($A62&lt;&gt;"", IF(Q$2&lt;=time,Q32*(1+Economics!$B$4)^(Q$2-$D$2)/((1+Economics!$B$3)^(Q$2-$D$2)),""), "")</f>
        <v/>
      </c>
      <c r="R62" s="617" t="str">
        <f>IF($A62&lt;&gt;"", IF(R$2&lt;=time,R32*(1+Economics!$B$4)^(R$2-$D$2)/((1+Economics!$B$3)^(R$2-$D$2)),""), "")</f>
        <v/>
      </c>
      <c r="S62" s="617" t="str">
        <f>IF($A62&lt;&gt;"", IF(S$2&lt;=time,S32*(1+Economics!$B$4)^(S$2-$D$2)/((1+Economics!$B$3)^(S$2-$D$2)),""), "")</f>
        <v/>
      </c>
      <c r="T62" s="617" t="str">
        <f>IF($A62&lt;&gt;"", IF(T$2&lt;=time,T32*(1+Economics!$B$4)^(T$2-$D$2)/((1+Economics!$B$3)^(T$2-$D$2)),""), "")</f>
        <v/>
      </c>
      <c r="U62" s="617" t="str">
        <f>IF($A62&lt;&gt;"", IF(U$2&lt;=time,U32*(1+Economics!$B$4)^(U$2-$D$2)/((1+Economics!$B$3)^(U$2-$D$2)),""), "")</f>
        <v/>
      </c>
      <c r="V62" s="617" t="str">
        <f>IF($A62&lt;&gt;"", IF(V$2&lt;=time,V32*(1+Economics!$B$4)^(V$2-$D$2)/((1+Economics!$B$3)^(V$2-$D$2)),""), "")</f>
        <v/>
      </c>
      <c r="W62" s="617" t="str">
        <f>IF($A62&lt;&gt;"", IF(W$2&lt;=time,W32*(1+Economics!$B$4)^(W$2-$D$2)/((1+Economics!$B$3)^(W$2-$D$2)),""), "")</f>
        <v/>
      </c>
      <c r="X62" s="617" t="str">
        <f>IF($A62&lt;&gt;"", IF(X$2&lt;=time,X32*(1+Economics!$B$4)^(X$2-$D$2)/((1+Economics!$B$3)^(X$2-$D$2)),""), "")</f>
        <v/>
      </c>
      <c r="Y62" s="617" t="str">
        <f>IF($A62&lt;&gt;"", IF(Y$2&lt;=time,Y32*(1+Economics!$B$4)^(Y$2-$D$2)/((1+Economics!$B$3)^(Y$2-$D$2)),""), "")</f>
        <v/>
      </c>
      <c r="Z62" s="617" t="str">
        <f>IF($A62&lt;&gt;"", IF(Z$2&lt;=time,Z32*(1+Economics!$B$4)^(Z$2-$D$2)/((1+Economics!$B$3)^(Z$2-$D$2)),""), "")</f>
        <v/>
      </c>
      <c r="AA62" s="617" t="str">
        <f>IF($A62&lt;&gt;"", IF(AA$2&lt;=time,AA32*(1+Economics!$B$4)^(AA$2-$D$2)/((1+Economics!$B$3)^(AA$2-$D$2)),""), "")</f>
        <v/>
      </c>
      <c r="AB62" s="617" t="str">
        <f>IF($A62&lt;&gt;"", IF(AB$2&lt;=time,AB32*(1+Economics!$B$4)^(AB$2-$D$2)/((1+Economics!$B$3)^(AB$2-$D$2)),""), "")</f>
        <v/>
      </c>
      <c r="AC62" s="618" t="str">
        <f t="array" ref="AC62">IF($A62&lt;&gt;"", (SUM( IF(ISERROR(D62:AB62),"", D62:AB62))), "")</f>
        <v/>
      </c>
      <c r="AD62" s="619" t="str">
        <f t="shared" si="78"/>
        <v/>
      </c>
    </row>
    <row r="63" spans="1:111" hidden="1"/>
    <row r="64" spans="1:111" hidden="1"/>
    <row r="65" spans="2:111" hidden="1"/>
    <row r="66" spans="2:111" hidden="1">
      <c r="AH66" s="113"/>
      <c r="AI66" s="113"/>
      <c r="AJ66" s="113"/>
      <c r="AK66" s="113"/>
      <c r="AL66" s="113"/>
      <c r="AM66" s="113"/>
      <c r="AN66" s="113"/>
      <c r="AO66" s="113"/>
      <c r="AP66" s="113"/>
      <c r="AQ66" s="113"/>
      <c r="AR66" s="113"/>
      <c r="AS66" s="113"/>
      <c r="AT66" s="113"/>
      <c r="AU66" s="113"/>
      <c r="AV66" s="113"/>
      <c r="AW66" s="113"/>
      <c r="AX66" s="113"/>
      <c r="AY66" s="113"/>
      <c r="AZ66" s="113"/>
      <c r="BA66" s="113"/>
      <c r="BB66" s="113"/>
      <c r="BC66" s="113"/>
      <c r="BD66" s="113"/>
      <c r="BE66" s="113"/>
      <c r="BF66" s="113"/>
      <c r="BG66" s="113"/>
      <c r="BH66" s="113"/>
      <c r="BI66" s="113"/>
      <c r="BJ66" s="113"/>
      <c r="BK66" s="113"/>
      <c r="BL66" s="113"/>
      <c r="BM66" s="113"/>
      <c r="BN66" s="113"/>
      <c r="BO66" s="113"/>
      <c r="BP66" s="113"/>
      <c r="BQ66" s="113"/>
      <c r="BR66" s="113"/>
      <c r="BS66" s="113"/>
      <c r="BT66" s="113"/>
      <c r="BU66" s="113"/>
      <c r="BV66" s="113"/>
      <c r="BW66" s="113"/>
      <c r="BX66" s="113"/>
      <c r="BY66" s="113"/>
      <c r="BZ66" s="113"/>
      <c r="CA66" s="113"/>
      <c r="CB66" s="113"/>
      <c r="CC66" s="113"/>
      <c r="CD66" s="113"/>
      <c r="CE66" s="113"/>
      <c r="CF66" s="113"/>
      <c r="CG66" s="113"/>
      <c r="CH66" s="113"/>
      <c r="CI66" s="113"/>
      <c r="CJ66" s="113"/>
      <c r="CK66" s="113"/>
      <c r="CL66" s="113"/>
      <c r="CM66" s="113"/>
      <c r="CN66" s="113"/>
      <c r="CO66" s="113"/>
      <c r="CP66" s="113"/>
      <c r="CQ66" s="113"/>
      <c r="CR66" s="113"/>
      <c r="CS66" s="113"/>
      <c r="CT66" s="113"/>
      <c r="CU66" s="113"/>
      <c r="CV66" s="113"/>
      <c r="CW66" s="113"/>
      <c r="CX66" s="113"/>
      <c r="CY66" s="113"/>
      <c r="CZ66" s="113"/>
      <c r="DA66" s="113"/>
      <c r="DB66" s="113"/>
      <c r="DC66" s="113"/>
      <c r="DD66" s="113"/>
      <c r="DE66" s="113"/>
      <c r="DF66" s="113"/>
      <c r="DG66" s="113"/>
    </row>
    <row r="67" spans="2:111" hidden="1"/>
    <row r="68" spans="2:111" hidden="1"/>
    <row r="69" spans="2:111" hidden="1"/>
    <row r="70" spans="2:111" hidden="1"/>
    <row r="71" spans="2:111" hidden="1"/>
    <row r="72" spans="2:111" hidden="1"/>
    <row r="73" spans="2:111" hidden="1"/>
    <row r="74" spans="2:111" hidden="1"/>
    <row r="75" spans="2:111" hidden="1"/>
    <row r="76" spans="2:111" hidden="1"/>
    <row r="77" spans="2:111" hidden="1"/>
    <row r="78" spans="2:111" s="113" customFormat="1" hidden="1">
      <c r="B78" s="391"/>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row>
    <row r="79" spans="2:111" hidden="1"/>
    <row r="80" spans="2:111" hidden="1"/>
    <row r="81" spans="2:111" hidden="1">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c r="BT81" s="113"/>
      <c r="BU81" s="113"/>
      <c r="BV81" s="113"/>
      <c r="BW81" s="113"/>
      <c r="BX81" s="113"/>
      <c r="BY81" s="113"/>
      <c r="BZ81" s="113"/>
      <c r="CA81" s="113"/>
      <c r="CB81" s="113"/>
      <c r="CC81" s="113"/>
      <c r="CD81" s="113"/>
      <c r="CE81" s="113"/>
      <c r="CF81" s="113"/>
      <c r="CG81" s="113"/>
      <c r="CH81" s="113"/>
      <c r="CI81" s="113"/>
      <c r="CJ81" s="113"/>
      <c r="CK81" s="113"/>
      <c r="CL81" s="113"/>
      <c r="CM81" s="113"/>
      <c r="CN81" s="113"/>
      <c r="CO81" s="113"/>
      <c r="CP81" s="113"/>
      <c r="CQ81" s="113"/>
      <c r="CR81" s="113"/>
      <c r="CS81" s="113"/>
      <c r="CT81" s="113"/>
      <c r="CU81" s="113"/>
      <c r="CV81" s="113"/>
      <c r="CW81" s="113"/>
      <c r="CX81" s="113"/>
      <c r="CY81" s="113"/>
      <c r="CZ81" s="113"/>
      <c r="DA81" s="113"/>
      <c r="DB81" s="113"/>
      <c r="DC81" s="113"/>
      <c r="DD81" s="113"/>
      <c r="DE81" s="113"/>
      <c r="DF81" s="113"/>
      <c r="DG81" s="113"/>
    </row>
    <row r="82" spans="2:111" hidden="1"/>
    <row r="83" spans="2:111" hidden="1"/>
    <row r="84" spans="2:111" hidden="1"/>
    <row r="85" spans="2:111" hidden="1"/>
    <row r="86" spans="2:111" hidden="1"/>
    <row r="87" spans="2:111" hidden="1"/>
    <row r="88" spans="2:111" hidden="1"/>
    <row r="89" spans="2:111" hidden="1"/>
    <row r="90" spans="2:111" hidden="1"/>
    <row r="91" spans="2:111" hidden="1"/>
    <row r="92" spans="2:111" hidden="1"/>
    <row r="93" spans="2:111" s="113" customFormat="1" hidden="1">
      <c r="B93" s="391"/>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c r="CL93" s="114"/>
      <c r="CM93" s="114"/>
      <c r="CN93" s="114"/>
      <c r="CO93" s="114"/>
      <c r="CP93" s="114"/>
      <c r="CQ93" s="114"/>
      <c r="CR93" s="114"/>
      <c r="CS93" s="114"/>
      <c r="CT93" s="114"/>
      <c r="CU93" s="114"/>
      <c r="CV93" s="114"/>
      <c r="CW93" s="114"/>
      <c r="CX93" s="114"/>
      <c r="CY93" s="114"/>
      <c r="CZ93" s="114"/>
      <c r="DA93" s="114"/>
      <c r="DB93" s="114"/>
      <c r="DC93" s="114"/>
      <c r="DD93" s="114"/>
      <c r="DE93" s="114"/>
      <c r="DF93" s="114"/>
      <c r="DG93" s="114"/>
    </row>
  </sheetData>
  <sheetProtection formatColumns="0" formatRows="0"/>
  <phoneticPr fontId="41" type="noConversion"/>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theme="2" tint="-0.249977111117893"/>
  </sheetPr>
  <dimension ref="A1:AA20"/>
  <sheetViews>
    <sheetView topLeftCell="B2" workbookViewId="0"/>
  </sheetViews>
  <sheetFormatPr defaultColWidth="8.69140625" defaultRowHeight="15.5"/>
  <cols>
    <col min="1" max="1" width="3.23046875" style="196" hidden="1" customWidth="1"/>
    <col min="2" max="2" width="36.3828125" style="114" bestFit="1" customWidth="1"/>
    <col min="3" max="3" width="15.15234375" style="114" customWidth="1"/>
    <col min="4" max="4" width="11.4609375" style="114" customWidth="1"/>
    <col min="5" max="5" width="12.61328125" style="114" customWidth="1"/>
    <col min="6" max="6" width="19.61328125" style="114" customWidth="1"/>
    <col min="7" max="7" width="7.921875" style="114" customWidth="1"/>
    <col min="8" max="16384" width="8.69140625" style="114"/>
  </cols>
  <sheetData>
    <row r="1" spans="1:27" hidden="1"/>
    <row r="2" spans="1:27" ht="21" thickBot="1">
      <c r="B2" s="816" t="s">
        <v>487</v>
      </c>
      <c r="C2" s="773"/>
      <c r="H2" s="415"/>
      <c r="I2" s="674"/>
      <c r="J2" s="415"/>
      <c r="K2" s="415"/>
      <c r="L2" s="415"/>
      <c r="M2" s="415"/>
      <c r="N2" s="415"/>
      <c r="O2" s="415"/>
      <c r="P2" s="415"/>
      <c r="Q2" s="415"/>
      <c r="R2" s="415"/>
      <c r="S2" s="415"/>
      <c r="T2" s="415"/>
      <c r="U2" s="415"/>
      <c r="V2" s="415"/>
      <c r="W2" s="415"/>
      <c r="X2" s="415"/>
      <c r="Y2" s="415"/>
      <c r="Z2" s="415"/>
      <c r="AA2" s="415"/>
    </row>
    <row r="3" spans="1:27" s="113" customFormat="1" ht="86.25" customHeight="1" thickBot="1">
      <c r="A3" s="304"/>
      <c r="B3" s="799"/>
      <c r="C3" s="801" t="str">
        <f>CONCATENATE("Total costs "," ", "(",'Proposition Summary'!$B$76,")")</f>
        <v>Total costs  (GBP (£))</v>
      </c>
      <c r="D3" s="801" t="s">
        <v>338</v>
      </c>
      <c r="E3" s="801" t="str">
        <f>CONCATENATE("Cost per crime avoided"," ", "(",'Proposition Summary'!$B$76,")")</f>
        <v>Cost per crime avoided (GBP (£))</v>
      </c>
      <c r="F3" s="967" t="s">
        <v>902</v>
      </c>
    </row>
    <row r="4" spans="1:27" ht="16.5" thickTop="1" thickBot="1">
      <c r="B4" s="675" t="str">
        <f>Title</f>
        <v>Economic evaluation of Restorative Justice</v>
      </c>
      <c r="C4" s="1041">
        <f>'Total Costs'!C23</f>
        <v>284.73002251534706</v>
      </c>
      <c r="D4" s="1041">
        <f>'Overall savings and benefits'!AA66</f>
        <v>0.67786427372199232</v>
      </c>
      <c r="E4" s="1041">
        <f>IF(ISERROR(C4/D4), "", C4/D4)</f>
        <v>420.03987162793209</v>
      </c>
      <c r="F4" s="1042">
        <f>C4/D4</f>
        <v>420.03987162793209</v>
      </c>
    </row>
    <row r="6" spans="1:27" ht="47" hidden="1" thickBot="1">
      <c r="B6" s="799"/>
      <c r="C6" s="801" t="s">
        <v>405</v>
      </c>
      <c r="D6" s="967" t="s">
        <v>339</v>
      </c>
    </row>
    <row r="7" spans="1:27" hidden="1">
      <c r="A7" s="529">
        <v>1</v>
      </c>
      <c r="B7" s="676">
        <f>'Overall savings and benefits'!A4</f>
        <v>0</v>
      </c>
      <c r="C7" s="1043">
        <f>'Overall savings and benefits'!AA4</f>
        <v>0</v>
      </c>
      <c r="D7" s="1005">
        <f>IF(ISERROR(C7/$C$4), "", C7/$C$4)</f>
        <v>0</v>
      </c>
    </row>
    <row r="8" spans="1:27" hidden="1">
      <c r="A8" s="529">
        <v>2</v>
      </c>
      <c r="B8" s="676" t="str">
        <f>'Overall savings and benefits'!A5</f>
        <v>Other outcome 2</v>
      </c>
      <c r="C8" s="306">
        <f>'Overall savings and benefits'!AA5</f>
        <v>0</v>
      </c>
      <c r="D8" s="371">
        <f t="shared" ref="D8:D16" si="0">IF(ISERROR(C8/$C$4), "", C8/$C$4)</f>
        <v>0</v>
      </c>
    </row>
    <row r="9" spans="1:27" hidden="1">
      <c r="A9" s="529">
        <v>3</v>
      </c>
      <c r="B9" s="676" t="str">
        <f>'Overall savings and benefits'!A6</f>
        <v>Other outcome 3</v>
      </c>
      <c r="C9" s="306">
        <f>'Overall savings and benefits'!AA6</f>
        <v>0</v>
      </c>
      <c r="D9" s="371">
        <f t="shared" si="0"/>
        <v>0</v>
      </c>
    </row>
    <row r="10" spans="1:27" hidden="1">
      <c r="A10" s="529">
        <v>4</v>
      </c>
      <c r="B10" s="676" t="str">
        <f>'Overall savings and benefits'!A7</f>
        <v>Other outcome 4</v>
      </c>
      <c r="C10" s="306">
        <f>'Overall savings and benefits'!AA7</f>
        <v>0</v>
      </c>
      <c r="D10" s="371">
        <f t="shared" si="0"/>
        <v>0</v>
      </c>
    </row>
    <row r="11" spans="1:27" hidden="1">
      <c r="A11" s="529">
        <v>5</v>
      </c>
      <c r="B11" s="676" t="str">
        <f>'Overall savings and benefits'!A8</f>
        <v>Other outcome 5</v>
      </c>
      <c r="C11" s="306">
        <f>'Overall savings and benefits'!AA8</f>
        <v>0</v>
      </c>
      <c r="D11" s="371">
        <f t="shared" si="0"/>
        <v>0</v>
      </c>
    </row>
    <row r="12" spans="1:27" hidden="1">
      <c r="A12" s="529">
        <v>6</v>
      </c>
      <c r="B12" s="676" t="str">
        <f>'Overall savings and benefits'!A9</f>
        <v>Other outcome 6</v>
      </c>
      <c r="C12" s="306">
        <f>'Overall savings and benefits'!AA9</f>
        <v>0</v>
      </c>
      <c r="D12" s="371">
        <f t="shared" si="0"/>
        <v>0</v>
      </c>
    </row>
    <row r="13" spans="1:27" hidden="1">
      <c r="A13" s="529">
        <v>7</v>
      </c>
      <c r="B13" s="676" t="str">
        <f>'Overall savings and benefits'!A10</f>
        <v>Other outcome 7</v>
      </c>
      <c r="C13" s="306">
        <f>'Overall savings and benefits'!AA10</f>
        <v>0</v>
      </c>
      <c r="D13" s="371">
        <f t="shared" si="0"/>
        <v>0</v>
      </c>
    </row>
    <row r="14" spans="1:27" hidden="1">
      <c r="A14" s="529">
        <v>8</v>
      </c>
      <c r="B14" s="676" t="str">
        <f>'Overall savings and benefits'!A11</f>
        <v>Other outcome 8</v>
      </c>
      <c r="C14" s="306">
        <f>'Overall savings and benefits'!AA11</f>
        <v>0</v>
      </c>
      <c r="D14" s="371">
        <f t="shared" si="0"/>
        <v>0</v>
      </c>
    </row>
    <row r="15" spans="1:27" hidden="1">
      <c r="A15" s="529">
        <v>9</v>
      </c>
      <c r="B15" s="676" t="str">
        <f>'Overall savings and benefits'!A12</f>
        <v>Other outcome 9</v>
      </c>
      <c r="C15" s="306">
        <f>'Overall savings and benefits'!AA12</f>
        <v>0</v>
      </c>
      <c r="D15" s="371">
        <f t="shared" si="0"/>
        <v>0</v>
      </c>
    </row>
    <row r="16" spans="1:27" ht="16" hidden="1" thickBot="1">
      <c r="A16" s="529">
        <v>10</v>
      </c>
      <c r="B16" s="677" t="str">
        <f>'Overall savings and benefits'!A13</f>
        <v>Other outcome 10</v>
      </c>
      <c r="C16" s="678">
        <f>'Overall savings and benefits'!AA13</f>
        <v>0</v>
      </c>
      <c r="D16" s="679">
        <f t="shared" si="0"/>
        <v>0</v>
      </c>
    </row>
    <row r="20" spans="19:19">
      <c r="S20" s="1073"/>
    </row>
  </sheetData>
  <sheetProtection formatRows="0"/>
  <phoneticPr fontId="41" type="noConversion"/>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2" tint="-0.249977111117893"/>
  </sheetPr>
  <dimension ref="A1:L27"/>
  <sheetViews>
    <sheetView workbookViewId="0"/>
  </sheetViews>
  <sheetFormatPr defaultColWidth="8.69140625" defaultRowHeight="15.5"/>
  <cols>
    <col min="1" max="1" width="25.69140625" style="2" customWidth="1"/>
    <col min="2" max="2" width="84.61328125" style="2" customWidth="1"/>
    <col min="3" max="3" width="8.69140625" style="2"/>
    <col min="4" max="4" width="10.3828125" style="2" bestFit="1" customWidth="1"/>
    <col min="5" max="16384" width="8.69140625" style="2"/>
  </cols>
  <sheetData>
    <row r="1" spans="1:12" ht="20">
      <c r="A1" s="736" t="s">
        <v>476</v>
      </c>
      <c r="B1" s="737"/>
      <c r="C1" s="737"/>
      <c r="D1" s="737"/>
      <c r="E1" s="737"/>
      <c r="F1" s="737"/>
      <c r="G1" s="737"/>
      <c r="H1" s="737"/>
      <c r="I1" s="737"/>
      <c r="J1" s="737"/>
      <c r="K1" s="737"/>
      <c r="L1" s="738"/>
    </row>
    <row r="2" spans="1:12" ht="20">
      <c r="A2" s="739"/>
      <c r="B2" s="740"/>
      <c r="C2" s="740"/>
      <c r="D2" s="740"/>
      <c r="E2" s="740"/>
      <c r="F2" s="740"/>
      <c r="G2" s="740"/>
      <c r="H2" s="740"/>
      <c r="I2" s="740"/>
      <c r="J2" s="740"/>
      <c r="K2" s="740"/>
      <c r="L2" s="741"/>
    </row>
    <row r="3" spans="1:12">
      <c r="A3" s="742" t="s">
        <v>215</v>
      </c>
      <c r="B3" s="743" t="s">
        <v>385</v>
      </c>
      <c r="C3" s="740"/>
      <c r="D3" s="740"/>
      <c r="E3" s="740"/>
      <c r="F3" s="740"/>
      <c r="G3" s="740"/>
      <c r="H3" s="740"/>
      <c r="I3" s="740"/>
      <c r="J3" s="740"/>
      <c r="K3" s="740"/>
      <c r="L3" s="741"/>
    </row>
    <row r="4" spans="1:12">
      <c r="A4" s="744"/>
      <c r="B4" s="740"/>
      <c r="C4" s="740"/>
      <c r="D4" s="740"/>
      <c r="E4" s="740"/>
      <c r="F4" s="740"/>
      <c r="G4" s="740"/>
      <c r="H4" s="740"/>
      <c r="I4" s="740"/>
      <c r="J4" s="740"/>
      <c r="K4" s="740"/>
      <c r="L4" s="741"/>
    </row>
    <row r="5" spans="1:12">
      <c r="A5" s="745" t="s">
        <v>383</v>
      </c>
      <c r="B5" s="746" t="s">
        <v>491</v>
      </c>
      <c r="C5" s="740"/>
      <c r="D5" s="740"/>
      <c r="E5" s="740"/>
      <c r="F5" s="740"/>
      <c r="G5" s="740"/>
      <c r="H5" s="740"/>
      <c r="I5" s="740"/>
      <c r="J5" s="740"/>
      <c r="K5" s="740"/>
      <c r="L5" s="741"/>
    </row>
    <row r="6" spans="1:12">
      <c r="A6" s="747" t="s">
        <v>1</v>
      </c>
      <c r="B6" s="748" t="s">
        <v>278</v>
      </c>
      <c r="C6" s="740"/>
      <c r="D6" s="740"/>
      <c r="E6" s="740"/>
      <c r="F6" s="740"/>
      <c r="G6" s="740"/>
      <c r="H6" s="740"/>
      <c r="I6" s="740"/>
      <c r="J6" s="740"/>
      <c r="K6" s="740"/>
      <c r="L6" s="741"/>
    </row>
    <row r="7" spans="1:12">
      <c r="A7" s="747" t="s">
        <v>269</v>
      </c>
      <c r="B7" s="743" t="s">
        <v>517</v>
      </c>
      <c r="C7" s="740"/>
      <c r="D7" s="740"/>
      <c r="E7" s="740"/>
      <c r="F7" s="740"/>
      <c r="G7" s="740"/>
      <c r="H7" s="740"/>
      <c r="I7" s="740"/>
      <c r="J7" s="740"/>
      <c r="K7" s="740"/>
      <c r="L7" s="741"/>
    </row>
    <row r="8" spans="1:12">
      <c r="A8" s="747" t="s">
        <v>216</v>
      </c>
      <c r="B8" s="743" t="s">
        <v>518</v>
      </c>
      <c r="C8" s="740"/>
      <c r="D8" s="740"/>
      <c r="E8" s="740"/>
      <c r="F8" s="740"/>
      <c r="G8" s="740"/>
      <c r="H8" s="740"/>
      <c r="I8" s="740"/>
      <c r="J8" s="740"/>
      <c r="K8" s="740"/>
      <c r="L8" s="741"/>
    </row>
    <row r="9" spans="1:12">
      <c r="A9" s="747" t="s">
        <v>247</v>
      </c>
      <c r="B9" s="743" t="s">
        <v>519</v>
      </c>
      <c r="C9" s="740"/>
      <c r="D9" s="740"/>
      <c r="E9" s="740"/>
      <c r="F9" s="740"/>
      <c r="G9" s="740"/>
      <c r="H9" s="740"/>
      <c r="I9" s="740"/>
      <c r="J9" s="740"/>
      <c r="K9" s="740"/>
      <c r="L9" s="741"/>
    </row>
    <row r="10" spans="1:12">
      <c r="A10" s="749"/>
      <c r="B10" s="740"/>
      <c r="C10" s="740"/>
      <c r="D10" s="740"/>
      <c r="E10" s="740"/>
      <c r="F10" s="740"/>
      <c r="G10" s="740"/>
      <c r="H10" s="740"/>
      <c r="I10" s="740"/>
      <c r="J10" s="740"/>
      <c r="K10" s="740"/>
      <c r="L10" s="741"/>
    </row>
    <row r="11" spans="1:12">
      <c r="A11" s="745" t="s">
        <v>384</v>
      </c>
      <c r="B11" s="746" t="s">
        <v>492</v>
      </c>
      <c r="C11" s="740"/>
      <c r="D11" s="740"/>
      <c r="E11" s="740"/>
      <c r="F11" s="740"/>
      <c r="G11" s="740"/>
      <c r="H11" s="740"/>
      <c r="I11" s="740"/>
      <c r="J11" s="740"/>
      <c r="K11" s="740"/>
      <c r="L11" s="741"/>
    </row>
    <row r="12" spans="1:12">
      <c r="A12" s="747" t="s">
        <v>386</v>
      </c>
      <c r="B12" s="743" t="s">
        <v>520</v>
      </c>
      <c r="C12" s="740"/>
      <c r="D12" s="740"/>
      <c r="E12" s="740"/>
      <c r="F12" s="740"/>
      <c r="G12" s="740"/>
      <c r="H12" s="740"/>
      <c r="I12" s="740"/>
      <c r="J12" s="740"/>
      <c r="K12" s="740"/>
      <c r="L12" s="741"/>
    </row>
    <row r="13" spans="1:12">
      <c r="A13" s="747" t="s">
        <v>387</v>
      </c>
      <c r="B13" s="743" t="s">
        <v>521</v>
      </c>
      <c r="C13" s="740"/>
      <c r="D13" s="740"/>
      <c r="E13" s="740"/>
      <c r="F13" s="740"/>
      <c r="G13" s="740"/>
      <c r="H13" s="740"/>
      <c r="I13" s="740"/>
      <c r="J13" s="740"/>
      <c r="K13" s="740"/>
      <c r="L13" s="741"/>
    </row>
    <row r="14" spans="1:12">
      <c r="A14" s="747" t="s">
        <v>388</v>
      </c>
      <c r="B14" s="743" t="s">
        <v>509</v>
      </c>
      <c r="C14" s="740"/>
      <c r="D14" s="740"/>
      <c r="E14" s="740"/>
      <c r="F14" s="740"/>
      <c r="G14" s="740"/>
      <c r="H14" s="740"/>
      <c r="I14" s="740"/>
      <c r="J14" s="740"/>
      <c r="K14" s="740"/>
      <c r="L14" s="741"/>
    </row>
    <row r="15" spans="1:12">
      <c r="A15" s="747" t="s">
        <v>389</v>
      </c>
      <c r="B15" s="743" t="s">
        <v>508</v>
      </c>
      <c r="C15" s="740"/>
      <c r="D15" s="740"/>
      <c r="E15" s="740"/>
      <c r="F15" s="740"/>
      <c r="G15" s="740"/>
      <c r="H15" s="740"/>
      <c r="I15" s="740"/>
      <c r="J15" s="740"/>
      <c r="K15" s="740"/>
      <c r="L15" s="741"/>
    </row>
    <row r="16" spans="1:12">
      <c r="A16" s="747" t="s">
        <v>390</v>
      </c>
      <c r="B16" s="748" t="s">
        <v>511</v>
      </c>
      <c r="C16" s="740"/>
      <c r="D16" s="740"/>
      <c r="E16" s="740"/>
      <c r="F16" s="740"/>
      <c r="G16" s="740"/>
      <c r="H16" s="740"/>
      <c r="I16" s="740"/>
      <c r="J16" s="740"/>
      <c r="K16" s="740"/>
      <c r="L16" s="741"/>
    </row>
    <row r="17" spans="1:12">
      <c r="A17" s="747" t="s">
        <v>391</v>
      </c>
      <c r="B17" s="743" t="s">
        <v>510</v>
      </c>
      <c r="C17" s="740"/>
      <c r="D17" s="740"/>
      <c r="E17" s="740"/>
      <c r="F17" s="740"/>
      <c r="G17" s="740"/>
      <c r="H17" s="740"/>
      <c r="I17" s="740"/>
      <c r="J17" s="740"/>
      <c r="K17" s="740"/>
      <c r="L17" s="741"/>
    </row>
    <row r="18" spans="1:12" ht="16" thickBot="1">
      <c r="A18" s="750"/>
      <c r="B18" s="751"/>
      <c r="C18" s="751"/>
      <c r="D18" s="751"/>
      <c r="E18" s="751"/>
      <c r="F18" s="751"/>
      <c r="G18" s="751"/>
      <c r="H18" s="751"/>
      <c r="I18" s="751"/>
      <c r="J18" s="751"/>
      <c r="K18" s="751"/>
      <c r="L18" s="752"/>
    </row>
    <row r="19" spans="1:12">
      <c r="A19" s="59"/>
    </row>
    <row r="20" spans="1:12" ht="16" thickBot="1">
      <c r="A20" s="59"/>
    </row>
    <row r="21" spans="1:12">
      <c r="A21" s="60"/>
      <c r="B21" s="61"/>
      <c r="C21" s="62"/>
      <c r="D21" s="62"/>
      <c r="E21" s="63"/>
    </row>
    <row r="22" spans="1:12" ht="18.75" customHeight="1" thickBot="1">
      <c r="A22" s="60"/>
      <c r="B22" s="64" t="s">
        <v>792</v>
      </c>
      <c r="C22" s="10"/>
      <c r="D22" s="10"/>
      <c r="E22" s="65"/>
      <c r="F22" s="10"/>
      <c r="G22" s="10"/>
      <c r="H22" s="10"/>
      <c r="I22" s="10"/>
      <c r="J22" s="10"/>
      <c r="K22" s="10"/>
    </row>
    <row r="23" spans="1:12" ht="16" thickBot="1">
      <c r="B23" s="753" t="s">
        <v>849</v>
      </c>
      <c r="C23" s="754"/>
      <c r="D23" s="755" t="s">
        <v>850</v>
      </c>
      <c r="E23" s="67"/>
    </row>
    <row r="24" spans="1:12" ht="16" thickBot="1">
      <c r="B24" s="753" t="s">
        <v>593</v>
      </c>
      <c r="C24" s="754"/>
      <c r="D24" s="756" t="s">
        <v>522</v>
      </c>
      <c r="E24" s="67"/>
    </row>
    <row r="25" spans="1:12" ht="16" thickBot="1">
      <c r="B25" s="753" t="s">
        <v>851</v>
      </c>
      <c r="C25" s="754"/>
      <c r="D25" s="757" t="s">
        <v>852</v>
      </c>
      <c r="E25" s="67"/>
    </row>
    <row r="26" spans="1:12">
      <c r="B26" s="66"/>
      <c r="E26" s="67"/>
    </row>
    <row r="27" spans="1:12" ht="16" thickBot="1">
      <c r="B27" s="68"/>
      <c r="C27" s="69"/>
      <c r="D27" s="69"/>
      <c r="E27" s="70"/>
    </row>
  </sheetData>
  <phoneticPr fontId="41" type="noConversion"/>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E0EBF5"/>
  </sheetPr>
  <dimension ref="A1:J81"/>
  <sheetViews>
    <sheetView workbookViewId="0"/>
  </sheetViews>
  <sheetFormatPr defaultColWidth="10.921875" defaultRowHeight="15.5"/>
  <cols>
    <col min="1" max="1" width="54.69140625" style="11" customWidth="1"/>
    <col min="2" max="2" width="22.15234375" style="81" customWidth="1"/>
    <col min="3" max="3" width="29.69140625" style="11" customWidth="1"/>
    <col min="4" max="4" width="10.921875" style="11"/>
    <col min="5" max="5" width="10.921875" style="11" customWidth="1"/>
    <col min="6" max="6" width="8.921875" style="11" customWidth="1"/>
    <col min="7" max="9" width="10.921875" style="11"/>
    <col min="10" max="10" width="25.69140625" style="11" customWidth="1"/>
    <col min="11" max="11" width="10.921875" style="11"/>
    <col min="12" max="12" width="10" style="11" customWidth="1"/>
    <col min="13" max="16384" width="10.921875" style="11"/>
  </cols>
  <sheetData>
    <row r="1" spans="1:10" ht="31.5" thickBot="1">
      <c r="A1" s="79" t="s">
        <v>111</v>
      </c>
      <c r="B1" s="772" t="s">
        <v>764</v>
      </c>
      <c r="C1" s="80"/>
      <c r="E1" s="773" t="s">
        <v>477</v>
      </c>
      <c r="F1" s="774"/>
      <c r="G1" s="774"/>
    </row>
    <row r="2" spans="1:10" ht="16" thickBot="1"/>
    <row r="3" spans="1:10" ht="16" thickBot="1">
      <c r="A3" s="82" t="s">
        <v>135</v>
      </c>
      <c r="B3" s="2"/>
    </row>
    <row r="4" spans="1:10" ht="57.65" customHeight="1" thickBot="1">
      <c r="E4" s="1113"/>
      <c r="F4" s="1114"/>
      <c r="G4" s="1114"/>
      <c r="H4" s="1114"/>
      <c r="I4" s="1114"/>
      <c r="J4" s="1115"/>
    </row>
    <row r="5" spans="1:10" ht="23.4" customHeight="1" thickBot="1">
      <c r="A5" s="83" t="s">
        <v>37</v>
      </c>
      <c r="B5" s="762">
        <v>5</v>
      </c>
      <c r="E5" s="1116"/>
      <c r="F5" s="1117"/>
      <c r="G5" s="1117"/>
      <c r="H5" s="1117"/>
      <c r="I5" s="1117"/>
      <c r="J5" s="1118"/>
    </row>
    <row r="6" spans="1:10" ht="22.5" customHeight="1">
      <c r="A6" s="84"/>
      <c r="B6" s="85"/>
      <c r="E6" s="1116"/>
      <c r="F6" s="1117"/>
      <c r="G6" s="1117"/>
      <c r="H6" s="1117"/>
      <c r="I6" s="1117"/>
      <c r="J6" s="1118"/>
    </row>
    <row r="7" spans="1:10" ht="6.65" customHeight="1">
      <c r="B7" s="85"/>
      <c r="E7" s="1116"/>
      <c r="F7" s="1117"/>
      <c r="G7" s="1117"/>
      <c r="H7" s="1117"/>
      <c r="I7" s="1117"/>
      <c r="J7" s="1118"/>
    </row>
    <row r="8" spans="1:10" ht="50.15" customHeight="1">
      <c r="A8" s="86"/>
      <c r="B8" s="85"/>
      <c r="E8" s="1116"/>
      <c r="F8" s="1117"/>
      <c r="G8" s="1117"/>
      <c r="H8" s="1117"/>
      <c r="I8" s="1117"/>
      <c r="J8" s="1118"/>
    </row>
    <row r="9" spans="1:10" ht="22.5" customHeight="1">
      <c r="A9" s="775" t="s">
        <v>243</v>
      </c>
      <c r="B9" s="775"/>
      <c r="E9" s="1108"/>
      <c r="F9" s="1109"/>
      <c r="G9" s="1109"/>
      <c r="H9" s="1109"/>
      <c r="I9" s="1109"/>
      <c r="J9" s="1110"/>
    </row>
    <row r="10" spans="1:10" ht="22.5" customHeight="1">
      <c r="A10" s="775" t="s">
        <v>5</v>
      </c>
      <c r="B10" s="775"/>
      <c r="E10" s="1108"/>
      <c r="F10" s="1109"/>
      <c r="G10" s="1109"/>
      <c r="H10" s="1109"/>
      <c r="I10" s="1109"/>
      <c r="J10" s="1110"/>
    </row>
    <row r="11" spans="1:10" ht="24.5" customHeight="1" thickBot="1">
      <c r="A11" s="776" t="s">
        <v>281</v>
      </c>
      <c r="B11" s="774"/>
      <c r="E11" s="1108"/>
      <c r="F11" s="1109"/>
      <c r="G11" s="1109"/>
      <c r="H11" s="1109"/>
      <c r="I11" s="1109"/>
      <c r="J11" s="1110"/>
    </row>
    <row r="12" spans="1:10" ht="22.5" customHeight="1">
      <c r="A12" s="88" t="s">
        <v>138</v>
      </c>
      <c r="B12" s="763">
        <v>1</v>
      </c>
      <c r="E12" s="1108"/>
      <c r="F12" s="1109"/>
      <c r="G12" s="1109"/>
      <c r="H12" s="1109"/>
      <c r="I12" s="1109"/>
      <c r="J12" s="1110"/>
    </row>
    <row r="13" spans="1:10" ht="24.5" customHeight="1" thickBot="1">
      <c r="A13" s="89" t="s">
        <v>13</v>
      </c>
      <c r="B13" s="764">
        <v>1</v>
      </c>
      <c r="E13" s="1108"/>
      <c r="F13" s="1109"/>
      <c r="G13" s="1109"/>
      <c r="H13" s="1109"/>
      <c r="I13" s="1109"/>
      <c r="J13" s="1110"/>
    </row>
    <row r="14" spans="1:10" ht="23.4" customHeight="1" thickBot="1">
      <c r="A14" s="776" t="s">
        <v>7</v>
      </c>
      <c r="B14" s="777"/>
      <c r="E14" s="1108"/>
      <c r="F14" s="1109"/>
      <c r="G14" s="1109"/>
      <c r="H14" s="1109"/>
      <c r="I14" s="1109"/>
      <c r="J14" s="1110"/>
    </row>
    <row r="15" spans="1:10" ht="16" thickBot="1">
      <c r="A15" s="90" t="s">
        <v>149</v>
      </c>
      <c r="B15" s="765">
        <v>1</v>
      </c>
      <c r="E15" s="1108"/>
      <c r="F15" s="1109"/>
      <c r="G15" s="1109"/>
      <c r="H15" s="1109"/>
      <c r="I15" s="1109"/>
      <c r="J15" s="1110"/>
    </row>
    <row r="16" spans="1:10">
      <c r="E16" s="1108"/>
      <c r="F16" s="1109"/>
      <c r="G16" s="1109"/>
      <c r="H16" s="1109"/>
      <c r="I16" s="1109"/>
      <c r="J16" s="1110"/>
    </row>
    <row r="17" spans="1:10" ht="30.9" customHeight="1">
      <c r="A17" s="775" t="s">
        <v>8</v>
      </c>
      <c r="B17" s="775"/>
      <c r="E17" s="1108"/>
      <c r="F17" s="1109"/>
      <c r="G17" s="1109"/>
      <c r="H17" s="1109"/>
      <c r="I17" s="1109"/>
      <c r="J17" s="1110"/>
    </row>
    <row r="18" spans="1:10" ht="46.4" customHeight="1" thickBot="1">
      <c r="A18" s="774" t="s">
        <v>280</v>
      </c>
      <c r="B18" s="774"/>
      <c r="E18" s="1108"/>
      <c r="F18" s="1109"/>
      <c r="G18" s="1109"/>
      <c r="H18" s="1109"/>
      <c r="I18" s="1109"/>
      <c r="J18" s="1110"/>
    </row>
    <row r="19" spans="1:10" ht="23.4" customHeight="1">
      <c r="A19" s="91" t="s">
        <v>14</v>
      </c>
      <c r="B19" s="763">
        <v>5</v>
      </c>
      <c r="E19" s="1108"/>
      <c r="F19" s="1109"/>
      <c r="G19" s="1109"/>
      <c r="H19" s="1109"/>
      <c r="I19" s="1109"/>
      <c r="J19" s="1110"/>
    </row>
    <row r="20" spans="1:10" ht="24.5" customHeight="1">
      <c r="A20" s="92" t="s">
        <v>15</v>
      </c>
      <c r="B20" s="766">
        <v>1</v>
      </c>
      <c r="E20" s="1108"/>
      <c r="F20" s="1109"/>
      <c r="G20" s="1109"/>
      <c r="H20" s="1109"/>
      <c r="I20" s="1109"/>
      <c r="J20" s="1110"/>
    </row>
    <row r="21" spans="1:10" ht="23.4" customHeight="1">
      <c r="A21" s="92" t="s">
        <v>16</v>
      </c>
      <c r="B21" s="766">
        <v>1</v>
      </c>
      <c r="E21" s="1108"/>
      <c r="F21" s="1109"/>
      <c r="G21" s="1109"/>
      <c r="H21" s="1109"/>
      <c r="I21" s="1109"/>
      <c r="J21" s="1110"/>
    </row>
    <row r="22" spans="1:10">
      <c r="A22" s="93" t="s">
        <v>193</v>
      </c>
      <c r="B22" s="766">
        <v>1</v>
      </c>
      <c r="E22" s="1108"/>
      <c r="F22" s="1109"/>
      <c r="G22" s="1109"/>
      <c r="H22" s="1109"/>
      <c r="I22" s="1109"/>
      <c r="J22" s="1110"/>
    </row>
    <row r="23" spans="1:10" ht="16" thickBot="1">
      <c r="A23" s="89" t="s">
        <v>194</v>
      </c>
      <c r="B23" s="764">
        <v>1</v>
      </c>
      <c r="E23" s="1126"/>
      <c r="F23" s="1127"/>
      <c r="G23" s="1127"/>
      <c r="H23" s="1127"/>
      <c r="I23" s="1127"/>
      <c r="J23" s="1128"/>
    </row>
    <row r="24" spans="1:10" ht="16" thickBot="1">
      <c r="A24" s="774" t="s">
        <v>471</v>
      </c>
      <c r="B24" s="774"/>
      <c r="E24" s="1126"/>
      <c r="F24" s="1127"/>
      <c r="G24" s="1127"/>
      <c r="H24" s="1127"/>
      <c r="I24" s="1127"/>
      <c r="J24" s="1128"/>
    </row>
    <row r="25" spans="1:10">
      <c r="A25" s="91" t="s">
        <v>14</v>
      </c>
      <c r="B25" s="763">
        <v>1</v>
      </c>
      <c r="E25" s="1123"/>
      <c r="F25" s="1124"/>
      <c r="G25" s="1124"/>
      <c r="H25" s="1124"/>
      <c r="I25" s="1124"/>
      <c r="J25" s="1125"/>
    </row>
    <row r="26" spans="1:10" ht="23.4" customHeight="1">
      <c r="A26" s="92" t="s">
        <v>15</v>
      </c>
      <c r="B26" s="766">
        <v>1</v>
      </c>
      <c r="E26" s="1108"/>
      <c r="F26" s="1109"/>
      <c r="G26" s="1109"/>
      <c r="H26" s="1109"/>
      <c r="I26" s="1109"/>
      <c r="J26" s="1110"/>
    </row>
    <row r="27" spans="1:10" ht="22.5" customHeight="1">
      <c r="A27" s="92" t="s">
        <v>16</v>
      </c>
      <c r="B27" s="766">
        <v>1</v>
      </c>
      <c r="E27" s="1108"/>
      <c r="F27" s="1109"/>
      <c r="G27" s="1109"/>
      <c r="H27" s="1109"/>
      <c r="I27" s="1109"/>
      <c r="J27" s="1110"/>
    </row>
    <row r="28" spans="1:10">
      <c r="A28" s="93" t="s">
        <v>193</v>
      </c>
      <c r="B28" s="766">
        <v>1</v>
      </c>
      <c r="E28" s="1108"/>
      <c r="F28" s="1109"/>
      <c r="G28" s="1109"/>
      <c r="H28" s="1109"/>
      <c r="I28" s="1109"/>
      <c r="J28" s="1110"/>
    </row>
    <row r="29" spans="1:10" ht="24.5" customHeight="1" thickBot="1">
      <c r="A29" s="89" t="s">
        <v>194</v>
      </c>
      <c r="B29" s="764">
        <v>1</v>
      </c>
      <c r="E29" s="1108"/>
      <c r="F29" s="1109"/>
      <c r="G29" s="1109"/>
      <c r="H29" s="1109"/>
      <c r="I29" s="1109"/>
      <c r="J29" s="1110"/>
    </row>
    <row r="30" spans="1:10" ht="16" thickBot="1">
      <c r="A30" s="774" t="s">
        <v>17</v>
      </c>
      <c r="B30" s="774"/>
      <c r="D30" s="94"/>
      <c r="E30" s="1108"/>
      <c r="F30" s="1109"/>
      <c r="G30" s="1109"/>
      <c r="H30" s="1109"/>
      <c r="I30" s="1109"/>
      <c r="J30" s="1110"/>
    </row>
    <row r="31" spans="1:10" ht="22.5" customHeight="1">
      <c r="A31" s="91" t="s">
        <v>180</v>
      </c>
      <c r="B31" s="763">
        <v>1</v>
      </c>
      <c r="D31" s="95"/>
      <c r="E31" s="1108"/>
      <c r="F31" s="1109"/>
      <c r="G31" s="1109"/>
      <c r="H31" s="1109"/>
      <c r="I31" s="1109"/>
      <c r="J31" s="1110"/>
    </row>
    <row r="32" spans="1:10">
      <c r="A32" s="92" t="s">
        <v>18</v>
      </c>
      <c r="B32" s="766">
        <v>1</v>
      </c>
      <c r="E32" s="1108"/>
      <c r="F32" s="1109"/>
      <c r="G32" s="1109"/>
      <c r="H32" s="1109"/>
      <c r="I32" s="1109"/>
      <c r="J32" s="1110"/>
    </row>
    <row r="33" spans="1:10">
      <c r="A33" s="93" t="s">
        <v>9</v>
      </c>
      <c r="B33" s="766">
        <v>1</v>
      </c>
      <c r="E33" s="1108"/>
      <c r="F33" s="1109"/>
      <c r="G33" s="1109"/>
      <c r="H33" s="1109"/>
      <c r="I33" s="1109"/>
      <c r="J33" s="1110"/>
    </row>
    <row r="34" spans="1:10" ht="20.149999999999999" customHeight="1" thickBot="1">
      <c r="A34" s="89" t="s">
        <v>136</v>
      </c>
      <c r="B34" s="764">
        <v>1</v>
      </c>
      <c r="E34" s="1108"/>
      <c r="F34" s="1109"/>
      <c r="G34" s="1109"/>
      <c r="H34" s="1109"/>
      <c r="I34" s="1109"/>
      <c r="J34" s="1110"/>
    </row>
    <row r="35" spans="1:10" ht="16" thickBot="1">
      <c r="A35" s="96"/>
      <c r="E35" s="1108"/>
      <c r="F35" s="1109"/>
      <c r="G35" s="1109"/>
      <c r="H35" s="1109"/>
      <c r="I35" s="1109"/>
      <c r="J35" s="1110"/>
    </row>
    <row r="36" spans="1:10" ht="22.5" customHeight="1">
      <c r="A36" s="778" t="s">
        <v>20</v>
      </c>
      <c r="B36" s="763">
        <v>1</v>
      </c>
      <c r="E36" s="1108"/>
      <c r="F36" s="1109"/>
      <c r="G36" s="1109"/>
      <c r="H36" s="1109"/>
      <c r="I36" s="1109"/>
      <c r="J36" s="1110"/>
    </row>
    <row r="37" spans="1:10" ht="16" thickBot="1">
      <c r="A37" s="779" t="s">
        <v>217</v>
      </c>
      <c r="B37" s="764">
        <v>1</v>
      </c>
      <c r="E37" s="1108"/>
      <c r="F37" s="1109"/>
      <c r="G37" s="1109"/>
      <c r="H37" s="1109"/>
      <c r="I37" s="1109"/>
      <c r="J37" s="1110"/>
    </row>
    <row r="38" spans="1:10" ht="88.65" customHeight="1" thickBot="1">
      <c r="E38" s="1108"/>
      <c r="F38" s="1109"/>
      <c r="G38" s="1109"/>
      <c r="H38" s="1109"/>
      <c r="I38" s="1109"/>
      <c r="J38" s="1110"/>
    </row>
    <row r="39" spans="1:10" ht="102.15" customHeight="1" thickBot="1">
      <c r="A39" s="780" t="s">
        <v>793</v>
      </c>
      <c r="B39" s="765">
        <v>0</v>
      </c>
      <c r="E39" s="1108"/>
      <c r="F39" s="1109"/>
      <c r="G39" s="1109"/>
      <c r="H39" s="1109"/>
      <c r="I39" s="1109"/>
      <c r="J39" s="1110"/>
    </row>
    <row r="40" spans="1:10" ht="90" customHeight="1" thickBot="1">
      <c r="A40" s="21"/>
      <c r="B40" s="97"/>
      <c r="E40" s="1108"/>
      <c r="F40" s="1109"/>
      <c r="G40" s="1109"/>
      <c r="H40" s="1109"/>
      <c r="I40" s="1109"/>
      <c r="J40" s="1110"/>
    </row>
    <row r="41" spans="1:10" ht="101.25" customHeight="1" thickBot="1">
      <c r="A41" s="781" t="s">
        <v>567</v>
      </c>
      <c r="B41" s="782" t="s">
        <v>340</v>
      </c>
      <c r="E41" s="98"/>
      <c r="F41" s="99"/>
      <c r="G41" s="99"/>
      <c r="H41" s="99"/>
      <c r="I41" s="99"/>
      <c r="J41" s="100"/>
    </row>
    <row r="42" spans="1:10" ht="16" thickBot="1">
      <c r="A42" s="783" t="s">
        <v>553</v>
      </c>
      <c r="B42" s="784"/>
      <c r="E42" s="101"/>
      <c r="F42" s="102"/>
      <c r="G42" s="102"/>
      <c r="H42" s="102"/>
      <c r="I42" s="102"/>
      <c r="J42" s="103"/>
    </row>
    <row r="43" spans="1:10" ht="22.5" customHeight="1">
      <c r="A43" s="10" t="s">
        <v>290</v>
      </c>
      <c r="B43" s="767" t="s">
        <v>22</v>
      </c>
      <c r="E43" s="101"/>
      <c r="F43" s="102"/>
      <c r="G43" s="102"/>
      <c r="H43" s="102"/>
      <c r="I43" s="102"/>
      <c r="J43" s="103"/>
    </row>
    <row r="44" spans="1:10" ht="22.5" customHeight="1">
      <c r="A44" s="10" t="s">
        <v>542</v>
      </c>
      <c r="B44" s="766" t="s">
        <v>22</v>
      </c>
      <c r="E44" s="101"/>
      <c r="F44" s="102"/>
      <c r="G44" s="102"/>
      <c r="H44" s="102"/>
      <c r="I44" s="102"/>
      <c r="J44" s="103"/>
    </row>
    <row r="45" spans="1:10" ht="22.5" customHeight="1">
      <c r="A45" s="10" t="s">
        <v>543</v>
      </c>
      <c r="B45" s="766" t="s">
        <v>22</v>
      </c>
      <c r="E45" s="101"/>
      <c r="F45" s="102"/>
      <c r="G45" s="102"/>
      <c r="H45" s="102"/>
      <c r="I45" s="102"/>
      <c r="J45" s="103"/>
    </row>
    <row r="46" spans="1:10" ht="22.5" customHeight="1">
      <c r="A46" s="10" t="s">
        <v>544</v>
      </c>
      <c r="B46" s="766" t="s">
        <v>22</v>
      </c>
      <c r="E46" s="101"/>
      <c r="F46" s="102"/>
      <c r="G46" s="102"/>
      <c r="H46" s="102"/>
      <c r="I46" s="102"/>
      <c r="J46" s="103"/>
    </row>
    <row r="47" spans="1:10">
      <c r="A47" s="10" t="s">
        <v>545</v>
      </c>
      <c r="B47" s="766" t="s">
        <v>22</v>
      </c>
      <c r="E47" s="101"/>
      <c r="F47" s="102"/>
      <c r="G47" s="102"/>
      <c r="H47" s="102"/>
      <c r="I47" s="102"/>
      <c r="J47" s="103"/>
    </row>
    <row r="48" spans="1:10">
      <c r="A48" s="10" t="s">
        <v>292</v>
      </c>
      <c r="B48" s="766" t="s">
        <v>22</v>
      </c>
      <c r="E48" s="101"/>
      <c r="F48" s="102"/>
      <c r="G48" s="102"/>
      <c r="H48" s="102"/>
      <c r="I48" s="102"/>
      <c r="J48" s="103"/>
    </row>
    <row r="49" spans="1:10">
      <c r="A49" s="10" t="s">
        <v>546</v>
      </c>
      <c r="B49" s="766" t="s">
        <v>22</v>
      </c>
      <c r="E49" s="101"/>
      <c r="F49" s="102"/>
      <c r="G49" s="102"/>
      <c r="H49" s="102"/>
      <c r="I49" s="102"/>
      <c r="J49" s="103"/>
    </row>
    <row r="50" spans="1:10" ht="16" thickBot="1">
      <c r="A50" s="10" t="s">
        <v>547</v>
      </c>
      <c r="B50" s="766" t="s">
        <v>22</v>
      </c>
      <c r="E50" s="98"/>
      <c r="F50" s="99"/>
      <c r="G50" s="99"/>
      <c r="H50" s="99"/>
      <c r="I50" s="99"/>
      <c r="J50" s="100"/>
    </row>
    <row r="51" spans="1:10">
      <c r="A51" s="10" t="s">
        <v>548</v>
      </c>
      <c r="B51" s="766" t="s">
        <v>22</v>
      </c>
      <c r="E51" s="102"/>
      <c r="F51" s="102"/>
      <c r="J51" s="102"/>
    </row>
    <row r="52" spans="1:10">
      <c r="A52" s="10" t="s">
        <v>549</v>
      </c>
      <c r="B52" s="766" t="s">
        <v>22</v>
      </c>
    </row>
    <row r="53" spans="1:10">
      <c r="A53" s="10" t="s">
        <v>550</v>
      </c>
      <c r="B53" s="766" t="s">
        <v>22</v>
      </c>
    </row>
    <row r="54" spans="1:10">
      <c r="A54" s="10" t="s">
        <v>551</v>
      </c>
      <c r="B54" s="766" t="s">
        <v>22</v>
      </c>
    </row>
    <row r="55" spans="1:10">
      <c r="A55" s="10" t="s">
        <v>424</v>
      </c>
      <c r="B55" s="766" t="s">
        <v>22</v>
      </c>
    </row>
    <row r="56" spans="1:10" ht="16" thickBot="1">
      <c r="A56" s="10" t="s">
        <v>552</v>
      </c>
      <c r="B56" s="768" t="s">
        <v>22</v>
      </c>
    </row>
    <row r="57" spans="1:10" ht="23.9" customHeight="1" thickBot="1">
      <c r="A57" s="783" t="s">
        <v>420</v>
      </c>
      <c r="B57" s="785"/>
    </row>
    <row r="58" spans="1:10">
      <c r="A58" s="10" t="s">
        <v>555</v>
      </c>
      <c r="B58" s="767" t="s">
        <v>22</v>
      </c>
      <c r="E58" s="104"/>
      <c r="F58" s="104"/>
      <c r="G58" s="104"/>
      <c r="H58" s="104"/>
      <c r="I58" s="104"/>
      <c r="J58" s="104"/>
    </row>
    <row r="59" spans="1:10">
      <c r="A59" s="10" t="s">
        <v>556</v>
      </c>
      <c r="B59" s="766" t="s">
        <v>22</v>
      </c>
      <c r="E59" s="104"/>
      <c r="F59" s="104"/>
      <c r="G59" s="104"/>
      <c r="H59" s="104"/>
      <c r="I59" s="104"/>
      <c r="J59" s="104"/>
    </row>
    <row r="60" spans="1:10">
      <c r="A60" s="10" t="s">
        <v>557</v>
      </c>
      <c r="B60" s="766" t="s">
        <v>22</v>
      </c>
      <c r="E60" s="104"/>
      <c r="F60" s="104"/>
      <c r="G60" s="104"/>
      <c r="H60" s="104"/>
      <c r="I60" s="104"/>
      <c r="J60" s="104"/>
    </row>
    <row r="61" spans="1:10">
      <c r="A61" s="10" t="s">
        <v>408</v>
      </c>
      <c r="B61" s="766" t="s">
        <v>22</v>
      </c>
      <c r="E61" s="104"/>
      <c r="F61" s="104"/>
      <c r="G61" s="104"/>
      <c r="H61" s="104"/>
      <c r="I61" s="104"/>
      <c r="J61" s="104"/>
    </row>
    <row r="62" spans="1:10">
      <c r="A62" s="10" t="s">
        <v>409</v>
      </c>
      <c r="B62" s="766" t="s">
        <v>22</v>
      </c>
      <c r="E62" s="104"/>
      <c r="F62" s="104"/>
      <c r="G62" s="104"/>
      <c r="H62" s="104"/>
      <c r="I62" s="104"/>
      <c r="J62" s="104"/>
    </row>
    <row r="63" spans="1:10">
      <c r="A63" s="10" t="s">
        <v>558</v>
      </c>
      <c r="B63" s="766" t="s">
        <v>22</v>
      </c>
      <c r="E63" s="104"/>
      <c r="F63" s="104"/>
      <c r="G63" s="104"/>
      <c r="H63" s="104"/>
      <c r="I63" s="104"/>
      <c r="J63" s="104"/>
    </row>
    <row r="64" spans="1:10" ht="16" thickBot="1">
      <c r="A64" s="10" t="s">
        <v>559</v>
      </c>
      <c r="B64" s="768" t="s">
        <v>22</v>
      </c>
      <c r="G64" s="105"/>
      <c r="H64" s="105"/>
      <c r="I64" s="105"/>
    </row>
    <row r="65" spans="1:2" ht="16" thickBot="1">
      <c r="A65" s="783" t="s">
        <v>430</v>
      </c>
      <c r="B65" s="784"/>
    </row>
    <row r="66" spans="1:2">
      <c r="A66" s="106" t="s">
        <v>414</v>
      </c>
      <c r="B66" s="767" t="s">
        <v>22</v>
      </c>
    </row>
    <row r="67" spans="1:2">
      <c r="A67" s="107" t="s">
        <v>423</v>
      </c>
      <c r="B67" s="766" t="s">
        <v>22</v>
      </c>
    </row>
    <row r="68" spans="1:2">
      <c r="A68" s="107" t="s">
        <v>473</v>
      </c>
      <c r="B68" s="766" t="s">
        <v>22</v>
      </c>
    </row>
    <row r="69" spans="1:2">
      <c r="A69" s="107" t="s">
        <v>416</v>
      </c>
      <c r="B69" s="766" t="s">
        <v>22</v>
      </c>
    </row>
    <row r="70" spans="1:2">
      <c r="A70" s="107" t="s">
        <v>417</v>
      </c>
      <c r="B70" s="766" t="s">
        <v>22</v>
      </c>
    </row>
    <row r="71" spans="1:2" ht="16" thickBot="1">
      <c r="A71" s="108" t="s">
        <v>418</v>
      </c>
      <c r="B71" s="766" t="s">
        <v>22</v>
      </c>
    </row>
    <row r="72" spans="1:2" ht="16" thickBot="1">
      <c r="A72" s="786" t="s">
        <v>523</v>
      </c>
      <c r="B72" s="787"/>
    </row>
    <row r="73" spans="1:2">
      <c r="A73" s="109" t="s">
        <v>524</v>
      </c>
      <c r="B73" s="769" t="s">
        <v>24</v>
      </c>
    </row>
    <row r="74" spans="1:2" ht="16" hidden="1" thickBot="1">
      <c r="A74" s="110" t="s">
        <v>525</v>
      </c>
      <c r="B74" s="111">
        <v>0</v>
      </c>
    </row>
    <row r="75" spans="1:2" ht="16" thickBot="1"/>
    <row r="76" spans="1:2" ht="16" thickBot="1">
      <c r="A76" s="786" t="s">
        <v>590</v>
      </c>
      <c r="B76" s="771" t="s">
        <v>587</v>
      </c>
    </row>
    <row r="77" spans="1:2">
      <c r="A77" s="786" t="s">
        <v>538</v>
      </c>
      <c r="B77" s="770">
        <v>1</v>
      </c>
    </row>
    <row r="78" spans="1:2" ht="158.4" customHeight="1" thickBot="1">
      <c r="A78" s="1111" t="s">
        <v>794</v>
      </c>
      <c r="B78" s="1112"/>
    </row>
    <row r="79" spans="1:2" ht="16" thickBot="1">
      <c r="A79" s="10"/>
      <c r="B79" s="10"/>
    </row>
    <row r="80" spans="1:2">
      <c r="A80" s="1121" t="s">
        <v>576</v>
      </c>
      <c r="B80" s="1119">
        <v>2021</v>
      </c>
    </row>
    <row r="81" spans="1:2" ht="16" thickBot="1">
      <c r="A81" s="1122"/>
      <c r="B81" s="1120"/>
    </row>
  </sheetData>
  <sheetProtection formatRows="0"/>
  <mergeCells count="35">
    <mergeCell ref="B80:B81"/>
    <mergeCell ref="A80:A81"/>
    <mergeCell ref="E13:J13"/>
    <mergeCell ref="E21:J21"/>
    <mergeCell ref="E22:J22"/>
    <mergeCell ref="E25:J25"/>
    <mergeCell ref="E40:J40"/>
    <mergeCell ref="E14:J14"/>
    <mergeCell ref="E15:J15"/>
    <mergeCell ref="E16:J16"/>
    <mergeCell ref="E17:J17"/>
    <mergeCell ref="E18:J18"/>
    <mergeCell ref="E19:J19"/>
    <mergeCell ref="E20:J20"/>
    <mergeCell ref="E23:J24"/>
    <mergeCell ref="E26:J26"/>
    <mergeCell ref="E4:J8"/>
    <mergeCell ref="E9:J9"/>
    <mergeCell ref="E10:J10"/>
    <mergeCell ref="E11:J11"/>
    <mergeCell ref="E12:J12"/>
    <mergeCell ref="E27:J27"/>
    <mergeCell ref="E28:J28"/>
    <mergeCell ref="E29:J29"/>
    <mergeCell ref="E30:J30"/>
    <mergeCell ref="E31:J31"/>
    <mergeCell ref="E32:J32"/>
    <mergeCell ref="E33:J33"/>
    <mergeCell ref="E34:J34"/>
    <mergeCell ref="E35:J35"/>
    <mergeCell ref="A78:B78"/>
    <mergeCell ref="E36:J36"/>
    <mergeCell ref="E37:J37"/>
    <mergeCell ref="E38:J38"/>
    <mergeCell ref="E39:J39"/>
  </mergeCells>
  <phoneticPr fontId="41" type="noConversion"/>
  <dataValidations xWindow="629" yWindow="196" count="15">
    <dataValidation type="whole" allowBlank="1" showInputMessage="1" showErrorMessage="1" promptTitle="Time period for analysis" prompt="Enter the number of years between 1 and 25." sqref="B5" xr:uid="{00000000-0002-0000-0200-000000000000}">
      <formula1>1</formula1>
      <formula2>25</formula2>
    </dataValidation>
    <dataValidation type="whole" allowBlank="1" showInputMessage="1" showErrorMessage="1" error="The value must be within the range 0-10." promptTitle="Number of items in each category" prompt="Enter a number between 0 to 10." sqref="B34 B15 B19:B20 B25:B26" xr:uid="{00000000-0002-0000-0200-000001000000}">
      <formula1>0</formula1>
      <formula2>10</formula2>
    </dataValidation>
    <dataValidation type="whole" allowBlank="1" showInputMessage="1" showErrorMessage="1" error="The value must be within the range 0-10." promptTitle="Number of items in each category" prompt="Enter a number between 0 to 10. _x000a__x000a_E.g. purchasing of a new patrol car" sqref="B12" xr:uid="{00000000-0002-0000-0200-000002000000}">
      <formula1>0</formula1>
      <formula2>10</formula2>
    </dataValidation>
    <dataValidation type="whole" allowBlank="1" showInputMessage="1" showErrorMessage="1" error="The value must be within the range 0-10." promptTitle="Number of items in each category" prompt="Enter a number between 0 to 10._x000a__x000a_E.g. Installation of CCTV camera" sqref="B13" xr:uid="{00000000-0002-0000-0200-000003000000}">
      <formula1>0</formula1>
      <formula2>10</formula2>
    </dataValidation>
    <dataValidation type="whole" allowBlank="1" showInputMessage="1" showErrorMessage="1" error="The value must be within the range 0-10." promptTitle="Number of items in each category" prompt="Enter a number between 0 to 10._x000a__x000a_E.g. Valuation of volunteer time" sqref="B27" xr:uid="{00000000-0002-0000-0200-000004000000}">
      <formula1>0</formula1>
      <formula2>10</formula2>
    </dataValidation>
    <dataValidation type="whole" allowBlank="1" showInputMessage="1" showErrorMessage="1" error="The value must be within the range 0-10." promptTitle="Number of items in each category" prompt="Enter a number between 0 to 10._x000a__x000a_E.g. health insurance" sqref="B29 B23" xr:uid="{00000000-0002-0000-0200-000005000000}">
      <formula1>0</formula1>
      <formula2>10</formula2>
    </dataValidation>
    <dataValidation type="whole" allowBlank="1" showInputMessage="1" showErrorMessage="1" error="The value must be within the range 0-10." promptTitle="Number of items in each category" prompt="Enter a number between 0 to 10._x000a__x000a_E.g. uniform and walkie talkie" sqref="B28 B22" xr:uid="{00000000-0002-0000-0200-000006000000}">
      <formula1>0</formula1>
      <formula2>10</formula2>
    </dataValidation>
    <dataValidation type="whole" allowBlank="1" showInputMessage="1" showErrorMessage="1" error="The value must be within the range 0-10." promptTitle="Number of items in each category" prompt="Enter a number between 0 to 10._x000a__x000a_E.g. electricity and water" sqref="B31" xr:uid="{00000000-0002-0000-0200-000007000000}">
      <formula1>0</formula1>
      <formula2>10</formula2>
    </dataValidation>
    <dataValidation type="whole" allowBlank="1" showInputMessage="1" showErrorMessage="1" error="The value must be within the range 0-10." promptTitle="Number of items in each category" prompt="Enter a number between 0 to 10._x000a__x000a_E.g. CCTV or car maintenance" sqref="B32" xr:uid="{00000000-0002-0000-0200-000008000000}">
      <formula1>0</formula1>
      <formula2>10</formula2>
    </dataValidation>
    <dataValidation type="whole" allowBlank="1" showInputMessage="1" showErrorMessage="1" error="The value must be within the range 0-10." promptTitle="Number of items in each category" prompt="Enter a number between 0 to 10._x000a__x000a_E.g. booking venues and hiring trainers" sqref="B33" xr:uid="{00000000-0002-0000-0200-000009000000}">
      <formula1>0</formula1>
      <formula2>10</formula2>
    </dataValidation>
    <dataValidation type="whole" allowBlank="1" showInputMessage="1" showErrorMessage="1" error="The value must be within the range 0-10." promptTitle="Number of items in each category" prompt="Enter a number between 0 to 10._x000a__x000a_E.g. financial loss in affected business and cost to the owner of the venue participating in meetings" sqref="B36" xr:uid="{00000000-0002-0000-0200-00000A000000}">
      <formula1>0</formula1>
      <formula2>10</formula2>
    </dataValidation>
    <dataValidation type="whole" allowBlank="1" showInputMessage="1" showErrorMessage="1" error="The value must be within the range 0-10." promptTitle="Number of items in each category" prompt="Enter a number between 0 to 10._x000a__x000a_E.g. cost of food" sqref="B21" xr:uid="{00000000-0002-0000-0200-00000B000000}">
      <formula1>0</formula1>
      <formula2>10</formula2>
    </dataValidation>
    <dataValidation type="whole" allowBlank="1" showInputMessage="1" showErrorMessage="1" error="The value must be within the range 0-10." promptTitle="Number of items in each category" prompt="Enter a number between 0 to 10._x000a__x000a_E.g. value of volunteers' time spent and the decreased quality of life of citizens as a result of the intervention" sqref="B37" xr:uid="{00000000-0002-0000-0200-00000C000000}">
      <formula1>0</formula1>
      <formula2>10</formula2>
    </dataValidation>
    <dataValidation type="list" showInputMessage="1" showErrorMessage="1" sqref="B73 B58:B64 B43:B56 B66:B71" xr:uid="{00000000-0002-0000-0200-00000D000000}">
      <formula1>Yesno</formula1>
    </dataValidation>
    <dataValidation type="whole" allowBlank="1" showInputMessage="1" showErrorMessage="1" promptTitle="No. of other benefits" prompt="Enter a number between 0 to 10." sqref="B39" xr:uid="{00000000-0002-0000-0200-00000E000000}">
      <formula1>0</formula1>
      <formula2>10</formula2>
    </dataValidation>
  </dataValidations>
  <pageMargins left="0.75" right="0.75" top="1" bottom="1" header="0.5" footer="0.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6" r:id="rId4" name="Button 4">
              <controlPr defaultSize="0" print="0" autoFill="0" autoPict="0" macro="[0]!button">
                <anchor moveWithCells="1" sizeWithCells="1">
                  <from>
                    <xdr:col>1</xdr:col>
                    <xdr:colOff>50800</xdr:colOff>
                    <xdr:row>1</xdr:row>
                    <xdr:rowOff>114300</xdr:rowOff>
                  </from>
                  <to>
                    <xdr:col>2</xdr:col>
                    <xdr:colOff>381000</xdr:colOff>
                    <xdr:row>3</xdr:row>
                    <xdr:rowOff>330200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629" yWindow="196" count="1">
        <x14:dataValidation type="list" allowBlank="1" showInputMessage="1" showErrorMessage="1" xr:uid="{00000000-0002-0000-0200-00000F000000}">
          <x14:formula1>
            <xm:f>Behind_the_scenes!$G$1:$G$8</xm:f>
          </x14:formula1>
          <xm:sqref>B76</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E6E6E6"/>
  </sheetPr>
  <dimension ref="A1:AC119"/>
  <sheetViews>
    <sheetView workbookViewId="0"/>
  </sheetViews>
  <sheetFormatPr defaultColWidth="8.69140625" defaultRowHeight="15.5"/>
  <cols>
    <col min="1" max="1" width="44.69140625" style="114" customWidth="1"/>
    <col min="2" max="2" width="28.921875" style="114" customWidth="1"/>
    <col min="3" max="3" width="18.15234375" style="114" customWidth="1"/>
    <col min="4" max="9" width="13.4609375" style="114" customWidth="1"/>
    <col min="10" max="10" width="38.15234375" style="114" customWidth="1"/>
    <col min="11" max="11" width="25.23046875" style="114" customWidth="1"/>
    <col min="12" max="12" width="22.4609375" style="114" customWidth="1"/>
    <col min="13" max="13" width="13.4609375" style="114" customWidth="1"/>
    <col min="14" max="14" width="28.15234375" style="114" customWidth="1"/>
    <col min="15" max="15" width="12.15234375" style="114" customWidth="1"/>
    <col min="16" max="17" width="8.69140625" style="114" customWidth="1"/>
    <col min="18" max="16384" width="8.69140625" style="114"/>
  </cols>
  <sheetData>
    <row r="1" spans="1:29" ht="20.5">
      <c r="A1" s="788" t="s">
        <v>591</v>
      </c>
      <c r="B1" s="1129" t="s">
        <v>578</v>
      </c>
      <c r="C1" s="1130"/>
      <c r="D1" s="113"/>
      <c r="H1" s="113"/>
      <c r="I1" s="113"/>
      <c r="J1" s="115"/>
      <c r="K1" s="116" t="s">
        <v>370</v>
      </c>
      <c r="L1" s="117"/>
      <c r="M1" s="113"/>
      <c r="N1" s="118" t="s">
        <v>478</v>
      </c>
      <c r="O1" s="119"/>
      <c r="P1" s="113"/>
      <c r="Q1" s="113"/>
      <c r="R1" s="113"/>
      <c r="S1" s="113"/>
      <c r="T1" s="113"/>
      <c r="U1" s="113"/>
      <c r="V1" s="113"/>
      <c r="W1" s="113"/>
      <c r="X1" s="113"/>
      <c r="Y1" s="113"/>
      <c r="Z1" s="113"/>
      <c r="AA1" s="113"/>
      <c r="AB1" s="113"/>
      <c r="AC1" s="113"/>
    </row>
    <row r="2" spans="1:29" ht="31.5" thickBot="1">
      <c r="A2" s="120" t="s">
        <v>308</v>
      </c>
      <c r="B2" s="121" t="s">
        <v>372</v>
      </c>
      <c r="C2" s="122" t="s">
        <v>374</v>
      </c>
      <c r="D2" s="113"/>
      <c r="H2" s="113"/>
      <c r="I2" s="113"/>
      <c r="J2" s="120" t="s">
        <v>308</v>
      </c>
      <c r="K2" s="121" t="s">
        <v>372</v>
      </c>
      <c r="L2" s="122" t="s">
        <v>374</v>
      </c>
      <c r="M2" s="113"/>
      <c r="N2" s="113"/>
      <c r="O2" s="113"/>
      <c r="P2" s="113"/>
      <c r="Q2" s="113"/>
      <c r="R2" s="113"/>
      <c r="S2" s="113"/>
      <c r="T2" s="113"/>
      <c r="U2" s="113"/>
      <c r="V2" s="113"/>
      <c r="W2" s="113"/>
      <c r="X2" s="113"/>
      <c r="Y2" s="113"/>
      <c r="Z2" s="113"/>
      <c r="AA2" s="113"/>
      <c r="AB2" s="113"/>
      <c r="AC2" s="113"/>
    </row>
    <row r="3" spans="1:29" hidden="1">
      <c r="A3" s="123"/>
      <c r="B3" s="124"/>
      <c r="C3" s="125"/>
      <c r="D3" s="113"/>
      <c r="E3" s="113"/>
      <c r="F3" s="113"/>
      <c r="G3" s="113"/>
      <c r="H3" s="113"/>
      <c r="I3" s="113"/>
      <c r="J3" s="126"/>
      <c r="K3" s="121"/>
      <c r="L3" s="122"/>
      <c r="M3" s="113"/>
      <c r="N3" s="113"/>
      <c r="O3" s="113"/>
      <c r="P3" s="113"/>
      <c r="Q3" s="113"/>
      <c r="R3" s="113"/>
      <c r="S3" s="113"/>
      <c r="T3" s="113"/>
      <c r="U3" s="113"/>
      <c r="V3" s="113"/>
      <c r="W3" s="113"/>
      <c r="X3" s="113"/>
      <c r="Y3" s="113"/>
      <c r="Z3" s="113"/>
      <c r="AA3" s="113"/>
      <c r="AB3" s="113"/>
      <c r="AC3" s="113"/>
    </row>
    <row r="4" spans="1:29" ht="31">
      <c r="A4" s="112" t="s">
        <v>574</v>
      </c>
      <c r="B4" s="127"/>
      <c r="C4" s="128"/>
      <c r="J4" s="129" t="s">
        <v>574</v>
      </c>
      <c r="K4" s="130"/>
      <c r="L4" s="131"/>
    </row>
    <row r="5" spans="1:29">
      <c r="A5" s="132" t="s">
        <v>290</v>
      </c>
      <c r="B5" s="133">
        <f t="shared" ref="B5:B19" si="0">K5*ex_rate</f>
        <v>69479.924671290326</v>
      </c>
      <c r="C5" s="134">
        <f t="shared" ref="C5:C19" si="1">L5*ex_rate</f>
        <v>11.378959166605028</v>
      </c>
      <c r="J5" s="132" t="s">
        <v>290</v>
      </c>
      <c r="K5" s="130">
        <f>VLOOKUP('Proposition Summary'!$B$80,'Real cost (DE)'!$B$4:$AR$19,4,FALSE)</f>
        <v>69479.924671290326</v>
      </c>
      <c r="L5" s="131">
        <f>VLOOKUP('Proposition Summary'!$B$80,'Real cost (IA)'!$B$4:$AR$19,4,FALSE)</f>
        <v>11.378959166605028</v>
      </c>
    </row>
    <row r="6" spans="1:29">
      <c r="A6" s="132" t="s">
        <v>542</v>
      </c>
      <c r="B6" s="133">
        <f t="shared" si="0"/>
        <v>375.50565249796603</v>
      </c>
      <c r="C6" s="134">
        <f t="shared" si="1"/>
        <v>11.378959166605028</v>
      </c>
      <c r="J6" s="132" t="s">
        <v>542</v>
      </c>
      <c r="K6" s="130">
        <f>VLOOKUP('Proposition Summary'!$B$80,'Real cost (DE)'!$B$4:$AR$19,7,FALSE)</f>
        <v>375.50565249796603</v>
      </c>
      <c r="L6" s="131">
        <f>VLOOKUP('Proposition Summary'!$B$80,'Real cost (IA)'!$B$4:$AR$19,7,FALSE)</f>
        <v>11.378959166605028</v>
      </c>
    </row>
    <row r="7" spans="1:29">
      <c r="A7" s="132" t="s">
        <v>543</v>
      </c>
      <c r="B7" s="133">
        <f t="shared" si="0"/>
        <v>125.16855083265533</v>
      </c>
      <c r="C7" s="134">
        <f t="shared" si="1"/>
        <v>11.378959166605028</v>
      </c>
      <c r="J7" s="132" t="s">
        <v>543</v>
      </c>
      <c r="K7" s="130">
        <f>VLOOKUP('Proposition Summary'!$B$80,'Real cost (DE)'!$B$4:$AR$19,10,FALSE)</f>
        <v>125.16855083265533</v>
      </c>
      <c r="L7" s="131">
        <f>VLOOKUP('Proposition Summary'!$B$80,'Real cost (IA)'!$B$4:$AR$19,10,FALSE)</f>
        <v>11.378959166605028</v>
      </c>
    </row>
    <row r="8" spans="1:29">
      <c r="A8" s="132" t="s">
        <v>544</v>
      </c>
      <c r="B8" s="133">
        <f t="shared" si="0"/>
        <v>1103.7590391606877</v>
      </c>
      <c r="C8" s="134">
        <f t="shared" si="1"/>
        <v>11.378959166605028</v>
      </c>
      <c r="J8" s="132" t="s">
        <v>544</v>
      </c>
      <c r="K8" s="130">
        <f>VLOOKUP('Proposition Summary'!$B$80,'Real cost (DE)'!$B$4:$AR$19,13,FALSE)</f>
        <v>1103.7590391606877</v>
      </c>
      <c r="L8" s="131">
        <f>VLOOKUP('Proposition Summary'!$B$80,'Real cost (IA)'!$B$4:$AR$19,13,FALSE)</f>
        <v>11.378959166605028</v>
      </c>
    </row>
    <row r="9" spans="1:29">
      <c r="A9" s="132" t="s">
        <v>545</v>
      </c>
      <c r="B9" s="133">
        <f t="shared" si="0"/>
        <v>170.68438749907546</v>
      </c>
      <c r="C9" s="134">
        <f t="shared" si="1"/>
        <v>11.378959166605028</v>
      </c>
      <c r="J9" s="132" t="s">
        <v>545</v>
      </c>
      <c r="K9" s="130">
        <f>VLOOKUP('Proposition Summary'!$B$80,'Real cost (DE)'!$B$4:$AR$19,16,FALSE)</f>
        <v>170.68438749907546</v>
      </c>
      <c r="L9" s="131">
        <f>VLOOKUP('Proposition Summary'!$B$80,'Real cost (IA)'!$B$4:$AR$19,16,FALSE)</f>
        <v>11.378959166605028</v>
      </c>
    </row>
    <row r="10" spans="1:29">
      <c r="A10" s="132" t="s">
        <v>292</v>
      </c>
      <c r="B10" s="133">
        <f t="shared" si="0"/>
        <v>216.20022416549557</v>
      </c>
      <c r="C10" s="134">
        <f t="shared" si="1"/>
        <v>159.30542833247043</v>
      </c>
      <c r="J10" s="132" t="s">
        <v>292</v>
      </c>
      <c r="K10" s="130">
        <f>VLOOKUP('Proposition Summary'!$B$80,'Real cost (DE)'!$B$4:$AR$19,19,FALSE)</f>
        <v>216.20022416549557</v>
      </c>
      <c r="L10" s="131">
        <f>VLOOKUP('Proposition Summary'!$B$80,'Real cost (IA)'!$B$4:$AR$19,19,FALSE)</f>
        <v>159.30542833247043</v>
      </c>
    </row>
    <row r="11" spans="1:29">
      <c r="A11" s="132" t="s">
        <v>546</v>
      </c>
      <c r="B11" s="133">
        <f t="shared" si="0"/>
        <v>364.12669333136091</v>
      </c>
      <c r="C11" s="134">
        <f t="shared" si="1"/>
        <v>443.77940749759614</v>
      </c>
      <c r="J11" s="132" t="s">
        <v>546</v>
      </c>
      <c r="K11" s="130">
        <f>VLOOKUP('Proposition Summary'!$B$80,'Real cost (DE)'!$B$4:$AR$19,22,FALSE)</f>
        <v>364.12669333136091</v>
      </c>
      <c r="L11" s="131">
        <f>VLOOKUP('Proposition Summary'!$B$80,'Real cost (IA)'!$B$4:$AR$19,22,FALSE)</f>
        <v>443.77940749759614</v>
      </c>
    </row>
    <row r="12" spans="1:29">
      <c r="A12" s="132" t="s">
        <v>547</v>
      </c>
      <c r="B12" s="133">
        <f t="shared" si="0"/>
        <v>1149.2748758271077</v>
      </c>
      <c r="C12" s="134">
        <f t="shared" si="1"/>
        <v>819.28505999556216</v>
      </c>
      <c r="J12" s="132" t="s">
        <v>547</v>
      </c>
      <c r="K12" s="130">
        <f>VLOOKUP('Proposition Summary'!$B$80,'Real cost (DE)'!$B$4:$AR$19,25,FALSE)</f>
        <v>1149.2748758271077</v>
      </c>
      <c r="L12" s="131">
        <f>VLOOKUP('Proposition Summary'!$B$80,'Real cost (IA)'!$B$4:$AR$19,25,FALSE)</f>
        <v>819.28505999556216</v>
      </c>
    </row>
    <row r="13" spans="1:29">
      <c r="A13" s="132" t="s">
        <v>548</v>
      </c>
      <c r="B13" s="133">
        <f t="shared" si="0"/>
        <v>125.16855083265533</v>
      </c>
      <c r="C13" s="134">
        <f t="shared" si="1"/>
        <v>0</v>
      </c>
      <c r="J13" s="132" t="s">
        <v>548</v>
      </c>
      <c r="K13" s="130">
        <f>VLOOKUP('Proposition Summary'!$B$80,'Real cost (DE)'!$B$4:$AR$19,28,FALSE)</f>
        <v>125.16855083265533</v>
      </c>
      <c r="L13" s="131">
        <f>VLOOKUP('Proposition Summary'!$B$80,'Real cost (IA)'!$B$4:$AR$19,28,FALSE)</f>
        <v>0</v>
      </c>
    </row>
    <row r="14" spans="1:29">
      <c r="A14" s="132" t="s">
        <v>549</v>
      </c>
      <c r="B14" s="133">
        <f t="shared" si="0"/>
        <v>22.757918333210057</v>
      </c>
      <c r="C14" s="134">
        <f t="shared" si="1"/>
        <v>0</v>
      </c>
      <c r="J14" s="132" t="s">
        <v>549</v>
      </c>
      <c r="K14" s="130">
        <f>VLOOKUP('Proposition Summary'!$B$80,'Real cost (DE)'!$B$4:$AR$19,31,FALSE)</f>
        <v>22.757918333210057</v>
      </c>
      <c r="L14" s="131">
        <f>VLOOKUP('Proposition Summary'!$B$80,'Real cost (IA)'!$B$4:$AR$19,31,FALSE)</f>
        <v>0</v>
      </c>
    </row>
    <row r="15" spans="1:29">
      <c r="A15" s="132" t="s">
        <v>550</v>
      </c>
      <c r="B15" s="133">
        <f t="shared" si="0"/>
        <v>125.16855083265533</v>
      </c>
      <c r="C15" s="134">
        <f t="shared" si="1"/>
        <v>250.33710166531066</v>
      </c>
      <c r="J15" s="132" t="s">
        <v>550</v>
      </c>
      <c r="K15" s="130">
        <f>VLOOKUP('Proposition Summary'!$B$80,'Real cost (DE)'!$B$4:$AR$19,34,FALSE)</f>
        <v>125.16855083265533</v>
      </c>
      <c r="L15" s="131">
        <f>VLOOKUP('Proposition Summary'!$B$80,'Real cost (IA)'!$B$4:$AR$19,34,FALSE)</f>
        <v>250.33710166531066</v>
      </c>
    </row>
    <row r="16" spans="1:29">
      <c r="A16" s="132" t="s">
        <v>551</v>
      </c>
      <c r="B16" s="133">
        <f t="shared" si="0"/>
        <v>22.757918333210057</v>
      </c>
      <c r="C16" s="134">
        <f t="shared" si="1"/>
        <v>45.515836666420114</v>
      </c>
      <c r="J16" s="132" t="s">
        <v>551</v>
      </c>
      <c r="K16" s="130">
        <f>VLOOKUP('Proposition Summary'!$B$80,'Real cost (DE)'!$B$4:$AR$19,37,FALSE)</f>
        <v>22.757918333210057</v>
      </c>
      <c r="L16" s="131">
        <f>VLOOKUP('Proposition Summary'!$B$80,'Real cost (IA)'!$B$4:$AR$19,37,FALSE)</f>
        <v>45.515836666420114</v>
      </c>
    </row>
    <row r="17" spans="1:14">
      <c r="A17" s="132" t="s">
        <v>424</v>
      </c>
      <c r="B17" s="133">
        <f t="shared" si="0"/>
        <v>193.44230583228551</v>
      </c>
      <c r="C17" s="134">
        <f t="shared" si="1"/>
        <v>56.89479583302515</v>
      </c>
      <c r="J17" s="132" t="s">
        <v>424</v>
      </c>
      <c r="K17" s="130">
        <f>VLOOKUP('Proposition Summary'!$B$80,'Real cost (DE)'!$B$4:$AR$19,40,FALSE)</f>
        <v>193.44230583228551</v>
      </c>
      <c r="L17" s="131">
        <f>VLOOKUP('Proposition Summary'!$B$80,'Real cost (IA)'!$B$4:$AR$19,40,FALSE)</f>
        <v>56.89479583302515</v>
      </c>
    </row>
    <row r="18" spans="1:14">
      <c r="A18" s="132" t="s">
        <v>552</v>
      </c>
      <c r="B18" s="133">
        <f t="shared" si="0"/>
        <v>329.98981583154591</v>
      </c>
      <c r="C18" s="134">
        <f t="shared" si="1"/>
        <v>0</v>
      </c>
      <c r="J18" s="132" t="s">
        <v>552</v>
      </c>
      <c r="K18" s="130">
        <f>VLOOKUP('Proposition Summary'!$B$80,'Real cost (DE)'!$B$4:$AR$19,43,FALSE)</f>
        <v>329.98981583154591</v>
      </c>
      <c r="L18" s="131">
        <f>VLOOKUP('Proposition Summary'!$B$80,'Real cost (IA)'!$B$4:$AR$19,43,FALSE)</f>
        <v>0</v>
      </c>
    </row>
    <row r="19" spans="1:14">
      <c r="A19" s="132" t="s">
        <v>554</v>
      </c>
      <c r="B19" s="133">
        <f t="shared" si="0"/>
        <v>73247.397870996749</v>
      </c>
      <c r="C19" s="134">
        <f t="shared" si="1"/>
        <v>1809.2545074901998</v>
      </c>
      <c r="J19" s="132" t="s">
        <v>554</v>
      </c>
      <c r="K19" s="130">
        <f>VLOOKUP('Proposition Summary'!$B$80,'Real cost (DE)'!$B$4:$AS$19,44,FALSE)</f>
        <v>73247.397870996749</v>
      </c>
      <c r="L19" s="131">
        <f>SUM(L6,L8,L9,L10,L11,L12,L13,L15,L16,L17,L18,)</f>
        <v>1809.2545074901998</v>
      </c>
      <c r="N19" s="135"/>
    </row>
    <row r="20" spans="1:14" ht="31.5">
      <c r="A20" s="136" t="s">
        <v>575</v>
      </c>
      <c r="B20" s="137"/>
      <c r="C20" s="138"/>
      <c r="J20" s="129" t="s">
        <v>575</v>
      </c>
      <c r="K20" s="139"/>
      <c r="L20" s="140"/>
    </row>
    <row r="21" spans="1:14">
      <c r="A21" s="132" t="s">
        <v>555</v>
      </c>
      <c r="B21" s="133">
        <f t="shared" ref="B21:C28" si="2">K21*ex_rate</f>
        <v>2344.0655883206368</v>
      </c>
      <c r="C21" s="134">
        <f t="shared" si="2"/>
        <v>273.0950199985208</v>
      </c>
      <c r="J21" s="132" t="s">
        <v>555</v>
      </c>
      <c r="K21" s="130">
        <f>VLOOKUP('Proposition Summary'!$B$80,'Real cost (DE)'!$B$23:$X$38,4,FALSE)</f>
        <v>2344.0655883206368</v>
      </c>
      <c r="L21" s="131">
        <f>VLOOKUP('Proposition Summary'!$B$80,'Real cost (IA)'!$B$23:$X$38,4,FALSE)</f>
        <v>273.0950199985208</v>
      </c>
    </row>
    <row r="22" spans="1:14">
      <c r="A22" s="132" t="s">
        <v>556</v>
      </c>
      <c r="B22" s="133">
        <f t="shared" si="2"/>
        <v>8158.7137224558064</v>
      </c>
      <c r="C22" s="134">
        <f t="shared" si="2"/>
        <v>978.59048832803262</v>
      </c>
      <c r="J22" s="132" t="s">
        <v>556</v>
      </c>
      <c r="K22" s="130">
        <f>VLOOKUP('Proposition Summary'!$B$80,'Real cost (DE)'!$B$23:$X$38,7,FALSE)</f>
        <v>8158.7137224558064</v>
      </c>
      <c r="L22" s="131">
        <f>VLOOKUP('Proposition Summary'!$B$80,'Real cost (IA)'!$B$23:$X$38,7,FALSE)</f>
        <v>978.59048832803262</v>
      </c>
    </row>
    <row r="23" spans="1:14">
      <c r="A23" s="132" t="s">
        <v>557</v>
      </c>
      <c r="B23" s="133">
        <f t="shared" si="2"/>
        <v>238.95814249870563</v>
      </c>
      <c r="C23" s="134">
        <f t="shared" si="2"/>
        <v>11.378959166605028</v>
      </c>
      <c r="J23" s="132" t="s">
        <v>557</v>
      </c>
      <c r="K23" s="130">
        <f>VLOOKUP('Proposition Summary'!$B$80,'Real cost (DE)'!$B$23:$X$38,10,FALSE)</f>
        <v>238.95814249870563</v>
      </c>
      <c r="L23" s="131">
        <f>VLOOKUP('Proposition Summary'!$B$80,'Real cost (IA)'!$B$23:$X$38,10,FALSE)</f>
        <v>11.378959166605028</v>
      </c>
    </row>
    <row r="24" spans="1:14">
      <c r="A24" s="132" t="s">
        <v>408</v>
      </c>
      <c r="B24" s="133">
        <f t="shared" si="2"/>
        <v>4597.0995033084309</v>
      </c>
      <c r="C24" s="134">
        <f t="shared" si="2"/>
        <v>2139.2443233217459</v>
      </c>
      <c r="J24" s="132" t="s">
        <v>408</v>
      </c>
      <c r="K24" s="130">
        <f>VLOOKUP('Proposition Summary'!$B$80,'Real cost (DE)'!$B$23:$X$38,13,FALSE)</f>
        <v>4597.0995033084309</v>
      </c>
      <c r="L24" s="131">
        <f>VLOOKUP('Proposition Summary'!$B$80,'Real cost (IA)'!$B$23:$X$38,13,FALSE)</f>
        <v>2139.2443233217459</v>
      </c>
    </row>
    <row r="25" spans="1:14">
      <c r="A25" s="132" t="s">
        <v>409</v>
      </c>
      <c r="B25" s="133">
        <f t="shared" si="2"/>
        <v>250.33710166531066</v>
      </c>
      <c r="C25" s="134">
        <f t="shared" si="2"/>
        <v>22.757918333210057</v>
      </c>
      <c r="J25" s="132" t="s">
        <v>409</v>
      </c>
      <c r="K25" s="130">
        <f>VLOOKUP('Proposition Summary'!$B$80,'Real cost (DE)'!$B$23:$X$38,16,FALSE)</f>
        <v>250.33710166531066</v>
      </c>
      <c r="L25" s="131">
        <f>VLOOKUP('Proposition Summary'!$B$80,'Real cost (IA)'!$B$23:$X$38,16,FALSE)</f>
        <v>22.757918333210057</v>
      </c>
    </row>
    <row r="26" spans="1:14">
      <c r="A26" s="132" t="s">
        <v>558</v>
      </c>
      <c r="B26" s="133">
        <f t="shared" si="2"/>
        <v>1479.2646916586536</v>
      </c>
      <c r="C26" s="134">
        <f t="shared" si="2"/>
        <v>603.0848358300666</v>
      </c>
      <c r="J26" s="132" t="s">
        <v>558</v>
      </c>
      <c r="K26" s="130">
        <f>VLOOKUP('Proposition Summary'!$B$80,'Real cost (DE)'!$B$23:$X$38,19,FALSE)</f>
        <v>1479.2646916586536</v>
      </c>
      <c r="L26" s="131">
        <f>VLOOKUP('Proposition Summary'!$B$80,'Real cost (IA)'!$B$23:$X$38,19,FALSE)</f>
        <v>603.0848358300666</v>
      </c>
    </row>
    <row r="27" spans="1:14">
      <c r="A27" s="132" t="s">
        <v>559</v>
      </c>
      <c r="B27" s="133">
        <f t="shared" si="2"/>
        <v>238.95814249870563</v>
      </c>
      <c r="C27" s="134">
        <f t="shared" si="2"/>
        <v>125.16855083265533</v>
      </c>
      <c r="J27" s="132" t="s">
        <v>559</v>
      </c>
      <c r="K27" s="130">
        <f>VLOOKUP('Proposition Summary'!$B$80,'Real cost (DE)'!$B$23:$X$38,22,FALSE)</f>
        <v>238.95814249870563</v>
      </c>
      <c r="L27" s="131">
        <f>VLOOKUP('Proposition Summary'!$B$80,'Real cost (IA)'!$B$23:$X$38,22,FALSE)</f>
        <v>125.16855083265533</v>
      </c>
    </row>
    <row r="28" spans="1:14">
      <c r="A28" s="132" t="s">
        <v>560</v>
      </c>
      <c r="B28" s="133">
        <f t="shared" si="2"/>
        <v>17307.39689240625</v>
      </c>
      <c r="C28" s="134">
        <f t="shared" si="2"/>
        <v>4153.3200958108364</v>
      </c>
      <c r="J28" s="132" t="s">
        <v>560</v>
      </c>
      <c r="K28" s="130">
        <f>SUM(K21:K27)</f>
        <v>17307.39689240625</v>
      </c>
      <c r="L28" s="131">
        <f>SUM(L21:L27)</f>
        <v>4153.3200958108364</v>
      </c>
    </row>
    <row r="29" spans="1:14" ht="46.5">
      <c r="A29" s="136" t="s">
        <v>513</v>
      </c>
      <c r="B29" s="141"/>
      <c r="C29" s="140"/>
      <c r="J29" s="129" t="s">
        <v>513</v>
      </c>
      <c r="K29" s="141"/>
      <c r="L29" s="140"/>
    </row>
    <row r="30" spans="1:14">
      <c r="A30" s="132" t="s">
        <v>428</v>
      </c>
      <c r="B30" s="142" t="s">
        <v>429</v>
      </c>
      <c r="C30" s="143" t="s">
        <v>429</v>
      </c>
      <c r="J30" s="132" t="s">
        <v>428</v>
      </c>
      <c r="K30" s="141" t="s">
        <v>429</v>
      </c>
      <c r="L30" s="140" t="s">
        <v>429</v>
      </c>
    </row>
    <row r="31" spans="1:14" ht="31">
      <c r="A31" s="132" t="s">
        <v>421</v>
      </c>
      <c r="B31" s="142" t="s">
        <v>429</v>
      </c>
      <c r="C31" s="143" t="s">
        <v>429</v>
      </c>
      <c r="J31" s="132" t="s">
        <v>421</v>
      </c>
      <c r="K31" s="141" t="s">
        <v>429</v>
      </c>
      <c r="L31" s="140" t="s">
        <v>429</v>
      </c>
    </row>
    <row r="32" spans="1:14">
      <c r="A32" s="132" t="s">
        <v>516</v>
      </c>
      <c r="B32" s="142" t="s">
        <v>429</v>
      </c>
      <c r="C32" s="143" t="s">
        <v>429</v>
      </c>
      <c r="J32" s="132" t="s">
        <v>516</v>
      </c>
      <c r="K32" s="141" t="s">
        <v>429</v>
      </c>
      <c r="L32" s="140" t="s">
        <v>429</v>
      </c>
    </row>
    <row r="33" spans="1:26">
      <c r="A33" s="132" t="s">
        <v>416</v>
      </c>
      <c r="B33" s="142" t="s">
        <v>429</v>
      </c>
      <c r="C33" s="143" t="s">
        <v>429</v>
      </c>
      <c r="J33" s="132" t="s">
        <v>416</v>
      </c>
      <c r="K33" s="141" t="s">
        <v>429</v>
      </c>
      <c r="L33" s="140" t="s">
        <v>429</v>
      </c>
    </row>
    <row r="34" spans="1:26">
      <c r="A34" s="132" t="s">
        <v>417</v>
      </c>
      <c r="B34" s="142" t="s">
        <v>429</v>
      </c>
      <c r="C34" s="143" t="s">
        <v>429</v>
      </c>
      <c r="J34" s="132" t="s">
        <v>417</v>
      </c>
      <c r="K34" s="141" t="s">
        <v>429</v>
      </c>
      <c r="L34" s="140" t="s">
        <v>429</v>
      </c>
    </row>
    <row r="35" spans="1:26">
      <c r="A35" s="132" t="s">
        <v>418</v>
      </c>
      <c r="B35" s="142" t="s">
        <v>429</v>
      </c>
      <c r="C35" s="143" t="s">
        <v>429</v>
      </c>
      <c r="J35" s="132" t="s">
        <v>418</v>
      </c>
      <c r="K35" s="141" t="s">
        <v>429</v>
      </c>
      <c r="L35" s="140" t="s">
        <v>429</v>
      </c>
    </row>
    <row r="36" spans="1:26">
      <c r="A36" s="132" t="s">
        <v>419</v>
      </c>
      <c r="B36" s="133">
        <f>K36*ex_rate</f>
        <v>0</v>
      </c>
      <c r="C36" s="134">
        <f>L36*ex_rate</f>
        <v>0</v>
      </c>
      <c r="J36" s="132" t="s">
        <v>419</v>
      </c>
      <c r="K36" s="130">
        <f>SUM(K30:K35)</f>
        <v>0</v>
      </c>
      <c r="L36" s="131">
        <f>SUM(L30:L35)</f>
        <v>0</v>
      </c>
    </row>
    <row r="37" spans="1:26" ht="16" thickBot="1">
      <c r="A37" s="144" t="s">
        <v>426</v>
      </c>
      <c r="B37" s="145">
        <f>K37*ex_rate</f>
        <v>90554.794763402999</v>
      </c>
      <c r="C37" s="146">
        <f>L37*ex_rate</f>
        <v>5962.5746033010364</v>
      </c>
      <c r="J37" s="144" t="s">
        <v>426</v>
      </c>
      <c r="K37" s="147">
        <f>K19+K28+K36</f>
        <v>90554.794763402999</v>
      </c>
      <c r="L37" s="148">
        <f>L19+L28+L36</f>
        <v>5962.5746033010364</v>
      </c>
    </row>
    <row r="38" spans="1:26" ht="16" thickBot="1"/>
    <row r="39" spans="1:26" ht="16" thickBot="1">
      <c r="A39" s="149"/>
      <c r="B39" s="1131" t="s">
        <v>577</v>
      </c>
      <c r="C39" s="1132"/>
      <c r="D39" s="1132"/>
      <c r="E39" s="1132"/>
      <c r="F39" s="1133"/>
      <c r="G39" s="150"/>
      <c r="H39" s="150"/>
      <c r="I39" s="150"/>
      <c r="J39" s="151"/>
      <c r="K39" s="152" t="s">
        <v>294</v>
      </c>
      <c r="L39" s="152"/>
      <c r="M39" s="152"/>
      <c r="N39" s="152"/>
      <c r="O39" s="153"/>
      <c r="P39" s="150"/>
      <c r="Q39" s="150"/>
      <c r="R39" s="150"/>
      <c r="S39" s="150"/>
      <c r="T39" s="150"/>
      <c r="U39" s="150"/>
      <c r="V39" s="150"/>
      <c r="W39" s="150"/>
      <c r="X39" s="150"/>
      <c r="Y39" s="150"/>
      <c r="Z39" s="150"/>
    </row>
    <row r="40" spans="1:26" ht="46.5">
      <c r="A40" s="154" t="s">
        <v>308</v>
      </c>
      <c r="B40" s="113" t="s">
        <v>562</v>
      </c>
      <c r="C40" s="113" t="s">
        <v>564</v>
      </c>
      <c r="D40" s="113" t="s">
        <v>377</v>
      </c>
      <c r="E40" s="113" t="s">
        <v>378</v>
      </c>
      <c r="F40" s="155" t="s">
        <v>376</v>
      </c>
      <c r="J40" s="154" t="s">
        <v>308</v>
      </c>
      <c r="K40" s="113" t="s">
        <v>562</v>
      </c>
      <c r="L40" s="113" t="s">
        <v>564</v>
      </c>
      <c r="M40" s="113" t="s">
        <v>377</v>
      </c>
      <c r="N40" s="113" t="s">
        <v>378</v>
      </c>
      <c r="O40" s="155" t="s">
        <v>376</v>
      </c>
    </row>
    <row r="41" spans="1:26" ht="31">
      <c r="A41" s="136" t="s">
        <v>574</v>
      </c>
      <c r="B41" s="121"/>
      <c r="C41" s="121"/>
      <c r="D41" s="121"/>
      <c r="E41" s="121"/>
      <c r="F41" s="156"/>
      <c r="J41" s="129" t="s">
        <v>574</v>
      </c>
      <c r="K41" s="121"/>
      <c r="L41" s="121"/>
      <c r="M41" s="121"/>
      <c r="N41" s="121"/>
      <c r="O41" s="156"/>
    </row>
    <row r="42" spans="1:26" hidden="1">
      <c r="A42" s="157"/>
      <c r="B42" s="141"/>
      <c r="C42" s="141"/>
      <c r="D42" s="141"/>
      <c r="E42" s="141"/>
      <c r="F42" s="140"/>
      <c r="J42" s="157"/>
      <c r="K42" s="130"/>
      <c r="L42" s="130"/>
      <c r="M42" s="130"/>
      <c r="N42" s="130"/>
      <c r="O42" s="131"/>
    </row>
    <row r="43" spans="1:26">
      <c r="A43" s="132" t="s">
        <v>290</v>
      </c>
      <c r="B43" s="142" t="s">
        <v>429</v>
      </c>
      <c r="C43" s="133">
        <f t="shared" ref="C43:C55" si="3">L43*ex_rate</f>
        <v>2369588.5937313312</v>
      </c>
      <c r="D43" s="133">
        <f t="shared" ref="D43:D55" si="4">M43*ex_rate</f>
        <v>289833.46893259668</v>
      </c>
      <c r="E43" s="133">
        <f t="shared" ref="E43:E55" si="5">N43*ex_rate</f>
        <v>1263.0644674931584</v>
      </c>
      <c r="F43" s="134">
        <f t="shared" ref="F43:F55" si="6">O43*ex_rate</f>
        <v>6235.6696232995573</v>
      </c>
      <c r="J43" s="132" t="s">
        <v>290</v>
      </c>
      <c r="K43" s="141" t="s">
        <v>429</v>
      </c>
      <c r="L43" s="131">
        <f>VLOOKUP('Proposition Summary'!$B$80,'Real cost (PEH)'!$B$4:$AR$19,4,FALSE)</f>
        <v>2369588.5937313312</v>
      </c>
      <c r="M43" s="131">
        <f>VLOOKUP('Proposition Summary'!$B$80,'Real cost (LO)'!$B$4:$AR$19,4,FALSE)</f>
        <v>289833.46893259668</v>
      </c>
      <c r="N43" s="131">
        <f>VLOOKUP('Proposition Summary'!$B$80,'Real cost (HS)'!$B$4:$AR$19,4,FALSE)</f>
        <v>1263.0644674931584</v>
      </c>
      <c r="O43" s="131">
        <f>VLOOKUP('Proposition Summary'!$B$80,'Real cost (VS)'!$B$4:$AR$19,4,FALSE)</f>
        <v>6235.6696232995573</v>
      </c>
    </row>
    <row r="44" spans="1:26">
      <c r="A44" s="132" t="s">
        <v>542</v>
      </c>
      <c r="B44" s="142" t="s">
        <v>429</v>
      </c>
      <c r="C44" s="133">
        <f t="shared" si="3"/>
        <v>9376.2623532825473</v>
      </c>
      <c r="D44" s="133">
        <f t="shared" si="4"/>
        <v>2344.0655883206368</v>
      </c>
      <c r="E44" s="133">
        <f t="shared" si="5"/>
        <v>1046.864243327663</v>
      </c>
      <c r="F44" s="134">
        <f t="shared" si="6"/>
        <v>0</v>
      </c>
      <c r="J44" s="132" t="s">
        <v>542</v>
      </c>
      <c r="K44" s="141" t="s">
        <v>429</v>
      </c>
      <c r="L44" s="131">
        <f>VLOOKUP('Proposition Summary'!$B$80,'Real cost (PEH)'!$B$4:$AR$19,7,FALSE)</f>
        <v>9376.2623532825473</v>
      </c>
      <c r="M44" s="131">
        <f>VLOOKUP('Proposition Summary'!$B$80,'Real cost (LO)'!$B$4:$AR$19,7,FALSE)</f>
        <v>2344.0655883206368</v>
      </c>
      <c r="N44" s="131">
        <f>VLOOKUP('Proposition Summary'!$B$80,'Real cost (HS)'!$B$4:$AR$19,7,FALSE)</f>
        <v>1046.864243327663</v>
      </c>
      <c r="O44" s="131">
        <f>VLOOKUP('Proposition Summary'!$B$80,'Real cost (VS)'!$B$4:$AR$19,7,FALSE)</f>
        <v>0</v>
      </c>
    </row>
    <row r="45" spans="1:26">
      <c r="A45" s="132" t="s">
        <v>543</v>
      </c>
      <c r="B45" s="142" t="s">
        <v>429</v>
      </c>
      <c r="C45" s="133">
        <f t="shared" si="3"/>
        <v>3197.4875258160132</v>
      </c>
      <c r="D45" s="133">
        <f t="shared" si="4"/>
        <v>762.39026416253705</v>
      </c>
      <c r="E45" s="133">
        <f t="shared" si="5"/>
        <v>307.23189749833585</v>
      </c>
      <c r="F45" s="134">
        <f t="shared" si="6"/>
        <v>11.378959166605028</v>
      </c>
      <c r="J45" s="132" t="s">
        <v>543</v>
      </c>
      <c r="K45" s="141" t="s">
        <v>429</v>
      </c>
      <c r="L45" s="131">
        <f>VLOOKUP('Proposition Summary'!$B$80,'Real cost (PEH)'!$B$4:$AR$19,10,FALSE)</f>
        <v>3197.4875258160132</v>
      </c>
      <c r="M45" s="131">
        <f>VLOOKUP('Proposition Summary'!$B$80,'Real cost (LO)'!$B$4:$AR$19,10,FALSE)</f>
        <v>762.39026416253705</v>
      </c>
      <c r="N45" s="131">
        <f>VLOOKUP('Proposition Summary'!$B$80,'Real cost (HS)'!$B$4:$AR$19,10,FALSE)</f>
        <v>307.23189749833585</v>
      </c>
      <c r="O45" s="131">
        <f>VLOOKUP('Proposition Summary'!$B$80,'Real cost (VS)'!$B$4:$AR$19,10,FALSE)</f>
        <v>11.378959166605028</v>
      </c>
    </row>
    <row r="46" spans="1:26">
      <c r="A46" s="132" t="s">
        <v>544</v>
      </c>
      <c r="B46" s="142" t="s">
        <v>429</v>
      </c>
      <c r="C46" s="133">
        <f t="shared" si="3"/>
        <v>27753.281407349667</v>
      </c>
      <c r="D46" s="133">
        <f t="shared" si="4"/>
        <v>6713.5859082969673</v>
      </c>
      <c r="E46" s="133">
        <f t="shared" si="5"/>
        <v>1263.0644674931584</v>
      </c>
      <c r="F46" s="134">
        <f t="shared" si="6"/>
        <v>45.515836666420114</v>
      </c>
      <c r="J46" s="132" t="s">
        <v>544</v>
      </c>
      <c r="K46" s="141" t="s">
        <v>429</v>
      </c>
      <c r="L46" s="131">
        <f>VLOOKUP('Proposition Summary'!$B$80,'Real cost (PEH)'!$B$4:$AR$19,13,FALSE)</f>
        <v>27753.281407349667</v>
      </c>
      <c r="M46" s="131">
        <f>VLOOKUP('Proposition Summary'!$B$80,'Real cost (LO)'!$B$4:$AR$19,13,FALSE)</f>
        <v>6713.5859082969673</v>
      </c>
      <c r="N46" s="131">
        <f>VLOOKUP('Proposition Summary'!$B$80,'Real cost (HS)'!$B$4:$AR$19,13,FALSE)</f>
        <v>1263.0644674931584</v>
      </c>
      <c r="O46" s="131">
        <f>VLOOKUP('Proposition Summary'!$B$80,'Real cost (VS)'!$B$4:$AR$19,13,FALSE)</f>
        <v>45.515836666420114</v>
      </c>
    </row>
    <row r="47" spans="1:26">
      <c r="A47" s="132" t="s">
        <v>545</v>
      </c>
      <c r="B47" s="142" t="s">
        <v>429</v>
      </c>
      <c r="C47" s="133">
        <f t="shared" si="3"/>
        <v>4210.2148916438618</v>
      </c>
      <c r="D47" s="133">
        <f t="shared" si="4"/>
        <v>1274.4434266597634</v>
      </c>
      <c r="E47" s="133">
        <f t="shared" si="5"/>
        <v>443.77940749759614</v>
      </c>
      <c r="F47" s="134">
        <f t="shared" si="6"/>
        <v>11.378959166605028</v>
      </c>
      <c r="J47" s="132" t="s">
        <v>545</v>
      </c>
      <c r="K47" s="141" t="s">
        <v>429</v>
      </c>
      <c r="L47" s="131">
        <f>VLOOKUP('Proposition Summary'!$B$80,'Real cost (PEH)'!$B$4:$AR$19,16,FALSE)</f>
        <v>4210.2148916438618</v>
      </c>
      <c r="M47" s="131">
        <f>VLOOKUP('Proposition Summary'!$B$80,'Real cost (LO)'!$B$4:$AR$19,16,FALSE)</f>
        <v>1274.4434266597634</v>
      </c>
      <c r="N47" s="131">
        <f>VLOOKUP('Proposition Summary'!$B$80,'Real cost (HS)'!$B$4:$AR$19,16,FALSE)</f>
        <v>443.77940749759614</v>
      </c>
      <c r="O47" s="131">
        <f>VLOOKUP('Proposition Summary'!$B$80,'Real cost (VS)'!$B$4:$AR$19,16,FALSE)</f>
        <v>11.378959166605028</v>
      </c>
    </row>
    <row r="48" spans="1:26">
      <c r="A48" s="132" t="s">
        <v>292</v>
      </c>
      <c r="B48" s="133">
        <f t="shared" ref="B48:B57" si="7">K48*ex_rate</f>
        <v>1172.0327941603184</v>
      </c>
      <c r="C48" s="133">
        <f t="shared" si="3"/>
        <v>4085.0463408112055</v>
      </c>
      <c r="D48" s="133">
        <f t="shared" si="4"/>
        <v>1046.864243327663</v>
      </c>
      <c r="E48" s="133">
        <f t="shared" si="5"/>
        <v>864.80089666198228</v>
      </c>
      <c r="F48" s="134">
        <f t="shared" si="6"/>
        <v>11.378959166605028</v>
      </c>
      <c r="J48" s="132" t="s">
        <v>292</v>
      </c>
      <c r="K48" s="130">
        <f>VLOOKUP('Proposition Summary'!$B$80,'Real cost (VPS)'!$B$4:$AR$19,19,FALSE)</f>
        <v>1172.0327941603184</v>
      </c>
      <c r="L48" s="131">
        <f>VLOOKUP('Proposition Summary'!$B$80,'Real cost (PEH)'!$B$4:$AR$19,19,FALSE)</f>
        <v>4085.0463408112055</v>
      </c>
      <c r="M48" s="131">
        <f>VLOOKUP('Proposition Summary'!$B$80,'Real cost (LO)'!$B$4:$AR$19,19,FALSE)</f>
        <v>1046.864243327663</v>
      </c>
      <c r="N48" s="131">
        <f>VLOOKUP('Proposition Summary'!$B$80,'Real cost (HS)'!$B$4:$AR$19,19,FALSE)</f>
        <v>864.80089666198228</v>
      </c>
      <c r="O48" s="131">
        <f>VLOOKUP('Proposition Summary'!$B$80,'Real cost (VS)'!$B$4:$AR$19,19,FALSE)</f>
        <v>11.378959166605028</v>
      </c>
    </row>
    <row r="49" spans="1:15">
      <c r="A49" s="132" t="s">
        <v>546</v>
      </c>
      <c r="B49" s="133">
        <f t="shared" si="7"/>
        <v>1593.0542833247043</v>
      </c>
      <c r="C49" s="133">
        <f t="shared" si="3"/>
        <v>1354.0961408259989</v>
      </c>
      <c r="D49" s="133">
        <f t="shared" si="4"/>
        <v>500.67420333062131</v>
      </c>
      <c r="E49" s="133">
        <f t="shared" si="5"/>
        <v>432.40044833099114</v>
      </c>
      <c r="F49" s="134">
        <f t="shared" si="6"/>
        <v>0</v>
      </c>
      <c r="J49" s="132" t="s">
        <v>546</v>
      </c>
      <c r="K49" s="130">
        <f>VLOOKUP('Proposition Summary'!$B$80,'Real cost (VPS)'!$B$4:$AR$19,22,FALSE)</f>
        <v>1593.0542833247043</v>
      </c>
      <c r="L49" s="131">
        <f>VLOOKUP('Proposition Summary'!$B$80,'Real cost (PEH)'!$B$4:$AR$19,22,FALSE)</f>
        <v>1354.0961408259989</v>
      </c>
      <c r="M49" s="131">
        <f>VLOOKUP('Proposition Summary'!$B$80,'Real cost (LO)'!$B$4:$AR$19,22,FALSE)</f>
        <v>500.67420333062131</v>
      </c>
      <c r="N49" s="131">
        <f>VLOOKUP('Proposition Summary'!$B$80,'Real cost (HS)'!$B$4:$AR$19,22,FALSE)</f>
        <v>432.40044833099114</v>
      </c>
      <c r="O49" s="131">
        <f>VLOOKUP('Proposition Summary'!$B$80,'Real cost (VS)'!$B$4:$AR$19,22,FALSE)</f>
        <v>0</v>
      </c>
    </row>
    <row r="50" spans="1:15">
      <c r="A50" s="132" t="s">
        <v>547</v>
      </c>
      <c r="B50" s="133">
        <f t="shared" si="7"/>
        <v>4710.8890949744828</v>
      </c>
      <c r="C50" s="133">
        <f t="shared" si="3"/>
        <v>307.23189749833585</v>
      </c>
      <c r="D50" s="133">
        <f t="shared" si="4"/>
        <v>170.68438749907546</v>
      </c>
      <c r="E50" s="133">
        <f t="shared" si="5"/>
        <v>113.7895916660503</v>
      </c>
      <c r="F50" s="134">
        <f t="shared" si="6"/>
        <v>0</v>
      </c>
      <c r="J50" s="132" t="s">
        <v>547</v>
      </c>
      <c r="K50" s="130">
        <f>VLOOKUP('Proposition Summary'!$B$80,'Real cost (VPS)'!$B$4:$AR$19,25,FALSE)</f>
        <v>4710.8890949744828</v>
      </c>
      <c r="L50" s="131">
        <f>VLOOKUP('Proposition Summary'!$B$80,'Real cost (PEH)'!$B$4:$AR$19,25,FALSE)</f>
        <v>307.23189749833585</v>
      </c>
      <c r="M50" s="131">
        <f>VLOOKUP('Proposition Summary'!$B$80,'Real cost (LO)'!$B$4:$AR$19,25,FALSE)</f>
        <v>170.68438749907546</v>
      </c>
      <c r="N50" s="131">
        <f>VLOOKUP('Proposition Summary'!$B$80,'Real cost (HS)'!$B$4:$AR$19,25,FALSE)</f>
        <v>113.7895916660503</v>
      </c>
      <c r="O50" s="131">
        <f>VLOOKUP('Proposition Summary'!$B$80,'Real cost (VS)'!$B$4:$AR$19,25,FALSE)</f>
        <v>0</v>
      </c>
    </row>
    <row r="51" spans="1:15">
      <c r="A51" s="132" t="s">
        <v>548</v>
      </c>
      <c r="B51" s="133">
        <f t="shared" si="7"/>
        <v>398.26357083117608</v>
      </c>
      <c r="C51" s="133">
        <f t="shared" si="3"/>
        <v>159.30542833247043</v>
      </c>
      <c r="D51" s="133">
        <f t="shared" si="4"/>
        <v>68.273754999630199</v>
      </c>
      <c r="E51" s="133">
        <f t="shared" si="5"/>
        <v>45.515836666420114</v>
      </c>
      <c r="F51" s="134">
        <f t="shared" si="6"/>
        <v>0</v>
      </c>
      <c r="J51" s="132" t="s">
        <v>548</v>
      </c>
      <c r="K51" s="130">
        <f>VLOOKUP('Proposition Summary'!$B$80,'Real cost (VPS)'!$B$4:$AR$19,28,FALSE)</f>
        <v>398.26357083117608</v>
      </c>
      <c r="L51" s="131">
        <f>VLOOKUP('Proposition Summary'!$B$80,'Real cost (PEH)'!$B$4:$AR$19,28,FALSE)</f>
        <v>159.30542833247043</v>
      </c>
      <c r="M51" s="131">
        <f>VLOOKUP('Proposition Summary'!$B$80,'Real cost (LO)'!$B$4:$AR$19,28,FALSE)</f>
        <v>68.273754999630199</v>
      </c>
      <c r="N51" s="131">
        <f>VLOOKUP('Proposition Summary'!$B$80,'Real cost (HS)'!$B$4:$AR$19,28,FALSE)</f>
        <v>45.515836666420114</v>
      </c>
      <c r="O51" s="131">
        <f>VLOOKUP('Proposition Summary'!$B$80,'Real cost (VS)'!$B$4:$AR$19,28,FALSE)</f>
        <v>0</v>
      </c>
    </row>
    <row r="52" spans="1:15">
      <c r="A52" s="132" t="s">
        <v>549</v>
      </c>
      <c r="B52" s="133">
        <f t="shared" si="7"/>
        <v>204.82126499889054</v>
      </c>
      <c r="C52" s="133">
        <f t="shared" si="3"/>
        <v>466.5373258308062</v>
      </c>
      <c r="D52" s="133">
        <f t="shared" si="4"/>
        <v>136.5475099992604</v>
      </c>
      <c r="E52" s="133">
        <f t="shared" si="5"/>
        <v>238.95814249870563</v>
      </c>
      <c r="F52" s="134">
        <f t="shared" si="6"/>
        <v>0</v>
      </c>
      <c r="J52" s="132" t="s">
        <v>549</v>
      </c>
      <c r="K52" s="130">
        <f>VLOOKUP('Proposition Summary'!$B$80,'Real cost (VPS)'!$B$4:$AR$19,31,FALSE)</f>
        <v>204.82126499889054</v>
      </c>
      <c r="L52" s="131">
        <f>VLOOKUP('Proposition Summary'!$B$80,'Real cost (PEH)'!$B$4:$AR$19,31,FALSE)</f>
        <v>466.5373258308062</v>
      </c>
      <c r="M52" s="131">
        <f>VLOOKUP('Proposition Summary'!$B$80,'Real cost (LO)'!$B$4:$AR$19,31,FALSE)</f>
        <v>136.5475099992604</v>
      </c>
      <c r="N52" s="131">
        <f>VLOOKUP('Proposition Summary'!$B$80,'Real cost (HS)'!$B$4:$AR$19,31,FALSE)</f>
        <v>238.95814249870563</v>
      </c>
      <c r="O52" s="131">
        <f>VLOOKUP('Proposition Summary'!$B$80,'Real cost (VS)'!$B$4:$AR$19,31,FALSE)</f>
        <v>0</v>
      </c>
    </row>
    <row r="53" spans="1:15">
      <c r="A53" s="132" t="s">
        <v>550</v>
      </c>
      <c r="B53" s="133">
        <f t="shared" si="7"/>
        <v>1820.6334666568048</v>
      </c>
      <c r="C53" s="133">
        <f t="shared" si="3"/>
        <v>1115.1379983272927</v>
      </c>
      <c r="D53" s="133">
        <f t="shared" si="4"/>
        <v>386.88461166457103</v>
      </c>
      <c r="E53" s="133">
        <f t="shared" si="5"/>
        <v>204.82126499889054</v>
      </c>
      <c r="F53" s="134">
        <f t="shared" si="6"/>
        <v>11.378959166605028</v>
      </c>
      <c r="J53" s="132" t="s">
        <v>550</v>
      </c>
      <c r="K53" s="130">
        <f>VLOOKUP('Proposition Summary'!$B$80,'Real cost (VPS)'!$B$4:$AR$19,34,FALSE)</f>
        <v>1820.6334666568048</v>
      </c>
      <c r="L53" s="131">
        <f>VLOOKUP('Proposition Summary'!$B$80,'Real cost (PEH)'!$B$4:$AR$19,34,FALSE)</f>
        <v>1115.1379983272927</v>
      </c>
      <c r="M53" s="131">
        <f>VLOOKUP('Proposition Summary'!$B$80,'Real cost (LO)'!$B$4:$AR$19,34,FALSE)</f>
        <v>386.88461166457103</v>
      </c>
      <c r="N53" s="131">
        <f>VLOOKUP('Proposition Summary'!$B$80,'Real cost (HS)'!$B$4:$AR$19,34,FALSE)</f>
        <v>204.82126499889054</v>
      </c>
      <c r="O53" s="131">
        <f>VLOOKUP('Proposition Summary'!$B$80,'Real cost (VS)'!$B$4:$AR$19,34,FALSE)</f>
        <v>11.378959166605028</v>
      </c>
    </row>
    <row r="54" spans="1:15">
      <c r="A54" s="132" t="s">
        <v>551</v>
      </c>
      <c r="B54" s="133">
        <f t="shared" si="7"/>
        <v>375.50565249796603</v>
      </c>
      <c r="C54" s="133">
        <f t="shared" si="3"/>
        <v>307.23189749833585</v>
      </c>
      <c r="D54" s="133">
        <f t="shared" si="4"/>
        <v>91.031673332840228</v>
      </c>
      <c r="E54" s="133">
        <f t="shared" si="5"/>
        <v>102.41063249944527</v>
      </c>
      <c r="F54" s="134">
        <f t="shared" si="6"/>
        <v>0</v>
      </c>
      <c r="J54" s="132" t="s">
        <v>551</v>
      </c>
      <c r="K54" s="130">
        <f>VLOOKUP('Proposition Summary'!$B$80,'Real cost (VPS)'!$B$4:$AR$19,37,FALSE)</f>
        <v>375.50565249796603</v>
      </c>
      <c r="L54" s="131">
        <f>VLOOKUP('Proposition Summary'!$B$80,'Real cost (PEH)'!$B$4:$AR$19,37,FALSE)</f>
        <v>307.23189749833585</v>
      </c>
      <c r="M54" s="131">
        <f>VLOOKUP('Proposition Summary'!$B$80,'Real cost (LO)'!$B$4:$AR$19,37,FALSE)</f>
        <v>91.031673332840228</v>
      </c>
      <c r="N54" s="131">
        <f>VLOOKUP('Proposition Summary'!$B$80,'Real cost (HS)'!$B$4:$AR$19,37,FALSE)</f>
        <v>102.41063249944527</v>
      </c>
      <c r="O54" s="131">
        <f>VLOOKUP('Proposition Summary'!$B$80,'Real cost (VS)'!$B$4:$AR$19,37,FALSE)</f>
        <v>0</v>
      </c>
    </row>
    <row r="55" spans="1:15">
      <c r="A55" s="132" t="s">
        <v>424</v>
      </c>
      <c r="B55" s="133">
        <f t="shared" si="7"/>
        <v>568.94795833025159</v>
      </c>
      <c r="C55" s="133">
        <f t="shared" si="3"/>
        <v>227.5791833321006</v>
      </c>
      <c r="D55" s="133">
        <f t="shared" si="4"/>
        <v>68.273754999630199</v>
      </c>
      <c r="E55" s="133">
        <f t="shared" si="5"/>
        <v>79.652714166235214</v>
      </c>
      <c r="F55" s="134">
        <f t="shared" si="6"/>
        <v>0</v>
      </c>
      <c r="J55" s="132" t="s">
        <v>424</v>
      </c>
      <c r="K55" s="130">
        <f>VLOOKUP('Proposition Summary'!$B$80,'Real cost (VPS)'!$B$4:$AR$19,40,FALSE)</f>
        <v>568.94795833025159</v>
      </c>
      <c r="L55" s="131">
        <f>VLOOKUP('Proposition Summary'!$B$80,'Real cost (PEH)'!$B$4:$AR$19,40,FALSE)</f>
        <v>227.5791833321006</v>
      </c>
      <c r="M55" s="131">
        <f>VLOOKUP('Proposition Summary'!$B$80,'Real cost (LO)'!$B$4:$AR$19,40,FALSE)</f>
        <v>68.273754999630199</v>
      </c>
      <c r="N55" s="131">
        <f>VLOOKUP('Proposition Summary'!$B$80,'Real cost (HS)'!$B$4:$AR$19,40,FALSE)</f>
        <v>79.652714166235214</v>
      </c>
      <c r="O55" s="131">
        <f>VLOOKUP('Proposition Summary'!$B$80,'Real cost (VS)'!$B$4:$AR$19,40,FALSE)</f>
        <v>0</v>
      </c>
    </row>
    <row r="56" spans="1:15">
      <c r="A56" s="132" t="s">
        <v>552</v>
      </c>
      <c r="B56" s="133">
        <f t="shared" si="7"/>
        <v>11.378959166605028</v>
      </c>
      <c r="C56" s="133">
        <f t="shared" ref="C56:E57" si="8">L56*ex_rate</f>
        <v>170.68438749907546</v>
      </c>
      <c r="D56" s="133">
        <f t="shared" si="8"/>
        <v>56.89479583302515</v>
      </c>
      <c r="E56" s="133">
        <f t="shared" si="8"/>
        <v>56.89479583302515</v>
      </c>
      <c r="F56" s="143" t="s">
        <v>429</v>
      </c>
      <c r="J56" s="132" t="s">
        <v>552</v>
      </c>
      <c r="K56" s="130">
        <f>VLOOKUP('Proposition Summary'!$B$80,'Real cost (VPS)'!$B$4:$AR$19,43,FALSE)</f>
        <v>11.378959166605028</v>
      </c>
      <c r="L56" s="131">
        <f>VLOOKUP('Proposition Summary'!$B$80,'Real cost (PEH)'!$B$4:$AR$19,43,FALSE)</f>
        <v>170.68438749907546</v>
      </c>
      <c r="M56" s="131">
        <f>VLOOKUP('Proposition Summary'!$B$80,'Real cost (LO)'!$B$4:$AR$19,43,FALSE)</f>
        <v>56.89479583302515</v>
      </c>
      <c r="N56" s="131">
        <f>VLOOKUP('Proposition Summary'!$B$80,'Real cost (HS)'!$B$4:$AR$19,43,FALSE)</f>
        <v>56.89479583302515</v>
      </c>
      <c r="O56" s="140" t="s">
        <v>429</v>
      </c>
    </row>
    <row r="57" spans="1:15">
      <c r="A57" s="158" t="s">
        <v>425</v>
      </c>
      <c r="B57" s="133">
        <f t="shared" si="7"/>
        <v>10855.5270449412</v>
      </c>
      <c r="C57" s="133">
        <f t="shared" si="8"/>
        <v>52730.096778047693</v>
      </c>
      <c r="D57" s="133">
        <f t="shared" si="8"/>
        <v>13620.614122426223</v>
      </c>
      <c r="E57" s="133">
        <f t="shared" si="8"/>
        <v>5200.1843391385</v>
      </c>
      <c r="F57" s="134">
        <f>O57*ex_rate</f>
        <v>91.031673332840228</v>
      </c>
      <c r="J57" s="158" t="s">
        <v>425</v>
      </c>
      <c r="K57" s="130">
        <f>SUM(K48:K56)</f>
        <v>10855.5270449412</v>
      </c>
      <c r="L57" s="130">
        <f>SUM(L44:L56)</f>
        <v>52730.096778047693</v>
      </c>
      <c r="M57" s="130">
        <f t="shared" ref="M57:N57" si="9">SUM(M44:M56)</f>
        <v>13620.614122426223</v>
      </c>
      <c r="N57" s="130">
        <f t="shared" si="9"/>
        <v>5200.1843391385</v>
      </c>
      <c r="O57" s="131">
        <f>SUM(O44:O56)</f>
        <v>91.031673332840228</v>
      </c>
    </row>
    <row r="58" spans="1:15" ht="31">
      <c r="A58" s="136" t="s">
        <v>575</v>
      </c>
      <c r="B58" s="141"/>
      <c r="C58" s="137"/>
      <c r="D58" s="137"/>
      <c r="E58" s="137"/>
      <c r="F58" s="138"/>
      <c r="J58" s="129" t="s">
        <v>575</v>
      </c>
      <c r="K58" s="141"/>
      <c r="L58" s="141"/>
      <c r="M58" s="141"/>
      <c r="N58" s="141"/>
      <c r="O58" s="140"/>
    </row>
    <row r="59" spans="1:15">
      <c r="A59" s="132" t="s">
        <v>555</v>
      </c>
      <c r="B59" s="133">
        <f t="shared" ref="B59:F66" si="10">K59*ex_rate</f>
        <v>1115.1379983272927</v>
      </c>
      <c r="C59" s="133">
        <f t="shared" si="10"/>
        <v>4745.0259724742973</v>
      </c>
      <c r="D59" s="133">
        <f t="shared" si="10"/>
        <v>2560.2658124861314</v>
      </c>
      <c r="E59" s="133">
        <f t="shared" si="10"/>
        <v>682.73754999630182</v>
      </c>
      <c r="F59" s="134">
        <f t="shared" si="10"/>
        <v>23.189477545357036</v>
      </c>
      <c r="J59" s="132" t="s">
        <v>555</v>
      </c>
      <c r="K59" s="130">
        <f>VLOOKUP('Proposition Summary'!$B$80,'Real cost (VPS)'!$B$23:$X$38,4,FALSE)</f>
        <v>1115.1379983272927</v>
      </c>
      <c r="L59" s="130">
        <f>VLOOKUP('Proposition Summary'!$B$80,'Real cost (PEH)'!$B$23:$X$38,4,FALSE)</f>
        <v>4745.0259724742973</v>
      </c>
      <c r="M59" s="130">
        <f>VLOOKUP('Proposition Summary'!$B$80,'Real cost (LO)'!$B$23:$X$38,4,FALSE)</f>
        <v>2560.2658124861314</v>
      </c>
      <c r="N59" s="130">
        <f>VLOOKUP('Proposition Summary'!$B$80,'Real cost (HS)'!$B$23:$X$38,4,FALSE)</f>
        <v>682.73754999630182</v>
      </c>
      <c r="O59" s="131">
        <f>VLOOKUP('Proposition Summary'!$B$80,'Real cost (VS)'!$B$23:$X$38,4,FALSE)</f>
        <v>23.189477545357036</v>
      </c>
    </row>
    <row r="60" spans="1:15">
      <c r="A60" s="132" t="s">
        <v>556</v>
      </c>
      <c r="B60" s="133">
        <f t="shared" si="10"/>
        <v>4096.4252999778109</v>
      </c>
      <c r="C60" s="133">
        <f t="shared" si="10"/>
        <v>580.32691749685648</v>
      </c>
      <c r="D60" s="133">
        <f t="shared" si="10"/>
        <v>432.40044833099114</v>
      </c>
      <c r="E60" s="133">
        <f t="shared" si="10"/>
        <v>182.06334666568046</v>
      </c>
      <c r="F60" s="134">
        <f t="shared" si="10"/>
        <v>0</v>
      </c>
      <c r="J60" s="132" t="s">
        <v>556</v>
      </c>
      <c r="K60" s="130">
        <f>VLOOKUP('Proposition Summary'!$B$80,'Real cost (VPS)'!$B$23:$X$38,7,FALSE)</f>
        <v>4096.4252999778109</v>
      </c>
      <c r="L60" s="130">
        <f>VLOOKUP('Proposition Summary'!$B$80,'Real cost (PEH)'!$B$23:$X$38,7,FALSE)</f>
        <v>580.32691749685648</v>
      </c>
      <c r="M60" s="130">
        <f>VLOOKUP('Proposition Summary'!$B$80,'Real cost (LO)'!$B$23:$X$38,7,FALSE)</f>
        <v>432.40044833099114</v>
      </c>
      <c r="N60" s="130">
        <f>VLOOKUP('Proposition Summary'!$B$80,'Real cost (HS)'!$B$23:$X$38,7,FALSE)</f>
        <v>182.06334666568046</v>
      </c>
      <c r="O60" s="131">
        <f>VLOOKUP('Proposition Summary'!$B$80,'Real cost (VS)'!$B$23:$X$38,7,FALSE)</f>
        <v>0</v>
      </c>
    </row>
    <row r="61" spans="1:15">
      <c r="A61" s="132" t="s">
        <v>557</v>
      </c>
      <c r="B61" s="133">
        <f t="shared" si="10"/>
        <v>580.32691749685648</v>
      </c>
      <c r="C61" s="133">
        <f t="shared" si="10"/>
        <v>0</v>
      </c>
      <c r="D61" s="133">
        <f t="shared" si="10"/>
        <v>0</v>
      </c>
      <c r="E61" s="133">
        <f t="shared" si="10"/>
        <v>0</v>
      </c>
      <c r="F61" s="134">
        <f t="shared" si="10"/>
        <v>0</v>
      </c>
      <c r="J61" s="132" t="s">
        <v>557</v>
      </c>
      <c r="K61" s="130">
        <f>VLOOKUP('Proposition Summary'!$B$80,'Real cost (VPS)'!$B$23:$X$38,10,FALSE)</f>
        <v>580.32691749685648</v>
      </c>
      <c r="L61" s="130">
        <f>VLOOKUP('Proposition Summary'!$B$80,'Real cost (PEH)'!$B$23:$X$38,10,FALSE)</f>
        <v>0</v>
      </c>
      <c r="M61" s="130">
        <f>VLOOKUP('Proposition Summary'!$B$80,'Real cost (LO)'!$B$23:$X$38,10,FALSE)</f>
        <v>0</v>
      </c>
      <c r="N61" s="130">
        <f>VLOOKUP('Proposition Summary'!$B$80,'Real cost (HS)'!$B$23:$X$38,10,FALSE)</f>
        <v>0</v>
      </c>
      <c r="O61" s="131">
        <f>VLOOKUP('Proposition Summary'!$B$80,'Real cost (VS)'!$B$23:$X$38,10,FALSE)</f>
        <v>0</v>
      </c>
    </row>
    <row r="62" spans="1:15">
      <c r="A62" s="132" t="s">
        <v>408</v>
      </c>
      <c r="B62" s="133">
        <f t="shared" si="10"/>
        <v>28219.818733180473</v>
      </c>
      <c r="C62" s="133">
        <f t="shared" si="10"/>
        <v>409.64252999778108</v>
      </c>
      <c r="D62" s="133">
        <f t="shared" si="10"/>
        <v>216.20022416549557</v>
      </c>
      <c r="E62" s="133">
        <f t="shared" si="10"/>
        <v>11.378959166605028</v>
      </c>
      <c r="F62" s="134">
        <f t="shared" si="10"/>
        <v>0</v>
      </c>
      <c r="J62" s="132" t="s">
        <v>408</v>
      </c>
      <c r="K62" s="130">
        <f>VLOOKUP('Proposition Summary'!$B$80,'Real cost (VPS)'!$B$23:$X$38,13,FALSE)</f>
        <v>28219.818733180473</v>
      </c>
      <c r="L62" s="130">
        <f>VLOOKUP('Proposition Summary'!$B$80,'Real cost (PEH)'!$B$23:$X$38,13,FALSE)</f>
        <v>409.64252999778108</v>
      </c>
      <c r="M62" s="130">
        <f>VLOOKUP('Proposition Summary'!$B$80,'Real cost (LO)'!$B$23:$X$38,13,FALSE)</f>
        <v>216.20022416549557</v>
      </c>
      <c r="N62" s="130">
        <f>VLOOKUP('Proposition Summary'!$B$80,'Real cost (HS)'!$B$23:$X$38,13,FALSE)</f>
        <v>11.378959166605028</v>
      </c>
      <c r="O62" s="131">
        <f>VLOOKUP('Proposition Summary'!$B$80,'Real cost (VS)'!$B$23:$X$38,13,FALSE)</f>
        <v>0</v>
      </c>
    </row>
    <row r="63" spans="1:15">
      <c r="A63" s="132" t="s">
        <v>409</v>
      </c>
      <c r="B63" s="133">
        <f t="shared" si="10"/>
        <v>1456.5067733254436</v>
      </c>
      <c r="C63" s="133">
        <f t="shared" si="10"/>
        <v>113.7895916660503</v>
      </c>
      <c r="D63" s="133">
        <f t="shared" si="10"/>
        <v>91.031673332840228</v>
      </c>
      <c r="E63" s="133">
        <f t="shared" si="10"/>
        <v>0</v>
      </c>
      <c r="F63" s="134">
        <f t="shared" si="10"/>
        <v>0</v>
      </c>
      <c r="J63" s="132" t="s">
        <v>409</v>
      </c>
      <c r="K63" s="130">
        <f>VLOOKUP('Proposition Summary'!$B$80,'Real cost (VPS)'!$B$23:$X$38,16,FALSE)</f>
        <v>1456.5067733254436</v>
      </c>
      <c r="L63" s="130">
        <f>VLOOKUP('Proposition Summary'!$B$80,'Real cost (PEH)'!$B$23:$X$38,16,FALSE)</f>
        <v>113.7895916660503</v>
      </c>
      <c r="M63" s="130">
        <f>VLOOKUP('Proposition Summary'!$B$80,'Real cost (LO)'!$B$23:$X$38,16,FALSE)</f>
        <v>91.031673332840228</v>
      </c>
      <c r="N63" s="130">
        <f>VLOOKUP('Proposition Summary'!$B$80,'Real cost (HS)'!$B$23:$X$38,16,FALSE)</f>
        <v>0</v>
      </c>
      <c r="O63" s="131">
        <f>VLOOKUP('Proposition Summary'!$B$80,'Real cost (VS)'!$B$23:$X$38,16,FALSE)</f>
        <v>0</v>
      </c>
    </row>
    <row r="64" spans="1:15">
      <c r="A64" s="132" t="s">
        <v>558</v>
      </c>
      <c r="B64" s="133">
        <f t="shared" si="10"/>
        <v>2537.5078941529218</v>
      </c>
      <c r="C64" s="133">
        <f t="shared" si="10"/>
        <v>1149.2748758271077</v>
      </c>
      <c r="D64" s="133">
        <f t="shared" si="10"/>
        <v>580.32691749685648</v>
      </c>
      <c r="E64" s="133">
        <f t="shared" si="10"/>
        <v>386.88461166457103</v>
      </c>
      <c r="F64" s="134">
        <f t="shared" si="10"/>
        <v>11.594738772678518</v>
      </c>
      <c r="J64" s="132" t="s">
        <v>558</v>
      </c>
      <c r="K64" s="130">
        <f>VLOOKUP('Proposition Summary'!$B$80,'Real cost (VPS)'!$B$23:$X$38,19,FALSE)</f>
        <v>2537.5078941529218</v>
      </c>
      <c r="L64" s="130">
        <f>VLOOKUP('Proposition Summary'!$B$80,'Real cost (PEH)'!$B$23:$X$38,19,FALSE)</f>
        <v>1149.2748758271077</v>
      </c>
      <c r="M64" s="130">
        <f>VLOOKUP('Proposition Summary'!$B$80,'Real cost (LO)'!$B$23:$X$38,19,FALSE)</f>
        <v>580.32691749685648</v>
      </c>
      <c r="N64" s="130">
        <f>VLOOKUP('Proposition Summary'!$B$80,'Real cost (HS)'!$B$23:$X$38,19,FALSE)</f>
        <v>386.88461166457103</v>
      </c>
      <c r="O64" s="131">
        <f>VLOOKUP('Proposition Summary'!$B$80,'Real cost (VS)'!$B$23:$X$38,19,FALSE)</f>
        <v>11.594738772678518</v>
      </c>
    </row>
    <row r="65" spans="1:19">
      <c r="A65" s="132" t="s">
        <v>559</v>
      </c>
      <c r="B65" s="133">
        <f t="shared" si="10"/>
        <v>523.43212166383148</v>
      </c>
      <c r="C65" s="133">
        <f t="shared" si="10"/>
        <v>68.273754999630199</v>
      </c>
      <c r="D65" s="133">
        <f t="shared" si="10"/>
        <v>34.1368774998151</v>
      </c>
      <c r="E65" s="133">
        <f t="shared" si="10"/>
        <v>45.515836666420114</v>
      </c>
      <c r="F65" s="134">
        <f t="shared" si="10"/>
        <v>0</v>
      </c>
      <c r="J65" s="132" t="s">
        <v>559</v>
      </c>
      <c r="K65" s="130">
        <f>VLOOKUP('Proposition Summary'!$B$80,'Real cost (VPS)'!$B$23:$X$38,22,FALSE)</f>
        <v>523.43212166383148</v>
      </c>
      <c r="L65" s="130">
        <f>VLOOKUP('Proposition Summary'!$B$80,'Real cost (PEH)'!$B$23:$X$38,22,FALSE)</f>
        <v>68.273754999630199</v>
      </c>
      <c r="M65" s="130">
        <f>VLOOKUP('Proposition Summary'!$B$80,'Real cost (LO)'!$B$23:$X$38,22,FALSE)</f>
        <v>34.1368774998151</v>
      </c>
      <c r="N65" s="130">
        <f>VLOOKUP('Proposition Summary'!$B$80,'Real cost (HS)'!$B$23:$X$38,22,FALSE)</f>
        <v>45.515836666420114</v>
      </c>
      <c r="O65" s="131">
        <f>VLOOKUP('Proposition Summary'!$B$80,'Real cost (VS)'!$B$23:$X$38,22,FALSE)</f>
        <v>0</v>
      </c>
    </row>
    <row r="66" spans="1:19">
      <c r="A66" s="159" t="s">
        <v>412</v>
      </c>
      <c r="B66" s="133">
        <f t="shared" si="10"/>
        <v>38529.155738124638</v>
      </c>
      <c r="C66" s="133">
        <f t="shared" si="10"/>
        <v>7066.3336424617219</v>
      </c>
      <c r="D66" s="133">
        <f t="shared" si="10"/>
        <v>3914.3619533121296</v>
      </c>
      <c r="E66" s="133">
        <f t="shared" si="10"/>
        <v>1308.5803041595782</v>
      </c>
      <c r="F66" s="134">
        <f t="shared" si="10"/>
        <v>34.784216318035554</v>
      </c>
      <c r="J66" s="159" t="s">
        <v>412</v>
      </c>
      <c r="K66" s="130">
        <f>SUM(K59:K65)</f>
        <v>38529.155738124638</v>
      </c>
      <c r="L66" s="130">
        <f t="shared" ref="L66:O66" si="11">SUM(L59:L65)</f>
        <v>7066.3336424617219</v>
      </c>
      <c r="M66" s="130">
        <f t="shared" si="11"/>
        <v>3914.3619533121296</v>
      </c>
      <c r="N66" s="130">
        <f t="shared" si="11"/>
        <v>1308.5803041595782</v>
      </c>
      <c r="O66" s="131">
        <f t="shared" si="11"/>
        <v>34.784216318035554</v>
      </c>
    </row>
    <row r="67" spans="1:19" ht="46.5">
      <c r="A67" s="136" t="s">
        <v>513</v>
      </c>
      <c r="B67" s="141"/>
      <c r="C67" s="141"/>
      <c r="D67" s="141"/>
      <c r="E67" s="141"/>
      <c r="F67" s="140"/>
      <c r="J67" s="136" t="s">
        <v>513</v>
      </c>
      <c r="K67" s="141"/>
      <c r="L67" s="141"/>
      <c r="M67" s="141"/>
      <c r="N67" s="141"/>
      <c r="O67" s="140"/>
    </row>
    <row r="68" spans="1:19" ht="31">
      <c r="A68" s="158" t="s">
        <v>421</v>
      </c>
      <c r="B68" s="142" t="s">
        <v>429</v>
      </c>
      <c r="C68" s="142" t="s">
        <v>429</v>
      </c>
      <c r="D68" s="142" t="s">
        <v>429</v>
      </c>
      <c r="E68" s="142" t="s">
        <v>429</v>
      </c>
      <c r="F68" s="143" t="s">
        <v>429</v>
      </c>
      <c r="J68" s="158" t="s">
        <v>421</v>
      </c>
      <c r="K68" s="141" t="s">
        <v>429</v>
      </c>
      <c r="L68" s="141" t="s">
        <v>429</v>
      </c>
      <c r="M68" s="141" t="s">
        <v>429</v>
      </c>
      <c r="N68" s="141" t="s">
        <v>429</v>
      </c>
      <c r="O68" s="140" t="s">
        <v>429</v>
      </c>
    </row>
    <row r="69" spans="1:19" ht="31">
      <c r="A69" s="158" t="s">
        <v>422</v>
      </c>
      <c r="B69" s="142" t="s">
        <v>429</v>
      </c>
      <c r="C69" s="142" t="s">
        <v>429</v>
      </c>
      <c r="D69" s="142" t="s">
        <v>429</v>
      </c>
      <c r="E69" s="142" t="s">
        <v>429</v>
      </c>
      <c r="F69" s="143" t="s">
        <v>429</v>
      </c>
      <c r="J69" s="158" t="s">
        <v>422</v>
      </c>
      <c r="K69" s="141" t="s">
        <v>429</v>
      </c>
      <c r="L69" s="141" t="s">
        <v>429</v>
      </c>
      <c r="M69" s="141" t="s">
        <v>429</v>
      </c>
      <c r="N69" s="141" t="s">
        <v>429</v>
      </c>
      <c r="O69" s="140" t="s">
        <v>429</v>
      </c>
    </row>
    <row r="70" spans="1:19">
      <c r="A70" s="158" t="s">
        <v>516</v>
      </c>
      <c r="B70" s="142" t="s">
        <v>429</v>
      </c>
      <c r="C70" s="142" t="s">
        <v>429</v>
      </c>
      <c r="D70" s="142" t="s">
        <v>429</v>
      </c>
      <c r="E70" s="142" t="s">
        <v>429</v>
      </c>
      <c r="F70" s="143" t="s">
        <v>429</v>
      </c>
      <c r="J70" s="158" t="s">
        <v>516</v>
      </c>
      <c r="K70" s="141" t="s">
        <v>429</v>
      </c>
      <c r="L70" s="141" t="s">
        <v>429</v>
      </c>
      <c r="M70" s="141" t="s">
        <v>429</v>
      </c>
      <c r="N70" s="141" t="s">
        <v>429</v>
      </c>
      <c r="O70" s="140" t="s">
        <v>429</v>
      </c>
    </row>
    <row r="71" spans="1:19">
      <c r="A71" s="158" t="s">
        <v>416</v>
      </c>
      <c r="B71" s="142" t="s">
        <v>429</v>
      </c>
      <c r="C71" s="142" t="s">
        <v>429</v>
      </c>
      <c r="D71" s="142" t="s">
        <v>429</v>
      </c>
      <c r="E71" s="142" t="s">
        <v>429</v>
      </c>
      <c r="F71" s="143" t="s">
        <v>429</v>
      </c>
      <c r="J71" s="158" t="s">
        <v>416</v>
      </c>
      <c r="K71" s="141" t="s">
        <v>429</v>
      </c>
      <c r="L71" s="141" t="s">
        <v>429</v>
      </c>
      <c r="M71" s="141" t="s">
        <v>429</v>
      </c>
      <c r="N71" s="141" t="s">
        <v>429</v>
      </c>
      <c r="O71" s="140" t="s">
        <v>429</v>
      </c>
    </row>
    <row r="72" spans="1:19">
      <c r="A72" s="158" t="s">
        <v>417</v>
      </c>
      <c r="B72" s="142" t="s">
        <v>429</v>
      </c>
      <c r="C72" s="142" t="s">
        <v>429</v>
      </c>
      <c r="D72" s="142" t="s">
        <v>429</v>
      </c>
      <c r="E72" s="142" t="s">
        <v>429</v>
      </c>
      <c r="F72" s="143" t="s">
        <v>429</v>
      </c>
      <c r="J72" s="158" t="s">
        <v>417</v>
      </c>
      <c r="K72" s="141" t="s">
        <v>429</v>
      </c>
      <c r="L72" s="141" t="s">
        <v>429</v>
      </c>
      <c r="M72" s="141" t="s">
        <v>429</v>
      </c>
      <c r="N72" s="141" t="s">
        <v>429</v>
      </c>
      <c r="O72" s="140" t="s">
        <v>429</v>
      </c>
    </row>
    <row r="73" spans="1:19">
      <c r="A73" s="158" t="s">
        <v>418</v>
      </c>
      <c r="B73" s="142" t="s">
        <v>429</v>
      </c>
      <c r="C73" s="142" t="s">
        <v>429</v>
      </c>
      <c r="D73" s="142" t="s">
        <v>429</v>
      </c>
      <c r="E73" s="142" t="s">
        <v>429</v>
      </c>
      <c r="F73" s="143" t="s">
        <v>429</v>
      </c>
      <c r="J73" s="158" t="s">
        <v>418</v>
      </c>
      <c r="K73" s="141" t="s">
        <v>429</v>
      </c>
      <c r="L73" s="141" t="s">
        <v>429</v>
      </c>
      <c r="M73" s="141" t="s">
        <v>429</v>
      </c>
      <c r="N73" s="141" t="s">
        <v>429</v>
      </c>
      <c r="O73" s="140" t="s">
        <v>429</v>
      </c>
    </row>
    <row r="74" spans="1:19">
      <c r="A74" s="159" t="s">
        <v>419</v>
      </c>
      <c r="B74" s="133">
        <f t="shared" ref="B74:F75" si="12">K74*ex_rate</f>
        <v>0</v>
      </c>
      <c r="C74" s="133">
        <f t="shared" si="12"/>
        <v>0</v>
      </c>
      <c r="D74" s="133">
        <f t="shared" si="12"/>
        <v>0</v>
      </c>
      <c r="E74" s="133">
        <f t="shared" si="12"/>
        <v>0</v>
      </c>
      <c r="F74" s="134">
        <f t="shared" si="12"/>
        <v>0</v>
      </c>
      <c r="J74" s="159" t="s">
        <v>419</v>
      </c>
      <c r="K74" s="130">
        <f>SUM(K68:K73)</f>
        <v>0</v>
      </c>
      <c r="L74" s="130">
        <f t="shared" ref="L74:O74" si="13">SUM(L68:L73)</f>
        <v>0</v>
      </c>
      <c r="M74" s="130">
        <f t="shared" si="13"/>
        <v>0</v>
      </c>
      <c r="N74" s="130">
        <f t="shared" si="13"/>
        <v>0</v>
      </c>
      <c r="O74" s="131">
        <f t="shared" si="13"/>
        <v>0</v>
      </c>
    </row>
    <row r="75" spans="1:19" ht="16" thickBot="1">
      <c r="A75" s="160" t="s">
        <v>426</v>
      </c>
      <c r="B75" s="145">
        <f t="shared" si="12"/>
        <v>49384.682783065837</v>
      </c>
      <c r="C75" s="145">
        <f t="shared" si="12"/>
        <v>59796.430420509416</v>
      </c>
      <c r="D75" s="145">
        <f t="shared" si="12"/>
        <v>17534.976075738352</v>
      </c>
      <c r="E75" s="145">
        <f t="shared" si="12"/>
        <v>6508.7646432980782</v>
      </c>
      <c r="F75" s="146">
        <f t="shared" si="12"/>
        <v>125.81588965087579</v>
      </c>
      <c r="J75" s="160" t="s">
        <v>426</v>
      </c>
      <c r="K75" s="147">
        <f>K57+K66+K74</f>
        <v>49384.682783065837</v>
      </c>
      <c r="L75" s="147">
        <f>L57+L66+L74</f>
        <v>59796.430420509416</v>
      </c>
      <c r="M75" s="147">
        <f>M57+M66+M74</f>
        <v>17534.976075738352</v>
      </c>
      <c r="N75" s="147">
        <f t="shared" ref="N75:O75" si="14">N57+N66+N74</f>
        <v>6508.7646432980782</v>
      </c>
      <c r="O75" s="148">
        <f t="shared" si="14"/>
        <v>125.81588965087579</v>
      </c>
    </row>
    <row r="77" spans="1:19" ht="16" thickBot="1"/>
    <row r="78" spans="1:19" ht="31.5" thickBot="1">
      <c r="A78" s="149"/>
      <c r="B78" s="1134" t="s">
        <v>579</v>
      </c>
      <c r="C78" s="1135"/>
      <c r="D78" s="161"/>
      <c r="E78" s="161"/>
      <c r="F78" s="161"/>
      <c r="G78" s="161"/>
      <c r="H78" s="161"/>
      <c r="I78" s="161"/>
      <c r="J78" s="151"/>
      <c r="K78" s="162" t="s">
        <v>295</v>
      </c>
      <c r="L78" s="163"/>
      <c r="M78" s="161"/>
      <c r="N78" s="161"/>
      <c r="O78" s="161"/>
      <c r="P78" s="161"/>
      <c r="Q78" s="161"/>
      <c r="R78" s="161"/>
      <c r="S78" s="161"/>
    </row>
    <row r="79" spans="1:19">
      <c r="A79" s="154" t="s">
        <v>287</v>
      </c>
      <c r="B79" s="150" t="s">
        <v>565</v>
      </c>
      <c r="C79" s="164" t="s">
        <v>566</v>
      </c>
      <c r="D79" s="113"/>
      <c r="E79" s="113"/>
      <c r="F79" s="113"/>
      <c r="G79" s="113"/>
      <c r="H79" s="113"/>
      <c r="I79" s="113"/>
      <c r="J79" s="154" t="s">
        <v>287</v>
      </c>
      <c r="K79" s="150" t="s">
        <v>565</v>
      </c>
      <c r="L79" s="164" t="s">
        <v>566</v>
      </c>
      <c r="M79" s="113"/>
      <c r="N79" s="113"/>
      <c r="O79" s="113"/>
      <c r="P79" s="113"/>
      <c r="Q79" s="113"/>
      <c r="R79" s="113"/>
      <c r="S79" s="113"/>
    </row>
    <row r="80" spans="1:19" ht="31">
      <c r="A80" s="136" t="s">
        <v>574</v>
      </c>
      <c r="B80" s="121"/>
      <c r="C80" s="122"/>
      <c r="J80" s="129" t="s">
        <v>574</v>
      </c>
      <c r="K80" s="121"/>
      <c r="L80" s="122"/>
    </row>
    <row r="81" spans="1:12" hidden="1">
      <c r="A81" s="157"/>
      <c r="B81" s="141"/>
      <c r="C81" s="140"/>
      <c r="J81" s="157"/>
      <c r="K81" s="141"/>
      <c r="L81" s="140"/>
    </row>
    <row r="82" spans="1:12">
      <c r="A82" s="132" t="s">
        <v>290</v>
      </c>
      <c r="B82" s="133">
        <f t="shared" ref="B82:B94" si="15">K82*ex_rate</f>
        <v>13609.235163259613</v>
      </c>
      <c r="C82" s="134">
        <f t="shared" ref="C82:C94" si="16">L82*ex_rate</f>
        <v>911431.87132672966</v>
      </c>
      <c r="J82" s="132" t="s">
        <v>290</v>
      </c>
      <c r="K82" s="130">
        <f>VLOOKUP('Proposition Summary'!$B$80,'Real cost (PC)'!$B$4:$AR$19,4,FALSE)</f>
        <v>13609.235163259613</v>
      </c>
      <c r="L82" s="131">
        <f>VLOOKUP('Proposition Summary'!$B$80,'Real cost (OCJ)'!$B$4:$AR$19,4,FALSE)</f>
        <v>911431.87132672966</v>
      </c>
    </row>
    <row r="83" spans="1:12">
      <c r="A83" s="132" t="s">
        <v>542</v>
      </c>
      <c r="B83" s="133">
        <f t="shared" si="15"/>
        <v>1285.8223858263689</v>
      </c>
      <c r="C83" s="134">
        <f t="shared" si="16"/>
        <v>1558.9174058248893</v>
      </c>
      <c r="J83" s="132" t="s">
        <v>542</v>
      </c>
      <c r="K83" s="130">
        <f>VLOOKUP('Proposition Summary'!$B$80,'Real cost (PC)'!$B$4:$AR$19,7,FALSE)</f>
        <v>1285.8223858263689</v>
      </c>
      <c r="L83" s="131">
        <f>VLOOKUP('Proposition Summary'!$B$80,'Real cost (OCJ)'!$B$4:$AR$19,7,FALSE)</f>
        <v>1558.9174058248893</v>
      </c>
    </row>
    <row r="84" spans="1:12">
      <c r="A84" s="132" t="s">
        <v>543</v>
      </c>
      <c r="B84" s="133">
        <f t="shared" si="15"/>
        <v>921.69569249500751</v>
      </c>
      <c r="C84" s="134">
        <f t="shared" si="16"/>
        <v>1422.3698958256286</v>
      </c>
      <c r="J84" s="132" t="s">
        <v>543</v>
      </c>
      <c r="K84" s="130">
        <f>VLOOKUP('Proposition Summary'!$B$80,'Real cost (PC)'!$B$4:$AR$19,10,FALSE)</f>
        <v>921.69569249500751</v>
      </c>
      <c r="L84" s="131">
        <f>VLOOKUP('Proposition Summary'!$B$80,'Real cost (OCJ)'!$B$4:$AR$19,10,FALSE)</f>
        <v>1422.3698958256286</v>
      </c>
    </row>
    <row r="85" spans="1:12">
      <c r="A85" s="132" t="s">
        <v>544</v>
      </c>
      <c r="B85" s="133">
        <f t="shared" si="15"/>
        <v>7237.0180299607991</v>
      </c>
      <c r="C85" s="134">
        <f t="shared" si="16"/>
        <v>659.97963166309182</v>
      </c>
      <c r="J85" s="132" t="s">
        <v>544</v>
      </c>
      <c r="K85" s="130">
        <f>VLOOKUP('Proposition Summary'!$B$80,'Real cost (PC)'!$B$4:$AR$19,13,FALSE)</f>
        <v>7237.0180299607991</v>
      </c>
      <c r="L85" s="131">
        <f>VLOOKUP('Proposition Summary'!$B$80,'Real cost (OCJ)'!$B$4:$AR$19,13,FALSE)</f>
        <v>659.97963166309182</v>
      </c>
    </row>
    <row r="86" spans="1:12">
      <c r="A86" s="132" t="s">
        <v>545</v>
      </c>
      <c r="B86" s="133">
        <f t="shared" si="15"/>
        <v>648.60067249648671</v>
      </c>
      <c r="C86" s="134">
        <f t="shared" si="16"/>
        <v>659.97963166309182</v>
      </c>
      <c r="J86" s="132" t="s">
        <v>545</v>
      </c>
      <c r="K86" s="130">
        <f>VLOOKUP('Proposition Summary'!$B$80,'Real cost (PC)'!$B$4:$AR$19,16,FALSE)</f>
        <v>648.60067249648671</v>
      </c>
      <c r="L86" s="131">
        <f>VLOOKUP('Proposition Summary'!$B$80,'Real cost (OCJ)'!$B$4:$AR$19,16,FALSE)</f>
        <v>659.97963166309182</v>
      </c>
    </row>
    <row r="87" spans="1:12">
      <c r="A87" s="132" t="s">
        <v>292</v>
      </c>
      <c r="B87" s="133">
        <f t="shared" si="15"/>
        <v>1149.2748758271077</v>
      </c>
      <c r="C87" s="134">
        <f t="shared" si="16"/>
        <v>4176.0780141440464</v>
      </c>
      <c r="J87" s="132" t="s">
        <v>292</v>
      </c>
      <c r="K87" s="130">
        <f>VLOOKUP('Proposition Summary'!$B$80,'Real cost (PC)'!$B$4:$AR$19,19,FALSE)</f>
        <v>1149.2748758271077</v>
      </c>
      <c r="L87" s="131">
        <f>VLOOKUP('Proposition Summary'!$B$80,'Real cost (OCJ)'!$B$4:$AR$19,19,FALSE)</f>
        <v>4176.0780141440464</v>
      </c>
    </row>
    <row r="88" spans="1:12">
      <c r="A88" s="132" t="s">
        <v>546</v>
      </c>
      <c r="B88" s="133">
        <f t="shared" si="15"/>
        <v>603.0848358300666</v>
      </c>
      <c r="C88" s="134">
        <f t="shared" si="16"/>
        <v>1445.1278141588389</v>
      </c>
      <c r="J88" s="132" t="s">
        <v>546</v>
      </c>
      <c r="K88" s="130">
        <f>VLOOKUP('Proposition Summary'!$B$80,'Real cost (PC)'!$B$4:$AR$19,22,FALSE)</f>
        <v>603.0848358300666</v>
      </c>
      <c r="L88" s="131">
        <f>VLOOKUP('Proposition Summary'!$B$80,'Real cost (OCJ)'!$B$4:$AR$19,22,FALSE)</f>
        <v>1445.1278141588389</v>
      </c>
    </row>
    <row r="89" spans="1:12">
      <c r="A89" s="132" t="s">
        <v>547</v>
      </c>
      <c r="B89" s="133">
        <f t="shared" si="15"/>
        <v>2309.9287108208214</v>
      </c>
      <c r="C89" s="134">
        <f t="shared" si="16"/>
        <v>2127.8653641551409</v>
      </c>
      <c r="J89" s="132" t="s">
        <v>547</v>
      </c>
      <c r="K89" s="130">
        <f>VLOOKUP('Proposition Summary'!$B$80,'Real cost (PC)'!$B$4:$AR$19,25,FALSE)</f>
        <v>2309.9287108208214</v>
      </c>
      <c r="L89" s="131">
        <f>VLOOKUP('Proposition Summary'!$B$80,'Real cost (OCJ)'!$B$4:$AR$19,25,FALSE)</f>
        <v>2127.8653641551409</v>
      </c>
    </row>
    <row r="90" spans="1:12">
      <c r="A90" s="132" t="s">
        <v>548</v>
      </c>
      <c r="B90" s="133">
        <f t="shared" si="15"/>
        <v>91.031673332840228</v>
      </c>
      <c r="C90" s="134">
        <f t="shared" si="16"/>
        <v>113.7895916660503</v>
      </c>
      <c r="J90" s="132" t="s">
        <v>548</v>
      </c>
      <c r="K90" s="130">
        <f>VLOOKUP('Proposition Summary'!$B$80,'Real cost (PC)'!$B$4:$AR$19,28,FALSE)</f>
        <v>91.031673332840228</v>
      </c>
      <c r="L90" s="131">
        <f>VLOOKUP('Proposition Summary'!$B$80,'Real cost (OCJ)'!$B$4:$AR$19,28,FALSE)</f>
        <v>113.7895916660503</v>
      </c>
    </row>
    <row r="91" spans="1:12">
      <c r="A91" s="132" t="s">
        <v>549</v>
      </c>
      <c r="B91" s="133">
        <f t="shared" si="15"/>
        <v>45.515836666420114</v>
      </c>
      <c r="C91" s="134">
        <f t="shared" si="16"/>
        <v>443.77940749759614</v>
      </c>
      <c r="J91" s="132" t="s">
        <v>549</v>
      </c>
      <c r="K91" s="130">
        <f>VLOOKUP('Proposition Summary'!$B$80,'Real cost (PC)'!$B$4:$AR$19,31,FALSE)</f>
        <v>45.515836666420114</v>
      </c>
      <c r="L91" s="131">
        <f>VLOOKUP('Proposition Summary'!$B$80,'Real cost (OCJ)'!$B$4:$AR$19,31,FALSE)</f>
        <v>443.77940749759614</v>
      </c>
    </row>
    <row r="92" spans="1:12">
      <c r="A92" s="132" t="s">
        <v>550</v>
      </c>
      <c r="B92" s="133">
        <f t="shared" si="15"/>
        <v>1228.9275899933434</v>
      </c>
      <c r="C92" s="134">
        <f t="shared" si="16"/>
        <v>4437.7940749759609</v>
      </c>
      <c r="J92" s="132" t="s">
        <v>550</v>
      </c>
      <c r="K92" s="130">
        <f>VLOOKUP('Proposition Summary'!$B$80,'Real cost (PC)'!$B$4:$AR$19,34,FALSE)</f>
        <v>1228.9275899933434</v>
      </c>
      <c r="L92" s="131">
        <f>VLOOKUP('Proposition Summary'!$B$80,'Real cost (OCJ)'!$B$4:$AR$19,34,FALSE)</f>
        <v>4437.7940749759609</v>
      </c>
    </row>
    <row r="93" spans="1:12">
      <c r="A93" s="132" t="s">
        <v>551</v>
      </c>
      <c r="B93" s="133">
        <f t="shared" si="15"/>
        <v>170.68438749907546</v>
      </c>
      <c r="C93" s="134">
        <f t="shared" si="16"/>
        <v>398.26357083117608</v>
      </c>
      <c r="J93" s="132" t="s">
        <v>551</v>
      </c>
      <c r="K93" s="130">
        <f>VLOOKUP('Proposition Summary'!$B$80,'Real cost (PC)'!$B$4:$AR$19,37,FALSE)</f>
        <v>170.68438749907546</v>
      </c>
      <c r="L93" s="131">
        <f>VLOOKUP('Proposition Summary'!$B$80,'Real cost (OCJ)'!$B$4:$AR$19,37,FALSE)</f>
        <v>398.26357083117608</v>
      </c>
    </row>
    <row r="94" spans="1:12">
      <c r="A94" s="132" t="s">
        <v>424</v>
      </c>
      <c r="B94" s="133">
        <f t="shared" si="15"/>
        <v>68.273754999630199</v>
      </c>
      <c r="C94" s="134">
        <f t="shared" si="16"/>
        <v>193.44230583228551</v>
      </c>
      <c r="J94" s="132" t="s">
        <v>424</v>
      </c>
      <c r="K94" s="130">
        <f>VLOOKUP('Proposition Summary'!$B$80,'Real cost (PC)'!$B$4:$AR$19,40,FALSE)</f>
        <v>68.273754999630199</v>
      </c>
      <c r="L94" s="131">
        <f>VLOOKUP('Proposition Summary'!$B$80,'Real cost (OCJ)'!$B$4:$AR$19,40,FALSE)</f>
        <v>193.44230583228551</v>
      </c>
    </row>
    <row r="95" spans="1:12">
      <c r="A95" s="132" t="s">
        <v>552</v>
      </c>
      <c r="B95" s="142" t="s">
        <v>429</v>
      </c>
      <c r="C95" s="143">
        <f>VLOOKUP('Proposition Summary'!$B$80,'Real cost (OCJ)'!$B$4:$AR$19,43,FALSE)</f>
        <v>0</v>
      </c>
      <c r="J95" s="132" t="s">
        <v>552</v>
      </c>
      <c r="K95" s="141" t="s">
        <v>429</v>
      </c>
      <c r="L95" s="131">
        <f>VLOOKUP('Proposition Summary'!$B$80,'Real cost (OCJ)'!$B$4:$AR$19,43,FALSE)</f>
        <v>0</v>
      </c>
    </row>
    <row r="96" spans="1:12">
      <c r="A96" s="165" t="s">
        <v>425</v>
      </c>
      <c r="B96" s="142">
        <f>SUM(B82:B95)</f>
        <v>29369.093609007585</v>
      </c>
      <c r="C96" s="134">
        <f>SUM(C82:C95)</f>
        <v>929069.25803496747</v>
      </c>
      <c r="J96" s="165" t="s">
        <v>425</v>
      </c>
      <c r="K96" s="130">
        <f>SUM(K82:K95)</f>
        <v>29369.093609007585</v>
      </c>
      <c r="L96" s="131">
        <f>SUM(L82:L95)</f>
        <v>929069.25803496747</v>
      </c>
    </row>
    <row r="97" spans="1:12" ht="31.5">
      <c r="A97" s="136" t="s">
        <v>575</v>
      </c>
      <c r="B97" s="139"/>
      <c r="C97" s="166"/>
      <c r="J97" s="129" t="s">
        <v>575</v>
      </c>
      <c r="K97" s="139"/>
      <c r="L97" s="166"/>
    </row>
    <row r="98" spans="1:12">
      <c r="A98" s="132" t="s">
        <v>555</v>
      </c>
      <c r="B98" s="133">
        <f t="shared" ref="B98:C104" si="17">K98*ex_rate</f>
        <v>1149.2748758271077</v>
      </c>
      <c r="C98" s="134">
        <f t="shared" si="17"/>
        <v>4176.0780141440464</v>
      </c>
      <c r="J98" s="132" t="s">
        <v>555</v>
      </c>
      <c r="K98" s="130">
        <f>VLOOKUP('Proposition Summary'!$B$80,'Real cost (PC)'!$B$23:$X$38,4,FALSE)</f>
        <v>1149.2748758271077</v>
      </c>
      <c r="L98" s="131">
        <f>VLOOKUP('Proposition Summary'!$B$80,'Real cost (OCJ)'!$B$23:$X$38,4,FALSE)</f>
        <v>4176.0780141440464</v>
      </c>
    </row>
    <row r="99" spans="1:12">
      <c r="A99" s="132" t="s">
        <v>556</v>
      </c>
      <c r="B99" s="133">
        <f t="shared" si="17"/>
        <v>603.0848358300666</v>
      </c>
      <c r="C99" s="134">
        <f t="shared" si="17"/>
        <v>2548.8868533195268</v>
      </c>
      <c r="J99" s="132" t="s">
        <v>556</v>
      </c>
      <c r="K99" s="130">
        <f>VLOOKUP('Proposition Summary'!$B$80,'Real cost (PC)'!$B$23:$X$38,7,FALSE)</f>
        <v>603.0848358300666</v>
      </c>
      <c r="L99" s="131">
        <f>VLOOKUP('Proposition Summary'!$B$80,'Real cost (OCJ)'!$B$23:$X$38,7,FALSE)</f>
        <v>2548.8868533195268</v>
      </c>
    </row>
    <row r="100" spans="1:12">
      <c r="A100" s="132" t="s">
        <v>557</v>
      </c>
      <c r="B100" s="133">
        <f t="shared" si="17"/>
        <v>45.515836666420114</v>
      </c>
      <c r="C100" s="134">
        <f t="shared" si="17"/>
        <v>227.5791833321006</v>
      </c>
      <c r="J100" s="132" t="s">
        <v>557</v>
      </c>
      <c r="K100" s="130">
        <f>VLOOKUP('Proposition Summary'!$B$80,'Real cost (PC)'!$B$23:$X$38,10,FALSE)</f>
        <v>45.515836666420114</v>
      </c>
      <c r="L100" s="131">
        <f>VLOOKUP('Proposition Summary'!$B$80,'Real cost (OCJ)'!$B$23:$X$38,10,FALSE)</f>
        <v>227.5791833321006</v>
      </c>
    </row>
    <row r="101" spans="1:12">
      <c r="A101" s="132" t="s">
        <v>408</v>
      </c>
      <c r="B101" s="133">
        <f t="shared" si="17"/>
        <v>2309.9287108208214</v>
      </c>
      <c r="C101" s="134">
        <f t="shared" si="17"/>
        <v>2127.8653641551409</v>
      </c>
      <c r="J101" s="132" t="s">
        <v>408</v>
      </c>
      <c r="K101" s="130">
        <f>VLOOKUP('Proposition Summary'!$B$80,'Real cost (PC)'!$B$23:$X$38,13,FALSE)</f>
        <v>2309.9287108208214</v>
      </c>
      <c r="L101" s="131">
        <f>VLOOKUP('Proposition Summary'!$B$80,'Real cost (OCJ)'!$B$23:$X$38,13,FALSE)</f>
        <v>2127.8653641551409</v>
      </c>
    </row>
    <row r="102" spans="1:12">
      <c r="A102" s="132" t="s">
        <v>409</v>
      </c>
      <c r="B102" s="133">
        <f t="shared" si="17"/>
        <v>91.031673332840228</v>
      </c>
      <c r="C102" s="134">
        <f t="shared" si="17"/>
        <v>113.7895916660503</v>
      </c>
      <c r="J102" s="132" t="s">
        <v>409</v>
      </c>
      <c r="K102" s="130">
        <f>VLOOKUP('Proposition Summary'!$B$80,'Real cost (PC)'!$B$23:$X$38,16,FALSE)</f>
        <v>91.031673332840228</v>
      </c>
      <c r="L102" s="131">
        <f>VLOOKUP('Proposition Summary'!$B$80,'Real cost (OCJ)'!$B$23:$X$38,16,FALSE)</f>
        <v>113.7895916660503</v>
      </c>
    </row>
    <row r="103" spans="1:12">
      <c r="A103" s="132" t="s">
        <v>558</v>
      </c>
      <c r="B103" s="133">
        <f t="shared" si="17"/>
        <v>1228.9275899933434</v>
      </c>
      <c r="C103" s="134">
        <f t="shared" si="17"/>
        <v>4437.7940749759609</v>
      </c>
      <c r="J103" s="132" t="s">
        <v>558</v>
      </c>
      <c r="K103" s="130">
        <f>VLOOKUP('Proposition Summary'!$B$80,'Real cost (PC)'!$B$23:$X$38,19,FALSE)</f>
        <v>1228.9275899933434</v>
      </c>
      <c r="L103" s="131">
        <f>VLOOKUP('Proposition Summary'!$B$80,'Real cost (OCJ)'!$B$23:$X$38,19,FALSE)</f>
        <v>4437.7940749759609</v>
      </c>
    </row>
    <row r="104" spans="1:12">
      <c r="A104" s="132" t="s">
        <v>559</v>
      </c>
      <c r="B104" s="133">
        <f t="shared" si="17"/>
        <v>170.68438749907546</v>
      </c>
      <c r="C104" s="134">
        <f t="shared" si="17"/>
        <v>398.26357083117608</v>
      </c>
      <c r="J104" s="132" t="s">
        <v>559</v>
      </c>
      <c r="K104" s="130">
        <f>VLOOKUP('Proposition Summary'!$B$80,'Real cost (PC)'!$B$23:$X$38,22,FALSE)</f>
        <v>170.68438749907546</v>
      </c>
      <c r="L104" s="131">
        <f>VLOOKUP('Proposition Summary'!$B$80,'Real cost (OCJ)'!$B$23:$X$38,22,FALSE)</f>
        <v>398.26357083117608</v>
      </c>
    </row>
    <row r="105" spans="1:12">
      <c r="A105" s="159" t="s">
        <v>412</v>
      </c>
      <c r="B105" s="142">
        <f>SUM(B98:B104)</f>
        <v>5598.4479099696746</v>
      </c>
      <c r="C105" s="143">
        <f t="shared" ref="C105" si="18">SUM(C98:C104)</f>
        <v>14030.256652424003</v>
      </c>
      <c r="J105" s="159" t="s">
        <v>412</v>
      </c>
      <c r="K105" s="130">
        <f>SUM(K98:K104)</f>
        <v>5598.4479099696746</v>
      </c>
      <c r="L105" s="131">
        <f t="shared" ref="L105" si="19">SUM(L98:L104)</f>
        <v>14030.256652424003</v>
      </c>
    </row>
    <row r="106" spans="1:12" ht="46.5">
      <c r="A106" s="136" t="s">
        <v>513</v>
      </c>
      <c r="B106" s="141"/>
      <c r="C106" s="140"/>
      <c r="J106" s="136" t="s">
        <v>513</v>
      </c>
      <c r="K106" s="141"/>
      <c r="L106" s="140"/>
    </row>
    <row r="107" spans="1:12" ht="31">
      <c r="A107" s="158" t="s">
        <v>421</v>
      </c>
      <c r="B107" s="142" t="s">
        <v>429</v>
      </c>
      <c r="C107" s="143" t="s">
        <v>429</v>
      </c>
      <c r="J107" s="158" t="s">
        <v>421</v>
      </c>
      <c r="K107" s="141" t="s">
        <v>429</v>
      </c>
      <c r="L107" s="140" t="s">
        <v>429</v>
      </c>
    </row>
    <row r="108" spans="1:12" ht="31">
      <c r="A108" s="158" t="s">
        <v>422</v>
      </c>
      <c r="B108" s="142" t="s">
        <v>429</v>
      </c>
      <c r="C108" s="143" t="s">
        <v>429</v>
      </c>
      <c r="J108" s="158" t="s">
        <v>422</v>
      </c>
      <c r="K108" s="141" t="s">
        <v>429</v>
      </c>
      <c r="L108" s="140" t="s">
        <v>429</v>
      </c>
    </row>
    <row r="109" spans="1:12">
      <c r="A109" s="158" t="s">
        <v>516</v>
      </c>
      <c r="B109" s="142" t="s">
        <v>429</v>
      </c>
      <c r="C109" s="143" t="s">
        <v>429</v>
      </c>
      <c r="J109" s="158" t="s">
        <v>516</v>
      </c>
      <c r="K109" s="141" t="s">
        <v>429</v>
      </c>
      <c r="L109" s="140" t="s">
        <v>429</v>
      </c>
    </row>
    <row r="110" spans="1:12">
      <c r="A110" s="158" t="s">
        <v>416</v>
      </c>
      <c r="B110" s="142" t="s">
        <v>429</v>
      </c>
      <c r="C110" s="143" t="s">
        <v>429</v>
      </c>
      <c r="J110" s="158" t="s">
        <v>416</v>
      </c>
      <c r="K110" s="141" t="s">
        <v>429</v>
      </c>
      <c r="L110" s="140" t="s">
        <v>429</v>
      </c>
    </row>
    <row r="111" spans="1:12">
      <c r="A111" s="158" t="s">
        <v>417</v>
      </c>
      <c r="B111" s="142" t="s">
        <v>429</v>
      </c>
      <c r="C111" s="143" t="s">
        <v>429</v>
      </c>
      <c r="J111" s="158" t="s">
        <v>417</v>
      </c>
      <c r="K111" s="141" t="s">
        <v>429</v>
      </c>
      <c r="L111" s="140" t="s">
        <v>429</v>
      </c>
    </row>
    <row r="112" spans="1:12">
      <c r="A112" s="158" t="s">
        <v>418</v>
      </c>
      <c r="B112" s="142" t="s">
        <v>429</v>
      </c>
      <c r="C112" s="143" t="s">
        <v>429</v>
      </c>
      <c r="J112" s="158" t="s">
        <v>418</v>
      </c>
      <c r="K112" s="141" t="s">
        <v>429</v>
      </c>
      <c r="L112" s="140" t="s">
        <v>429</v>
      </c>
    </row>
    <row r="113" spans="1:12" ht="16" thickBot="1">
      <c r="A113" s="159" t="s">
        <v>419</v>
      </c>
      <c r="B113" s="133">
        <f>K113*ex_rate</f>
        <v>0</v>
      </c>
      <c r="C113" s="134">
        <f>L113*ex_rate</f>
        <v>0</v>
      </c>
      <c r="J113" s="159" t="s">
        <v>419</v>
      </c>
      <c r="K113" s="130">
        <f>SUM(K107:K112)</f>
        <v>0</v>
      </c>
      <c r="L113" s="131">
        <f t="shared" ref="L113" si="20">SUM(L107:L112)</f>
        <v>0</v>
      </c>
    </row>
    <row r="114" spans="1:12" ht="16" thickBot="1">
      <c r="A114" s="149" t="s">
        <v>426</v>
      </c>
      <c r="B114" s="167">
        <f>B96+B105+B113</f>
        <v>34967.541518977261</v>
      </c>
      <c r="C114" s="167">
        <f>C96+C105+C113</f>
        <v>943099.51468739146</v>
      </c>
      <c r="J114" s="151" t="s">
        <v>426</v>
      </c>
      <c r="K114" s="151">
        <f>K96+K105+K113</f>
        <v>34967.541518977261</v>
      </c>
      <c r="L114" s="151">
        <f>L96+L105+L113</f>
        <v>943099.51468739146</v>
      </c>
    </row>
    <row r="119" spans="1:12" s="222" customFormat="1">
      <c r="A119" s="222" t="s">
        <v>697</v>
      </c>
    </row>
  </sheetData>
  <mergeCells count="3">
    <mergeCell ref="B1:C1"/>
    <mergeCell ref="B39:F39"/>
    <mergeCell ref="B78:C78"/>
  </mergeCells>
  <phoneticPr fontId="41" type="noConversion"/>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rgb="FF0070C0"/>
  </sheetPr>
  <dimension ref="A1:F119"/>
  <sheetViews>
    <sheetView workbookViewId="0"/>
  </sheetViews>
  <sheetFormatPr defaultColWidth="10.921875" defaultRowHeight="15.5"/>
  <cols>
    <col min="1" max="1" width="31.23046875" style="168" customWidth="1"/>
    <col min="2" max="2" width="47.61328125" style="169" customWidth="1"/>
    <col min="3" max="3" width="25.61328125" style="169" customWidth="1"/>
    <col min="4" max="4" width="29.921875" style="169" customWidth="1"/>
    <col min="5" max="5" width="20.61328125" style="169" customWidth="1"/>
    <col min="6" max="6" width="17.15234375" style="169" customWidth="1"/>
    <col min="7" max="7" width="14.4609375" style="169" customWidth="1"/>
    <col min="8" max="8" width="26.69140625" style="169" customWidth="1"/>
    <col min="9" max="9" width="21.4609375" style="169" customWidth="1"/>
    <col min="10" max="10" width="15.23046875" style="169" bestFit="1" customWidth="1"/>
    <col min="11" max="11" width="16.53515625" style="169" bestFit="1" customWidth="1"/>
    <col min="12" max="12" width="14.23046875" style="169" bestFit="1" customWidth="1"/>
    <col min="13" max="13" width="22.921875" style="169" bestFit="1" customWidth="1"/>
    <col min="14" max="16384" width="10.921875" style="169"/>
  </cols>
  <sheetData>
    <row r="1" spans="1:5">
      <c r="B1" s="169" t="s">
        <v>370</v>
      </c>
      <c r="E1" s="169" t="s">
        <v>478</v>
      </c>
    </row>
    <row r="2" spans="1:5">
      <c r="A2" s="168" t="s">
        <v>308</v>
      </c>
      <c r="B2" s="169" t="s">
        <v>372</v>
      </c>
      <c r="C2" s="169" t="s">
        <v>374</v>
      </c>
    </row>
    <row r="3" spans="1:5">
      <c r="A3" s="170"/>
    </row>
    <row r="4" spans="1:5" ht="31">
      <c r="A4" s="171" t="s">
        <v>574</v>
      </c>
    </row>
    <row r="5" spans="1:5">
      <c r="A5" s="168" t="s">
        <v>290</v>
      </c>
      <c r="B5" s="169">
        <v>61060</v>
      </c>
      <c r="C5" s="169">
        <v>10</v>
      </c>
    </row>
    <row r="6" spans="1:5">
      <c r="A6" s="168" t="s">
        <v>542</v>
      </c>
      <c r="B6" s="169">
        <v>330</v>
      </c>
      <c r="C6" s="169">
        <v>10</v>
      </c>
    </row>
    <row r="7" spans="1:5">
      <c r="A7" s="168" t="s">
        <v>543</v>
      </c>
      <c r="B7" s="169">
        <v>110</v>
      </c>
      <c r="C7" s="169">
        <v>10</v>
      </c>
    </row>
    <row r="8" spans="1:5">
      <c r="A8" s="168" t="s">
        <v>544</v>
      </c>
      <c r="B8" s="169">
        <v>970</v>
      </c>
      <c r="C8" s="169">
        <v>10</v>
      </c>
    </row>
    <row r="9" spans="1:5">
      <c r="A9" s="168" t="s">
        <v>545</v>
      </c>
      <c r="B9" s="169">
        <v>150</v>
      </c>
      <c r="C9" s="169">
        <v>10</v>
      </c>
    </row>
    <row r="10" spans="1:5">
      <c r="A10" s="168" t="s">
        <v>292</v>
      </c>
      <c r="B10" s="169">
        <v>190</v>
      </c>
      <c r="C10" s="169">
        <v>140</v>
      </c>
    </row>
    <row r="11" spans="1:5">
      <c r="A11" s="168" t="s">
        <v>546</v>
      </c>
      <c r="B11" s="169">
        <v>320</v>
      </c>
      <c r="C11" s="169">
        <v>390</v>
      </c>
    </row>
    <row r="12" spans="1:5">
      <c r="A12" s="168" t="s">
        <v>547</v>
      </c>
      <c r="B12" s="169">
        <v>1010</v>
      </c>
      <c r="C12" s="169">
        <v>720</v>
      </c>
    </row>
    <row r="13" spans="1:5">
      <c r="A13" s="168" t="s">
        <v>548</v>
      </c>
      <c r="B13" s="169">
        <v>110</v>
      </c>
      <c r="C13" s="169">
        <v>0</v>
      </c>
    </row>
    <row r="14" spans="1:5">
      <c r="A14" s="168" t="s">
        <v>549</v>
      </c>
      <c r="B14" s="169">
        <v>20</v>
      </c>
      <c r="C14" s="169">
        <v>0</v>
      </c>
    </row>
    <row r="15" spans="1:5">
      <c r="A15" s="168" t="s">
        <v>550</v>
      </c>
      <c r="B15" s="169">
        <v>110</v>
      </c>
      <c r="C15" s="169">
        <v>220</v>
      </c>
    </row>
    <row r="16" spans="1:5">
      <c r="A16" s="168" t="s">
        <v>551</v>
      </c>
      <c r="B16" s="169">
        <v>20</v>
      </c>
      <c r="C16" s="169">
        <v>40</v>
      </c>
    </row>
    <row r="17" spans="1:3">
      <c r="A17" s="168" t="s">
        <v>424</v>
      </c>
      <c r="B17" s="169">
        <v>170</v>
      </c>
      <c r="C17" s="169">
        <v>50</v>
      </c>
    </row>
    <row r="18" spans="1:3">
      <c r="A18" s="168" t="s">
        <v>552</v>
      </c>
      <c r="B18" s="169">
        <v>290</v>
      </c>
      <c r="C18" s="169">
        <v>0</v>
      </c>
    </row>
    <row r="19" spans="1:3" ht="25.4" customHeight="1">
      <c r="A19" s="168" t="s">
        <v>554</v>
      </c>
    </row>
    <row r="20" spans="1:3" ht="31">
      <c r="A20" s="171" t="s">
        <v>575</v>
      </c>
    </row>
    <row r="21" spans="1:3">
      <c r="A21" s="168" t="s">
        <v>555</v>
      </c>
      <c r="B21" s="169">
        <v>2060</v>
      </c>
      <c r="C21" s="169">
        <v>240</v>
      </c>
    </row>
    <row r="22" spans="1:3">
      <c r="A22" s="168" t="s">
        <v>556</v>
      </c>
      <c r="B22" s="169">
        <v>7170</v>
      </c>
      <c r="C22" s="169">
        <v>860</v>
      </c>
    </row>
    <row r="23" spans="1:3">
      <c r="A23" s="168" t="s">
        <v>557</v>
      </c>
      <c r="B23" s="169">
        <v>210</v>
      </c>
      <c r="C23" s="169">
        <v>10</v>
      </c>
    </row>
    <row r="24" spans="1:3">
      <c r="A24" s="168" t="s">
        <v>408</v>
      </c>
      <c r="B24" s="169">
        <v>4040</v>
      </c>
      <c r="C24" s="169">
        <v>1880</v>
      </c>
    </row>
    <row r="25" spans="1:3">
      <c r="A25" s="168" t="s">
        <v>409</v>
      </c>
      <c r="B25" s="169">
        <v>220</v>
      </c>
      <c r="C25" s="169">
        <v>20</v>
      </c>
    </row>
    <row r="26" spans="1:3" ht="31">
      <c r="A26" s="168" t="s">
        <v>558</v>
      </c>
      <c r="B26" s="169">
        <v>1300</v>
      </c>
      <c r="C26" s="169">
        <v>530</v>
      </c>
    </row>
    <row r="27" spans="1:3" ht="31">
      <c r="A27" s="168" t="s">
        <v>559</v>
      </c>
      <c r="B27" s="169">
        <v>210</v>
      </c>
      <c r="C27" s="169">
        <v>110</v>
      </c>
    </row>
    <row r="28" spans="1:3" ht="27.15" customHeight="1">
      <c r="A28" s="168" t="s">
        <v>560</v>
      </c>
    </row>
    <row r="29" spans="1:3" ht="46.5">
      <c r="A29" s="171" t="s">
        <v>513</v>
      </c>
    </row>
    <row r="30" spans="1:3" ht="22.5" customHeight="1">
      <c r="A30" s="168" t="s">
        <v>428</v>
      </c>
      <c r="B30" s="169" t="s">
        <v>429</v>
      </c>
      <c r="C30" s="169" t="s">
        <v>429</v>
      </c>
    </row>
    <row r="31" spans="1:3" ht="31">
      <c r="A31" s="168" t="s">
        <v>421</v>
      </c>
      <c r="B31" s="169" t="s">
        <v>429</v>
      </c>
      <c r="C31" s="169" t="s">
        <v>429</v>
      </c>
    </row>
    <row r="32" spans="1:3" ht="31">
      <c r="A32" s="168" t="s">
        <v>516</v>
      </c>
      <c r="B32" s="169" t="s">
        <v>429</v>
      </c>
      <c r="C32" s="169" t="s">
        <v>429</v>
      </c>
    </row>
    <row r="33" spans="1:6">
      <c r="A33" s="168" t="s">
        <v>416</v>
      </c>
      <c r="B33" s="169" t="s">
        <v>429</v>
      </c>
      <c r="C33" s="169" t="s">
        <v>429</v>
      </c>
    </row>
    <row r="34" spans="1:6">
      <c r="A34" s="168" t="s">
        <v>417</v>
      </c>
      <c r="B34" s="169" t="s">
        <v>429</v>
      </c>
      <c r="C34" s="169" t="s">
        <v>429</v>
      </c>
    </row>
    <row r="35" spans="1:6">
      <c r="A35" s="168" t="s">
        <v>418</v>
      </c>
      <c r="B35" s="169" t="s">
        <v>429</v>
      </c>
      <c r="C35" s="169" t="s">
        <v>429</v>
      </c>
    </row>
    <row r="36" spans="1:6" ht="31">
      <c r="A36" s="168" t="s">
        <v>419</v>
      </c>
      <c r="B36" s="169">
        <v>0</v>
      </c>
      <c r="C36" s="169">
        <v>0</v>
      </c>
    </row>
    <row r="37" spans="1:6">
      <c r="A37" s="168" t="s">
        <v>426</v>
      </c>
      <c r="B37" s="169">
        <v>7218</v>
      </c>
      <c r="C37" s="169">
        <v>2724</v>
      </c>
    </row>
    <row r="39" spans="1:6">
      <c r="B39" s="169" t="s">
        <v>294</v>
      </c>
    </row>
    <row r="40" spans="1:6" ht="31">
      <c r="A40" s="168" t="s">
        <v>308</v>
      </c>
      <c r="B40" s="169" t="s">
        <v>562</v>
      </c>
      <c r="C40" s="168" t="s">
        <v>564</v>
      </c>
      <c r="D40" s="169" t="s">
        <v>377</v>
      </c>
      <c r="E40" s="169" t="s">
        <v>378</v>
      </c>
      <c r="F40" s="169" t="s">
        <v>376</v>
      </c>
    </row>
    <row r="41" spans="1:6">
      <c r="A41" s="170"/>
    </row>
    <row r="42" spans="1:6" ht="31">
      <c r="A42" s="171" t="s">
        <v>561</v>
      </c>
    </row>
    <row r="43" spans="1:6">
      <c r="A43" s="168" t="s">
        <v>290</v>
      </c>
      <c r="B43" s="169" t="s">
        <v>429</v>
      </c>
      <c r="C43" s="169">
        <v>2082430</v>
      </c>
      <c r="D43" s="169">
        <v>254710</v>
      </c>
      <c r="E43" s="169">
        <v>1110</v>
      </c>
      <c r="F43" s="169">
        <v>5480</v>
      </c>
    </row>
    <row r="44" spans="1:6">
      <c r="A44" s="168" t="s">
        <v>542</v>
      </c>
      <c r="B44" s="169" t="s">
        <v>429</v>
      </c>
      <c r="C44" s="169">
        <v>8240</v>
      </c>
      <c r="D44" s="169">
        <v>2060</v>
      </c>
      <c r="E44" s="169">
        <v>920</v>
      </c>
      <c r="F44" s="169">
        <v>0</v>
      </c>
    </row>
    <row r="45" spans="1:6">
      <c r="A45" s="168" t="s">
        <v>543</v>
      </c>
      <c r="B45" s="169" t="s">
        <v>429</v>
      </c>
      <c r="C45" s="169">
        <v>2810</v>
      </c>
      <c r="D45" s="169">
        <v>670</v>
      </c>
      <c r="E45" s="169">
        <v>270</v>
      </c>
      <c r="F45" s="169">
        <v>10</v>
      </c>
    </row>
    <row r="46" spans="1:6">
      <c r="A46" s="168" t="s">
        <v>544</v>
      </c>
      <c r="B46" s="169" t="s">
        <v>429</v>
      </c>
      <c r="C46" s="169">
        <v>24390</v>
      </c>
      <c r="D46" s="169">
        <v>5900</v>
      </c>
      <c r="E46" s="169">
        <v>1110</v>
      </c>
      <c r="F46" s="169">
        <v>40</v>
      </c>
    </row>
    <row r="47" spans="1:6">
      <c r="A47" s="168" t="s">
        <v>545</v>
      </c>
      <c r="B47" s="169" t="s">
        <v>429</v>
      </c>
      <c r="C47" s="169">
        <v>3700</v>
      </c>
      <c r="D47" s="169">
        <v>1120</v>
      </c>
      <c r="E47" s="169">
        <v>390</v>
      </c>
      <c r="F47" s="169">
        <v>10</v>
      </c>
    </row>
    <row r="48" spans="1:6">
      <c r="A48" s="168" t="s">
        <v>292</v>
      </c>
      <c r="B48" s="169">
        <v>1030</v>
      </c>
      <c r="C48" s="169">
        <v>3590</v>
      </c>
      <c r="D48" s="169">
        <v>920</v>
      </c>
      <c r="E48" s="169">
        <v>760</v>
      </c>
      <c r="F48" s="169">
        <v>10</v>
      </c>
    </row>
    <row r="49" spans="1:6">
      <c r="A49" s="168" t="s">
        <v>546</v>
      </c>
      <c r="B49" s="169">
        <v>1400</v>
      </c>
      <c r="C49" s="169">
        <v>1190</v>
      </c>
      <c r="D49" s="169">
        <v>440</v>
      </c>
      <c r="E49" s="169">
        <v>380</v>
      </c>
      <c r="F49" s="169">
        <v>0</v>
      </c>
    </row>
    <row r="50" spans="1:6">
      <c r="A50" s="168" t="s">
        <v>547</v>
      </c>
      <c r="B50" s="169">
        <v>4140</v>
      </c>
      <c r="C50" s="169">
        <v>270</v>
      </c>
      <c r="D50" s="169">
        <v>150</v>
      </c>
      <c r="E50" s="169">
        <v>100</v>
      </c>
      <c r="F50" s="169">
        <v>0</v>
      </c>
    </row>
    <row r="51" spans="1:6">
      <c r="A51" s="168" t="s">
        <v>548</v>
      </c>
      <c r="B51" s="169">
        <v>350</v>
      </c>
      <c r="C51" s="169">
        <v>140</v>
      </c>
      <c r="D51" s="169">
        <v>60</v>
      </c>
      <c r="E51" s="169">
        <v>40</v>
      </c>
      <c r="F51" s="169">
        <v>0</v>
      </c>
    </row>
    <row r="52" spans="1:6">
      <c r="A52" s="168" t="s">
        <v>549</v>
      </c>
      <c r="B52" s="169">
        <v>180</v>
      </c>
      <c r="C52" s="169">
        <v>410</v>
      </c>
      <c r="D52" s="169">
        <v>120</v>
      </c>
      <c r="E52" s="169">
        <v>210</v>
      </c>
      <c r="F52" s="169">
        <v>0</v>
      </c>
    </row>
    <row r="53" spans="1:6">
      <c r="A53" s="168" t="s">
        <v>550</v>
      </c>
      <c r="B53" s="169">
        <v>1600</v>
      </c>
      <c r="C53" s="169">
        <v>980</v>
      </c>
      <c r="D53" s="169">
        <v>340</v>
      </c>
      <c r="E53" s="169">
        <v>180</v>
      </c>
      <c r="F53" s="169">
        <v>10</v>
      </c>
    </row>
    <row r="54" spans="1:6">
      <c r="A54" s="168" t="s">
        <v>551</v>
      </c>
      <c r="B54" s="169">
        <v>330</v>
      </c>
      <c r="C54" s="169">
        <v>270</v>
      </c>
      <c r="D54" s="169">
        <v>80</v>
      </c>
      <c r="E54" s="169">
        <v>90</v>
      </c>
      <c r="F54" s="169">
        <v>0</v>
      </c>
    </row>
    <row r="55" spans="1:6">
      <c r="A55" s="168" t="s">
        <v>424</v>
      </c>
      <c r="B55" s="169">
        <v>500</v>
      </c>
      <c r="C55" s="169">
        <v>200</v>
      </c>
      <c r="D55" s="169">
        <v>60</v>
      </c>
      <c r="E55" s="169">
        <v>70</v>
      </c>
      <c r="F55" s="169">
        <v>0</v>
      </c>
    </row>
    <row r="56" spans="1:6">
      <c r="A56" s="168" t="s">
        <v>552</v>
      </c>
      <c r="B56" s="169">
        <v>10</v>
      </c>
      <c r="C56" s="169">
        <v>150</v>
      </c>
      <c r="D56" s="169">
        <v>50</v>
      </c>
      <c r="E56" s="169">
        <v>50</v>
      </c>
      <c r="F56" s="169" t="s">
        <v>429</v>
      </c>
    </row>
    <row r="57" spans="1:6">
      <c r="A57" s="168" t="s">
        <v>554</v>
      </c>
    </row>
    <row r="58" spans="1:6" ht="31">
      <c r="A58" s="171" t="s">
        <v>563</v>
      </c>
    </row>
    <row r="59" spans="1:6">
      <c r="A59" s="168" t="s">
        <v>555</v>
      </c>
      <c r="B59" s="169">
        <v>980</v>
      </c>
      <c r="C59" s="169">
        <v>4170</v>
      </c>
      <c r="D59" s="169">
        <v>2250</v>
      </c>
      <c r="E59" s="169">
        <v>600</v>
      </c>
      <c r="F59" s="169">
        <v>20</v>
      </c>
    </row>
    <row r="60" spans="1:6">
      <c r="A60" s="168" t="s">
        <v>556</v>
      </c>
      <c r="B60" s="169">
        <v>3600</v>
      </c>
      <c r="C60" s="169">
        <v>510</v>
      </c>
      <c r="D60" s="169">
        <v>380</v>
      </c>
      <c r="E60" s="169">
        <v>160</v>
      </c>
      <c r="F60" s="169">
        <v>0</v>
      </c>
    </row>
    <row r="61" spans="1:6">
      <c r="A61" s="168" t="s">
        <v>557</v>
      </c>
      <c r="B61" s="169">
        <v>510</v>
      </c>
      <c r="C61" s="169">
        <v>0</v>
      </c>
      <c r="D61" s="169">
        <v>0</v>
      </c>
      <c r="E61" s="169">
        <v>0</v>
      </c>
      <c r="F61" s="169">
        <v>0</v>
      </c>
    </row>
    <row r="62" spans="1:6">
      <c r="A62" s="168" t="s">
        <v>408</v>
      </c>
      <c r="B62" s="169">
        <v>24800</v>
      </c>
      <c r="C62" s="169">
        <v>360</v>
      </c>
      <c r="D62" s="169">
        <v>190</v>
      </c>
      <c r="E62" s="169">
        <v>10</v>
      </c>
      <c r="F62" s="169">
        <v>0</v>
      </c>
    </row>
    <row r="63" spans="1:6">
      <c r="A63" s="168" t="s">
        <v>409</v>
      </c>
      <c r="B63" s="169">
        <v>1280</v>
      </c>
      <c r="C63" s="169">
        <v>100</v>
      </c>
      <c r="D63" s="169">
        <v>80</v>
      </c>
      <c r="E63" s="169">
        <v>0</v>
      </c>
      <c r="F63" s="169">
        <v>0</v>
      </c>
    </row>
    <row r="64" spans="1:6" ht="31">
      <c r="A64" s="168" t="s">
        <v>558</v>
      </c>
      <c r="B64" s="169">
        <v>2230</v>
      </c>
      <c r="C64" s="169">
        <v>1010</v>
      </c>
      <c r="D64" s="169">
        <v>510</v>
      </c>
      <c r="E64" s="169">
        <v>340</v>
      </c>
      <c r="F64" s="169">
        <v>10</v>
      </c>
    </row>
    <row r="65" spans="1:6" ht="31">
      <c r="A65" s="168" t="s">
        <v>559</v>
      </c>
      <c r="B65" s="169">
        <v>460</v>
      </c>
      <c r="C65" s="169">
        <v>60</v>
      </c>
      <c r="D65" s="169">
        <v>30</v>
      </c>
      <c r="E65" s="169">
        <v>40</v>
      </c>
      <c r="F65" s="169">
        <v>0</v>
      </c>
    </row>
    <row r="66" spans="1:6">
      <c r="A66" s="168" t="s">
        <v>560</v>
      </c>
    </row>
    <row r="67" spans="1:6" ht="46.5">
      <c r="A67" s="171" t="s">
        <v>513</v>
      </c>
    </row>
    <row r="68" spans="1:6" ht="31">
      <c r="A68" s="168" t="s">
        <v>421</v>
      </c>
      <c r="B68" s="169" t="s">
        <v>429</v>
      </c>
      <c r="C68" s="169" t="s">
        <v>429</v>
      </c>
      <c r="D68" s="169" t="s">
        <v>429</v>
      </c>
      <c r="E68" s="169" t="s">
        <v>429</v>
      </c>
      <c r="F68" s="169" t="s">
        <v>429</v>
      </c>
    </row>
    <row r="69" spans="1:6" ht="31">
      <c r="A69" s="168" t="s">
        <v>422</v>
      </c>
      <c r="B69" s="169" t="s">
        <v>429</v>
      </c>
      <c r="C69" s="169" t="s">
        <v>429</v>
      </c>
      <c r="D69" s="169" t="s">
        <v>429</v>
      </c>
      <c r="E69" s="169" t="s">
        <v>429</v>
      </c>
      <c r="F69" s="169" t="s">
        <v>429</v>
      </c>
    </row>
    <row r="70" spans="1:6" ht="31">
      <c r="A70" s="168" t="s">
        <v>516</v>
      </c>
      <c r="B70" s="169" t="s">
        <v>429</v>
      </c>
      <c r="C70" s="169" t="s">
        <v>429</v>
      </c>
      <c r="D70" s="169" t="s">
        <v>429</v>
      </c>
      <c r="E70" s="169" t="s">
        <v>429</v>
      </c>
      <c r="F70" s="169" t="s">
        <v>429</v>
      </c>
    </row>
    <row r="71" spans="1:6">
      <c r="A71" s="168" t="s">
        <v>416</v>
      </c>
      <c r="B71" s="169" t="s">
        <v>429</v>
      </c>
      <c r="C71" s="169" t="s">
        <v>429</v>
      </c>
      <c r="D71" s="169" t="s">
        <v>429</v>
      </c>
      <c r="E71" s="169" t="s">
        <v>429</v>
      </c>
      <c r="F71" s="169" t="s">
        <v>429</v>
      </c>
    </row>
    <row r="72" spans="1:6">
      <c r="A72" s="168" t="s">
        <v>417</v>
      </c>
      <c r="B72" s="169" t="s">
        <v>429</v>
      </c>
      <c r="C72" s="169" t="s">
        <v>429</v>
      </c>
      <c r="D72" s="169" t="s">
        <v>429</v>
      </c>
      <c r="E72" s="169" t="s">
        <v>429</v>
      </c>
      <c r="F72" s="169" t="s">
        <v>429</v>
      </c>
    </row>
    <row r="73" spans="1:6">
      <c r="A73" s="168" t="s">
        <v>418</v>
      </c>
      <c r="B73" s="169" t="s">
        <v>429</v>
      </c>
      <c r="C73" s="169" t="s">
        <v>429</v>
      </c>
      <c r="D73" s="169" t="s">
        <v>429</v>
      </c>
      <c r="E73" s="169" t="s">
        <v>429</v>
      </c>
      <c r="F73" s="169" t="s">
        <v>429</v>
      </c>
    </row>
    <row r="74" spans="1:6" ht="31">
      <c r="A74" s="168" t="s">
        <v>419</v>
      </c>
    </row>
    <row r="75" spans="1:6">
      <c r="A75" s="168" t="s">
        <v>426</v>
      </c>
    </row>
    <row r="78" spans="1:6" s="173" customFormat="1">
      <c r="A78" s="172"/>
      <c r="B78" s="173" t="s">
        <v>295</v>
      </c>
    </row>
    <row r="79" spans="1:6" s="173" customFormat="1">
      <c r="A79" s="172" t="s">
        <v>287</v>
      </c>
      <c r="B79" s="173" t="s">
        <v>565</v>
      </c>
      <c r="C79" s="173" t="s">
        <v>566</v>
      </c>
    </row>
    <row r="81" spans="1:3" ht="31">
      <c r="A81" s="171" t="s">
        <v>561</v>
      </c>
    </row>
    <row r="82" spans="1:3">
      <c r="A82" s="168" t="s">
        <v>290</v>
      </c>
      <c r="B82" s="169">
        <v>11960</v>
      </c>
      <c r="C82" s="169">
        <v>800980</v>
      </c>
    </row>
    <row r="83" spans="1:3">
      <c r="A83" s="168" t="s">
        <v>542</v>
      </c>
      <c r="B83" s="169">
        <v>1130</v>
      </c>
      <c r="C83" s="169">
        <v>1370</v>
      </c>
    </row>
    <row r="84" spans="1:3">
      <c r="A84" s="168" t="s">
        <v>543</v>
      </c>
      <c r="B84" s="169">
        <v>810</v>
      </c>
      <c r="C84" s="169">
        <v>1250</v>
      </c>
    </row>
    <row r="85" spans="1:3">
      <c r="A85" s="168" t="s">
        <v>544</v>
      </c>
      <c r="B85" s="169">
        <v>6360</v>
      </c>
      <c r="C85" s="169">
        <v>580</v>
      </c>
    </row>
    <row r="86" spans="1:3">
      <c r="A86" s="168" t="s">
        <v>545</v>
      </c>
      <c r="B86" s="169">
        <v>570</v>
      </c>
      <c r="C86" s="169">
        <v>580</v>
      </c>
    </row>
    <row r="87" spans="1:3">
      <c r="A87" s="168" t="s">
        <v>292</v>
      </c>
      <c r="B87" s="169">
        <v>1010</v>
      </c>
      <c r="C87" s="169">
        <v>3670</v>
      </c>
    </row>
    <row r="88" spans="1:3">
      <c r="A88" s="168" t="s">
        <v>546</v>
      </c>
      <c r="B88" s="169">
        <v>530</v>
      </c>
      <c r="C88" s="169">
        <v>1270</v>
      </c>
    </row>
    <row r="89" spans="1:3">
      <c r="A89" s="168" t="s">
        <v>547</v>
      </c>
      <c r="B89" s="169">
        <v>2030</v>
      </c>
      <c r="C89" s="169">
        <v>1870</v>
      </c>
    </row>
    <row r="90" spans="1:3">
      <c r="A90" s="168" t="s">
        <v>548</v>
      </c>
      <c r="B90" s="169">
        <v>80</v>
      </c>
      <c r="C90" s="169">
        <v>100</v>
      </c>
    </row>
    <row r="91" spans="1:3">
      <c r="A91" s="168" t="s">
        <v>549</v>
      </c>
      <c r="B91" s="169">
        <v>40</v>
      </c>
      <c r="C91" s="169">
        <v>390</v>
      </c>
    </row>
    <row r="92" spans="1:3">
      <c r="A92" s="168" t="s">
        <v>550</v>
      </c>
      <c r="B92" s="169">
        <v>1080</v>
      </c>
      <c r="C92" s="169">
        <v>3900</v>
      </c>
    </row>
    <row r="93" spans="1:3">
      <c r="A93" s="168" t="s">
        <v>551</v>
      </c>
      <c r="B93" s="169">
        <v>150</v>
      </c>
      <c r="C93" s="169">
        <v>350</v>
      </c>
    </row>
    <row r="94" spans="1:3">
      <c r="A94" s="168" t="s">
        <v>424</v>
      </c>
      <c r="B94" s="169">
        <v>60</v>
      </c>
      <c r="C94" s="169">
        <v>170</v>
      </c>
    </row>
    <row r="95" spans="1:3">
      <c r="A95" s="168" t="s">
        <v>552</v>
      </c>
      <c r="B95" s="169" t="s">
        <v>429</v>
      </c>
      <c r="C95" s="169">
        <v>0</v>
      </c>
    </row>
    <row r="96" spans="1:3">
      <c r="A96" s="168" t="s">
        <v>554</v>
      </c>
    </row>
    <row r="97" spans="1:3" ht="31">
      <c r="A97" s="171" t="s">
        <v>563</v>
      </c>
    </row>
    <row r="98" spans="1:3">
      <c r="A98" s="168" t="s">
        <v>555</v>
      </c>
      <c r="B98" s="169">
        <v>1010</v>
      </c>
      <c r="C98" s="169">
        <v>3670</v>
      </c>
    </row>
    <row r="99" spans="1:3">
      <c r="A99" s="168" t="s">
        <v>556</v>
      </c>
      <c r="B99" s="169">
        <v>530</v>
      </c>
      <c r="C99" s="169">
        <v>2240</v>
      </c>
    </row>
    <row r="100" spans="1:3">
      <c r="A100" s="168" t="s">
        <v>557</v>
      </c>
      <c r="B100" s="169">
        <v>40</v>
      </c>
      <c r="C100" s="169">
        <v>200</v>
      </c>
    </row>
    <row r="101" spans="1:3">
      <c r="A101" s="168" t="s">
        <v>408</v>
      </c>
      <c r="B101" s="169">
        <v>2030</v>
      </c>
      <c r="C101" s="169">
        <v>1870</v>
      </c>
    </row>
    <row r="102" spans="1:3">
      <c r="A102" s="168" t="s">
        <v>409</v>
      </c>
      <c r="B102" s="169">
        <v>80</v>
      </c>
      <c r="C102" s="169">
        <v>100</v>
      </c>
    </row>
    <row r="103" spans="1:3" ht="31">
      <c r="A103" s="168" t="s">
        <v>558</v>
      </c>
      <c r="B103" s="169">
        <v>1080</v>
      </c>
      <c r="C103" s="169">
        <v>3900</v>
      </c>
    </row>
    <row r="104" spans="1:3" ht="31">
      <c r="A104" s="168" t="s">
        <v>559</v>
      </c>
      <c r="B104" s="169">
        <v>150</v>
      </c>
      <c r="C104" s="169">
        <v>350</v>
      </c>
    </row>
    <row r="105" spans="1:3">
      <c r="A105" s="168" t="s">
        <v>560</v>
      </c>
    </row>
    <row r="106" spans="1:3" ht="46.5">
      <c r="A106" s="171" t="s">
        <v>513</v>
      </c>
    </row>
    <row r="107" spans="1:3" ht="31">
      <c r="A107" s="168" t="s">
        <v>421</v>
      </c>
      <c r="B107" s="169" t="s">
        <v>429</v>
      </c>
      <c r="C107" s="169" t="s">
        <v>429</v>
      </c>
    </row>
    <row r="108" spans="1:3" ht="31">
      <c r="A108" s="168" t="s">
        <v>422</v>
      </c>
      <c r="B108" s="169" t="s">
        <v>429</v>
      </c>
      <c r="C108" s="169" t="s">
        <v>429</v>
      </c>
    </row>
    <row r="109" spans="1:3" ht="31">
      <c r="A109" s="168" t="s">
        <v>516</v>
      </c>
      <c r="B109" s="169" t="s">
        <v>429</v>
      </c>
      <c r="C109" s="169" t="s">
        <v>429</v>
      </c>
    </row>
    <row r="110" spans="1:3">
      <c r="A110" s="168" t="s">
        <v>416</v>
      </c>
      <c r="B110" s="169" t="s">
        <v>429</v>
      </c>
      <c r="C110" s="169" t="s">
        <v>429</v>
      </c>
    </row>
    <row r="111" spans="1:3">
      <c r="A111" s="168" t="s">
        <v>417</v>
      </c>
      <c r="B111" s="169" t="s">
        <v>429</v>
      </c>
      <c r="C111" s="169" t="s">
        <v>429</v>
      </c>
    </row>
    <row r="112" spans="1:3">
      <c r="A112" s="168" t="s">
        <v>418</v>
      </c>
      <c r="B112" s="169" t="s">
        <v>429</v>
      </c>
      <c r="C112" s="169" t="s">
        <v>429</v>
      </c>
    </row>
    <row r="113" spans="1:1" ht="31">
      <c r="A113" s="168" t="s">
        <v>419</v>
      </c>
    </row>
    <row r="114" spans="1:1">
      <c r="A114" s="168" t="s">
        <v>426</v>
      </c>
    </row>
    <row r="119" spans="1:1" s="222" customFormat="1">
      <c r="A119" s="222" t="s">
        <v>697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CF8D2-AF34-481D-9523-C802751B4C71}">
  <sheetPr codeName="Sheet27">
    <tabColor theme="1"/>
  </sheetPr>
  <dimension ref="A1:X36"/>
  <sheetViews>
    <sheetView workbookViewId="0"/>
  </sheetViews>
  <sheetFormatPr defaultColWidth="8.69140625" defaultRowHeight="15.5"/>
  <cols>
    <col min="1" max="11" width="8.69140625" style="114"/>
    <col min="12" max="12" width="20.921875" style="114" customWidth="1"/>
    <col min="13" max="18" width="8.69140625" style="114"/>
    <col min="19" max="19" width="33.53515625" style="114" customWidth="1"/>
    <col min="20" max="20" width="32.53515625" style="114" customWidth="1"/>
    <col min="21" max="21" width="24" style="114" customWidth="1"/>
    <col min="22" max="22" width="8.69140625" style="114"/>
    <col min="23" max="23" width="32.3828125" style="114" customWidth="1"/>
    <col min="24" max="24" width="23.61328125" style="114" customWidth="1"/>
    <col min="25" max="16384" width="8.69140625" style="114"/>
  </cols>
  <sheetData>
    <row r="1" spans="1:24">
      <c r="A1" s="174" t="s">
        <v>114</v>
      </c>
      <c r="B1" s="174"/>
      <c r="C1" s="174"/>
      <c r="D1" s="174"/>
      <c r="E1" s="174" t="s">
        <v>664</v>
      </c>
    </row>
    <row r="2" spans="1:24">
      <c r="A2" s="150" t="s">
        <v>342</v>
      </c>
      <c r="B2" s="150" t="s">
        <v>598</v>
      </c>
      <c r="C2" s="150" t="s">
        <v>837</v>
      </c>
      <c r="D2" s="150" t="s">
        <v>596</v>
      </c>
      <c r="E2" s="150"/>
      <c r="F2" s="150"/>
      <c r="G2" s="150"/>
      <c r="J2" s="150" t="s">
        <v>665</v>
      </c>
      <c r="L2" s="150" t="s">
        <v>640</v>
      </c>
      <c r="N2" s="150" t="s">
        <v>663</v>
      </c>
      <c r="S2" s="150" t="s">
        <v>770</v>
      </c>
    </row>
    <row r="3" spans="1:24">
      <c r="A3" s="113">
        <v>2000</v>
      </c>
      <c r="B3" s="1071">
        <v>1.6839704237960402</v>
      </c>
      <c r="D3" s="175" t="s">
        <v>597</v>
      </c>
      <c r="E3" s="175"/>
      <c r="F3" s="175"/>
      <c r="G3" s="175"/>
      <c r="J3" s="114" t="s">
        <v>628</v>
      </c>
      <c r="K3" s="114">
        <v>1</v>
      </c>
      <c r="L3" s="114" t="s">
        <v>290</v>
      </c>
      <c r="M3" s="114">
        <v>1</v>
      </c>
      <c r="N3" s="114" t="s">
        <v>618</v>
      </c>
      <c r="O3" s="114">
        <v>1</v>
      </c>
      <c r="S3" s="114" t="s">
        <v>769</v>
      </c>
      <c r="T3" s="114" t="s">
        <v>623</v>
      </c>
      <c r="W3" s="114" t="s">
        <v>769</v>
      </c>
      <c r="X3" s="114" t="s">
        <v>662</v>
      </c>
    </row>
    <row r="4" spans="1:24">
      <c r="A4" s="113">
        <v>2001</v>
      </c>
      <c r="B4" s="1071">
        <v>1.8509525763893939</v>
      </c>
      <c r="C4" s="114">
        <f>(1+(B4/100))*C5</f>
        <v>1.565286180201575</v>
      </c>
      <c r="J4" s="114" t="s">
        <v>617</v>
      </c>
      <c r="K4" s="114">
        <v>2</v>
      </c>
      <c r="L4" s="114" t="s">
        <v>649</v>
      </c>
      <c r="M4" s="114">
        <v>2</v>
      </c>
      <c r="N4" s="114" t="s">
        <v>414</v>
      </c>
      <c r="O4" s="114">
        <v>2</v>
      </c>
    </row>
    <row r="5" spans="1:24">
      <c r="A5" s="113">
        <v>2002</v>
      </c>
      <c r="B5" s="1071">
        <v>2.0601670280994799</v>
      </c>
      <c r="C5" s="114">
        <f t="shared" ref="C5:C23" si="0">(1+(B5/100))*C6</f>
        <v>1.5368400006152052</v>
      </c>
      <c r="J5" s="114" t="s">
        <v>292</v>
      </c>
      <c r="K5" s="114">
        <v>3</v>
      </c>
      <c r="L5" s="114" t="s">
        <v>650</v>
      </c>
      <c r="M5" s="114">
        <v>3</v>
      </c>
      <c r="N5" s="114" t="s">
        <v>645</v>
      </c>
      <c r="O5" s="114">
        <v>3</v>
      </c>
      <c r="S5" s="150" t="s">
        <v>689</v>
      </c>
      <c r="T5" s="150" t="s">
        <v>665</v>
      </c>
      <c r="U5" s="150" t="s">
        <v>639</v>
      </c>
      <c r="W5" s="150" t="s">
        <v>689</v>
      </c>
      <c r="X5" s="150" t="s">
        <v>663</v>
      </c>
    </row>
    <row r="6" spans="1:24">
      <c r="A6" s="113">
        <v>2003</v>
      </c>
      <c r="B6" s="1071">
        <v>2.7352938960343987</v>
      </c>
      <c r="C6" s="114">
        <f t="shared" si="0"/>
        <v>1.5058176420503782</v>
      </c>
      <c r="J6" s="114" t="s">
        <v>293</v>
      </c>
      <c r="K6" s="114">
        <v>4</v>
      </c>
      <c r="L6" s="114" t="s">
        <v>544</v>
      </c>
      <c r="M6" s="114">
        <v>4</v>
      </c>
      <c r="N6" s="114" t="s">
        <v>620</v>
      </c>
      <c r="O6" s="114">
        <v>4</v>
      </c>
      <c r="S6" s="114" t="s">
        <v>290</v>
      </c>
      <c r="T6" s="114" t="s">
        <v>628</v>
      </c>
      <c r="W6" s="114" t="s">
        <v>290</v>
      </c>
      <c r="X6" s="114" t="s">
        <v>628</v>
      </c>
    </row>
    <row r="7" spans="1:24">
      <c r="A7" s="113">
        <v>2004</v>
      </c>
      <c r="B7" s="1071">
        <v>2.5734301841181981</v>
      </c>
      <c r="C7" s="114">
        <f t="shared" si="0"/>
        <v>1.4657257354753166</v>
      </c>
      <c r="J7" s="114" t="s">
        <v>629</v>
      </c>
      <c r="K7" s="114">
        <v>5</v>
      </c>
      <c r="L7" s="114" t="s">
        <v>651</v>
      </c>
      <c r="M7" s="114">
        <v>5</v>
      </c>
      <c r="N7" s="114" t="s">
        <v>643</v>
      </c>
      <c r="O7" s="114">
        <v>5</v>
      </c>
      <c r="S7" s="114" t="s">
        <v>649</v>
      </c>
      <c r="W7" s="114" t="s">
        <v>649</v>
      </c>
    </row>
    <row r="8" spans="1:24">
      <c r="A8" s="113">
        <v>2005</v>
      </c>
      <c r="B8" s="1071">
        <v>3.1315066925981085</v>
      </c>
      <c r="C8" s="114">
        <f t="shared" si="0"/>
        <v>1.4289526369980556</v>
      </c>
      <c r="J8" s="177" t="s">
        <v>619</v>
      </c>
      <c r="K8" s="114">
        <v>6</v>
      </c>
      <c r="L8" s="114" t="s">
        <v>652</v>
      </c>
      <c r="M8" s="114">
        <v>6</v>
      </c>
      <c r="N8" s="114" t="s">
        <v>646</v>
      </c>
      <c r="O8" s="114">
        <v>6</v>
      </c>
      <c r="S8" s="114" t="s">
        <v>650</v>
      </c>
      <c r="W8" s="114" t="s">
        <v>650</v>
      </c>
    </row>
    <row r="9" spans="1:24">
      <c r="A9" s="113">
        <v>2006</v>
      </c>
      <c r="B9" s="1071">
        <v>2.853248435199073</v>
      </c>
      <c r="C9" s="114">
        <f t="shared" si="0"/>
        <v>1.3855636195225036</v>
      </c>
      <c r="J9" s="177" t="s">
        <v>630</v>
      </c>
      <c r="K9" s="114">
        <v>7</v>
      </c>
      <c r="L9" s="114" t="s">
        <v>653</v>
      </c>
      <c r="M9" s="114">
        <v>7</v>
      </c>
      <c r="N9" s="114" t="s">
        <v>292</v>
      </c>
      <c r="O9" s="114">
        <v>7</v>
      </c>
      <c r="S9" s="176" t="s">
        <v>544</v>
      </c>
      <c r="T9" s="176" t="s">
        <v>617</v>
      </c>
      <c r="W9" s="176" t="s">
        <v>544</v>
      </c>
      <c r="X9" s="176" t="s">
        <v>671</v>
      </c>
    </row>
    <row r="10" spans="1:24">
      <c r="A10" s="113">
        <v>2007</v>
      </c>
      <c r="B10" s="1071">
        <v>2.7960714791272023</v>
      </c>
      <c r="C10" s="114">
        <f t="shared" si="0"/>
        <v>1.3471267467020784</v>
      </c>
      <c r="J10" s="177" t="s">
        <v>631</v>
      </c>
      <c r="K10" s="114">
        <v>8</v>
      </c>
      <c r="L10" s="114" t="s">
        <v>654</v>
      </c>
      <c r="M10" s="114">
        <v>8</v>
      </c>
      <c r="N10" s="114" t="s">
        <v>291</v>
      </c>
      <c r="O10" s="114">
        <v>8</v>
      </c>
      <c r="S10" s="176" t="s">
        <v>651</v>
      </c>
      <c r="T10" s="176"/>
      <c r="W10" s="176" t="s">
        <v>651</v>
      </c>
      <c r="X10" s="176"/>
    </row>
    <row r="11" spans="1:24">
      <c r="A11" s="113">
        <v>2008</v>
      </c>
      <c r="B11" s="1071">
        <v>3.2489393373071294</v>
      </c>
      <c r="C11" s="114">
        <f t="shared" si="0"/>
        <v>1.3104846589157966</v>
      </c>
      <c r="J11" s="177" t="s">
        <v>632</v>
      </c>
      <c r="K11" s="114">
        <v>9</v>
      </c>
      <c r="L11" s="114" t="s">
        <v>655</v>
      </c>
      <c r="M11" s="114">
        <v>9</v>
      </c>
      <c r="N11" s="114" t="s">
        <v>644</v>
      </c>
      <c r="O11" s="114">
        <v>9</v>
      </c>
      <c r="S11" s="114" t="s">
        <v>292</v>
      </c>
      <c r="T11" s="114" t="s">
        <v>292</v>
      </c>
      <c r="W11" s="114" t="s">
        <v>292</v>
      </c>
      <c r="X11" s="114" t="s">
        <v>292</v>
      </c>
    </row>
    <row r="12" spans="1:24">
      <c r="A12" s="113">
        <v>2009</v>
      </c>
      <c r="B12" s="1071">
        <v>1.7010725699507729</v>
      </c>
      <c r="C12" s="114">
        <f t="shared" si="0"/>
        <v>1.2692475751586505</v>
      </c>
      <c r="J12" s="177" t="s">
        <v>424</v>
      </c>
      <c r="K12" s="114">
        <v>10</v>
      </c>
      <c r="L12" s="114" t="s">
        <v>656</v>
      </c>
      <c r="M12" s="114">
        <v>10</v>
      </c>
      <c r="N12" s="114" t="s">
        <v>616</v>
      </c>
      <c r="O12" s="114">
        <v>10</v>
      </c>
      <c r="S12" s="114" t="s">
        <v>658</v>
      </c>
      <c r="W12" s="114" t="s">
        <v>658</v>
      </c>
    </row>
    <row r="13" spans="1:24">
      <c r="A13" s="113">
        <v>2010</v>
      </c>
      <c r="B13" s="1071">
        <v>1.3734918692079017</v>
      </c>
      <c r="C13" s="114">
        <f t="shared" si="0"/>
        <v>1.2480178852446735</v>
      </c>
      <c r="J13" s="177" t="s">
        <v>633</v>
      </c>
      <c r="K13" s="114">
        <v>11</v>
      </c>
      <c r="L13" s="114" t="s">
        <v>657</v>
      </c>
      <c r="M13" s="114">
        <v>11</v>
      </c>
      <c r="S13" s="176" t="s">
        <v>652</v>
      </c>
      <c r="T13" s="176" t="s">
        <v>293</v>
      </c>
      <c r="W13" s="176" t="s">
        <v>652</v>
      </c>
      <c r="X13" s="176" t="s">
        <v>677</v>
      </c>
    </row>
    <row r="14" spans="1:24">
      <c r="A14" s="113">
        <v>2011</v>
      </c>
      <c r="B14" s="1071">
        <v>2.0688542081199257</v>
      </c>
      <c r="C14" s="114">
        <f t="shared" si="0"/>
        <v>1.2311087072494913</v>
      </c>
      <c r="J14" s="177" t="s">
        <v>634</v>
      </c>
      <c r="K14" s="114">
        <v>12</v>
      </c>
      <c r="L14" s="114" t="s">
        <v>658</v>
      </c>
      <c r="M14" s="114">
        <v>12</v>
      </c>
      <c r="S14" s="176" t="s">
        <v>659</v>
      </c>
      <c r="T14" s="176"/>
      <c r="W14" s="176" t="s">
        <v>659</v>
      </c>
      <c r="X14" s="176"/>
    </row>
    <row r="15" spans="1:24">
      <c r="A15" s="113">
        <v>2012</v>
      </c>
      <c r="B15" s="1071">
        <v>1.6091515591183065</v>
      </c>
      <c r="C15" s="114">
        <f t="shared" si="0"/>
        <v>1.2061551163680568</v>
      </c>
      <c r="J15" s="177" t="s">
        <v>621</v>
      </c>
      <c r="K15" s="114">
        <v>13</v>
      </c>
      <c r="L15" s="114" t="s">
        <v>659</v>
      </c>
      <c r="M15" s="114">
        <v>13</v>
      </c>
      <c r="S15" s="176" t="s">
        <v>660</v>
      </c>
      <c r="T15" s="176"/>
      <c r="W15" s="176" t="s">
        <v>653</v>
      </c>
      <c r="X15" s="176"/>
    </row>
    <row r="16" spans="1:24">
      <c r="A16" s="113">
        <v>2013</v>
      </c>
      <c r="B16" s="1071">
        <v>2.2357385540164949</v>
      </c>
      <c r="C16" s="114">
        <f t="shared" si="0"/>
        <v>1.1870536244624488</v>
      </c>
      <c r="L16" s="114" t="s">
        <v>660</v>
      </c>
      <c r="M16" s="114">
        <v>14</v>
      </c>
      <c r="S16" s="176" t="s">
        <v>653</v>
      </c>
      <c r="T16" s="176"/>
      <c r="W16" s="176" t="s">
        <v>667</v>
      </c>
      <c r="X16" s="176"/>
    </row>
    <row r="17" spans="1:24">
      <c r="A17" s="113">
        <v>2014</v>
      </c>
      <c r="B17" s="1071">
        <v>1.5952823611433897</v>
      </c>
      <c r="C17" s="114">
        <f t="shared" si="0"/>
        <v>1.1610945851731351</v>
      </c>
      <c r="S17" s="176" t="s">
        <v>694</v>
      </c>
      <c r="T17" s="176"/>
      <c r="W17" s="176" t="s">
        <v>654</v>
      </c>
      <c r="X17" s="176"/>
    </row>
    <row r="18" spans="1:24">
      <c r="A18" s="113">
        <v>2015</v>
      </c>
      <c r="B18" s="1071">
        <v>0.51307917271416026</v>
      </c>
      <c r="C18" s="114">
        <f t="shared" si="0"/>
        <v>1.1428626981376577</v>
      </c>
      <c r="S18" s="176" t="s">
        <v>654</v>
      </c>
      <c r="T18" s="176"/>
      <c r="W18" s="176" t="s">
        <v>668</v>
      </c>
      <c r="X18" s="176"/>
    </row>
    <row r="19" spans="1:24">
      <c r="A19" s="113">
        <v>2016</v>
      </c>
      <c r="B19" s="1071">
        <v>1.8963035451147277</v>
      </c>
      <c r="C19" s="114">
        <f t="shared" si="0"/>
        <v>1.1370288399720079</v>
      </c>
      <c r="S19" s="176" t="s">
        <v>668</v>
      </c>
      <c r="T19" s="176"/>
      <c r="W19" s="176" t="s">
        <v>655</v>
      </c>
      <c r="X19" s="176"/>
    </row>
    <row r="20" spans="1:24">
      <c r="A20" s="113">
        <v>2017</v>
      </c>
      <c r="B20" s="1071">
        <v>1.8209228570152332</v>
      </c>
      <c r="C20" s="114">
        <f t="shared" si="0"/>
        <v>1.1158685844463307</v>
      </c>
      <c r="S20" s="176" t="s">
        <v>655</v>
      </c>
      <c r="T20" s="176"/>
      <c r="W20" s="176" t="s">
        <v>660</v>
      </c>
      <c r="X20" s="176"/>
    </row>
    <row r="21" spans="1:24">
      <c r="A21" s="113">
        <v>2018</v>
      </c>
      <c r="B21" s="1071">
        <v>1.9988242855231282</v>
      </c>
      <c r="C21" s="114">
        <f t="shared" si="0"/>
        <v>1.0959128567448944</v>
      </c>
      <c r="S21" s="114" t="s">
        <v>656</v>
      </c>
      <c r="T21" s="114" t="s">
        <v>629</v>
      </c>
      <c r="W21" s="114" t="s">
        <v>656</v>
      </c>
      <c r="X21" s="114" t="s">
        <v>678</v>
      </c>
    </row>
    <row r="22" spans="1:24">
      <c r="A22" s="113">
        <v>2019</v>
      </c>
      <c r="B22" s="1071">
        <v>2.0163202370724722</v>
      </c>
      <c r="C22" s="114">
        <f t="shared" si="0"/>
        <v>1.0744367539738779</v>
      </c>
      <c r="S22" s="114" t="s">
        <v>657</v>
      </c>
      <c r="W22" s="114" t="s">
        <v>669</v>
      </c>
    </row>
    <row r="23" spans="1:24">
      <c r="A23" s="113">
        <v>2020</v>
      </c>
      <c r="B23" s="1071">
        <v>5.3200852056836103</v>
      </c>
      <c r="C23" s="114">
        <f t="shared" si="0"/>
        <v>1.0532008520568361</v>
      </c>
      <c r="S23" s="114" t="s">
        <v>669</v>
      </c>
      <c r="W23" s="114" t="s">
        <v>657</v>
      </c>
    </row>
    <row r="24" spans="1:24">
      <c r="A24" s="113">
        <v>2021</v>
      </c>
      <c r="B24" s="1071">
        <v>7.6258108678813302E-2</v>
      </c>
      <c r="C24" s="114">
        <v>1</v>
      </c>
      <c r="S24" s="114" t="s">
        <v>670</v>
      </c>
      <c r="W24" s="114" t="s">
        <v>670</v>
      </c>
    </row>
    <row r="25" spans="1:24">
      <c r="A25" s="113">
        <v>2022</v>
      </c>
      <c r="B25" s="1071">
        <v>2.8492930312000952</v>
      </c>
      <c r="S25" s="176" t="s">
        <v>675</v>
      </c>
      <c r="T25" s="178" t="s">
        <v>619</v>
      </c>
      <c r="W25" s="176"/>
      <c r="X25" s="176" t="s">
        <v>672</v>
      </c>
    </row>
    <row r="26" spans="1:24">
      <c r="A26" s="113">
        <v>2023</v>
      </c>
      <c r="B26" s="1071">
        <v>3.143440902459993</v>
      </c>
      <c r="S26" s="114" t="s">
        <v>675</v>
      </c>
      <c r="T26" s="177" t="s">
        <v>630</v>
      </c>
      <c r="W26" s="176"/>
      <c r="X26" s="176" t="s">
        <v>673</v>
      </c>
    </row>
    <row r="27" spans="1:24">
      <c r="A27" s="113">
        <v>2024</v>
      </c>
      <c r="B27" s="1071">
        <v>1.8594732384912049</v>
      </c>
      <c r="S27" s="176" t="s">
        <v>675</v>
      </c>
      <c r="T27" s="178" t="s">
        <v>631</v>
      </c>
      <c r="W27" s="176"/>
      <c r="X27" s="176" t="s">
        <v>674</v>
      </c>
    </row>
    <row r="28" spans="1:24">
      <c r="A28" s="113">
        <v>2025</v>
      </c>
      <c r="B28" s="1071">
        <v>1.892198034308179</v>
      </c>
      <c r="S28" s="114" t="s">
        <v>675</v>
      </c>
      <c r="T28" s="177" t="s">
        <v>632</v>
      </c>
      <c r="W28" s="176"/>
      <c r="X28" s="176" t="s">
        <v>632</v>
      </c>
    </row>
    <row r="29" spans="1:24">
      <c r="A29" s="113">
        <v>2026</v>
      </c>
      <c r="B29" s="1072">
        <v>2.0003592159356653</v>
      </c>
      <c r="S29" s="176" t="s">
        <v>424</v>
      </c>
      <c r="T29" s="178" t="s">
        <v>424</v>
      </c>
      <c r="W29" s="114" t="s">
        <v>424</v>
      </c>
    </row>
    <row r="30" spans="1:24">
      <c r="A30" s="113">
        <v>2027</v>
      </c>
      <c r="S30" s="176" t="s">
        <v>666</v>
      </c>
      <c r="T30" s="176"/>
      <c r="W30" s="114" t="s">
        <v>666</v>
      </c>
    </row>
    <row r="31" spans="1:24">
      <c r="A31" s="113">
        <v>2028</v>
      </c>
      <c r="S31" s="176" t="s">
        <v>675</v>
      </c>
      <c r="T31" s="177" t="s">
        <v>633</v>
      </c>
    </row>
    <row r="32" spans="1:24">
      <c r="A32" s="113">
        <v>2029</v>
      </c>
      <c r="S32" s="176" t="s">
        <v>675</v>
      </c>
      <c r="T32" s="178" t="s">
        <v>634</v>
      </c>
    </row>
    <row r="33" spans="1:20">
      <c r="A33" s="113">
        <v>2030</v>
      </c>
      <c r="S33" s="176" t="s">
        <v>675</v>
      </c>
      <c r="T33" s="177" t="s">
        <v>621</v>
      </c>
    </row>
    <row r="36" spans="1:20" s="222" customFormat="1">
      <c r="A36" s="222" t="s">
        <v>697</v>
      </c>
    </row>
  </sheetData>
  <hyperlinks>
    <hyperlink ref="D3" r:id="rId1" xr:uid="{3CCA51D2-92E9-4CA1-8EB2-EB332F621D59}"/>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26</vt:i4>
      </vt:variant>
    </vt:vector>
  </HeadingPairs>
  <TitlesOfParts>
    <vt:vector size="61" baseType="lpstr">
      <vt:lpstr>Cover</vt:lpstr>
      <vt:lpstr>Control</vt:lpstr>
      <vt:lpstr>Cost-benefit</vt:lpstr>
      <vt:lpstr>Cost-effectiveness</vt:lpstr>
      <vt:lpstr>Contents</vt:lpstr>
      <vt:lpstr>Proposition Summary</vt:lpstr>
      <vt:lpstr>Home Office data - DO NOT EDIT</vt:lpstr>
      <vt:lpstr>Cost_of_crime_Raw_data</vt:lpstr>
      <vt:lpstr>Misc_inputs</vt:lpstr>
      <vt:lpstr>Real cost (DE)</vt:lpstr>
      <vt:lpstr>Real cost (IA)</vt:lpstr>
      <vt:lpstr>Real cost (VPS)</vt:lpstr>
      <vt:lpstr>Real cost (PEH)</vt:lpstr>
      <vt:lpstr>Real cost (LO)</vt:lpstr>
      <vt:lpstr>Real cost (HS)</vt:lpstr>
      <vt:lpstr>Real cost (VS)</vt:lpstr>
      <vt:lpstr>Real cost (PC)</vt:lpstr>
      <vt:lpstr>Real cost (OCJ)</vt:lpstr>
      <vt:lpstr>Behind_the_scenes</vt:lpstr>
      <vt:lpstr>Confidence Grade - DO NOT EDIT</vt:lpstr>
      <vt:lpstr>Costs with economics</vt:lpstr>
      <vt:lpstr>Bearer list</vt:lpstr>
      <vt:lpstr>RJ_pathway</vt:lpstr>
      <vt:lpstr>Economics</vt:lpstr>
      <vt:lpstr>Costs</vt:lpstr>
      <vt:lpstr>Attributable fraction</vt:lpstr>
      <vt:lpstr>Total Costs</vt:lpstr>
      <vt:lpstr>OffendingVsAge</vt:lpstr>
      <vt:lpstr>Reoffending_inputs</vt:lpstr>
      <vt:lpstr>RJ_benefits</vt:lpstr>
      <vt:lpstr>Costs to bearers</vt:lpstr>
      <vt:lpstr>Savings of avoided crimes</vt:lpstr>
      <vt:lpstr>Overall savings and benefits</vt:lpstr>
      <vt:lpstr>Benefits with economics</vt:lpstr>
      <vt:lpstr>Savings and benefits to bearers</vt:lpstr>
      <vt:lpstr>average_age</vt:lpstr>
      <vt:lpstr>buildings</vt:lpstr>
      <vt:lpstr>Business</vt:lpstr>
      <vt:lpstr>ex_rate</vt:lpstr>
      <vt:lpstr>Hiring_New_Staff</vt:lpstr>
      <vt:lpstr>Hiring2</vt:lpstr>
      <vt:lpstr>Maintenance2</vt:lpstr>
      <vt:lpstr>Other_offences</vt:lpstr>
      <vt:lpstr>Other_Operating</vt:lpstr>
      <vt:lpstr>Purchasing</vt:lpstr>
      <vt:lpstr>reoffending_inputs</vt:lpstr>
      <vt:lpstr>Services_admin</vt:lpstr>
      <vt:lpstr>Services_for_police</vt:lpstr>
      <vt:lpstr>set_up_expences</vt:lpstr>
      <vt:lpstr>Social_Costs</vt:lpstr>
      <vt:lpstr>Supplies_admin</vt:lpstr>
      <vt:lpstr>Supplies_for_police</vt:lpstr>
      <vt:lpstr>time</vt:lpstr>
      <vt:lpstr>Title</vt:lpstr>
      <vt:lpstr>Training</vt:lpstr>
      <vt:lpstr>Utility</vt:lpstr>
      <vt:lpstr>Volunteers</vt:lpstr>
      <vt:lpstr>Volunteers2</vt:lpstr>
      <vt:lpstr>Wages</vt:lpstr>
      <vt:lpstr>Wages2</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 T.W. Wong;Matthew Manning</dc:creator>
  <cp:lastModifiedBy>Keeva Baxter</cp:lastModifiedBy>
  <cp:lastPrinted>2017-03-21T15:18:19Z</cp:lastPrinted>
  <dcterms:created xsi:type="dcterms:W3CDTF">2014-08-03T04:08:23Z</dcterms:created>
  <dcterms:modified xsi:type="dcterms:W3CDTF">2022-11-21T11:36:11Z</dcterms:modified>
</cp:coreProperties>
</file>